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Kommunikasjon-Rapportering\Resultat 2021_Q2\"/>
    </mc:Choice>
  </mc:AlternateContent>
  <xr:revisionPtr revIDLastSave="0" documentId="8_{2B19C998-250E-4946-9CFE-79DD6A1C80D3}" xr6:coauthVersionLast="45" xr6:coauthVersionMax="45" xr10:uidLastSave="{00000000-0000-0000-0000-000000000000}"/>
  <bookViews>
    <workbookView xWindow="1560" yWindow="1560" windowWidth="21600" windowHeight="11385" tabRatio="828"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Balance sheet" sheetId="104" r:id="rId7"/>
    <sheet name="4 Capital Adequacy" sheetId="105" r:id="rId8"/>
    <sheet name="5 Income" sheetId="6" r:id="rId9"/>
    <sheet name="6 Expences" sheetId="7" r:id="rId10"/>
    <sheet name="7 Margins" sheetId="57" r:id="rId11"/>
    <sheet name="8 Lending" sheetId="86" r:id="rId12"/>
    <sheet name="9 Deposits" sheetId="3" r:id="rId13"/>
    <sheet name="10 Customers" sheetId="97" r:id="rId14"/>
    <sheet name="11 Macro sensitivity" sheetId="103" r:id="rId15"/>
  </sheets>
  <externalReferences>
    <externalReference r:id="rId16"/>
    <externalReference r:id="rId17"/>
    <externalReference r:id="rId18"/>
    <externalReference r:id="rId19"/>
    <externalReference r:id="rId20"/>
  </externalReferences>
  <definedNames>
    <definedName name="__123Graph_ABALADAGS" localSheetId="5"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5"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5"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5"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5"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5"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5"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5"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5"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5"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5"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5"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5"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8"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8"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5" hidden="1">#REF!</definedName>
    <definedName name="BLPB2" localSheetId="8"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5"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5"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5"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5"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5"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5"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5"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5"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#REF!</definedName>
    <definedName name="Dager">[3]Hovedtall!$P$1</definedName>
    <definedName name="dfhgd" localSheetId="8" hidden="1">[1]Tabell!#REF!</definedName>
    <definedName name="dfhgd" localSheetId="10" hidden="1">[1]Tabell!#REF!</definedName>
    <definedName name="dfhgd" localSheetId="11"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8" hidden="1">[1]Tabell!#REF!</definedName>
    <definedName name="LI" localSheetId="10" hidden="1">[1]Tabell!#REF!</definedName>
    <definedName name="LI" localSheetId="11"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8" hidden="1">[1]Tabell!#REF!</definedName>
    <definedName name="TEST" localSheetId="10" hidden="1">[1]Tabell!#REF!</definedName>
    <definedName name="TEST" localSheetId="11"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8" hidden="1">[5]In99!#REF!</definedName>
    <definedName name="xxxxxxx" localSheetId="9" hidden="1">[5]In99!#REF!</definedName>
    <definedName name="xxxxxxx" localSheetId="10" hidden="1">[5]In99!#REF!</definedName>
    <definedName name="xxxxxxx" localSheetId="11" hidden="1">[5]In99!#REF!</definedName>
    <definedName name="xxxxxxx" localSheetId="12"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4" i="6" l="1"/>
  <c r="G134" i="6"/>
  <c r="F134" i="6"/>
  <c r="E134" i="6"/>
  <c r="D134" i="6"/>
  <c r="H135" i="6"/>
  <c r="G135" i="6"/>
  <c r="F135" i="6"/>
  <c r="E135" i="6"/>
  <c r="H133" i="6"/>
  <c r="G133" i="6"/>
  <c r="F133" i="6"/>
  <c r="E133" i="6"/>
  <c r="H132" i="6"/>
  <c r="G132" i="6"/>
  <c r="F132" i="6"/>
  <c r="E132" i="6"/>
  <c r="H131" i="6"/>
  <c r="G131" i="6"/>
  <c r="F131" i="6"/>
  <c r="E131" i="6"/>
  <c r="H130" i="6"/>
  <c r="G130" i="6"/>
  <c r="F130" i="6"/>
  <c r="E130" i="6"/>
  <c r="H129" i="6"/>
  <c r="G129" i="6"/>
  <c r="F129" i="6"/>
  <c r="E129" i="6"/>
  <c r="H128" i="6"/>
  <c r="G128" i="6"/>
  <c r="F128" i="6"/>
  <c r="E128" i="6"/>
  <c r="D133" i="6"/>
  <c r="D132" i="6"/>
  <c r="D131" i="6"/>
  <c r="D130" i="6"/>
  <c r="D129" i="6"/>
  <c r="D128" i="6"/>
  <c r="D21" i="86"/>
  <c r="D22" i="86"/>
  <c r="D19" i="86"/>
  <c r="D124" i="6"/>
  <c r="D46" i="6"/>
  <c r="D19" i="3"/>
  <c r="E19" i="3"/>
  <c r="F19" i="3"/>
  <c r="G19" i="3"/>
  <c r="H19" i="3"/>
  <c r="E18" i="86"/>
  <c r="F18" i="86"/>
  <c r="G18" i="86"/>
  <c r="H18" i="86"/>
  <c r="E19" i="86"/>
  <c r="F19" i="86"/>
  <c r="E20" i="86"/>
  <c r="F20" i="86"/>
  <c r="G20" i="86"/>
  <c r="H20" i="86"/>
  <c r="E21" i="86"/>
  <c r="F21" i="86"/>
  <c r="E22" i="86"/>
  <c r="F22" i="86"/>
  <c r="E23" i="86"/>
  <c r="F23" i="86"/>
  <c r="G23" i="86"/>
  <c r="H23" i="86"/>
  <c r="E26" i="86"/>
  <c r="F26" i="86"/>
  <c r="G26" i="86"/>
  <c r="H26" i="86"/>
  <c r="D54" i="7"/>
  <c r="E54" i="7"/>
  <c r="F54" i="7"/>
  <c r="G54" i="7"/>
  <c r="D12" i="7"/>
  <c r="E12" i="7"/>
  <c r="F12" i="7"/>
  <c r="G12" i="7"/>
  <c r="E124" i="6"/>
  <c r="F124" i="6"/>
  <c r="G124" i="6"/>
  <c r="H124" i="6"/>
  <c r="E97" i="6"/>
  <c r="F97" i="6"/>
  <c r="G97" i="6"/>
  <c r="H97" i="6"/>
  <c r="F46" i="6"/>
  <c r="E53" i="6"/>
  <c r="F53" i="6"/>
  <c r="G53" i="6"/>
  <c r="H53" i="6"/>
  <c r="E7" i="6"/>
  <c r="F7" i="6"/>
  <c r="G7" i="6"/>
  <c r="C20" i="104"/>
  <c r="C31" i="104"/>
  <c r="C46" i="104"/>
  <c r="C48" i="104"/>
  <c r="C31" i="5"/>
  <c r="C30" i="5"/>
  <c r="G36" i="104"/>
  <c r="G38" i="104"/>
  <c r="G44" i="104"/>
  <c r="I44" i="104"/>
  <c r="M13" i="104"/>
  <c r="M20" i="104"/>
  <c r="M34" i="104"/>
  <c r="M24" i="104"/>
  <c r="M31" i="104"/>
  <c r="P20" i="104"/>
  <c r="O20" i="104"/>
  <c r="N20" i="104"/>
  <c r="L20" i="104"/>
  <c r="H20" i="104"/>
  <c r="E20" i="104"/>
  <c r="D20" i="104"/>
  <c r="P31" i="104"/>
  <c r="O31" i="104"/>
  <c r="N31" i="104"/>
  <c r="L31" i="104"/>
  <c r="K31" i="104"/>
  <c r="J31" i="104"/>
  <c r="I31" i="104"/>
  <c r="H31" i="104"/>
  <c r="G31" i="104"/>
  <c r="F31" i="104"/>
  <c r="E31" i="104"/>
  <c r="D31" i="104"/>
  <c r="J46" i="104"/>
  <c r="H46" i="104"/>
  <c r="F46" i="104"/>
  <c r="E46" i="104"/>
  <c r="D46" i="104"/>
  <c r="F48" i="104"/>
  <c r="J48" i="104"/>
  <c r="H48" i="104"/>
  <c r="E48" i="104"/>
  <c r="D48" i="104"/>
  <c r="N44" i="104"/>
  <c r="N46" i="104"/>
  <c r="N48" i="104"/>
  <c r="O44" i="104"/>
  <c r="O46" i="104"/>
  <c r="O48" i="104"/>
  <c r="K44" i="104"/>
  <c r="K46" i="104"/>
  <c r="K48" i="104"/>
  <c r="K18" i="104"/>
  <c r="K20" i="104"/>
  <c r="G46" i="104"/>
  <c r="G48" i="104"/>
  <c r="G18" i="104"/>
  <c r="G20" i="104"/>
  <c r="J18" i="104"/>
  <c r="J20" i="104"/>
  <c r="F18" i="104"/>
  <c r="F20" i="104"/>
  <c r="M44" i="104"/>
  <c r="M46" i="104"/>
  <c r="M48" i="104"/>
  <c r="I46" i="104"/>
  <c r="I48" i="104"/>
  <c r="I18" i="104"/>
  <c r="I20" i="104"/>
  <c r="P44" i="104"/>
  <c r="P46" i="104"/>
  <c r="P48" i="104"/>
  <c r="L44" i="104"/>
  <c r="L46" i="104"/>
  <c r="L48" i="104"/>
  <c r="E46" i="86"/>
  <c r="F46" i="86"/>
  <c r="G46" i="86"/>
  <c r="F43" i="86"/>
  <c r="F45" i="86"/>
  <c r="F47" i="86"/>
  <c r="E43" i="86"/>
  <c r="E45" i="86"/>
  <c r="E47" i="86"/>
  <c r="E30" i="5"/>
  <c r="G30" i="5"/>
  <c r="E31" i="5"/>
  <c r="G31" i="5"/>
  <c r="D31" i="5"/>
  <c r="D30" i="5"/>
  <c r="D135" i="6"/>
  <c r="F43" i="3"/>
  <c r="G43" i="3"/>
  <c r="H43" i="3"/>
  <c r="E43" i="3"/>
  <c r="D7" i="6"/>
  <c r="C12" i="7"/>
  <c r="D18" i="86"/>
  <c r="D20" i="86"/>
  <c r="D23" i="86"/>
  <c r="D26" i="86"/>
  <c r="Y167" i="96"/>
  <c r="AA167" i="96"/>
  <c r="W167" i="96"/>
  <c r="D43" i="86"/>
  <c r="S173" i="96"/>
  <c r="S170" i="96"/>
  <c r="S171" i="96"/>
  <c r="S174" i="96"/>
  <c r="S143" i="96"/>
  <c r="S142" i="96"/>
  <c r="S138" i="96"/>
  <c r="S137" i="96"/>
  <c r="S127" i="96"/>
  <c r="S134" i="96"/>
  <c r="S133" i="96"/>
  <c r="S126" i="96"/>
  <c r="S129" i="96"/>
  <c r="S124" i="96"/>
  <c r="S120" i="96"/>
  <c r="S116" i="96"/>
  <c r="S112" i="96"/>
  <c r="S107" i="96"/>
  <c r="S106" i="96"/>
  <c r="S100" i="96"/>
  <c r="S99" i="96"/>
  <c r="S98" i="96"/>
  <c r="S76" i="96"/>
  <c r="S75" i="96"/>
  <c r="S80" i="96"/>
  <c r="S72" i="96"/>
  <c r="S51" i="96"/>
  <c r="S50" i="96"/>
  <c r="S44" i="96"/>
  <c r="S43" i="96"/>
  <c r="S39" i="96"/>
  <c r="T34" i="96"/>
  <c r="S34" i="96"/>
  <c r="T28" i="96"/>
  <c r="S28" i="96"/>
  <c r="T21" i="96"/>
  <c r="S21" i="96"/>
  <c r="T14" i="96"/>
  <c r="S14" i="96"/>
  <c r="T8" i="96"/>
  <c r="S8" i="96"/>
  <c r="S108" i="96"/>
  <c r="S144" i="96"/>
  <c r="S45" i="96"/>
  <c r="S27" i="96"/>
  <c r="S29" i="96"/>
  <c r="T27" i="96"/>
  <c r="T29" i="96"/>
  <c r="S101" i="96"/>
  <c r="S139" i="96"/>
  <c r="S52" i="96"/>
  <c r="S128" i="96"/>
  <c r="S130" i="96"/>
  <c r="S175" i="96"/>
  <c r="S77" i="96"/>
  <c r="S135" i="96"/>
  <c r="AC115" i="96"/>
  <c r="AC116" i="96"/>
  <c r="AA115" i="96"/>
  <c r="AA116" i="96"/>
  <c r="Y115" i="96"/>
  <c r="Y116" i="96"/>
  <c r="W115" i="96"/>
  <c r="W116" i="96"/>
  <c r="U115" i="96"/>
  <c r="U116" i="96"/>
  <c r="AC111" i="96"/>
  <c r="AC112" i="96"/>
  <c r="AA111" i="96"/>
  <c r="AA112" i="96"/>
  <c r="Y111" i="96"/>
  <c r="Y112" i="96"/>
  <c r="W111" i="96"/>
  <c r="W112" i="96"/>
  <c r="U111" i="96"/>
  <c r="U112" i="96"/>
  <c r="V27" i="96"/>
  <c r="U27" i="96"/>
  <c r="V34" i="96"/>
  <c r="U34" i="96"/>
  <c r="U39" i="96"/>
  <c r="U45" i="96"/>
  <c r="U52" i="96"/>
  <c r="U72" i="96"/>
  <c r="U77" i="96"/>
  <c r="U84" i="96"/>
  <c r="U101" i="96"/>
  <c r="U120" i="96"/>
  <c r="U124" i="96"/>
  <c r="U130" i="96"/>
  <c r="U135" i="96"/>
  <c r="U139" i="96"/>
  <c r="U144" i="96"/>
  <c r="U171" i="96"/>
  <c r="U175" i="96"/>
  <c r="V28" i="96"/>
  <c r="U28" i="96"/>
  <c r="X27" i="96"/>
  <c r="V21" i="96"/>
  <c r="U21" i="96"/>
  <c r="V29" i="96"/>
  <c r="U29" i="96"/>
  <c r="W143" i="96"/>
  <c r="W144" i="96"/>
  <c r="W137" i="96"/>
  <c r="W133" i="96"/>
  <c r="W122" i="96"/>
  <c r="W119" i="96"/>
  <c r="W118" i="96"/>
  <c r="W95" i="96"/>
  <c r="W76" i="96"/>
  <c r="W120" i="96"/>
  <c r="W126" i="96"/>
  <c r="W173" i="96"/>
  <c r="W134" i="96"/>
  <c r="W135" i="96"/>
  <c r="W138" i="96"/>
  <c r="W139" i="96"/>
  <c r="W129" i="96"/>
  <c r="W127" i="96"/>
  <c r="W123" i="96"/>
  <c r="W124" i="96"/>
  <c r="W100" i="96"/>
  <c r="W99" i="96"/>
  <c r="W98" i="96"/>
  <c r="X96" i="96"/>
  <c r="W83" i="96"/>
  <c r="W75" i="96"/>
  <c r="W80" i="96"/>
  <c r="W82" i="96"/>
  <c r="W51" i="96"/>
  <c r="W50" i="96"/>
  <c r="W44" i="96"/>
  <c r="W41" i="96"/>
  <c r="W43" i="96"/>
  <c r="W39" i="96"/>
  <c r="X34" i="96"/>
  <c r="W34" i="96"/>
  <c r="X28" i="96"/>
  <c r="W28" i="96"/>
  <c r="W27" i="96"/>
  <c r="W21" i="96"/>
  <c r="X21" i="96"/>
  <c r="W52" i="96"/>
  <c r="W77" i="96"/>
  <c r="W170" i="96"/>
  <c r="W171" i="96"/>
  <c r="W128" i="96"/>
  <c r="W130" i="96"/>
  <c r="W84" i="96"/>
  <c r="W71" i="96"/>
  <c r="W72" i="96"/>
  <c r="W101" i="96"/>
  <c r="W45" i="96"/>
  <c r="W29" i="96"/>
  <c r="X29" i="96"/>
  <c r="W174" i="96"/>
  <c r="W175" i="96"/>
  <c r="Y173" i="96"/>
  <c r="Y143" i="96"/>
  <c r="Y142" i="96"/>
  <c r="Y137" i="96"/>
  <c r="Y133" i="96"/>
  <c r="Y129" i="96"/>
  <c r="Y123" i="96"/>
  <c r="Y122" i="96"/>
  <c r="Y119" i="96"/>
  <c r="Y118" i="96"/>
  <c r="Y124" i="96"/>
  <c r="Y126" i="96"/>
  <c r="Y127" i="96"/>
  <c r="Y144" i="96"/>
  <c r="Y138" i="96"/>
  <c r="Y139" i="96"/>
  <c r="Y120" i="96"/>
  <c r="Y134" i="96"/>
  <c r="Y135" i="96"/>
  <c r="Y100" i="96"/>
  <c r="Y99" i="96"/>
  <c r="Y76" i="96"/>
  <c r="Y75" i="96"/>
  <c r="Y80" i="96"/>
  <c r="Y41" i="96"/>
  <c r="Y71" i="96"/>
  <c r="Y72" i="96"/>
  <c r="Z27" i="96"/>
  <c r="Y27" i="96"/>
  <c r="Y128" i="96"/>
  <c r="Y130" i="96"/>
  <c r="Y77" i="96"/>
  <c r="Y50" i="96"/>
  <c r="Y51" i="96"/>
  <c r="Y44" i="96"/>
  <c r="Y43" i="96"/>
  <c r="Y45" i="96"/>
  <c r="Y83" i="96"/>
  <c r="Y82" i="96"/>
  <c r="Y52" i="96"/>
  <c r="Y84" i="96"/>
  <c r="D46" i="86"/>
  <c r="D97" i="6"/>
  <c r="C54" i="7"/>
  <c r="D53" i="6"/>
  <c r="AA95" i="96"/>
  <c r="AA173" i="96"/>
  <c r="AA174" i="96"/>
  <c r="AA143" i="96"/>
  <c r="AA142" i="96"/>
  <c r="AA139" i="96"/>
  <c r="AA135" i="96"/>
  <c r="AA129" i="96"/>
  <c r="AA128" i="96"/>
  <c r="AA120" i="96"/>
  <c r="AA107" i="96"/>
  <c r="AA124" i="96"/>
  <c r="AA106" i="96"/>
  <c r="AA100" i="96"/>
  <c r="AA99" i="96"/>
  <c r="AA98" i="96"/>
  <c r="AA80" i="96"/>
  <c r="AA75" i="96"/>
  <c r="AA72" i="96"/>
  <c r="AA51" i="96"/>
  <c r="AA45" i="96"/>
  <c r="AA44" i="96"/>
  <c r="AA43" i="96"/>
  <c r="AA39" i="96"/>
  <c r="AB34" i="96"/>
  <c r="AA34" i="96"/>
  <c r="AB21" i="96"/>
  <c r="AA21" i="96"/>
  <c r="AB12" i="96"/>
  <c r="AB13" i="96"/>
  <c r="AB14" i="96"/>
  <c r="AB27" i="96"/>
  <c r="AA12" i="96"/>
  <c r="AA13" i="96"/>
  <c r="AA14" i="96"/>
  <c r="AA27" i="96"/>
  <c r="AB106" i="96"/>
  <c r="AC8" i="96"/>
  <c r="AC167" i="96"/>
  <c r="AD8" i="96"/>
  <c r="AF8" i="96"/>
  <c r="AH8" i="96"/>
  <c r="AJ8" i="96"/>
  <c r="AL8" i="96"/>
  <c r="AK8" i="96"/>
  <c r="AK167" i="96"/>
  <c r="AN8" i="96"/>
  <c r="AP8" i="96"/>
  <c r="AR8" i="96"/>
  <c r="AT8" i="96"/>
  <c r="AS8" i="96"/>
  <c r="AV8" i="96"/>
  <c r="AX8" i="96"/>
  <c r="AZ8" i="96"/>
  <c r="BB8" i="96"/>
  <c r="BA8" i="96"/>
  <c r="AA108" i="96"/>
  <c r="AA144" i="96"/>
  <c r="AA170" i="96"/>
  <c r="AA171" i="96"/>
  <c r="AA130" i="96"/>
  <c r="AA101" i="96"/>
  <c r="AA175" i="96"/>
  <c r="AB107" i="96"/>
  <c r="AB108" i="96"/>
  <c r="AY8" i="96"/>
  <c r="AW8" i="96"/>
  <c r="AU8" i="96"/>
  <c r="AI8" i="96"/>
  <c r="AQ8" i="96"/>
  <c r="AO8" i="96"/>
  <c r="AO104" i="96"/>
  <c r="AO106" i="96"/>
  <c r="AQ167" i="96"/>
  <c r="AG8" i="96"/>
  <c r="AG104" i="96"/>
  <c r="AG106" i="96"/>
  <c r="AI167" i="96"/>
  <c r="AA50" i="96"/>
  <c r="AA76" i="96"/>
  <c r="AA77" i="96"/>
  <c r="AC143" i="96"/>
  <c r="AI173" i="96"/>
  <c r="AC173" i="96"/>
  <c r="BA162" i="96"/>
  <c r="AY162" i="96"/>
  <c r="AW162" i="96"/>
  <c r="AU162" i="96"/>
  <c r="AS162" i="96"/>
  <c r="AI174" i="96"/>
  <c r="AG174" i="96"/>
  <c r="AG175" i="96"/>
  <c r="AE174" i="96"/>
  <c r="AE175" i="96"/>
  <c r="BA143" i="96"/>
  <c r="AY143" i="96"/>
  <c r="AW143" i="96"/>
  <c r="AU143" i="96"/>
  <c r="AS143" i="96"/>
  <c r="AQ143" i="96"/>
  <c r="AO143" i="96"/>
  <c r="AM143" i="96"/>
  <c r="AK143" i="96"/>
  <c r="AI143" i="96"/>
  <c r="AG143" i="96"/>
  <c r="AE143" i="96"/>
  <c r="BA142" i="96"/>
  <c r="AY142" i="96"/>
  <c r="AW142" i="96"/>
  <c r="AU142" i="96"/>
  <c r="AS142" i="96"/>
  <c r="AO142" i="96"/>
  <c r="AM142" i="96"/>
  <c r="AK142" i="96"/>
  <c r="AI142" i="96"/>
  <c r="AG142" i="96"/>
  <c r="AE142" i="96"/>
  <c r="BA138" i="96"/>
  <c r="BA139" i="96"/>
  <c r="AY138" i="96"/>
  <c r="AY139" i="96"/>
  <c r="AW138" i="96"/>
  <c r="AW139" i="96"/>
  <c r="AU138" i="96"/>
  <c r="AU139" i="96"/>
  <c r="AS138" i="96"/>
  <c r="AS139" i="96"/>
  <c r="AQ138" i="96"/>
  <c r="AQ139" i="96"/>
  <c r="AO138" i="96"/>
  <c r="AO139" i="96"/>
  <c r="AM138" i="96"/>
  <c r="AM139" i="96"/>
  <c r="AK138" i="96"/>
  <c r="AK139" i="96"/>
  <c r="AI138" i="96"/>
  <c r="AI139" i="96"/>
  <c r="AG138" i="96"/>
  <c r="AG139" i="96"/>
  <c r="AE138" i="96"/>
  <c r="AE139" i="96"/>
  <c r="BA134" i="96"/>
  <c r="BA135" i="96"/>
  <c r="AY134" i="96"/>
  <c r="AY135" i="96"/>
  <c r="AW134" i="96"/>
  <c r="AW135" i="96"/>
  <c r="AU134" i="96"/>
  <c r="AU135" i="96"/>
  <c r="AS134" i="96"/>
  <c r="AS135" i="96"/>
  <c r="AQ134" i="96"/>
  <c r="AQ135" i="96"/>
  <c r="AO134" i="96"/>
  <c r="AO135" i="96"/>
  <c r="AM134" i="96"/>
  <c r="AM135" i="96"/>
  <c r="AK134" i="96"/>
  <c r="AK135" i="96"/>
  <c r="AI134" i="96"/>
  <c r="AI135" i="96"/>
  <c r="AG134" i="96"/>
  <c r="AG135" i="96"/>
  <c r="AE134" i="96"/>
  <c r="AE135" i="96"/>
  <c r="BA129" i="96"/>
  <c r="AY129" i="96"/>
  <c r="AW129" i="96"/>
  <c r="AU129" i="96"/>
  <c r="AS129" i="96"/>
  <c r="AQ129" i="96"/>
  <c r="AO129" i="96"/>
  <c r="AM129" i="96"/>
  <c r="AI129" i="96"/>
  <c r="AG129" i="96"/>
  <c r="AE129" i="96"/>
  <c r="BA128" i="96"/>
  <c r="AY128" i="96"/>
  <c r="AW128" i="96"/>
  <c r="AU128" i="96"/>
  <c r="AS128" i="96"/>
  <c r="AQ128" i="96"/>
  <c r="AO128" i="96"/>
  <c r="AM128" i="96"/>
  <c r="AK128" i="96"/>
  <c r="AI128" i="96"/>
  <c r="AG128" i="96"/>
  <c r="AE128" i="96"/>
  <c r="BA123" i="96"/>
  <c r="BA124" i="96"/>
  <c r="AY123" i="96"/>
  <c r="AY124" i="96"/>
  <c r="AW123" i="96"/>
  <c r="AW124" i="96"/>
  <c r="AU123" i="96"/>
  <c r="AU124" i="96"/>
  <c r="AS123" i="96"/>
  <c r="AS124" i="96"/>
  <c r="AQ123" i="96"/>
  <c r="AQ124" i="96"/>
  <c r="AO123" i="96"/>
  <c r="AO124" i="96"/>
  <c r="AM123" i="96"/>
  <c r="AM124" i="96"/>
  <c r="AI123" i="96"/>
  <c r="AI124" i="96"/>
  <c r="AG123" i="96"/>
  <c r="AG124" i="96"/>
  <c r="AE123" i="96"/>
  <c r="AE124" i="96"/>
  <c r="AC138" i="96"/>
  <c r="AC139" i="96"/>
  <c r="BA119" i="96"/>
  <c r="BA120" i="96"/>
  <c r="AY119" i="96"/>
  <c r="AY120" i="96"/>
  <c r="AW119" i="96"/>
  <c r="AW120" i="96"/>
  <c r="AU119" i="96"/>
  <c r="AU120" i="96"/>
  <c r="AS119" i="96"/>
  <c r="AS120" i="96"/>
  <c r="AQ119" i="96"/>
  <c r="AQ120" i="96"/>
  <c r="AO119" i="96"/>
  <c r="AO120" i="96"/>
  <c r="AM119" i="96"/>
  <c r="AM120" i="96"/>
  <c r="AI119" i="96"/>
  <c r="AI120" i="96"/>
  <c r="AG119" i="96"/>
  <c r="AG120" i="96"/>
  <c r="AE119" i="96"/>
  <c r="AE120" i="96"/>
  <c r="AC134" i="96"/>
  <c r="AC135" i="96"/>
  <c r="BA107" i="96"/>
  <c r="BB107" i="96"/>
  <c r="AY107" i="96"/>
  <c r="AZ107" i="96"/>
  <c r="AW107" i="96"/>
  <c r="AX107" i="96"/>
  <c r="AU107" i="96"/>
  <c r="AV107" i="96"/>
  <c r="AS107" i="96"/>
  <c r="AT107" i="96"/>
  <c r="AQ107" i="96"/>
  <c r="AR107" i="96"/>
  <c r="AO107" i="96"/>
  <c r="AP107" i="96"/>
  <c r="AM107" i="96"/>
  <c r="AN107" i="96"/>
  <c r="AI107" i="96"/>
  <c r="AJ107" i="96"/>
  <c r="AG107" i="96"/>
  <c r="AH107" i="96"/>
  <c r="AE107" i="96"/>
  <c r="AF107" i="96"/>
  <c r="BB106" i="96"/>
  <c r="BA100" i="96"/>
  <c r="AY100" i="96"/>
  <c r="AW100" i="96"/>
  <c r="AU100" i="96"/>
  <c r="AS100" i="96"/>
  <c r="AQ100" i="96"/>
  <c r="AO100" i="96"/>
  <c r="AM100" i="96"/>
  <c r="AI100" i="96"/>
  <c r="AG100" i="96"/>
  <c r="AE100" i="96"/>
  <c r="BA99" i="96"/>
  <c r="AY99" i="96"/>
  <c r="AW99" i="96"/>
  <c r="AU99" i="96"/>
  <c r="AS99" i="96"/>
  <c r="AQ99" i="96"/>
  <c r="AO99" i="96"/>
  <c r="AM99" i="96"/>
  <c r="AI99" i="96"/>
  <c r="AG99" i="96"/>
  <c r="AE99" i="96"/>
  <c r="BA98" i="96"/>
  <c r="AY98" i="96"/>
  <c r="AW98" i="96"/>
  <c r="AU98" i="96"/>
  <c r="AS98" i="96"/>
  <c r="AQ98" i="96"/>
  <c r="AO98" i="96"/>
  <c r="AM98" i="96"/>
  <c r="AK98" i="96"/>
  <c r="AI98" i="96"/>
  <c r="AG98" i="96"/>
  <c r="AE98" i="96"/>
  <c r="BB96" i="96"/>
  <c r="AZ96" i="96"/>
  <c r="AX96" i="96"/>
  <c r="AV96" i="96"/>
  <c r="AT96" i="96"/>
  <c r="AR96" i="96"/>
  <c r="BA95" i="96"/>
  <c r="AY95" i="96"/>
  <c r="AW95" i="96"/>
  <c r="AU95" i="96"/>
  <c r="AS95" i="96"/>
  <c r="AQ95" i="96"/>
  <c r="BA83" i="96"/>
  <c r="AY83" i="96"/>
  <c r="AW83" i="96"/>
  <c r="AU83" i="96"/>
  <c r="AE81" i="96"/>
  <c r="AE83" i="96"/>
  <c r="BA80" i="96"/>
  <c r="AS81" i="96"/>
  <c r="AY80" i="96"/>
  <c r="AY82" i="96"/>
  <c r="AW80" i="96"/>
  <c r="AW82" i="96"/>
  <c r="AU80" i="96"/>
  <c r="AM81" i="96"/>
  <c r="AM83" i="96"/>
  <c r="AS80" i="96"/>
  <c r="AK81" i="96"/>
  <c r="AQ80" i="96"/>
  <c r="AI81" i="96"/>
  <c r="AI83" i="96"/>
  <c r="AO80" i="96"/>
  <c r="AG81" i="96"/>
  <c r="AG83" i="96"/>
  <c r="AM80" i="96"/>
  <c r="AI80" i="96"/>
  <c r="AA81" i="96"/>
  <c r="AG80" i="96"/>
  <c r="AE80" i="96"/>
  <c r="BA75" i="96"/>
  <c r="AY75" i="96"/>
  <c r="AW75" i="96"/>
  <c r="AU75" i="96"/>
  <c r="AS75" i="96"/>
  <c r="AQ75" i="96"/>
  <c r="AO75" i="96"/>
  <c r="AM75" i="96"/>
  <c r="AK75" i="96"/>
  <c r="AI75" i="96"/>
  <c r="AG75" i="96"/>
  <c r="AE75" i="96"/>
  <c r="AC75" i="96"/>
  <c r="BA71" i="96"/>
  <c r="BA72" i="96"/>
  <c r="AY71" i="96"/>
  <c r="AY72" i="96"/>
  <c r="AW71" i="96"/>
  <c r="AW72" i="96"/>
  <c r="AU71" i="96"/>
  <c r="AU72" i="96"/>
  <c r="AS71" i="96"/>
  <c r="AS72" i="96"/>
  <c r="AQ71" i="96"/>
  <c r="AQ72" i="96"/>
  <c r="AO71" i="96"/>
  <c r="AO72" i="96"/>
  <c r="AM71" i="96"/>
  <c r="AM72" i="96"/>
  <c r="AI71" i="96"/>
  <c r="AI72" i="96"/>
  <c r="AG71" i="96"/>
  <c r="AG72" i="96"/>
  <c r="AE71" i="96"/>
  <c r="AE72" i="96"/>
  <c r="AK80" i="96"/>
  <c r="AC81" i="96"/>
  <c r="AC83" i="96"/>
  <c r="BA51" i="96"/>
  <c r="AY51" i="96"/>
  <c r="AW51" i="96"/>
  <c r="AU51" i="96"/>
  <c r="BA44" i="96"/>
  <c r="AY44" i="96"/>
  <c r="AW44" i="96"/>
  <c r="AU44" i="96"/>
  <c r="BA41" i="96"/>
  <c r="BA43" i="96"/>
  <c r="AY41" i="96"/>
  <c r="AY43" i="96"/>
  <c r="AW41" i="96"/>
  <c r="AW43" i="96"/>
  <c r="AU41" i="96"/>
  <c r="AU43" i="96"/>
  <c r="AS41" i="96"/>
  <c r="AQ41" i="96"/>
  <c r="AI42" i="96"/>
  <c r="AO41" i="96"/>
  <c r="AG42" i="96"/>
  <c r="AM41" i="96"/>
  <c r="AE42" i="96"/>
  <c r="AE44" i="96"/>
  <c r="AI41" i="96"/>
  <c r="AG41" i="96"/>
  <c r="AE41" i="96"/>
  <c r="AC41" i="96"/>
  <c r="BA39" i="96"/>
  <c r="BA48" i="96"/>
  <c r="BA50" i="96"/>
  <c r="AY39" i="96"/>
  <c r="AY48" i="96"/>
  <c r="AY50" i="96"/>
  <c r="AW39" i="96"/>
  <c r="AW48" i="96"/>
  <c r="AW76" i="96"/>
  <c r="AU39" i="96"/>
  <c r="AM49" i="96"/>
  <c r="AS39" i="96"/>
  <c r="AQ39" i="96"/>
  <c r="AI49" i="96"/>
  <c r="AI51" i="96"/>
  <c r="AO39" i="96"/>
  <c r="AG49" i="96"/>
  <c r="AG51" i="96"/>
  <c r="AM39" i="96"/>
  <c r="AM48" i="96"/>
  <c r="AM76" i="96"/>
  <c r="AI39" i="96"/>
  <c r="AG39" i="96"/>
  <c r="AG48" i="96"/>
  <c r="AG76" i="96"/>
  <c r="AE39" i="96"/>
  <c r="AE48" i="96"/>
  <c r="AE76" i="96"/>
  <c r="AK100" i="96"/>
  <c r="AC100" i="96"/>
  <c r="AK99" i="96"/>
  <c r="AC99" i="96"/>
  <c r="AC107" i="96"/>
  <c r="AC123" i="96"/>
  <c r="AC124" i="96"/>
  <c r="BB34" i="96"/>
  <c r="BA34" i="96"/>
  <c r="AZ34" i="96"/>
  <c r="AY34" i="96"/>
  <c r="AX34" i="96"/>
  <c r="AW34" i="96"/>
  <c r="AV34" i="96"/>
  <c r="AU34" i="96"/>
  <c r="AT34" i="96"/>
  <c r="AS34" i="96"/>
  <c r="AR34" i="96"/>
  <c r="AQ34" i="96"/>
  <c r="AP34" i="96"/>
  <c r="AO34" i="96"/>
  <c r="AN34" i="96"/>
  <c r="AM34" i="96"/>
  <c r="AL34" i="96"/>
  <c r="AK34" i="96"/>
  <c r="AJ34" i="96"/>
  <c r="AI34" i="96"/>
  <c r="AH34" i="96"/>
  <c r="AG34" i="96"/>
  <c r="AF34" i="96"/>
  <c r="AE34" i="96"/>
  <c r="AD34" i="96"/>
  <c r="AC34" i="96"/>
  <c r="BA21" i="96"/>
  <c r="AY21" i="96"/>
  <c r="AW21" i="96"/>
  <c r="AU21" i="96"/>
  <c r="AS21" i="96"/>
  <c r="AP21" i="96"/>
  <c r="AO21" i="96"/>
  <c r="AN21" i="96"/>
  <c r="AM21" i="96"/>
  <c r="AJ21" i="96"/>
  <c r="AI21" i="96"/>
  <c r="AH21" i="96"/>
  <c r="AG21" i="96"/>
  <c r="AF21" i="96"/>
  <c r="AE21" i="96"/>
  <c r="AD21" i="96"/>
  <c r="BB19" i="96"/>
  <c r="BB21" i="96"/>
  <c r="AZ19" i="96"/>
  <c r="AZ21" i="96"/>
  <c r="AX19" i="96"/>
  <c r="AX21" i="96"/>
  <c r="AV19" i="96"/>
  <c r="AV21" i="96"/>
  <c r="AT19" i="96"/>
  <c r="AT21" i="96"/>
  <c r="AR19" i="96"/>
  <c r="AR21" i="96"/>
  <c r="AQ19" i="96"/>
  <c r="AQ142" i="96"/>
  <c r="AL21" i="96"/>
  <c r="AC174" i="96"/>
  <c r="AC175" i="96"/>
  <c r="BA14" i="96"/>
  <c r="BA27" i="96"/>
  <c r="AZ14" i="96"/>
  <c r="AZ27" i="96"/>
  <c r="AY14" i="96"/>
  <c r="AY27" i="96"/>
  <c r="AX14" i="96"/>
  <c r="AX27" i="96"/>
  <c r="AW14" i="96"/>
  <c r="AW27" i="96"/>
  <c r="AV14" i="96"/>
  <c r="AV27" i="96"/>
  <c r="AU14" i="96"/>
  <c r="AU27" i="96"/>
  <c r="AT14" i="96"/>
  <c r="AT27" i="96"/>
  <c r="AS14" i="96"/>
  <c r="AS27" i="96"/>
  <c r="AP12" i="96"/>
  <c r="AP13" i="96"/>
  <c r="AP14" i="96"/>
  <c r="AP27" i="96"/>
  <c r="AO12" i="96"/>
  <c r="AO13" i="96"/>
  <c r="AO14" i="96"/>
  <c r="AN12" i="96"/>
  <c r="AN13" i="96"/>
  <c r="AN14" i="96"/>
  <c r="AN27" i="96"/>
  <c r="AM12" i="96"/>
  <c r="AM13" i="96"/>
  <c r="AM14" i="96"/>
  <c r="AL12" i="96"/>
  <c r="AL13" i="96"/>
  <c r="AL14" i="96"/>
  <c r="AL27" i="96"/>
  <c r="AK12" i="96"/>
  <c r="AK13" i="96"/>
  <c r="AK14" i="96"/>
  <c r="AK27" i="96"/>
  <c r="AJ12" i="96"/>
  <c r="AJ13" i="96"/>
  <c r="AJ14" i="96"/>
  <c r="AJ27" i="96"/>
  <c r="AI12" i="96"/>
  <c r="AI13" i="96"/>
  <c r="AI14" i="96"/>
  <c r="AI27" i="96"/>
  <c r="AH12" i="96"/>
  <c r="AH13" i="96"/>
  <c r="AH14" i="96"/>
  <c r="AH27" i="96"/>
  <c r="AG12" i="96"/>
  <c r="AG13" i="96"/>
  <c r="AG14" i="96"/>
  <c r="AG27" i="96"/>
  <c r="AF12" i="96"/>
  <c r="AF13" i="96"/>
  <c r="AF14" i="96"/>
  <c r="AE12" i="96"/>
  <c r="AE13" i="96"/>
  <c r="AE14" i="96"/>
  <c r="AR11" i="96"/>
  <c r="AR14" i="96"/>
  <c r="AQ11" i="96"/>
  <c r="BB104" i="96"/>
  <c r="AZ104" i="96"/>
  <c r="AZ106" i="96"/>
  <c r="AX104" i="96"/>
  <c r="AX106" i="96"/>
  <c r="AX108" i="96"/>
  <c r="AR104" i="96"/>
  <c r="AR106" i="96"/>
  <c r="AR108" i="96"/>
  <c r="AP104" i="96"/>
  <c r="AP106" i="96"/>
  <c r="AL104" i="96"/>
  <c r="AL106" i="96"/>
  <c r="AK104" i="96"/>
  <c r="AK106" i="96"/>
  <c r="AF104" i="96"/>
  <c r="AF106" i="96"/>
  <c r="AF108" i="96"/>
  <c r="AD104" i="96"/>
  <c r="AD106" i="96"/>
  <c r="AC104" i="96"/>
  <c r="AC106" i="96"/>
  <c r="BA104" i="96"/>
  <c r="BA106" i="96"/>
  <c r="BB27" i="96"/>
  <c r="AV104" i="96"/>
  <c r="AV106" i="96"/>
  <c r="AN104" i="96"/>
  <c r="AN106" i="96"/>
  <c r="AJ104" i="96"/>
  <c r="AJ106" i="96"/>
  <c r="AS104" i="96"/>
  <c r="AS106" i="96"/>
  <c r="AC128" i="96"/>
  <c r="AT104" i="96"/>
  <c r="AT106" i="96"/>
  <c r="AH104" i="96"/>
  <c r="AH106" i="96"/>
  <c r="AK21" i="96"/>
  <c r="AD12" i="96"/>
  <c r="AD13" i="96"/>
  <c r="AD14" i="96"/>
  <c r="AD27" i="96"/>
  <c r="AC142" i="96"/>
  <c r="AC80" i="96"/>
  <c r="S81" i="96"/>
  <c r="AC72" i="96"/>
  <c r="AI104" i="96"/>
  <c r="AI106" i="96"/>
  <c r="AY104" i="96"/>
  <c r="AY106" i="96"/>
  <c r="AC12" i="96"/>
  <c r="AC13" i="96"/>
  <c r="AC14" i="96"/>
  <c r="AC27" i="96"/>
  <c r="AC21" i="96"/>
  <c r="AK123" i="96"/>
  <c r="AK124" i="96"/>
  <c r="AK107" i="96"/>
  <c r="AL107" i="96"/>
  <c r="AK129" i="96"/>
  <c r="AK119" i="96"/>
  <c r="AK120" i="96"/>
  <c r="AK71" i="96"/>
  <c r="AK72" i="96"/>
  <c r="AC45" i="96"/>
  <c r="AK41" i="96"/>
  <c r="AC42" i="96"/>
  <c r="AC44" i="96"/>
  <c r="AK39" i="96"/>
  <c r="AC49" i="96"/>
  <c r="AC51" i="96"/>
  <c r="AC39" i="96"/>
  <c r="AC48" i="96"/>
  <c r="AC98" i="96"/>
  <c r="AC71" i="96"/>
  <c r="AC119" i="96"/>
  <c r="AC120" i="96"/>
  <c r="AC129" i="96"/>
  <c r="AQ104" i="96"/>
  <c r="AQ106" i="96"/>
  <c r="AQ108" i="96"/>
  <c r="AW104" i="96"/>
  <c r="AW106" i="96"/>
  <c r="AW108" i="96"/>
  <c r="D41" i="3"/>
  <c r="D43" i="3"/>
  <c r="D9" i="6"/>
  <c r="E9" i="6"/>
  <c r="F9" i="6"/>
  <c r="G9" i="6"/>
  <c r="H9" i="6"/>
  <c r="AN108" i="96"/>
  <c r="AO108" i="96"/>
  <c r="AO27" i="96"/>
  <c r="AH108" i="96"/>
  <c r="AP108" i="96"/>
  <c r="AY108" i="96"/>
  <c r="AZ108" i="96"/>
  <c r="AG108" i="96"/>
  <c r="AC108" i="96"/>
  <c r="AK108" i="96"/>
  <c r="AT108" i="96"/>
  <c r="AS108" i="96"/>
  <c r="AV108" i="96"/>
  <c r="AJ108" i="96"/>
  <c r="AL108" i="96"/>
  <c r="BA108" i="96"/>
  <c r="BB108" i="96"/>
  <c r="AI108" i="96"/>
  <c r="AD107" i="96"/>
  <c r="AD108" i="96"/>
  <c r="AU45" i="96"/>
  <c r="AM42" i="96"/>
  <c r="AM44" i="96"/>
  <c r="AQ49" i="96"/>
  <c r="AQ51" i="96"/>
  <c r="AY76" i="96"/>
  <c r="AY77" i="96"/>
  <c r="AQ14" i="96"/>
  <c r="AQ27" i="96"/>
  <c r="AE8" i="96"/>
  <c r="AG167" i="96"/>
  <c r="AG170" i="96"/>
  <c r="AG171" i="96"/>
  <c r="AM8" i="96"/>
  <c r="AO167" i="96"/>
  <c r="BA52" i="96"/>
  <c r="AE130" i="96"/>
  <c r="AY144" i="96"/>
  <c r="S83" i="96"/>
  <c r="S82" i="96"/>
  <c r="AU144" i="96"/>
  <c r="AI130" i="96"/>
  <c r="AS144" i="96"/>
  <c r="AG130" i="96"/>
  <c r="BA144" i="96"/>
  <c r="AS52" i="96"/>
  <c r="BA45" i="96"/>
  <c r="AA83" i="96"/>
  <c r="AA82" i="96"/>
  <c r="AI48" i="96"/>
  <c r="AI76" i="96"/>
  <c r="AI77" i="96"/>
  <c r="AA52" i="96"/>
  <c r="AA24" i="96"/>
  <c r="AA28" i="96"/>
  <c r="AA29" i="96"/>
  <c r="AB25" i="96"/>
  <c r="AB28" i="96"/>
  <c r="AB29" i="96"/>
  <c r="D45" i="86"/>
  <c r="D47" i="86"/>
  <c r="AO81" i="96"/>
  <c r="AO83" i="96"/>
  <c r="AM77" i="96"/>
  <c r="AC144" i="96"/>
  <c r="AK130" i="96"/>
  <c r="AG77" i="96"/>
  <c r="AQ81" i="96"/>
  <c r="AQ83" i="96"/>
  <c r="AQ12" i="96"/>
  <c r="AQ13" i="96"/>
  <c r="AU48" i="96"/>
  <c r="AU76" i="96"/>
  <c r="AU77" i="96"/>
  <c r="AI170" i="96"/>
  <c r="AI171" i="96"/>
  <c r="AS101" i="96"/>
  <c r="AK24" i="96"/>
  <c r="AK28" i="96"/>
  <c r="AK29" i="96"/>
  <c r="AT25" i="96"/>
  <c r="AT28" i="96"/>
  <c r="AT29" i="96"/>
  <c r="AK48" i="96"/>
  <c r="AK76" i="96"/>
  <c r="AK77" i="96"/>
  <c r="AS48" i="96"/>
  <c r="AS76" i="96"/>
  <c r="AS77" i="96"/>
  <c r="AR12" i="96"/>
  <c r="AR13" i="96"/>
  <c r="AS49" i="96"/>
  <c r="AS51" i="96"/>
  <c r="AY84" i="96"/>
  <c r="AS130" i="96"/>
  <c r="BA130" i="96"/>
  <c r="AI144" i="96"/>
  <c r="AK144" i="96"/>
  <c r="AK49" i="96"/>
  <c r="AK51" i="96"/>
  <c r="AD25" i="96"/>
  <c r="AD28" i="96"/>
  <c r="AD29" i="96"/>
  <c r="AH25" i="96"/>
  <c r="AH28" i="96"/>
  <c r="AH29" i="96"/>
  <c r="AK101" i="96"/>
  <c r="AU101" i="96"/>
  <c r="AI44" i="96"/>
  <c r="AI43" i="96"/>
  <c r="AQ48" i="96"/>
  <c r="AX25" i="96"/>
  <c r="AX28" i="96"/>
  <c r="AX29" i="96"/>
  <c r="AE82" i="96"/>
  <c r="AE84" i="96"/>
  <c r="AO130" i="96"/>
  <c r="AW130" i="96"/>
  <c r="AQ130" i="96"/>
  <c r="AY130" i="96"/>
  <c r="AC82" i="96"/>
  <c r="AC84" i="96"/>
  <c r="AO101" i="96"/>
  <c r="AW101" i="96"/>
  <c r="AI101" i="96"/>
  <c r="AE144" i="96"/>
  <c r="AG144" i="96"/>
  <c r="AO144" i="96"/>
  <c r="AC24" i="96"/>
  <c r="AC28" i="96"/>
  <c r="AC29" i="96"/>
  <c r="AQ42" i="96"/>
  <c r="AQ44" i="96"/>
  <c r="AI82" i="96"/>
  <c r="AI84" i="96"/>
  <c r="AM130" i="96"/>
  <c r="AU130" i="96"/>
  <c r="AK52" i="96"/>
  <c r="AO42" i="96"/>
  <c r="AO44" i="96"/>
  <c r="AY101" i="96"/>
  <c r="AW50" i="96"/>
  <c r="AW52" i="96"/>
  <c r="AC130" i="96"/>
  <c r="AQ21" i="96"/>
  <c r="AR25" i="96"/>
  <c r="AR28" i="96"/>
  <c r="AO49" i="96"/>
  <c r="AO51" i="96"/>
  <c r="AI175" i="96"/>
  <c r="AG44" i="96"/>
  <c r="AG43" i="96"/>
  <c r="AE77" i="96"/>
  <c r="AI24" i="96"/>
  <c r="AI28" i="96"/>
  <c r="AI29" i="96"/>
  <c r="BA76" i="96"/>
  <c r="BA77" i="96"/>
  <c r="AU82" i="96"/>
  <c r="AU84" i="96"/>
  <c r="AC43" i="96"/>
  <c r="AS42" i="96"/>
  <c r="AS44" i="96"/>
  <c r="AQ101" i="96"/>
  <c r="AG24" i="96"/>
  <c r="AG28" i="96"/>
  <c r="AG29" i="96"/>
  <c r="AS24" i="96"/>
  <c r="AS28" i="96"/>
  <c r="AS29" i="96"/>
  <c r="AW84" i="96"/>
  <c r="AE101" i="96"/>
  <c r="AM51" i="96"/>
  <c r="AM50" i="96"/>
  <c r="AC52" i="96"/>
  <c r="AL25" i="96"/>
  <c r="AL28" i="96"/>
  <c r="AL29" i="96"/>
  <c r="AE43" i="96"/>
  <c r="AE45" i="96"/>
  <c r="AV25" i="96"/>
  <c r="AV28" i="96"/>
  <c r="AV29" i="96"/>
  <c r="AG50" i="96"/>
  <c r="AJ25" i="96"/>
  <c r="AJ28" i="96"/>
  <c r="AJ29" i="96"/>
  <c r="AO48" i="96"/>
  <c r="AG52" i="96"/>
  <c r="AG101" i="96"/>
  <c r="BA101" i="96"/>
  <c r="AW144" i="96"/>
  <c r="AY52" i="96"/>
  <c r="AC101" i="96"/>
  <c r="AG82" i="96"/>
  <c r="AG84" i="96"/>
  <c r="AO52" i="96"/>
  <c r="AY45" i="96"/>
  <c r="AM82" i="96"/>
  <c r="AM84" i="96"/>
  <c r="AM101" i="96"/>
  <c r="AM144" i="96"/>
  <c r="AC76" i="96"/>
  <c r="AC77" i="96"/>
  <c r="AC50" i="96"/>
  <c r="AF25" i="96"/>
  <c r="AF28" i="96"/>
  <c r="AE24" i="96"/>
  <c r="AE28" i="96"/>
  <c r="AN25" i="96"/>
  <c r="AN28" i="96"/>
  <c r="AN29" i="96"/>
  <c r="BB25" i="96"/>
  <c r="BB28" i="96"/>
  <c r="BB29" i="96"/>
  <c r="AY24" i="96"/>
  <c r="AY28" i="96"/>
  <c r="AY29" i="96"/>
  <c r="BA24" i="96"/>
  <c r="BA28" i="96"/>
  <c r="BA29" i="96"/>
  <c r="AW24" i="96"/>
  <c r="AW28" i="96"/>
  <c r="AW29" i="96"/>
  <c r="AE49" i="96"/>
  <c r="AE51" i="96"/>
  <c r="AM52" i="96"/>
  <c r="AK42" i="96"/>
  <c r="AF27" i="96"/>
  <c r="AQ144" i="96"/>
  <c r="AS83" i="96"/>
  <c r="AS82" i="96"/>
  <c r="AR27" i="96"/>
  <c r="AZ25" i="96"/>
  <c r="AZ28" i="96"/>
  <c r="AZ29" i="96"/>
  <c r="AI52" i="96"/>
  <c r="AQ52" i="96"/>
  <c r="AW77" i="96"/>
  <c r="AU104" i="96"/>
  <c r="AU106" i="96"/>
  <c r="AU108" i="96"/>
  <c r="AU24" i="96"/>
  <c r="AU28" i="96"/>
  <c r="AU29" i="96"/>
  <c r="AW45" i="96"/>
  <c r="AK82" i="96"/>
  <c r="AK83" i="96"/>
  <c r="AC170" i="96"/>
  <c r="AC171" i="96"/>
  <c r="BA82" i="96"/>
  <c r="BA84" i="96"/>
  <c r="AM43" i="96"/>
  <c r="AM45" i="96"/>
  <c r="AM167" i="96"/>
  <c r="AM104" i="96"/>
  <c r="AM106" i="96"/>
  <c r="AM108" i="96"/>
  <c r="AE167" i="96"/>
  <c r="AE170" i="96"/>
  <c r="AE171" i="96"/>
  <c r="AE104" i="96"/>
  <c r="AE106" i="96"/>
  <c r="AE108" i="96"/>
  <c r="AM27" i="96"/>
  <c r="AE27" i="96"/>
  <c r="AE29" i="96"/>
  <c r="S84" i="96"/>
  <c r="AA84" i="96"/>
  <c r="AI50" i="96"/>
  <c r="AO24" i="96"/>
  <c r="AO28" i="96"/>
  <c r="AO29" i="96"/>
  <c r="AO82" i="96"/>
  <c r="AO84" i="96"/>
  <c r="AU50" i="96"/>
  <c r="AU52" i="96"/>
  <c r="AK50" i="96"/>
  <c r="AQ82" i="96"/>
  <c r="AQ84" i="96"/>
  <c r="AI45" i="96"/>
  <c r="AM24" i="96"/>
  <c r="AM28" i="96"/>
  <c r="AS50" i="96"/>
  <c r="AO43" i="96"/>
  <c r="AO45" i="96"/>
  <c r="AQ76" i="96"/>
  <c r="AQ77" i="96"/>
  <c r="AQ50" i="96"/>
  <c r="AE50" i="96"/>
  <c r="AE52" i="96"/>
  <c r="AQ43" i="96"/>
  <c r="AQ45" i="96"/>
  <c r="AS43" i="96"/>
  <c r="AS45" i="96"/>
  <c r="AS84" i="96"/>
  <c r="AP25" i="96"/>
  <c r="AP28" i="96"/>
  <c r="AP29" i="96"/>
  <c r="AQ24" i="96"/>
  <c r="AQ28" i="96"/>
  <c r="AQ29" i="96"/>
  <c r="AR29" i="96"/>
  <c r="AF29" i="96"/>
  <c r="AG45" i="96"/>
  <c r="AO50" i="96"/>
  <c r="AO76" i="96"/>
  <c r="AO77" i="96"/>
  <c r="AK84" i="96"/>
  <c r="AK44" i="96"/>
  <c r="AK43" i="96"/>
  <c r="AM29" i="96"/>
  <c r="AK45" i="96"/>
  <c r="Z21" i="96"/>
  <c r="Y21" i="96"/>
  <c r="Y34" i="96"/>
  <c r="Z34" i="96"/>
  <c r="Y39" i="96"/>
  <c r="Y95" i="96"/>
  <c r="Z96" i="96"/>
  <c r="Y98" i="96"/>
  <c r="Y101" i="96"/>
  <c r="Y174" i="96"/>
  <c r="Y175" i="96"/>
  <c r="Y170" i="96"/>
  <c r="Y171" i="96"/>
  <c r="Z25" i="96"/>
  <c r="Z28" i="96"/>
  <c r="Z29" i="96"/>
  <c r="Y24" i="96"/>
  <c r="Y28" i="96"/>
  <c r="Y29" i="96"/>
</calcChain>
</file>

<file path=xl/sharedStrings.xml><?xml version="1.0" encoding="utf-8"?>
<sst xmlns="http://schemas.openxmlformats.org/spreadsheetml/2006/main" count="916" uniqueCount="523">
  <si>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</si>
  <si>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</si>
  <si>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</si>
  <si>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</si>
  <si>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</si>
  <si>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</si>
  <si>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</si>
  <si>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</si>
  <si>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</si>
  <si>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</si>
  <si>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</si>
  <si>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</si>
  <si>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</si>
  <si>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</si>
  <si>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</si>
  <si>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</si>
  <si>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</si>
  <si>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</si>
  <si>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</si>
  <si>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</si>
  <si>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</si>
  <si>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</si>
  <si>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</si>
  <si>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</si>
  <si>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</si>
  <si>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</si>
  <si>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</si>
  <si>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</si>
  <si>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</si>
  <si>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</si>
  <si>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</si>
  <si>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</si>
  <si>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</si>
  <si>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</si>
  <si>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</si>
  <si>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</si>
  <si>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</si>
  <si>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</si>
  <si>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</si>
  <si>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</si>
  <si>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</si>
  <si>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</si>
  <si>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</si>
  <si>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</si>
  <si>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</si>
  <si>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</si>
  <si>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</si>
  <si>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</si>
  <si>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</si>
  <si>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</si>
  <si>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</si>
  <si>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</si>
  <si>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</si>
  <si>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</si>
  <si>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</si>
  <si>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</si>
  <si>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</si>
  <si>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</si>
  <si>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</si>
  <si>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</si>
  <si>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</si>
  <si>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</si>
  <si>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</si>
  <si>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</si>
  <si>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</si>
  <si>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</si>
  <si>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</si>
  <si>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</si>
  <si>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</si>
  <si>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</si>
  <si>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</si>
  <si>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</si>
  <si>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</si>
  <si>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</si>
  <si>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</si>
  <si>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</si>
  <si>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</si>
  <si>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</si>
  <si>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</si>
  <si>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</si>
  <si>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</si>
  <si>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</si>
  <si>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</si>
  <si>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</si>
  <si>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</si>
  <si>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</si>
  <si>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</si>
  <si>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</si>
  <si>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</si>
  <si>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</si>
  <si>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</si>
  <si>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</si>
  <si>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</si>
  <si>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</si>
  <si>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</si>
  <si>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</si>
  <si>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</si>
  <si>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</si>
  <si>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</si>
  <si>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</si>
  <si>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</si>
  <si>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</si>
  <si>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</si>
  <si>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</si>
  <si>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</si>
  <si>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</si>
  <si>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</si>
  <si>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</si>
  <si>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</si>
  <si>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</si>
  <si>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</si>
  <si>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</si>
  <si>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</si>
  <si>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</si>
  <si>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</si>
  <si>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</si>
  <si>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</si>
  <si>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</si>
  <si>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</si>
  <si>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</si>
  <si>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</si>
  <si>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</si>
  <si>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</si>
  <si>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</si>
  <si>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</si>
  <si>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</si>
  <si>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</si>
  <si>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</si>
  <si>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</si>
  <si>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</si>
  <si>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</si>
  <si>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</si>
  <si>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</si>
  <si>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</si>
  <si>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</si>
  <si>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</si>
  <si>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</si>
  <si>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</si>
  <si>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</si>
  <si>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</si>
  <si>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</si>
  <si>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</si>
  <si>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</si>
  <si>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</si>
  <si>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</si>
  <si>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</si>
  <si>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</si>
  <si>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</si>
  <si>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</si>
  <si>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</si>
  <si>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</si>
  <si>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</si>
  <si>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</si>
  <si>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</si>
  <si>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</si>
  <si>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</si>
  <si>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</si>
  <si>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</si>
  <si>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</si>
  <si>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</si>
  <si>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</si>
  <si>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</si>
  <si>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</si>
  <si>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</si>
  <si>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</si>
  <si>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</si>
  <si>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</si>
  <si>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</si>
  <si>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</si>
  <si>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</si>
  <si>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</si>
  <si>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</si>
  <si>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</si>
  <si>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</si>
  <si>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</si>
  <si>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</si>
  <si>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</si>
  <si>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</si>
  <si>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</si>
  <si>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</si>
  <si>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</si>
  <si>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</si>
  <si>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</si>
  <si>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</si>
  <si>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</si>
  <si>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</si>
  <si>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</si>
  <si>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</si>
  <si>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</si>
  <si>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</si>
  <si>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</si>
  <si>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</si>
  <si>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</si>
  <si>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</si>
  <si>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</si>
  <si>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</si>
  <si>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</si>
  <si>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</si>
  <si>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</si>
  <si>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</si>
  <si>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</si>
  <si>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</si>
  <si>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</si>
  <si>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</si>
  <si>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</si>
  <si>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</si>
  <si>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</si>
  <si>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</si>
  <si>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</si>
  <si>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</si>
  <si>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</si>
  <si>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</si>
  <si>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</si>
  <si>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</si>
  <si>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</si>
  <si>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</si>
  <si>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</si>
  <si>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</si>
  <si>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</si>
  <si>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</si>
  <si>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</si>
  <si>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</si>
  <si>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</si>
  <si>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</si>
  <si>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</si>
  <si>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</si>
  <si>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</si>
  <si>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</si>
  <si>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</si>
  <si>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</si>
  <si>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</si>
  <si>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</si>
  <si>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*All loans transferred to covered bond companies are sensitive to ahanges in the NIBOR-rate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</si>
  <si>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</si>
  <si>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</si>
  <si>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</si>
  <si>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</si>
  <si>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</si>
  <si>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</si>
  <si>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</si>
  <si>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</si>
  <si>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</si>
  <si>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</si>
  <si>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</si>
  <si>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</si>
  <si>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</si>
  <si>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</si>
  <si>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</si>
  <si>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</si>
  <si>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</si>
  <si>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</si>
  <si>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</si>
  <si>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</si>
  <si>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</si>
  <si>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</si>
  <si>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</si>
  <si>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</si>
  <si>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</si>
  <si>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</si>
  <si>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</si>
  <si>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</si>
  <si>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</si>
  <si>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</si>
  <si>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</si>
  <si>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</si>
  <si>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</si>
  <si>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</si>
  <si>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</si>
  <si>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</si>
  <si>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</si>
  <si>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</si>
  <si>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</si>
  <si>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</si>
  <si>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</si>
  <si>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</si>
  <si>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</si>
  <si>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</si>
  <si>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</si>
  <si>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</si>
  <si>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</si>
  <si>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</si>
  <si>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</si>
  <si>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</si>
  <si>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</si>
  <si>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</si>
  <si>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</si>
  <si>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</si>
  <si>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</si>
  <si>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</si>
  <si>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</si>
  <si>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</si>
  <si>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</si>
  <si>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</si>
  <si>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</si>
  <si>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</si>
  <si>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</si>
  <si>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</si>
  <si>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</si>
  <si>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</si>
  <si>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</si>
  <si>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</si>
  <si>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</si>
  <si>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</si>
  <si>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</si>
  <si>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</si>
  <si>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</si>
  <si>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</si>
  <si>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</si>
  <si>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</si>
  <si>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</si>
  <si>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</si>
  <si>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</si>
  <si>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</si>
  <si>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</si>
  <si>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</si>
  <si>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</si>
  <si>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</si>
  <si>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</si>
  <si>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</si>
  <si>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</si>
  <si>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</si>
  <si>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</si>
  <si>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</si>
  <si>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</si>
  <si>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</si>
  <si>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</si>
  <si>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</si>
  <si>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</si>
  <si>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</si>
  <si>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</si>
  <si>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</si>
  <si>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</si>
  <si>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</si>
  <si>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</si>
  <si>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</si>
  <si>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</si>
  <si>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</si>
  <si>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</si>
  <si>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</si>
  <si>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</si>
  <si>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</si>
  <si>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</si>
  <si>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</si>
  <si>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</si>
  <si>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</si>
  <si>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</si>
  <si>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</si>
  <si>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</si>
  <si>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</si>
  <si>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</si>
  <si>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</si>
  <si>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</si>
  <si>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</si>
  <si>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</si>
  <si>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</si>
  <si>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</si>
  <si>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</si>
  <si>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</si>
  <si>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</si>
  <si>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</si>
  <si>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</si>
  <si>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</si>
  <si>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</si>
  <si>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</si>
  <si>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</si>
  <si>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</si>
  <si>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</si>
  <si>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</si>
  <si>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</si>
  <si>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</si>
  <si>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1Q-20</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</si>
  <si>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</si>
  <si>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</si>
  <si>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</si>
  <si>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</si>
  <si>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</si>
  <si>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</si>
  <si>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</si>
  <si>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</si>
  <si>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</si>
  <si>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</si>
  <si>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</si>
  <si>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</si>
  <si>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2Q-20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</si>
  <si>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</si>
  <si>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</si>
  <si>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</si>
  <si>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</si>
  <si>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</si>
  <si>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</si>
  <si>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</si>
  <si>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</si>
  <si>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</si>
  <si>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</si>
  <si>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</si>
  <si>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</si>
  <si>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3Q-20</t>
  </si>
  <si>
    <t>SpareBank 1 Kreditt AS</t>
  </si>
  <si>
    <t>Preliminary annual report 2020</t>
  </si>
  <si>
    <t>Friday 12 February</t>
  </si>
  <si>
    <t>Annual report 2020</t>
  </si>
  <si>
    <t>Thursday 4 March</t>
  </si>
  <si>
    <t>Friday 30 April</t>
  </si>
  <si>
    <t>1. quarter 2021</t>
  </si>
  <si>
    <t>2. quarter 2021</t>
  </si>
  <si>
    <t>3. quarter 2021</t>
  </si>
  <si>
    <t>Tuesday 10 August</t>
  </si>
  <si>
    <t>Friday 29 October </t>
  </si>
  <si>
    <t>4Q-2020</t>
  </si>
  <si>
    <t>4Q-20</t>
  </si>
  <si>
    <t>Thursday 25 March </t>
  </si>
  <si>
    <t>Supervisory Board Meeting</t>
  </si>
  <si>
    <t>Ex. Dividend</t>
  </si>
  <si>
    <t>Friday 26 March</t>
  </si>
  <si>
    <t>Dividend payment day</t>
  </si>
  <si>
    <t>Wednesday 7 April</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</si>
  <si>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</si>
  <si>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</si>
  <si>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</si>
  <si>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</si>
  <si>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</si>
  <si>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</si>
  <si>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</si>
  <si>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</si>
  <si>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</si>
  <si>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</si>
  <si>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</si>
  <si>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</si>
  <si>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</si>
  <si>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</si>
  <si>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</si>
  <si>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</si>
  <si>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</si>
  <si>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</si>
  <si>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</si>
  <si>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</si>
  <si>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</si>
  <si>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Other paid-up equity</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</si>
  <si>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</si>
  <si>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</si>
  <si>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</si>
  <si>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</si>
  <si>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</si>
  <si>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</si>
  <si>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</si>
  <si>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</si>
  <si>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</si>
  <si>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</si>
  <si>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</si>
  <si>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</si>
  <si>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</si>
  <si>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</si>
  <si>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</si>
  <si>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</si>
  <si>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</si>
  <si>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</si>
  <si>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</si>
  <si>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</si>
  <si>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</si>
  <si>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</si>
  <si>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</si>
  <si>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</si>
  <si>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</si>
  <si>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</si>
  <si>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</si>
  <si>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</si>
  <si>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</si>
  <si>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</si>
  <si>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</si>
  <si>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</si>
  <si>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</si>
  <si>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</si>
  <si>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</si>
  <si>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</si>
  <si>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</si>
  <si>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</si>
  <si>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Pillar 2 (1.8%)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</si>
  <si>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</si>
  <si>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</si>
  <si>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</si>
  <si>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</si>
  <si>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</si>
  <si>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</si>
  <si>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</si>
  <si>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</si>
  <si>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</si>
  <si>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</si>
  <si>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</si>
  <si>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</si>
  <si>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</si>
  <si>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</si>
  <si>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</si>
  <si>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</si>
  <si>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5.1 Net interest income and commissionfees from covered bonds companies</t>
  </si>
  <si>
    <t>5.2 Net commision and other income</t>
  </si>
  <si>
    <t>5.3 Net income from financial assets and liabilities</t>
  </si>
  <si>
    <t>5.4 Specification of the consolidated profit after tax in NOK millions:</t>
  </si>
  <si>
    <t>6.1 Expences Group</t>
  </si>
  <si>
    <t>6.2 Expences Parent bank (adjusted)</t>
  </si>
  <si>
    <t>7.1 Deposit margins</t>
  </si>
  <si>
    <t>7.2 Lending margins</t>
  </si>
  <si>
    <t>8.1 Development in volumes - Loans to customers</t>
  </si>
  <si>
    <t>8.2 Loans sensitive to changes in the NIBOR rate</t>
  </si>
  <si>
    <t>9.1 Development in volumes - Deposits from customers</t>
  </si>
  <si>
    <t>9.2 Deposits sensitive to changes in the NIBOR rate</t>
  </si>
  <si>
    <t>10.1 Number of customers</t>
  </si>
  <si>
    <t>11.1 Sensitivity related to key assumptions in the general loss model</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</si>
  <si>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</si>
  <si>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</si>
  <si>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</si>
  <si>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</si>
  <si>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</si>
  <si>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</si>
  <si>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</si>
  <si>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</si>
  <si>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</si>
  <si>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</si>
  <si>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SpareBank 1 Østlandet VIT - consolidated figures</t>
  </si>
  <si>
    <t>2Q-2021</t>
  </si>
  <si>
    <t>Systemic risk buffer rate (%)</t>
  </si>
  <si>
    <t>CET1 requirement</t>
  </si>
  <si>
    <t>2Q-21</t>
  </si>
  <si>
    <t>SpareBank 1 Forvaltning AS - Konserntall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</si>
</sst>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 numFmtId="185" formatCode="#,##0_ ;\-#,##0\ "/>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
      <i/>
      <sz val="11"/>
      <name val="Calibri"/>
      <family val="2"/>
      <scheme val="minor"/>
    </font>
    <font>
      <i/>
      <sz val="10"/>
      <name val="Calibri"/>
      <family val="2"/>
      <scheme val="minor"/>
    </font>
  </fonts>
  <fills count="6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5">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8" borderId="0" applyNumberFormat="0" applyBorder="0" applyAlignment="0" applyProtection="0"/>
    <xf numFmtId="0" fontId="86" fillId="11" borderId="14" applyNumberFormat="0" applyAlignment="0" applyProtection="0"/>
    <xf numFmtId="0" fontId="88" fillId="12"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9" borderId="0" applyNumberFormat="0" applyBorder="0" applyAlignment="0" applyProtection="0"/>
    <xf numFmtId="0" fontId="96" fillId="10" borderId="0" applyNumberFormat="0" applyBorder="0" applyAlignment="0" applyProtection="0"/>
    <xf numFmtId="0" fontId="87" fillId="12" borderId="15" applyNumberFormat="0" applyAlignment="0" applyProtection="0"/>
    <xf numFmtId="0" fontId="90" fillId="13"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6" borderId="0" applyNumberFormat="0" applyBorder="0" applyAlignment="0" applyProtection="0"/>
    <xf numFmtId="0" fontId="72" fillId="20" borderId="0" applyNumberFormat="0" applyBorder="0" applyAlignment="0" applyProtection="0"/>
    <xf numFmtId="0" fontId="72" fillId="24" borderId="0" applyNumberFormat="0" applyBorder="0" applyAlignment="0" applyProtection="0"/>
    <xf numFmtId="0" fontId="72" fillId="28" borderId="0" applyNumberFormat="0" applyBorder="0" applyAlignment="0" applyProtection="0"/>
    <xf numFmtId="0" fontId="72" fillId="32" borderId="0" applyNumberFormat="0" applyBorder="0" applyAlignment="0" applyProtection="0"/>
    <xf numFmtId="0" fontId="72" fillId="36" borderId="0" applyNumberFormat="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101" fillId="12" borderId="14" applyNumberFormat="0" applyAlignment="0" applyProtection="0"/>
    <xf numFmtId="0" fontId="102" fillId="9"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8" borderId="0" applyNumberFormat="0" applyBorder="0" applyAlignment="0" applyProtection="0"/>
    <xf numFmtId="0" fontId="108" fillId="11" borderId="14" applyNumberFormat="0" applyAlignment="0" applyProtection="0"/>
    <xf numFmtId="0" fontId="109" fillId="0" borderId="16" applyNumberFormat="0" applyFill="0" applyAlignment="0" applyProtection="0"/>
    <xf numFmtId="0" fontId="110" fillId="13" borderId="17" applyNumberFormat="0" applyAlignment="0" applyProtection="0"/>
    <xf numFmtId="0" fontId="72" fillId="14" borderId="18" applyNumberFormat="0" applyFont="0" applyAlignment="0" applyProtection="0"/>
    <xf numFmtId="0" fontId="2" fillId="0" borderId="0"/>
    <xf numFmtId="0" fontId="2" fillId="0" borderId="0"/>
    <xf numFmtId="0" fontId="72" fillId="0" borderId="0"/>
    <xf numFmtId="0" fontId="2" fillId="0" borderId="0"/>
    <xf numFmtId="0" fontId="111" fillId="10"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20" fillId="44" borderId="20" applyNumberFormat="0" applyAlignment="0" applyProtection="0"/>
    <xf numFmtId="0" fontId="121" fillId="41" borderId="0" applyNumberFormat="0" applyBorder="0" applyAlignment="0" applyProtection="0"/>
    <xf numFmtId="0" fontId="123" fillId="53" borderId="20" applyNumberFormat="0" applyAlignment="0" applyProtection="0"/>
    <xf numFmtId="0" fontId="124" fillId="54"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4" borderId="21" applyNumberFormat="0" applyAlignment="0" applyProtection="0"/>
    <xf numFmtId="0" fontId="129" fillId="0" borderId="0" applyNumberFormat="0" applyFill="0" applyBorder="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0" fillId="44"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0" borderId="0" applyNumberFormat="0" applyBorder="0" applyAlignment="0" applyProtection="0"/>
    <xf numFmtId="0" fontId="19" fillId="59" borderId="26" applyNumberFormat="0" applyFont="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1" fillId="41" borderId="0" applyNumberFormat="0" applyBorder="0" applyAlignment="0" applyProtection="0"/>
    <xf numFmtId="0" fontId="133" fillId="53"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31" fillId="40" borderId="0" applyNumberFormat="0" applyBorder="0" applyAlignment="0" applyProtection="0"/>
    <xf numFmtId="0" fontId="133" fillId="53" borderId="27" applyNumberFormat="0" applyAlignment="0" applyProtection="0"/>
    <xf numFmtId="0" fontId="137" fillId="60" borderId="0" applyNumberFormat="0" applyBorder="0" applyAlignment="0" applyProtection="0"/>
    <xf numFmtId="0" fontId="19" fillId="0" borderId="0"/>
    <xf numFmtId="0" fontId="19" fillId="0" borderId="0"/>
    <xf numFmtId="0" fontId="19" fillId="0" borderId="0"/>
    <xf numFmtId="0" fontId="123" fillId="53"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4"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4" borderId="18" applyNumberFormat="0" applyFont="0" applyAlignment="0" applyProtection="0"/>
    <xf numFmtId="0" fontId="99"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46" fillId="39"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46" fillId="45"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2" borderId="0" applyNumberFormat="0" applyBorder="0" applyAlignment="0" applyProtection="0"/>
    <xf numFmtId="0" fontId="146" fillId="45" borderId="0" applyNumberFormat="0" applyBorder="0" applyAlignment="0" applyProtection="0"/>
    <xf numFmtId="0" fontId="146" fillId="48" borderId="0" applyNumberFormat="0" applyBorder="0" applyAlignment="0" applyProtection="0"/>
    <xf numFmtId="0" fontId="151" fillId="49" borderId="0" applyNumberFormat="0" applyBorder="0" applyAlignment="0" applyProtection="0"/>
    <xf numFmtId="0" fontId="151" fillId="46" borderId="0" applyNumberFormat="0" applyBorder="0" applyAlignment="0" applyProtection="0"/>
    <xf numFmtId="0" fontId="151" fillId="4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5"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8" borderId="0" applyNumberFormat="0" applyBorder="0" applyAlignment="0" applyProtection="0"/>
    <xf numFmtId="0" fontId="152" fillId="40" borderId="0" applyNumberFormat="0" applyBorder="0" applyAlignment="0" applyProtection="0"/>
    <xf numFmtId="0" fontId="153" fillId="54" borderId="21" applyNumberFormat="0" applyAlignment="0" applyProtection="0"/>
    <xf numFmtId="0" fontId="154" fillId="41" borderId="0" applyNumberFormat="0" applyBorder="0" applyAlignment="0" applyProtection="0"/>
    <xf numFmtId="0" fontId="19" fillId="61"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3" fontId="19" fillId="64"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59"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4" borderId="20" applyNumberForma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2" borderId="29" applyNumberFormat="0">
      <alignment horizontal="center"/>
    </xf>
    <xf numFmtId="43" fontId="116" fillId="0" borderId="0" applyFont="0" applyFill="0" applyBorder="0" applyAlignment="0" applyProtection="0"/>
    <xf numFmtId="0" fontId="145" fillId="62" borderId="30"/>
    <xf numFmtId="43" fontId="116" fillId="0" borderId="0" applyFont="0" applyFill="0" applyBorder="0" applyAlignment="0" applyProtection="0"/>
    <xf numFmtId="0" fontId="99"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23" fillId="53" borderId="20" applyNumberFormat="0" applyAlignment="0" applyProtection="0"/>
    <xf numFmtId="0" fontId="138" fillId="0" borderId="28" applyNumberFormat="0" applyFill="0" applyAlignment="0" applyProtection="0"/>
    <xf numFmtId="0" fontId="136" fillId="53" borderId="27" applyNumberFormat="0" applyAlignment="0" applyProtection="0"/>
    <xf numFmtId="0" fontId="120" fillId="44" borderId="20" applyNumberFormat="0" applyAlignment="0" applyProtection="0"/>
    <xf numFmtId="0" fontId="99" fillId="61" borderId="33">
      <alignment horizontal="left"/>
    </xf>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23"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45" fillId="62" borderId="30"/>
    <xf numFmtId="0" fontId="138" fillId="0" borderId="28" applyNumberFormat="0" applyFill="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20" fillId="44" borderId="20" applyNumberFormat="0" applyAlignment="0" applyProtection="0"/>
    <xf numFmtId="0" fontId="123" fillId="53" borderId="20" applyNumberFormat="0" applyAlignment="0" applyProtection="0"/>
    <xf numFmtId="0" fontId="123" fillId="53" borderId="20" applyNumberFormat="0" applyAlignment="0" applyProtection="0"/>
    <xf numFmtId="0" fontId="144" fillId="62" borderId="29" applyNumberFormat="0">
      <alignment horizontal="center"/>
    </xf>
    <xf numFmtId="0" fontId="136" fillId="53" borderId="27" applyNumberFormat="0" applyAlignment="0" applyProtection="0"/>
    <xf numFmtId="0" fontId="122" fillId="53" borderId="20" applyNumberFormat="0" applyAlignment="0" applyProtection="0"/>
    <xf numFmtId="0" fontId="133" fillId="53" borderId="27" applyNumberFormat="0" applyAlignment="0" applyProtection="0"/>
    <xf numFmtId="0" fontId="138" fillId="0" borderId="28" applyNumberFormat="0" applyFill="0" applyAlignment="0" applyProtection="0"/>
    <xf numFmtId="0" fontId="133" fillId="53" borderId="27" applyNumberFormat="0" applyAlignment="0" applyProtection="0"/>
    <xf numFmtId="0" fontId="132" fillId="44" borderId="20" applyNumberFormat="0" applyAlignment="0" applyProtection="0"/>
    <xf numFmtId="0" fontId="145" fillId="62" borderId="30"/>
    <xf numFmtId="0" fontId="144" fillId="62" borderId="29" applyNumberFormat="0">
      <alignment horizontal="center"/>
    </xf>
    <xf numFmtId="0" fontId="123" fillId="53"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38" fillId="0" borderId="28" applyNumberFormat="0" applyFill="0" applyAlignment="0" applyProtection="0"/>
    <xf numFmtId="0" fontId="133" fillId="53" borderId="27" applyNumberFormat="0" applyAlignment="0" applyProtection="0"/>
    <xf numFmtId="0" fontId="145" fillId="62" borderId="30"/>
    <xf numFmtId="0" fontId="138" fillId="0" borderId="28" applyNumberFormat="0" applyFill="0" applyAlignment="0" applyProtection="0"/>
    <xf numFmtId="0" fontId="123" fillId="53" borderId="20" applyNumberFormat="0" applyAlignment="0" applyProtection="0"/>
    <xf numFmtId="0" fontId="120" fillId="44" borderId="20" applyNumberFormat="0" applyAlignment="0" applyProtection="0"/>
    <xf numFmtId="0" fontId="122" fillId="53" borderId="20" applyNumberFormat="0" applyAlignment="0" applyProtection="0"/>
    <xf numFmtId="0" fontId="99" fillId="61" borderId="7">
      <alignment horizontal="left"/>
    </xf>
    <xf numFmtId="0" fontId="133" fillId="53" borderId="27" applyNumberFormat="0" applyAlignment="0" applyProtection="0"/>
    <xf numFmtId="0" fontId="138" fillId="0" borderId="28" applyNumberFormat="0" applyFill="0" applyAlignment="0" applyProtection="0"/>
    <xf numFmtId="0" fontId="144" fillId="62" borderId="29" applyNumberFormat="0">
      <alignment horizontal="center"/>
    </xf>
    <xf numFmtId="0" fontId="123" fillId="53" borderId="20" applyNumberForma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99" fillId="61" borderId="7">
      <alignment horizontal="left"/>
    </xf>
    <xf numFmtId="0" fontId="19" fillId="59" borderId="26" applyNumberFormat="0" applyFon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99" fillId="61" borderId="7">
      <alignment horizontal="left"/>
    </xf>
    <xf numFmtId="0" fontId="144" fillId="62" borderId="29" applyNumberFormat="0">
      <alignment horizontal="center"/>
    </xf>
    <xf numFmtId="0" fontId="19" fillId="59" borderId="26" applyNumberFormat="0" applyFont="0" applyAlignment="0" applyProtection="0"/>
    <xf numFmtId="0" fontId="138" fillId="0" borderId="28" applyNumberFormat="0" applyFill="0" applyAlignment="0" applyProtection="0"/>
    <xf numFmtId="0" fontId="123" fillId="53" borderId="20" applyNumberFormat="0" applyAlignment="0" applyProtection="0"/>
    <xf numFmtId="0" fontId="19" fillId="59" borderId="26" applyNumberFormat="0" applyFont="0" applyAlignment="0" applyProtection="0"/>
    <xf numFmtId="0" fontId="132" fillId="44"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45" fillId="62" borderId="30"/>
    <xf numFmtId="0" fontId="132" fillId="44" borderId="20" applyNumberFormat="0" applyAlignment="0" applyProtection="0"/>
    <xf numFmtId="0" fontId="122" fillId="53"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4" borderId="20" applyNumberFormat="0" applyAlignment="0" applyProtection="0"/>
    <xf numFmtId="0" fontId="120"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22" fillId="53" borderId="20" applyNumberFormat="0" applyAlignment="0" applyProtection="0"/>
    <xf numFmtId="0" fontId="123" fillId="53" borderId="20" applyNumberFormat="0" applyAlignment="0" applyProtection="0"/>
    <xf numFmtId="0" fontId="136" fillId="53" borderId="27" applyNumberFormat="0" applyAlignment="0" applyProtection="0"/>
    <xf numFmtId="43" fontId="116" fillId="0" borderId="0" applyFont="0" applyFill="0" applyBorder="0" applyAlignment="0" applyProtection="0"/>
    <xf numFmtId="0" fontId="132"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0" fillId="44"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475">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1" applyBorder="1"/>
    <xf numFmtId="49" fontId="19" fillId="0" borderId="0" xfId="11" applyNumberFormat="1" applyBorder="1"/>
    <xf numFmtId="0" fontId="37" fillId="0" borderId="6" xfId="11" applyFont="1" applyBorder="1" applyAlignment="1">
      <alignment vertical="center"/>
    </xf>
    <xf numFmtId="49" fontId="38" fillId="0" borderId="6" xfId="11" applyNumberFormat="1" applyFont="1" applyBorder="1" applyAlignment="1">
      <alignment vertical="center"/>
    </xf>
    <xf numFmtId="0" fontId="19" fillId="0" borderId="6" xfId="11" applyBorder="1"/>
    <xf numFmtId="0" fontId="19" fillId="0" borderId="0" xfId="11"/>
    <xf numFmtId="0" fontId="39" fillId="0" borderId="0" xfId="12" applyFont="1" applyFill="1"/>
    <xf numFmtId="0" fontId="40" fillId="0" borderId="0" xfId="12" applyFont="1"/>
    <xf numFmtId="0" fontId="41" fillId="0" borderId="0" xfId="12" applyFont="1"/>
    <xf numFmtId="0" fontId="42" fillId="0" borderId="0" xfId="12" applyFont="1"/>
    <xf numFmtId="0" fontId="43" fillId="0" borderId="0" xfId="11" applyFont="1" applyAlignment="1">
      <alignment vertical="center"/>
    </xf>
    <xf numFmtId="0" fontId="44" fillId="0" borderId="0" xfId="12" applyFont="1" applyFill="1" applyAlignment="1"/>
    <xf numFmtId="0" fontId="43" fillId="0" borderId="0" xfId="11" applyFont="1" applyFill="1" applyAlignment="1">
      <alignment vertical="center"/>
    </xf>
    <xf numFmtId="49" fontId="43" fillId="0" borderId="0" xfId="11" applyNumberFormat="1" applyFont="1" applyFill="1" applyAlignment="1">
      <alignment horizontal="left" vertical="center"/>
    </xf>
    <xf numFmtId="49" fontId="43" fillId="0" borderId="0" xfId="11" quotePrefix="1" applyNumberFormat="1" applyFont="1" applyFill="1" applyAlignment="1">
      <alignment horizontal="left" vertical="center"/>
    </xf>
    <xf numFmtId="49" fontId="43" fillId="0" borderId="0" xfId="11" applyNumberFormat="1" applyFont="1" applyAlignment="1">
      <alignment horizontal="left" vertical="center"/>
    </xf>
    <xf numFmtId="0" fontId="43" fillId="0" borderId="0" xfId="11" quotePrefix="1" applyFont="1" applyAlignment="1">
      <alignment vertical="center"/>
    </xf>
    <xf numFmtId="0" fontId="45" fillId="0" borderId="0" xfId="12" applyFont="1"/>
    <xf numFmtId="0" fontId="46" fillId="0" borderId="6" xfId="11" applyFont="1" applyBorder="1"/>
    <xf numFmtId="0" fontId="46" fillId="0" borderId="0" xfId="11" applyFont="1"/>
    <xf numFmtId="49" fontId="43" fillId="0" borderId="0" xfId="11" applyNumberFormat="1" applyFont="1" applyFill="1" applyAlignment="1">
      <alignment vertical="center"/>
    </xf>
    <xf numFmtId="49" fontId="43" fillId="0" borderId="0" xfId="11"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0097" applyFont="1" applyAlignment="1" applyProtection="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4" quotePrefix="1" applyNumberFormat="1" applyFont="1" applyFill="1" applyAlignment="1" applyProtection="1">
      <alignment wrapText="1"/>
    </xf>
    <xf numFmtId="1" fontId="14" fillId="0" borderId="0" xfId="3" applyNumberFormat="1" applyFont="1" applyFill="1"/>
    <xf numFmtId="3" fontId="54" fillId="0" borderId="0" xfId="13" applyNumberFormat="1" applyFont="1" applyFill="1" applyAlignment="1"/>
    <xf numFmtId="3" fontId="54" fillId="0" borderId="0" xfId="13"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5" applyNumberFormat="1" applyFont="1" applyFill="1" applyAlignment="1"/>
    <xf numFmtId="3" fontId="36" fillId="2" borderId="0" xfId="0" applyNumberFormat="1" applyFont="1" applyFill="1" applyAlignment="1">
      <alignment horizontal="right" vertical="center" wrapText="1"/>
    </xf>
    <xf numFmtId="3" fontId="36" fillId="6" borderId="3" xfId="15"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5"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5"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5"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5"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0097" applyFont="1" applyAlignment="1" applyProtection="1">
      <alignment vertical="center"/>
    </xf>
    <xf numFmtId="0" fontId="59" fillId="0" borderId="0" xfId="3" applyFont="1" applyFill="1" applyBorder="1" applyAlignment="1">
      <alignment horizontal="left" vertical="center"/>
    </xf>
    <xf numFmtId="4" fontId="60" fillId="6" borderId="0" xfId="14" quotePrefix="1" applyNumberFormat="1" applyFont="1" applyFill="1" applyAlignment="1" applyProtection="1"/>
    <xf numFmtId="4" fontId="61" fillId="6" borderId="0" xfId="14" quotePrefix="1" applyNumberFormat="1" applyFont="1" applyFill="1" applyAlignment="1" applyProtection="1"/>
    <xf numFmtId="4" fontId="60" fillId="6" borderId="0" xfId="14"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0097" applyFont="1" applyFill="1" applyBorder="1" applyAlignment="1" applyProtection="1"/>
    <xf numFmtId="0" fontId="32" fillId="0" borderId="0" xfId="10097" applyFont="1" applyFill="1" applyAlignment="1" applyProtection="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1" applyNumberFormat="1" applyFont="1" applyFill="1" applyAlignment="1">
      <alignment vertical="center"/>
    </xf>
    <xf numFmtId="0" fontId="79" fillId="0" borderId="0" xfId="11"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0097" applyNumberFormat="1" applyFont="1" applyAlignment="1" applyProtection="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2"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76" fillId="0" borderId="0" xfId="11324" applyFont="1" applyFill="1" applyAlignment="1">
      <alignment vertical="center" wrapText="1"/>
    </xf>
    <xf numFmtId="0" fontId="76" fillId="2" borderId="0" xfId="11324" applyFont="1" applyFill="1"/>
    <xf numFmtId="0" fontId="77" fillId="0" borderId="10" xfId="11324" applyFont="1" applyFill="1" applyBorder="1" applyAlignment="1">
      <alignment vertical="center" wrapText="1"/>
    </xf>
    <xf numFmtId="0" fontId="77" fillId="0" borderId="10" xfId="11324" applyFont="1" applyFill="1" applyBorder="1" applyAlignment="1">
      <alignment horizontal="center" vertical="center" wrapText="1"/>
    </xf>
    <xf numFmtId="0" fontId="76" fillId="2" borderId="10" xfId="11324" applyFont="1" applyFill="1" applyBorder="1" applyAlignment="1">
      <alignment vertical="center" wrapText="1"/>
    </xf>
    <xf numFmtId="0" fontId="1" fillId="0" borderId="10" xfId="11324" applyFill="1" applyBorder="1"/>
    <xf numFmtId="0" fontId="1" fillId="2" borderId="0" xfId="11324" applyFill="1"/>
    <xf numFmtId="0" fontId="76" fillId="0" borderId="10" xfId="11324" applyFont="1" applyFill="1" applyBorder="1" applyAlignment="1">
      <alignment vertical="center" wrapText="1"/>
    </xf>
    <xf numFmtId="0" fontId="162" fillId="2" borderId="0" xfId="11324" applyFont="1" applyFill="1"/>
    <xf numFmtId="0" fontId="163" fillId="2" borderId="0" xfId="11324" applyFont="1" applyFill="1" applyAlignment="1">
      <alignment vertical="center" wrapText="1"/>
    </xf>
    <xf numFmtId="0" fontId="76" fillId="2" borderId="0" xfId="11324" applyFont="1" applyFill="1" applyAlignment="1">
      <alignment vertical="center" wrapText="1"/>
    </xf>
    <xf numFmtId="0" fontId="76" fillId="0" borderId="0" xfId="11324"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9" fontId="0" fillId="0" borderId="0" xfId="0" applyNumberFormat="1" applyFont="1" applyFill="1" applyBorder="1" applyAlignment="1">
      <alignment horizontal="left"/>
    </xf>
    <xf numFmtId="0" fontId="34" fillId="0" borderId="0" xfId="0" applyFont="1" applyFill="1" applyAlignment="1">
      <alignment horizontal="right" vertical="center"/>
    </xf>
    <xf numFmtId="0" fontId="34" fillId="0" borderId="3" xfId="0" applyFont="1" applyFill="1" applyBorder="1" applyAlignment="1">
      <alignment horizontal="right" vertical="center"/>
    </xf>
    <xf numFmtId="0" fontId="52" fillId="2" borderId="33" xfId="0" applyFont="1" applyFill="1" applyBorder="1" applyAlignment="1">
      <alignment vertical="center"/>
    </xf>
    <xf numFmtId="3" fontId="34" fillId="2" borderId="33" xfId="1" applyNumberFormat="1" applyFont="1" applyFill="1" applyBorder="1" applyAlignment="1">
      <alignment horizontal="right" vertical="center"/>
    </xf>
    <xf numFmtId="0" fontId="52" fillId="2" borderId="0" xfId="0" applyFont="1" applyFill="1" applyAlignment="1">
      <alignment vertical="center"/>
    </xf>
    <xf numFmtId="3" fontId="34" fillId="2" borderId="0" xfId="1" applyNumberFormat="1" applyFont="1" applyFill="1" applyAlignment="1">
      <alignment horizontal="right" vertical="center"/>
    </xf>
    <xf numFmtId="3" fontId="33" fillId="2" borderId="0" xfId="1" applyNumberFormat="1" applyFont="1" applyFill="1" applyAlignment="1">
      <alignment horizontal="right" vertical="center"/>
    </xf>
    <xf numFmtId="0" fontId="36" fillId="2" borderId="0" xfId="0" applyFont="1" applyFill="1" applyAlignment="1">
      <alignment vertical="center"/>
    </xf>
    <xf numFmtId="0" fontId="36" fillId="2" borderId="0" xfId="3591" applyFont="1" applyFill="1"/>
    <xf numFmtId="0" fontId="36" fillId="2" borderId="3" xfId="0" applyFont="1" applyFill="1" applyBorder="1" applyAlignment="1">
      <alignment vertical="center"/>
    </xf>
    <xf numFmtId="3" fontId="52" fillId="2" borderId="0" xfId="1" applyNumberFormat="1" applyFont="1" applyFill="1" applyBorder="1" applyAlignment="1">
      <alignment horizontal="right" vertical="center"/>
    </xf>
    <xf numFmtId="165" fontId="36" fillId="2" borderId="0" xfId="0" applyNumberFormat="1" applyFont="1" applyFill="1" applyAlignment="1">
      <alignment vertical="center"/>
    </xf>
    <xf numFmtId="3" fontId="36" fillId="2" borderId="3" xfId="1" applyNumberFormat="1" applyFont="1" applyFill="1" applyBorder="1" applyAlignment="1">
      <alignment horizontal="right" vertical="center"/>
    </xf>
    <xf numFmtId="3" fontId="52" fillId="2" borderId="0" xfId="1" applyNumberFormat="1" applyFont="1" applyFill="1" applyAlignment="1">
      <alignment horizontal="right" vertical="center"/>
    </xf>
    <xf numFmtId="0" fontId="52" fillId="2" borderId="33" xfId="0" applyFont="1" applyFill="1" applyBorder="1" applyAlignment="1">
      <alignment vertical="center" wrapText="1"/>
    </xf>
    <xf numFmtId="0" fontId="33" fillId="2" borderId="0" xfId="0" applyFont="1" applyFill="1" applyAlignment="1">
      <alignment vertical="center"/>
    </xf>
    <xf numFmtId="0" fontId="36" fillId="2" borderId="0" xfId="0" applyFont="1" applyFill="1"/>
    <xf numFmtId="166" fontId="52" fillId="2" borderId="0" xfId="0" applyNumberFormat="1" applyFont="1" applyFill="1" applyBorder="1" applyAlignment="1"/>
    <xf numFmtId="166" fontId="52" fillId="2" borderId="0" xfId="58" applyNumberFormat="1" applyFont="1" applyFill="1" applyBorder="1" applyAlignment="1"/>
    <xf numFmtId="0" fontId="36" fillId="2" borderId="0" xfId="0" applyFont="1" applyFill="1" applyAlignment="1"/>
    <xf numFmtId="3" fontId="34" fillId="5" borderId="33" xfId="1" applyNumberFormat="1" applyFont="1" applyFill="1" applyBorder="1" applyAlignment="1">
      <alignment horizontal="right" vertical="center"/>
    </xf>
    <xf numFmtId="3" fontId="34" fillId="5" borderId="0" xfId="0" applyNumberFormat="1" applyFont="1" applyFill="1" applyAlignment="1">
      <alignment horizontal="right" vertical="center"/>
    </xf>
    <xf numFmtId="3" fontId="33" fillId="5" borderId="0" xfId="1" applyNumberFormat="1" applyFont="1" applyFill="1" applyAlignment="1">
      <alignment horizontal="right" vertical="center"/>
    </xf>
    <xf numFmtId="3" fontId="52" fillId="5" borderId="0" xfId="1" applyNumberFormat="1" applyFont="1" applyFill="1" applyAlignment="1">
      <alignment horizontal="right" vertical="center"/>
    </xf>
    <xf numFmtId="3" fontId="33" fillId="5" borderId="0" xfId="0" applyNumberFormat="1" applyFont="1" applyFill="1" applyAlignment="1">
      <alignment horizontal="right" vertical="center"/>
    </xf>
    <xf numFmtId="3" fontId="36" fillId="5" borderId="0" xfId="1" applyNumberFormat="1" applyFont="1" applyFill="1" applyBorder="1" applyAlignment="1">
      <alignment horizontal="right" vertical="center"/>
    </xf>
    <xf numFmtId="3" fontId="36" fillId="5" borderId="3" xfId="1" applyNumberFormat="1" applyFont="1" applyFill="1" applyBorder="1" applyAlignment="1">
      <alignment horizontal="right" vertical="center"/>
    </xf>
    <xf numFmtId="3" fontId="36" fillId="5" borderId="0" xfId="1" applyNumberFormat="1" applyFont="1" applyFill="1" applyAlignment="1">
      <alignment horizontal="right" vertical="center"/>
    </xf>
    <xf numFmtId="3" fontId="33" fillId="5" borderId="3" xfId="0" applyNumberFormat="1" applyFont="1" applyFill="1" applyBorder="1" applyAlignment="1">
      <alignment horizontal="right" vertical="center"/>
    </xf>
    <xf numFmtId="3" fontId="52" fillId="5" borderId="33" xfId="1" applyNumberFormat="1" applyFont="1" applyFill="1" applyBorder="1" applyAlignment="1">
      <alignment horizontal="right" vertical="center"/>
    </xf>
    <xf numFmtId="0" fontId="33" fillId="5" borderId="0" xfId="0" applyFont="1" applyFill="1" applyAlignment="1">
      <alignment vertical="center"/>
    </xf>
    <xf numFmtId="0" fontId="34" fillId="5" borderId="0" xfId="0" applyFont="1" applyFill="1" applyAlignment="1">
      <alignment vertical="center"/>
    </xf>
    <xf numFmtId="166" fontId="52" fillId="5" borderId="0" xfId="0" applyNumberFormat="1" applyFont="1" applyFill="1" applyBorder="1" applyAlignment="1"/>
    <xf numFmtId="166" fontId="52" fillId="5" borderId="0" xfId="58" applyNumberFormat="1" applyFont="1" applyFill="1" applyBorder="1" applyAlignment="1"/>
    <xf numFmtId="0" fontId="78" fillId="2" borderId="0" xfId="0" applyFont="1" applyFill="1" applyAlignment="1">
      <alignment vertical="center"/>
    </xf>
    <xf numFmtId="185" fontId="92" fillId="2" borderId="33" xfId="1" applyNumberFormat="1" applyFont="1" applyFill="1" applyBorder="1" applyAlignment="1">
      <alignment horizontal="right" vertical="center"/>
    </xf>
    <xf numFmtId="185" fontId="92" fillId="2" borderId="3" xfId="1" applyNumberFormat="1" applyFont="1" applyFill="1" applyBorder="1" applyAlignment="1">
      <alignment horizontal="right" vertical="center"/>
    </xf>
    <xf numFmtId="0" fontId="34" fillId="0" borderId="3" xfId="0" applyFont="1" applyFill="1" applyBorder="1" applyAlignment="1">
      <alignment horizontal="left" vertical="center"/>
    </xf>
    <xf numFmtId="185" fontId="92" fillId="2" borderId="33" xfId="1" applyNumberFormat="1" applyFont="1" applyFill="1" applyBorder="1" applyAlignment="1">
      <alignment horizontal="left" vertical="center"/>
    </xf>
    <xf numFmtId="185" fontId="92" fillId="2" borderId="3" xfId="1" applyNumberFormat="1" applyFont="1" applyFill="1" applyBorder="1" applyAlignment="1">
      <alignment horizontal="left" vertical="center"/>
    </xf>
    <xf numFmtId="0" fontId="78" fillId="5" borderId="0" xfId="0" applyFont="1" applyFill="1" applyAlignment="1">
      <alignment vertical="center"/>
    </xf>
    <xf numFmtId="185" fontId="92" fillId="5" borderId="33" xfId="1" applyNumberFormat="1" applyFont="1" applyFill="1" applyBorder="1" applyAlignment="1">
      <alignment horizontal="right" vertical="center"/>
    </xf>
    <xf numFmtId="185" fontId="92" fillId="5" borderId="3" xfId="1" applyNumberFormat="1" applyFont="1" applyFill="1" applyBorder="1" applyAlignment="1">
      <alignment horizontal="right" vertical="center"/>
    </xf>
    <xf numFmtId="185" fontId="0" fillId="0" borderId="0" xfId="0" applyNumberFormat="1"/>
    <xf numFmtId="0" fontId="32" fillId="0" borderId="0" xfId="10097" quotePrefix="1" applyFont="1" applyFill="1" applyAlignment="1" applyProtection="1">
      <alignment horizontal="left" vertical="center"/>
    </xf>
    <xf numFmtId="0" fontId="49" fillId="2" borderId="0" xfId="0" applyFont="1" applyFill="1" applyAlignment="1">
      <alignment horizontal="left" vertical="center"/>
    </xf>
    <xf numFmtId="0" fontId="50" fillId="5" borderId="0" xfId="0" applyFont="1" applyFill="1" applyBorder="1" applyAlignment="1">
      <alignment horizontal="right" vertical="center"/>
    </xf>
    <xf numFmtId="0" fontId="50" fillId="2" borderId="0" xfId="0" applyFont="1" applyFill="1" applyBorder="1" applyAlignment="1">
      <alignment horizontal="right" vertical="center"/>
    </xf>
    <xf numFmtId="0" fontId="50" fillId="5" borderId="3" xfId="0" applyFont="1" applyFill="1" applyBorder="1" applyAlignment="1">
      <alignment horizontal="right" vertical="center"/>
    </xf>
    <xf numFmtId="0" fontId="50" fillId="2" borderId="3" xfId="0" applyFont="1" applyFill="1" applyBorder="1" applyAlignment="1">
      <alignment horizontal="right" vertical="center"/>
    </xf>
    <xf numFmtId="0" fontId="164" fillId="2" borderId="0" xfId="0" applyFont="1" applyFill="1" applyAlignment="1">
      <alignment horizontal="left" vertical="center"/>
    </xf>
    <xf numFmtId="0" fontId="36" fillId="0" borderId="0" xfId="0" applyFont="1"/>
    <xf numFmtId="185" fontId="36" fillId="2" borderId="0" xfId="1" applyNumberFormat="1" applyFont="1" applyFill="1" applyAlignment="1">
      <alignment horizontal="left" vertical="center"/>
    </xf>
    <xf numFmtId="185" fontId="36" fillId="5" borderId="0" xfId="1" applyNumberFormat="1" applyFont="1" applyFill="1" applyAlignment="1">
      <alignment horizontal="right" vertical="center"/>
    </xf>
    <xf numFmtId="185" fontId="36" fillId="2" borderId="0" xfId="1" applyNumberFormat="1" applyFont="1" applyFill="1" applyAlignment="1">
      <alignment horizontal="right" vertical="center"/>
    </xf>
    <xf numFmtId="185" fontId="36" fillId="2" borderId="3" xfId="1" applyNumberFormat="1" applyFont="1" applyFill="1" applyBorder="1" applyAlignment="1">
      <alignment horizontal="left" vertical="center"/>
    </xf>
    <xf numFmtId="185" fontId="36" fillId="5" borderId="3" xfId="1" applyNumberFormat="1" applyFont="1" applyFill="1" applyBorder="1" applyAlignment="1">
      <alignment horizontal="right" vertical="center"/>
    </xf>
    <xf numFmtId="185" fontId="36" fillId="2" borderId="3" xfId="1" applyNumberFormat="1" applyFont="1" applyFill="1" applyBorder="1" applyAlignment="1">
      <alignment horizontal="right" vertical="center"/>
    </xf>
    <xf numFmtId="185" fontId="165" fillId="2" borderId="0" xfId="1" applyNumberFormat="1" applyFont="1" applyFill="1" applyAlignment="1">
      <alignment horizontal="left" vertical="center"/>
    </xf>
    <xf numFmtId="185" fontId="36" fillId="0" borderId="0" xfId="1" applyNumberFormat="1" applyFont="1" applyFill="1" applyAlignment="1">
      <alignment horizontal="right" vertical="center"/>
    </xf>
    <xf numFmtId="0" fontId="36" fillId="2" borderId="0" xfId="0" applyFont="1" applyFill="1" applyBorder="1" applyAlignment="1">
      <alignment vertical="center"/>
    </xf>
    <xf numFmtId="0" fontId="52" fillId="2" borderId="0" xfId="0" applyFont="1" applyFill="1" applyBorder="1" applyAlignment="1">
      <alignment vertical="center"/>
    </xf>
    <xf numFmtId="3" fontId="34" fillId="5" borderId="0" xfId="1" applyNumberFormat="1" applyFont="1" applyFill="1" applyBorder="1" applyAlignment="1">
      <alignment horizontal="right" vertical="center"/>
    </xf>
    <xf numFmtId="166" fontId="34" fillId="5" borderId="0" xfId="2" applyNumberFormat="1" applyFont="1" applyFill="1" applyAlignment="1">
      <alignment horizontal="right" vertical="center"/>
    </xf>
    <xf numFmtId="166" fontId="34" fillId="2" borderId="0" xfId="2" applyNumberFormat="1" applyFont="1" applyFill="1" applyAlignment="1">
      <alignment horizontal="right" vertical="center"/>
    </xf>
    <xf numFmtId="0" fontId="47" fillId="0" borderId="0" xfId="12" applyFont="1" applyAlignment="1">
      <alignment horizontal="left"/>
    </xf>
    <xf numFmtId="0" fontId="76" fillId="0" borderId="10" xfId="11324" applyFont="1" applyFill="1" applyBorder="1" applyAlignment="1">
      <alignment vertical="center" wrapText="1"/>
    </xf>
    <xf numFmtId="0" fontId="76" fillId="0" borderId="34" xfId="11324" applyFont="1" applyFill="1" applyBorder="1" applyAlignment="1">
      <alignment horizontal="center" vertical="center" wrapText="1"/>
    </xf>
    <xf numFmtId="0" fontId="76" fillId="0" borderId="35" xfId="11324" applyFont="1" applyFill="1" applyBorder="1" applyAlignment="1">
      <alignment horizontal="center" vertical="center" wrapText="1"/>
    </xf>
  </cellXfs>
  <cellStyles count="11325">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'5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2Q-21</c:v>
                </c:pt>
                <c:pt idx="1">
                  <c:v>1Q-21</c:v>
                </c:pt>
                <c:pt idx="2">
                  <c:v>4Q-20</c:v>
                </c:pt>
                <c:pt idx="3">
                  <c:v>3Q-20</c:v>
                </c:pt>
                <c:pt idx="4">
                  <c:v>2Q-20</c:v>
                </c:pt>
              </c:strCache>
            </c:strRef>
          </c:cat>
          <c:val>
            <c:numRef>
              <c:f>'5 Income'!$D$5:$H$5</c:f>
              <c:numCache>
                <c:formatCode>0</c:formatCode>
                <c:ptCount val="5"/>
                <c:pt idx="0">
                  <c:v>541.89793853999947</c:v>
                </c:pt>
                <c:pt idx="1">
                  <c:v>534.88565628000003</c:v>
                </c:pt>
                <c:pt idx="2">
                  <c:v>549.13812258000019</c:v>
                </c:pt>
                <c:pt idx="3">
                  <c:v>535.78626426999972</c:v>
                </c:pt>
                <c:pt idx="4">
                  <c:v>498.0970762</c:v>
                </c:pt>
              </c:numCache>
            </c:numRef>
          </c:val>
          <c:extLst>
            <c:ext xmlns:c16="http://schemas.microsoft.com/office/drawing/2014/chart" uri="{C3380CC4-5D6E-409C-BE32-E72D297353CC}">
              <c16:uniqueId val="{00000002-2282-400A-B5FB-03AD43FA3D74}"/>
            </c:ext>
          </c:extLst>
        </c:ser>
        <c:ser>
          <c:idx val="1"/>
          <c:order val="1"/>
          <c:tx>
            <c:strRef>
              <c:f>'5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2Q-21</c:v>
                </c:pt>
                <c:pt idx="1">
                  <c:v>1Q-21</c:v>
                </c:pt>
                <c:pt idx="2">
                  <c:v>4Q-20</c:v>
                </c:pt>
                <c:pt idx="3">
                  <c:v>3Q-20</c:v>
                </c:pt>
                <c:pt idx="4">
                  <c:v>2Q-20</c:v>
                </c:pt>
              </c:strCache>
            </c:strRef>
          </c:cat>
          <c:val>
            <c:numRef>
              <c:f>'5 Income'!$D$6:$H$6</c:f>
              <c:numCache>
                <c:formatCode>0</c:formatCode>
                <c:ptCount val="5"/>
                <c:pt idx="0">
                  <c:v>113.28816130000001</c:v>
                </c:pt>
                <c:pt idx="1">
                  <c:v>107.95459314999997</c:v>
                </c:pt>
                <c:pt idx="2">
                  <c:v>131.01541984000002</c:v>
                </c:pt>
                <c:pt idx="3">
                  <c:v>116.03408038000002</c:v>
                </c:pt>
                <c:pt idx="4">
                  <c:v>41.550429529999995</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'5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'5 Income'!$D$4:$H$4</c:f>
              <c:strCache>
                <c:ptCount val="5"/>
                <c:pt idx="0">
                  <c:v>2Q-21</c:v>
                </c:pt>
                <c:pt idx="1">
                  <c:v>1Q-21</c:v>
                </c:pt>
                <c:pt idx="2">
                  <c:v>4Q-20</c:v>
                </c:pt>
                <c:pt idx="3">
                  <c:v>3Q-20</c:v>
                </c:pt>
                <c:pt idx="4">
                  <c:v>2Q-20</c:v>
                </c:pt>
              </c:strCache>
            </c:strRef>
          </c:cat>
          <c:val>
            <c:numRef>
              <c:f>'5 Income'!$D$7:$H$7</c:f>
              <c:numCache>
                <c:formatCode>0</c:formatCode>
                <c:ptCount val="5"/>
                <c:pt idx="0">
                  <c:v>655.18609983999954</c:v>
                </c:pt>
                <c:pt idx="1">
                  <c:v>642.84024942999997</c:v>
                </c:pt>
                <c:pt idx="2">
                  <c:v>680.15354242000024</c:v>
                </c:pt>
                <c:pt idx="3">
                  <c:v>651.8203446499997</c:v>
                </c:pt>
                <c:pt idx="4">
                  <c:v>673.45152168000004</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'5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2Q-21</c:v>
                </c:pt>
                <c:pt idx="1">
                  <c:v>1Q-21</c:v>
                </c:pt>
                <c:pt idx="2">
                  <c:v>4Q-20</c:v>
                </c:pt>
                <c:pt idx="3">
                  <c:v>3Q-20</c:v>
                </c:pt>
                <c:pt idx="4">
                  <c:v>2Q-20</c:v>
                </c:pt>
              </c:strCache>
            </c:strRef>
          </c:cat>
          <c:val>
            <c:numRef>
              <c:f>'5 Income'!$D$9:$H$9</c:f>
              <c:numCache>
                <c:formatCode>0.00%</c:formatCode>
                <c:ptCount val="5"/>
                <c:pt idx="0">
                  <c:v>1.38E-2</c:v>
                </c:pt>
                <c:pt idx="1">
                  <c:v>1.44E-2</c:v>
                </c:pt>
                <c:pt idx="2">
                  <c:v>1.4800000000000001E-2</c:v>
                </c:pt>
                <c:pt idx="3">
                  <c:v>1.46E-2</c:v>
                </c:pt>
                <c:pt idx="4">
                  <c:v>1.44E-2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2500000000000002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'5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Income'!$D$46:$H$46</c:f>
              <c:numCache>
                <c:formatCode>0</c:formatCode>
                <c:ptCount val="5"/>
                <c:pt idx="0">
                  <c:v>113.28816130000001</c:v>
                </c:pt>
                <c:pt idx="1">
                  <c:v>107.95459314999997</c:v>
                </c:pt>
                <c:pt idx="2">
                  <c:v>131.01541984000002</c:v>
                </c:pt>
                <c:pt idx="3">
                  <c:v>116.03408038000002</c:v>
                </c:pt>
                <c:pt idx="4">
                  <c:v>41.550429529999995</c:v>
                </c:pt>
              </c:numCache>
            </c:numRef>
          </c:val>
          <c:extLst>
            <c:ext xmlns:c16="http://schemas.microsoft.com/office/drawing/2014/chart" uri="{C3380CC4-5D6E-409C-BE32-E72D297353CC}">
              <c16:uniqueId val="{00000000-8D10-4A41-B0FB-4CA233B614A1}"/>
            </c:ext>
          </c:extLst>
        </c:ser>
        <c:ser>
          <c:idx val="1"/>
          <c:order val="1"/>
          <c:tx>
            <c:strRef>
              <c:f>'5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Income'!$D$47:$H$47</c:f>
              <c:numCache>
                <c:formatCode>0</c:formatCode>
                <c:ptCount val="5"/>
                <c:pt idx="0">
                  <c:v>11.051273999999999</c:v>
                </c:pt>
                <c:pt idx="1">
                  <c:v>15.25033047</c:v>
                </c:pt>
                <c:pt idx="2">
                  <c:v>13.687484</c:v>
                </c:pt>
                <c:pt idx="3">
                  <c:v>14.295226000000001</c:v>
                </c:pt>
                <c:pt idx="4">
                  <c:v>14.097383799999999</c:v>
                </c:pt>
              </c:numCache>
            </c:numRef>
          </c:val>
          <c:extLst>
            <c:ext xmlns:c16="http://schemas.microsoft.com/office/drawing/2014/chart" uri="{C3380CC4-5D6E-409C-BE32-E72D297353CC}">
              <c16:uniqueId val="{00000001-8D10-4A41-B0FB-4CA233B614A1}"/>
            </c:ext>
          </c:extLst>
        </c:ser>
        <c:ser>
          <c:idx val="2"/>
          <c:order val="2"/>
          <c:tx>
            <c:strRef>
              <c:f>'5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Income'!$D$48:$H$48</c:f>
              <c:numCache>
                <c:formatCode>0</c:formatCode>
                <c:ptCount val="5"/>
                <c:pt idx="0">
                  <c:v>32.38791719000001</c:v>
                </c:pt>
                <c:pt idx="1">
                  <c:v>23.942271430000016</c:v>
                </c:pt>
                <c:pt idx="2">
                  <c:v>38.872279470000009</c:v>
                </c:pt>
                <c:pt idx="3">
                  <c:v>27.183375469999991</c:v>
                </c:pt>
                <c:pt idx="4">
                  <c:v>23.26165228</c:v>
                </c:pt>
              </c:numCache>
            </c:numRef>
          </c:val>
          <c:extLst>
            <c:ext xmlns:c16="http://schemas.microsoft.com/office/drawing/2014/chart" uri="{C3380CC4-5D6E-409C-BE32-E72D297353CC}">
              <c16:uniqueId val="{00000002-8D10-4A41-B0FB-4CA233B614A1}"/>
            </c:ext>
          </c:extLst>
        </c:ser>
        <c:ser>
          <c:idx val="3"/>
          <c:order val="3"/>
          <c:tx>
            <c:strRef>
              <c:f>'5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Income'!$D$49:$H$49</c:f>
              <c:numCache>
                <c:formatCode>0</c:formatCode>
                <c:ptCount val="5"/>
                <c:pt idx="0">
                  <c:v>64.605286939999999</c:v>
                </c:pt>
                <c:pt idx="1">
                  <c:v>65.463808380000017</c:v>
                </c:pt>
                <c:pt idx="2">
                  <c:v>64.050199190000015</c:v>
                </c:pt>
                <c:pt idx="3">
                  <c:v>57.627777260000023</c:v>
                </c:pt>
                <c:pt idx="4">
                  <c:v>55.386316669999992</c:v>
                </c:pt>
              </c:numCache>
            </c:numRef>
          </c:val>
          <c:extLst>
            <c:ext xmlns:c16="http://schemas.microsoft.com/office/drawing/2014/chart" uri="{C3380CC4-5D6E-409C-BE32-E72D297353CC}">
              <c16:uniqueId val="{00000003-8D10-4A41-B0FB-4CA233B614A1}"/>
            </c:ext>
          </c:extLst>
        </c:ser>
        <c:ser>
          <c:idx val="4"/>
          <c:order val="4"/>
          <c:tx>
            <c:strRef>
              <c:f>'5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Income'!$D$50:$H$50</c:f>
              <c:numCache>
                <c:formatCode>0</c:formatCode>
                <c:ptCount val="5"/>
                <c:pt idx="0">
                  <c:v>106.23761298000001</c:v>
                </c:pt>
                <c:pt idx="1">
                  <c:v>80.888476979999993</c:v>
                </c:pt>
                <c:pt idx="2">
                  <c:v>77.588826149999989</c:v>
                </c:pt>
                <c:pt idx="3">
                  <c:v>101.95162042999999</c:v>
                </c:pt>
                <c:pt idx="4">
                  <c:v>84.016227420000007</c:v>
                </c:pt>
              </c:numCache>
            </c:numRef>
          </c:val>
          <c:extLst>
            <c:ext xmlns:c16="http://schemas.microsoft.com/office/drawing/2014/chart" uri="{C3380CC4-5D6E-409C-BE32-E72D297353CC}">
              <c16:uniqueId val="{00000004-8D10-4A41-B0FB-4CA233B614A1}"/>
            </c:ext>
          </c:extLst>
        </c:ser>
        <c:ser>
          <c:idx val="5"/>
          <c:order val="5"/>
          <c:tx>
            <c:strRef>
              <c:f>'5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Income'!$D$51:$H$51</c:f>
              <c:numCache>
                <c:formatCode>0</c:formatCode>
                <c:ptCount val="5"/>
                <c:pt idx="0">
                  <c:v>50.875800630000008</c:v>
                </c:pt>
                <c:pt idx="1">
                  <c:v>52.215935049999999</c:v>
                </c:pt>
                <c:pt idx="2">
                  <c:v>43.623899200000011</c:v>
                </c:pt>
                <c:pt idx="3">
                  <c:v>39.804018680000006</c:v>
                </c:pt>
                <c:pt idx="4">
                  <c:v>49.477726210000007</c:v>
                </c:pt>
              </c:numCache>
            </c:numRef>
          </c:val>
          <c:extLst>
            <c:ext xmlns:c16="http://schemas.microsoft.com/office/drawing/2014/chart" uri="{C3380CC4-5D6E-409C-BE32-E72D297353CC}">
              <c16:uniqueId val="{00000005-8D10-4A41-B0FB-4CA233B614A1}"/>
            </c:ext>
          </c:extLst>
        </c:ser>
        <c:ser>
          <c:idx val="6"/>
          <c:order val="6"/>
          <c:tx>
            <c:strRef>
              <c:f>'5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Income'!$D$52:$H$52</c:f>
              <c:numCache>
                <c:formatCode>0</c:formatCode>
                <c:ptCount val="5"/>
                <c:pt idx="0">
                  <c:v>37.170782560000013</c:v>
                </c:pt>
                <c:pt idx="1">
                  <c:v>32.873121000000026</c:v>
                </c:pt>
                <c:pt idx="2">
                  <c:v>37.224553380000003</c:v>
                </c:pt>
                <c:pt idx="3">
                  <c:v>35.241983420000004</c:v>
                </c:pt>
                <c:pt idx="4">
                  <c:v>32.501328249999979</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'5 Income'!$C$53</c:f>
              <c:strCache>
                <c:ptCount val="1"/>
                <c:pt idx="0">
                  <c:v>Sum</c:v>
                </c:pt>
              </c:strCache>
            </c:strRef>
          </c:tx>
          <c:spPr>
            <a:ln w="25400" cap="rnd">
              <a:noFill/>
              <a:round/>
            </a:ln>
            <a:effectLst/>
          </c:spPr>
          <c:marker>
            <c:symbol val="none"/>
          </c:marker>
          <c:dLbls>
            <c:dLbl>
              <c:idx val="0"/>
              <c:layout>
                <c:manualLayout>
                  <c:x val="0.50738761726486836"/>
                  <c:y val="-2.8130510221309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7857833889"/>
                  <c:y val="-4.8422832985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723006283005814"/>
                  <c:y val="-4.4511402426950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220679394844785"/>
                  <c:y val="-3.3146673331153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2Q-21</c:v>
                </c:pt>
                <c:pt idx="1">
                  <c:v>1Q-21</c:v>
                </c:pt>
                <c:pt idx="2">
                  <c:v>4Q-20</c:v>
                </c:pt>
                <c:pt idx="3">
                  <c:v>3Q-20</c:v>
                </c:pt>
                <c:pt idx="4">
                  <c:v>2Q-20</c:v>
                </c:pt>
              </c:strCache>
            </c:strRef>
          </c:cat>
          <c:val>
            <c:numRef>
              <c:f>'5 Income'!$D$53:$H$53</c:f>
              <c:numCache>
                <c:formatCode>0</c:formatCode>
                <c:ptCount val="5"/>
                <c:pt idx="0">
                  <c:v>415.61683560000006</c:v>
                </c:pt>
                <c:pt idx="1">
                  <c:v>378.58853646</c:v>
                </c:pt>
                <c:pt idx="2">
                  <c:v>406.06266123</c:v>
                </c:pt>
                <c:pt idx="3">
                  <c:v>392.13808164</c:v>
                </c:pt>
                <c:pt idx="4">
                  <c:v>300.29106415999996</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out"/>
        <c:minorTickMark val="none"/>
        <c:tickLblPos val="nextTo"/>
        <c:crossAx val="801521944"/>
        <c:crosses val="autoZero"/>
        <c:crossBetween val="between"/>
      </c:valAx>
      <c:valAx>
        <c:axId val="801519592"/>
        <c:scaling>
          <c:orientation val="minMax"/>
          <c:max val="380"/>
        </c:scaling>
        <c:delete val="1"/>
        <c:axPos val="r"/>
        <c:numFmt formatCode="0" sourceLinked="1"/>
        <c:majorTickMark val="out"/>
        <c:minorTickMark val="none"/>
        <c:tickLblPos val="nextTo"/>
        <c:crossAx val="801520376"/>
        <c:crosses val="max"/>
        <c:crossBetween val="between"/>
      </c:valAx>
      <c:catAx>
        <c:axId val="801520376"/>
        <c:scaling>
          <c:orientation val="minMax"/>
        </c:scaling>
        <c:delete val="1"/>
        <c:axPos val="t"/>
        <c:numFmt formatCode="General" sourceLinked="1"/>
        <c:majorTickMark val="out"/>
        <c:minorTickMark val="none"/>
        <c:tickLblPos val="nextTo"/>
        <c:crossAx val="801519592"/>
        <c:crosses val="max"/>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'6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Expences'!$C$6:$G$6</c:f>
              <c:numCache>
                <c:formatCode>0</c:formatCode>
                <c:ptCount val="5"/>
                <c:pt idx="0">
                  <c:v>210.96077891000004</c:v>
                </c:pt>
                <c:pt idx="1">
                  <c:v>215.82430793000006</c:v>
                </c:pt>
                <c:pt idx="2">
                  <c:v>210.62304950999999</c:v>
                </c:pt>
                <c:pt idx="3">
                  <c:v>206.72702903999996</c:v>
                </c:pt>
                <c:pt idx="4">
                  <c:v>196.66001699999995</c:v>
                </c:pt>
              </c:numCache>
            </c:numRef>
          </c:val>
          <c:extLst>
            <c:ext xmlns:c16="http://schemas.microsoft.com/office/drawing/2014/chart" uri="{C3380CC4-5D6E-409C-BE32-E72D297353CC}">
              <c16:uniqueId val="{00000000-AA42-4FF4-8759-D802366370C8}"/>
            </c:ext>
          </c:extLst>
        </c:ser>
        <c:ser>
          <c:idx val="1"/>
          <c:order val="1"/>
          <c:tx>
            <c:strRef>
              <c:f>'6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Expences'!$C$7:$G$7</c:f>
              <c:numCache>
                <c:formatCode>0</c:formatCode>
                <c:ptCount val="5"/>
                <c:pt idx="0">
                  <c:v>18.61079208</c:v>
                </c:pt>
                <c:pt idx="1">
                  <c:v>19.857984680000001</c:v>
                </c:pt>
                <c:pt idx="2">
                  <c:v>19.853931010000004</c:v>
                </c:pt>
                <c:pt idx="3">
                  <c:v>18.585068439999997</c:v>
                </c:pt>
                <c:pt idx="4">
                  <c:v>17.386254319999999</c:v>
                </c:pt>
              </c:numCache>
            </c:numRef>
          </c:val>
          <c:extLst>
            <c:ext xmlns:c16="http://schemas.microsoft.com/office/drawing/2014/chart" uri="{C3380CC4-5D6E-409C-BE32-E72D297353CC}">
              <c16:uniqueId val="{00000001-AA42-4FF4-8759-D802366370C8}"/>
            </c:ext>
          </c:extLst>
        </c:ser>
        <c:ser>
          <c:idx val="2"/>
          <c:order val="2"/>
          <c:tx>
            <c:strRef>
              <c:f>'6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Expences'!$C$8:$G$8</c:f>
              <c:numCache>
                <c:formatCode>0</c:formatCode>
                <c:ptCount val="5"/>
                <c:pt idx="0">
                  <c:v>53.457604590000003</c:v>
                </c:pt>
                <c:pt idx="1">
                  <c:v>48.708868240000008</c:v>
                </c:pt>
                <c:pt idx="2">
                  <c:v>54.351419790000008</c:v>
                </c:pt>
                <c:pt idx="3">
                  <c:v>43.951699499999997</c:v>
                </c:pt>
                <c:pt idx="4">
                  <c:v>40.656165760000007</c:v>
                </c:pt>
              </c:numCache>
            </c:numRef>
          </c:val>
          <c:extLst>
            <c:ext xmlns:c16="http://schemas.microsoft.com/office/drawing/2014/chart" uri="{C3380CC4-5D6E-409C-BE32-E72D297353CC}">
              <c16:uniqueId val="{00000002-AA42-4FF4-8759-D802366370C8}"/>
            </c:ext>
          </c:extLst>
        </c:ser>
        <c:ser>
          <c:idx val="3"/>
          <c:order val="3"/>
          <c:tx>
            <c:strRef>
              <c:f>'6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Expences'!$C$9:$G$9</c:f>
              <c:numCache>
                <c:formatCode>0</c:formatCode>
                <c:ptCount val="5"/>
                <c:pt idx="0">
                  <c:v>136.38353751</c:v>
                </c:pt>
                <c:pt idx="1">
                  <c:v>133.75509148999998</c:v>
                </c:pt>
                <c:pt idx="2">
                  <c:v>140.35072704000001</c:v>
                </c:pt>
                <c:pt idx="3">
                  <c:v>129.28761779000001</c:v>
                </c:pt>
                <c:pt idx="4">
                  <c:v>132.40783217000001</c:v>
                </c:pt>
              </c:numCache>
            </c:numRef>
          </c:val>
          <c:extLst>
            <c:ext xmlns:c16="http://schemas.microsoft.com/office/drawing/2014/chart" uri="{C3380CC4-5D6E-409C-BE32-E72D297353CC}">
              <c16:uniqueId val="{00000003-AA42-4FF4-8759-D802366370C8}"/>
            </c:ext>
          </c:extLst>
        </c:ser>
        <c:ser>
          <c:idx val="4"/>
          <c:order val="4"/>
          <c:tx>
            <c:strRef>
              <c:f>'6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Expences'!$C$10:$G$10</c:f>
              <c:numCache>
                <c:formatCode>0</c:formatCode>
                <c:ptCount val="5"/>
                <c:pt idx="0">
                  <c:v>30.262111280000003</c:v>
                </c:pt>
                <c:pt idx="1">
                  <c:v>30.808035570000001</c:v>
                </c:pt>
                <c:pt idx="2">
                  <c:v>32.717754999999997</c:v>
                </c:pt>
                <c:pt idx="3">
                  <c:v>32.697304769999995</c:v>
                </c:pt>
                <c:pt idx="4">
                  <c:v>31.770954060000001</c:v>
                </c:pt>
              </c:numCache>
            </c:numRef>
          </c:val>
          <c:extLst>
            <c:ext xmlns:c16="http://schemas.microsoft.com/office/drawing/2014/chart" uri="{C3380CC4-5D6E-409C-BE32-E72D297353CC}">
              <c16:uniqueId val="{00000004-AA42-4FF4-8759-D802366370C8}"/>
            </c:ext>
          </c:extLst>
        </c:ser>
        <c:ser>
          <c:idx val="5"/>
          <c:order val="5"/>
          <c:tx>
            <c:strRef>
              <c:f>'6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Expences'!$C$11:$G$11</c:f>
              <c:numCache>
                <c:formatCode>0</c:formatCode>
                <c:ptCount val="5"/>
                <c:pt idx="0">
                  <c:v>41.880769170000001</c:v>
                </c:pt>
                <c:pt idx="1">
                  <c:v>35.900344940000004</c:v>
                </c:pt>
                <c:pt idx="2">
                  <c:v>45.631550800000007</c:v>
                </c:pt>
                <c:pt idx="3">
                  <c:v>34.05680121000001</c:v>
                </c:pt>
                <c:pt idx="4">
                  <c:v>27.996099580000003</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'6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Expences'!$C$5:$G$5</c:f>
              <c:strCache>
                <c:ptCount val="5"/>
                <c:pt idx="0">
                  <c:v>2Q-21</c:v>
                </c:pt>
                <c:pt idx="1">
                  <c:v>1Q-21</c:v>
                </c:pt>
                <c:pt idx="2">
                  <c:v>4Q-20</c:v>
                </c:pt>
                <c:pt idx="3">
                  <c:v>3Q-20</c:v>
                </c:pt>
                <c:pt idx="4">
                  <c:v>2Q-20</c:v>
                </c:pt>
              </c:strCache>
            </c:strRef>
          </c:cat>
          <c:val>
            <c:numRef>
              <c:f>'6 Expences'!$C$12:$G$12</c:f>
              <c:numCache>
                <c:formatCode>0</c:formatCode>
                <c:ptCount val="5"/>
                <c:pt idx="0">
                  <c:v>491.55559354000007</c:v>
                </c:pt>
                <c:pt idx="1">
                  <c:v>484.85463285000009</c:v>
                </c:pt>
                <c:pt idx="2">
                  <c:v>503.52843315000007</c:v>
                </c:pt>
                <c:pt idx="3">
                  <c:v>465.30552074999997</c:v>
                </c:pt>
                <c:pt idx="4">
                  <c:v>446.87732289000002</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Expences'!$C$48:$G$48</c:f>
              <c:numCache>
                <c:formatCode>0</c:formatCode>
                <c:ptCount val="5"/>
                <c:pt idx="0">
                  <c:v>127.06792889000005</c:v>
                </c:pt>
                <c:pt idx="1">
                  <c:v>129.2262176400001</c:v>
                </c:pt>
                <c:pt idx="2">
                  <c:v>122.32515493999998</c:v>
                </c:pt>
                <c:pt idx="3">
                  <c:v>124.92186161999997</c:v>
                </c:pt>
                <c:pt idx="4">
                  <c:v>121.29159531999996</c:v>
                </c:pt>
              </c:numCache>
            </c:numRef>
          </c:val>
          <c:extLst>
            <c:ext xmlns:c16="http://schemas.microsoft.com/office/drawing/2014/chart" uri="{C3380CC4-5D6E-409C-BE32-E72D297353CC}">
              <c16:uniqueId val="{00000000-BEB8-439E-88D4-48E5830188A3}"/>
            </c:ext>
          </c:extLst>
        </c:ser>
        <c:ser>
          <c:idx val="1"/>
          <c:order val="1"/>
          <c:tx>
            <c:strRef>
              <c:f>'6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Expences'!$C$49:$G$49</c:f>
              <c:numCache>
                <c:formatCode>0</c:formatCode>
                <c:ptCount val="5"/>
                <c:pt idx="0">
                  <c:v>13.76487131</c:v>
                </c:pt>
                <c:pt idx="1">
                  <c:v>14.477990009999999</c:v>
                </c:pt>
                <c:pt idx="2">
                  <c:v>13.852754250000002</c:v>
                </c:pt>
                <c:pt idx="3">
                  <c:v>13.510188289999999</c:v>
                </c:pt>
                <c:pt idx="4">
                  <c:v>13.369673149999999</c:v>
                </c:pt>
              </c:numCache>
            </c:numRef>
          </c:val>
          <c:extLst>
            <c:ext xmlns:c16="http://schemas.microsoft.com/office/drawing/2014/chart" uri="{C3380CC4-5D6E-409C-BE32-E72D297353CC}">
              <c16:uniqueId val="{00000001-BEB8-439E-88D4-48E5830188A3}"/>
            </c:ext>
          </c:extLst>
        </c:ser>
        <c:ser>
          <c:idx val="2"/>
          <c:order val="2"/>
          <c:tx>
            <c:strRef>
              <c:f>'6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Expences'!$C$50:$G$50</c:f>
              <c:numCache>
                <c:formatCode>0</c:formatCode>
                <c:ptCount val="5"/>
                <c:pt idx="0">
                  <c:v>33.197228190000004</c:v>
                </c:pt>
                <c:pt idx="1">
                  <c:v>34.637202510000009</c:v>
                </c:pt>
                <c:pt idx="2">
                  <c:v>37.120216680000006</c:v>
                </c:pt>
                <c:pt idx="3">
                  <c:v>28.235707649999995</c:v>
                </c:pt>
                <c:pt idx="4">
                  <c:v>31.265969170000002</c:v>
                </c:pt>
              </c:numCache>
            </c:numRef>
          </c:val>
          <c:extLst>
            <c:ext xmlns:c16="http://schemas.microsoft.com/office/drawing/2014/chart" uri="{C3380CC4-5D6E-409C-BE32-E72D297353CC}">
              <c16:uniqueId val="{00000002-BEB8-439E-88D4-48E5830188A3}"/>
            </c:ext>
          </c:extLst>
        </c:ser>
        <c:ser>
          <c:idx val="3"/>
          <c:order val="3"/>
          <c:tx>
            <c:strRef>
              <c:f>'6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Expences'!$C$51:$G$51</c:f>
              <c:numCache>
                <c:formatCode>0</c:formatCode>
                <c:ptCount val="5"/>
                <c:pt idx="0">
                  <c:v>119.90131547</c:v>
                </c:pt>
                <c:pt idx="1">
                  <c:v>119.10458761999999</c:v>
                </c:pt>
                <c:pt idx="2">
                  <c:v>120.43420377</c:v>
                </c:pt>
                <c:pt idx="3">
                  <c:v>117.06646393999999</c:v>
                </c:pt>
                <c:pt idx="4">
                  <c:v>117.40324782999998</c:v>
                </c:pt>
              </c:numCache>
            </c:numRef>
          </c:val>
          <c:extLst>
            <c:ext xmlns:c16="http://schemas.microsoft.com/office/drawing/2014/chart" uri="{C3380CC4-5D6E-409C-BE32-E72D297353CC}">
              <c16:uniqueId val="{00000003-BEB8-439E-88D4-48E5830188A3}"/>
            </c:ext>
          </c:extLst>
        </c:ser>
        <c:ser>
          <c:idx val="4"/>
          <c:order val="4"/>
          <c:tx>
            <c:strRef>
              <c:f>'6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Expences'!$C$52:$G$52</c:f>
              <c:numCache>
                <c:formatCode>0</c:formatCode>
                <c:ptCount val="5"/>
                <c:pt idx="0">
                  <c:v>23.042718109999999</c:v>
                </c:pt>
                <c:pt idx="1">
                  <c:v>23.715811049999996</c:v>
                </c:pt>
                <c:pt idx="2">
                  <c:v>24.617477449999996</c:v>
                </c:pt>
                <c:pt idx="3">
                  <c:v>26.116332279999998</c:v>
                </c:pt>
                <c:pt idx="4">
                  <c:v>26.31442869</c:v>
                </c:pt>
              </c:numCache>
            </c:numRef>
          </c:val>
          <c:extLst>
            <c:ext xmlns:c16="http://schemas.microsoft.com/office/drawing/2014/chart" uri="{C3380CC4-5D6E-409C-BE32-E72D297353CC}">
              <c16:uniqueId val="{00000004-BEB8-439E-88D4-48E5830188A3}"/>
            </c:ext>
          </c:extLst>
        </c:ser>
        <c:ser>
          <c:idx val="5"/>
          <c:order val="5"/>
          <c:tx>
            <c:strRef>
              <c:f>'6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Expences'!$C$53:$G$53</c:f>
              <c:numCache>
                <c:formatCode>0</c:formatCode>
                <c:ptCount val="5"/>
                <c:pt idx="0">
                  <c:v>22.058478770000001</c:v>
                </c:pt>
                <c:pt idx="1">
                  <c:v>20.337863169999999</c:v>
                </c:pt>
                <c:pt idx="2">
                  <c:v>31.657779219999995</c:v>
                </c:pt>
                <c:pt idx="3">
                  <c:v>18.311324510000002</c:v>
                </c:pt>
                <c:pt idx="4">
                  <c:v>17.51436833</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'6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Expences'!$C$47:$G$47</c:f>
              <c:strCache>
                <c:ptCount val="5"/>
                <c:pt idx="0">
                  <c:v>2Q-21</c:v>
                </c:pt>
                <c:pt idx="1">
                  <c:v>1Q-21</c:v>
                </c:pt>
                <c:pt idx="2">
                  <c:v>4Q-20</c:v>
                </c:pt>
                <c:pt idx="3">
                  <c:v>3Q-20</c:v>
                </c:pt>
                <c:pt idx="4">
                  <c:v>2Q-20</c:v>
                </c:pt>
              </c:strCache>
            </c:strRef>
          </c:cat>
          <c:val>
            <c:numRef>
              <c:f>'6 Expences'!$C$54:$G$54</c:f>
              <c:numCache>
                <c:formatCode>0</c:formatCode>
                <c:ptCount val="5"/>
                <c:pt idx="0">
                  <c:v>339.03254074000006</c:v>
                </c:pt>
                <c:pt idx="1">
                  <c:v>341.49967200000009</c:v>
                </c:pt>
                <c:pt idx="2">
                  <c:v>350.00758631000002</c:v>
                </c:pt>
                <c:pt idx="3">
                  <c:v>328.16187828999995</c:v>
                </c:pt>
                <c:pt idx="4">
                  <c:v>327.15928248999995</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2Q-21</c:v>
                </c:pt>
                <c:pt idx="1">
                  <c:v>1Q-21</c:v>
                </c:pt>
                <c:pt idx="2">
                  <c:v>4Q-20</c:v>
                </c:pt>
                <c:pt idx="3">
                  <c:v>3Q-20</c:v>
                </c:pt>
                <c:pt idx="4">
                  <c:v>2Q-20</c:v>
                </c:pt>
              </c:strCache>
            </c:strRef>
          </c:cat>
          <c:val>
            <c:numRef>
              <c:f>'7 Margins'!$E$6:$I$6</c:f>
              <c:numCache>
                <c:formatCode>0.00%</c:formatCode>
                <c:ptCount val="5"/>
                <c:pt idx="0">
                  <c:v>-2.0000000000000001E-4</c:v>
                </c:pt>
                <c:pt idx="1">
                  <c:v>1.1000000000000001E-3</c:v>
                </c:pt>
                <c:pt idx="2">
                  <c:v>2.9999999999999997E-4</c:v>
                </c:pt>
                <c:pt idx="3">
                  <c:v>-2.3999999999999998E-3</c:v>
                </c:pt>
                <c:pt idx="4">
                  <c:v>-5.4999999999999997E-3</c:v>
                </c:pt>
              </c:numCache>
            </c:numRef>
          </c:val>
          <c:smooth val="0"/>
          <c:extLst>
            <c:ext xmlns:c16="http://schemas.microsoft.com/office/drawing/2014/chart" uri="{C3380CC4-5D6E-409C-BE32-E72D297353CC}">
              <c16:uniqueId val="{00000001-E3D4-4A46-A451-2C4564FAA753}"/>
            </c:ext>
          </c:extLst>
        </c:ser>
        <c:ser>
          <c:idx val="1"/>
          <c:order val="1"/>
          <c:tx>
            <c:strRef>
              <c:f>'7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2Q-21</c:v>
                </c:pt>
                <c:pt idx="1">
                  <c:v>1Q-21</c:v>
                </c:pt>
                <c:pt idx="2">
                  <c:v>4Q-20</c:v>
                </c:pt>
                <c:pt idx="3">
                  <c:v>3Q-20</c:v>
                </c:pt>
                <c:pt idx="4">
                  <c:v>2Q-20</c:v>
                </c:pt>
              </c:strCache>
            </c:strRef>
          </c:cat>
          <c:val>
            <c:numRef>
              <c:f>'7 Margins'!$E$7:$I$7</c:f>
              <c:numCache>
                <c:formatCode>0.00%</c:formatCode>
                <c:ptCount val="5"/>
                <c:pt idx="0">
                  <c:v>-5.0000000000000001E-4</c:v>
                </c:pt>
                <c:pt idx="1">
                  <c:v>8.9999999999999998E-4</c:v>
                </c:pt>
                <c:pt idx="2">
                  <c:v>0</c:v>
                </c:pt>
                <c:pt idx="3">
                  <c:v>-4.0000000000000002E-4</c:v>
                </c:pt>
                <c:pt idx="4">
                  <c:v>-5.9999999999999995E-4</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2Q-21</c:v>
                </c:pt>
                <c:pt idx="1">
                  <c:v>1Q-21</c:v>
                </c:pt>
                <c:pt idx="2">
                  <c:v>4Q-20</c:v>
                </c:pt>
                <c:pt idx="3">
                  <c:v>3Q-20</c:v>
                </c:pt>
                <c:pt idx="4">
                  <c:v>2Q-20</c:v>
                </c:pt>
              </c:strCache>
            </c:strRef>
          </c:cat>
          <c:val>
            <c:numRef>
              <c:f>'7 Margins'!$E$35:$I$35</c:f>
              <c:numCache>
                <c:formatCode>0.00%</c:formatCode>
                <c:ptCount val="5"/>
                <c:pt idx="0">
                  <c:v>1.6899999999999998E-2</c:v>
                </c:pt>
                <c:pt idx="1">
                  <c:v>1.5299999999999999E-2</c:v>
                </c:pt>
                <c:pt idx="2">
                  <c:v>1.66E-2</c:v>
                </c:pt>
                <c:pt idx="3">
                  <c:v>1.7399999999999999E-2</c:v>
                </c:pt>
                <c:pt idx="4">
                  <c:v>1.8100000000000002E-2</c:v>
                </c:pt>
              </c:numCache>
            </c:numRef>
          </c:val>
          <c:smooth val="0"/>
          <c:extLst>
            <c:ext xmlns:c16="http://schemas.microsoft.com/office/drawing/2014/chart" uri="{C3380CC4-5D6E-409C-BE32-E72D297353CC}">
              <c16:uniqueId val="{00000000-1038-4907-AE07-482B7A443143}"/>
            </c:ext>
          </c:extLst>
        </c:ser>
        <c:ser>
          <c:idx val="1"/>
          <c:order val="1"/>
          <c:tx>
            <c:strRef>
              <c:f>'7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2Q-21</c:v>
                </c:pt>
                <c:pt idx="1">
                  <c:v>1Q-21</c:v>
                </c:pt>
                <c:pt idx="2">
                  <c:v>4Q-20</c:v>
                </c:pt>
                <c:pt idx="3">
                  <c:v>3Q-20</c:v>
                </c:pt>
                <c:pt idx="4">
                  <c:v>2Q-20</c:v>
                </c:pt>
              </c:strCache>
            </c:strRef>
          </c:cat>
          <c:val>
            <c:numRef>
              <c:f>'7 Margins'!$E$36:$I$36</c:f>
              <c:numCache>
                <c:formatCode>0.00%</c:formatCode>
                <c:ptCount val="5"/>
                <c:pt idx="0">
                  <c:v>2.64E-2</c:v>
                </c:pt>
                <c:pt idx="1">
                  <c:v>2.6100000000000002E-2</c:v>
                </c:pt>
                <c:pt idx="2">
                  <c:v>2.6700000000000002E-2</c:v>
                </c:pt>
                <c:pt idx="3">
                  <c:v>2.7900000000000001E-2</c:v>
                </c:pt>
                <c:pt idx="4">
                  <c:v>3.0599999999999999E-2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Q2 2021</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table below shows the estimated ECLs in the three scenarios described above: expected scenario, downside scenario and upside scenario. The calculations are divided into the main segments retail customers and corporate customers, which are totalled for the Parent Bank. The table also shows corresponding ECL calculations for the subsidiary SpareBank 1 Finans Østlandet (SB1FØ).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The last two alternatives show the sensitivity to a further deterioration in relation to the applied scenario weighting with a 60-65 per cent probability of the expected scenario, 25-30 per cent probability of the downside scenario and 10 per cent probability of the upside scenario (65/25/10 per cent and 60/30/10 per cent).   </a:t>
          </a:r>
        </a:p>
        <a:p>
          <a:endParaRPr lang="nb-NO" sz="1100"/>
        </a:p>
        <a:p>
          <a:r>
            <a:rPr lang="en-GB" sz="1100">
              <a:solidFill>
                <a:schemeClr val="dk1"/>
              </a:solidFill>
              <a:effectLst/>
              <a:latin typeface="+mn-lt"/>
              <a:ea typeface="+mn-ea"/>
              <a:cs typeface="+mn-cs"/>
            </a:rPr>
            <a:t>The table reflects the fact that there are some significant differences in underlying PD and LGD estimates in the various scenarios and that there are differentiated levels and level differences between the segments. At a group level, the ECL in the upside scenario is just over two-thirds of the ECL in the expected scenario, meanwhile, the downside scenario has an ECL around four times higher than in the expected scenario. The applied scenario weighting, with 20 per cent downside and 10 per cent upside, thereby results in an around 60 per cent higher ECL than in the expected scenario. A further 10-percentage point increase in the probability of the downside scenario would have increased the weighted ECL by around NOK 100 million (20 per cent). A 10-percentage point reduction in the probability of the downside scenario, the probability weightings the Bank used when introducing IFRS 9, would reduce the weighted ECL correspondingly.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Reference is also made to Note 6 ‘Loan loss provisions’, where the first table shows the loss cost effects per segment of the various changes in the model assumptions in isolation. Note that the table above does not include loan loss impairments due to post model adjustments (PMA), NOK 5 million in SpareBank 1 Finans Østlandet.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mlns="">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029740" cy="440955"/>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029740" cy="440955"/>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14</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56030</xdr:colOff>
      <xdr:row>1</xdr:row>
      <xdr:rowOff>44822</xdr:rowOff>
    </xdr:from>
    <xdr:to>
      <xdr:col>4</xdr:col>
      <xdr:colOff>170890</xdr:colOff>
      <xdr:row>2</xdr:row>
      <xdr:rowOff>38097</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96118" y="280146"/>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123825</xdr:rowOff>
    </xdr:from>
    <xdr:to>
      <xdr:col>4</xdr:col>
      <xdr:colOff>524435</xdr:colOff>
      <xdr:row>1</xdr:row>
      <xdr:rowOff>190498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590925" y="1238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87" sqref="A87"/>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A121" sqref="A121"/>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497</v>
      </c>
      <c r="B2" s="98"/>
      <c r="C2" s="98"/>
      <c r="D2" s="97"/>
    </row>
    <row r="3" spans="1:22" ht="18.75" customHeight="1">
      <c r="A3" s="138"/>
      <c r="B3" s="98"/>
      <c r="C3" s="98"/>
      <c r="D3" s="97"/>
    </row>
    <row r="4" spans="1:22" ht="14.25" customHeight="1">
      <c r="A4" s="138"/>
      <c r="B4" s="98"/>
      <c r="F4" s="97"/>
      <c r="G4" s="98"/>
    </row>
    <row r="5" spans="1:22" ht="14.25" customHeight="1">
      <c r="A5" s="138"/>
      <c r="B5" s="108" t="s">
        <v>75</v>
      </c>
      <c r="C5" s="169" t="s">
        <v>521</v>
      </c>
      <c r="D5" s="170" t="s">
        <v>484</v>
      </c>
      <c r="E5" s="170" t="s">
        <v>409</v>
      </c>
      <c r="F5" s="170" t="s">
        <v>396</v>
      </c>
      <c r="G5" s="170" t="s">
        <v>383</v>
      </c>
      <c r="Q5" s="240"/>
      <c r="R5" s="240"/>
      <c r="S5" s="240"/>
      <c r="T5" s="240"/>
      <c r="U5" s="240"/>
      <c r="V5" s="240"/>
    </row>
    <row r="6" spans="1:22" ht="14.25" customHeight="1">
      <c r="B6" s="144" t="s">
        <v>77</v>
      </c>
      <c r="C6" s="171">
        <v>210.96077891000004</v>
      </c>
      <c r="D6" s="145">
        <v>215.82430793000006</v>
      </c>
      <c r="E6" s="145">
        <v>210.62304950999999</v>
      </c>
      <c r="F6" s="145">
        <v>206.72702903999996</v>
      </c>
      <c r="G6" s="145">
        <v>196.66001699999995</v>
      </c>
      <c r="Q6" s="240"/>
      <c r="R6" s="240"/>
      <c r="S6" s="240"/>
      <c r="T6" s="240"/>
      <c r="U6" s="240"/>
      <c r="V6" s="240"/>
    </row>
    <row r="7" spans="1:22" ht="14.25" customHeight="1">
      <c r="B7" s="144" t="s">
        <v>78</v>
      </c>
      <c r="C7" s="171">
        <v>18.61079208</v>
      </c>
      <c r="D7" s="145">
        <v>19.857984680000001</v>
      </c>
      <c r="E7" s="145">
        <v>19.853931010000004</v>
      </c>
      <c r="F7" s="145">
        <v>18.585068439999997</v>
      </c>
      <c r="G7" s="145">
        <v>17.386254319999999</v>
      </c>
      <c r="Q7" s="240"/>
      <c r="R7" s="240"/>
      <c r="S7" s="240"/>
      <c r="T7" s="240"/>
      <c r="U7" s="240"/>
      <c r="V7" s="240"/>
    </row>
    <row r="8" spans="1:22">
      <c r="B8" s="144" t="s">
        <v>79</v>
      </c>
      <c r="C8" s="171">
        <v>53.457604590000003</v>
      </c>
      <c r="D8" s="145">
        <v>48.708868240000008</v>
      </c>
      <c r="E8" s="145">
        <v>54.351419790000008</v>
      </c>
      <c r="F8" s="145">
        <v>43.951699499999997</v>
      </c>
      <c r="G8" s="145">
        <v>40.656165760000007</v>
      </c>
      <c r="Q8" s="240"/>
      <c r="R8" s="240"/>
      <c r="S8" s="240"/>
      <c r="T8" s="240"/>
      <c r="U8" s="240"/>
      <c r="V8" s="240"/>
    </row>
    <row r="9" spans="1:22" ht="14.25" customHeight="1">
      <c r="B9" s="144" t="s">
        <v>80</v>
      </c>
      <c r="C9" s="171">
        <v>136.38353751</v>
      </c>
      <c r="D9" s="145">
        <v>133.75509148999998</v>
      </c>
      <c r="E9" s="145">
        <v>140.35072704000001</v>
      </c>
      <c r="F9" s="145">
        <v>129.28761779000001</v>
      </c>
      <c r="G9" s="145">
        <v>132.40783217000001</v>
      </c>
      <c r="Q9" s="240"/>
      <c r="R9" s="240"/>
      <c r="S9" s="240"/>
      <c r="T9" s="240"/>
      <c r="U9" s="240"/>
      <c r="V9" s="240"/>
    </row>
    <row r="10" spans="1:22" ht="14.25" customHeight="1">
      <c r="B10" s="144" t="s">
        <v>25</v>
      </c>
      <c r="C10" s="171">
        <v>30.262111280000003</v>
      </c>
      <c r="D10" s="145">
        <v>30.808035570000001</v>
      </c>
      <c r="E10" s="145">
        <v>32.717754999999997</v>
      </c>
      <c r="F10" s="145">
        <v>32.697304769999995</v>
      </c>
      <c r="G10" s="145">
        <v>31.770954060000001</v>
      </c>
      <c r="Q10" s="240"/>
      <c r="R10" s="240"/>
      <c r="S10" s="240"/>
      <c r="T10" s="240"/>
      <c r="U10" s="240"/>
      <c r="V10" s="240"/>
    </row>
    <row r="11" spans="1:22" ht="14.25" customHeight="1">
      <c r="B11" s="146" t="s">
        <v>26</v>
      </c>
      <c r="C11" s="172">
        <v>41.880769170000001</v>
      </c>
      <c r="D11" s="147">
        <v>35.900344940000004</v>
      </c>
      <c r="E11" s="147">
        <v>45.631550800000007</v>
      </c>
      <c r="F11" s="147">
        <v>34.05680121000001</v>
      </c>
      <c r="G11" s="147">
        <v>27.996099580000003</v>
      </c>
      <c r="Q11" s="240"/>
      <c r="R11" s="240"/>
      <c r="S11" s="240"/>
      <c r="T11" s="240"/>
      <c r="U11" s="240"/>
      <c r="V11" s="240"/>
    </row>
    <row r="12" spans="1:22" ht="14.25" customHeight="1">
      <c r="B12" s="142" t="s">
        <v>144</v>
      </c>
      <c r="C12" s="173">
        <f>SUM(C6:C11)</f>
        <v>491.55559354000007</v>
      </c>
      <c r="D12" s="148">
        <f>SUM(D6:D11)</f>
        <v>484.85463285000009</v>
      </c>
      <c r="E12" s="148">
        <f>SUM(E6:E11)</f>
        <v>503.52843315000007</v>
      </c>
      <c r="F12" s="148">
        <f t="shared" ref="F12:G12" si="0">SUM(F6:F11)</f>
        <v>465.30552074999997</v>
      </c>
      <c r="G12" s="148">
        <f t="shared" si="0"/>
        <v>446.87732289000002</v>
      </c>
      <c r="Q12" s="240"/>
      <c r="R12" s="240"/>
      <c r="S12" s="240"/>
      <c r="T12" s="240"/>
      <c r="U12" s="240"/>
      <c r="V12" s="240"/>
    </row>
    <row r="13" spans="1:22" ht="14.25" customHeight="1">
      <c r="B13" s="177" t="s">
        <v>93</v>
      </c>
      <c r="C13" s="171"/>
      <c r="D13" s="145"/>
      <c r="E13" s="145"/>
      <c r="F13" s="145"/>
      <c r="G13" s="145"/>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498</v>
      </c>
    </row>
    <row r="46" spans="1:41">
      <c r="B46" s="95"/>
      <c r="F46" s="97"/>
      <c r="G46" s="96"/>
    </row>
    <row r="47" spans="1:41">
      <c r="B47" s="108" t="s">
        <v>222</v>
      </c>
      <c r="C47" s="169" t="s">
        <v>521</v>
      </c>
      <c r="D47" s="170" t="s">
        <v>484</v>
      </c>
      <c r="E47" s="170" t="s">
        <v>409</v>
      </c>
      <c r="F47" s="170" t="s">
        <v>396</v>
      </c>
      <c r="G47" s="170" t="s">
        <v>383</v>
      </c>
      <c r="Q47" s="240"/>
      <c r="R47" s="240"/>
      <c r="S47" s="240"/>
      <c r="T47" s="240"/>
      <c r="U47" s="240"/>
      <c r="V47" s="240"/>
    </row>
    <row r="48" spans="1:41">
      <c r="B48" s="144" t="s">
        <v>77</v>
      </c>
      <c r="C48" s="171">
        <v>127.06792889000005</v>
      </c>
      <c r="D48" s="145">
        <v>129.2262176400001</v>
      </c>
      <c r="E48" s="145">
        <v>122.32515493999998</v>
      </c>
      <c r="F48" s="145">
        <v>124.92186161999997</v>
      </c>
      <c r="G48" s="145">
        <v>121.29159531999996</v>
      </c>
      <c r="Q48" s="240"/>
      <c r="R48" s="240"/>
      <c r="S48" s="240"/>
      <c r="T48" s="240"/>
      <c r="U48" s="240"/>
      <c r="V48" s="240"/>
    </row>
    <row r="49" spans="2:22">
      <c r="B49" s="144" t="s">
        <v>78</v>
      </c>
      <c r="C49" s="171">
        <v>13.76487131</v>
      </c>
      <c r="D49" s="145">
        <v>14.477990009999999</v>
      </c>
      <c r="E49" s="145">
        <v>13.852754250000002</v>
      </c>
      <c r="F49" s="145">
        <v>13.510188289999999</v>
      </c>
      <c r="G49" s="145">
        <v>13.369673149999999</v>
      </c>
      <c r="Q49" s="240"/>
      <c r="R49" s="240"/>
      <c r="S49" s="240"/>
      <c r="T49" s="240"/>
      <c r="U49" s="240"/>
      <c r="V49" s="240"/>
    </row>
    <row r="50" spans="2:22">
      <c r="B50" s="144" t="s">
        <v>79</v>
      </c>
      <c r="C50" s="171">
        <v>33.197228190000004</v>
      </c>
      <c r="D50" s="145">
        <v>34.637202510000009</v>
      </c>
      <c r="E50" s="145">
        <v>37.120216680000006</v>
      </c>
      <c r="F50" s="145">
        <v>28.235707649999995</v>
      </c>
      <c r="G50" s="145">
        <v>31.265969170000002</v>
      </c>
      <c r="Q50" s="240"/>
      <c r="R50" s="240"/>
      <c r="S50" s="240"/>
      <c r="T50" s="240"/>
      <c r="U50" s="240"/>
      <c r="V50" s="240"/>
    </row>
    <row r="51" spans="2:22">
      <c r="B51" s="144" t="s">
        <v>80</v>
      </c>
      <c r="C51" s="171">
        <v>119.90131547</v>
      </c>
      <c r="D51" s="145">
        <v>119.10458761999999</v>
      </c>
      <c r="E51" s="145">
        <v>120.43420377</v>
      </c>
      <c r="F51" s="145">
        <v>117.06646393999999</v>
      </c>
      <c r="G51" s="145">
        <v>117.40324782999998</v>
      </c>
      <c r="Q51" s="240"/>
      <c r="R51" s="240"/>
      <c r="S51" s="240"/>
      <c r="T51" s="240"/>
      <c r="U51" s="240"/>
      <c r="V51" s="240"/>
    </row>
    <row r="52" spans="2:22">
      <c r="B52" s="144" t="s">
        <v>25</v>
      </c>
      <c r="C52" s="171">
        <v>23.042718109999999</v>
      </c>
      <c r="D52" s="145">
        <v>23.715811049999996</v>
      </c>
      <c r="E52" s="145">
        <v>24.617477449999996</v>
      </c>
      <c r="F52" s="145">
        <v>26.116332279999998</v>
      </c>
      <c r="G52" s="145">
        <v>26.31442869</v>
      </c>
      <c r="Q52" s="240"/>
      <c r="R52" s="240"/>
      <c r="S52" s="240"/>
      <c r="T52" s="240"/>
      <c r="U52" s="240"/>
      <c r="V52" s="240"/>
    </row>
    <row r="53" spans="2:22">
      <c r="B53" s="146" t="s">
        <v>26</v>
      </c>
      <c r="C53" s="172">
        <v>22.058478770000001</v>
      </c>
      <c r="D53" s="178">
        <v>20.337863169999999</v>
      </c>
      <c r="E53" s="147">
        <v>31.657779219999995</v>
      </c>
      <c r="F53" s="147">
        <v>18.311324510000002</v>
      </c>
      <c r="G53" s="147">
        <v>17.51436833</v>
      </c>
      <c r="Q53" s="240"/>
      <c r="R53" s="240"/>
      <c r="S53" s="240"/>
      <c r="T53" s="240"/>
      <c r="U53" s="240"/>
      <c r="V53" s="240"/>
    </row>
    <row r="54" spans="2:22">
      <c r="B54" s="142" t="s">
        <v>144</v>
      </c>
      <c r="C54" s="173">
        <f>SUM(C48:C53)</f>
        <v>339.03254074000006</v>
      </c>
      <c r="D54" s="148">
        <f>SUM(D48:D53)</f>
        <v>341.49967200000009</v>
      </c>
      <c r="E54" s="148">
        <f>SUM(E48:E53)</f>
        <v>350.00758631000002</v>
      </c>
      <c r="F54" s="148">
        <f t="shared" ref="F54:G54" si="1">SUM(F48:F53)</f>
        <v>328.16187828999995</v>
      </c>
      <c r="G54" s="148">
        <f t="shared" si="1"/>
        <v>327.15928248999995</v>
      </c>
      <c r="Q54" s="240"/>
      <c r="R54" s="240"/>
      <c r="S54" s="240"/>
      <c r="T54" s="240"/>
      <c r="U54" s="240"/>
      <c r="V54" s="240"/>
    </row>
    <row r="55" spans="2:22">
      <c r="B55" s="177" t="s">
        <v>93</v>
      </c>
      <c r="C55" s="171"/>
      <c r="D55" s="145"/>
      <c r="E55" s="145"/>
      <c r="F55" s="145"/>
      <c r="G55" s="145">
        <v>1</v>
      </c>
    </row>
  </sheetData>
  <sortState xmlns:xlrd2="http://schemas.microsoft.com/office/spreadsheetml/2017/richdata2" columnSort="1" ref="C4:G12">
    <sortCondition descending="1" ref="C4:G4"/>
  </sortState>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A96" sqref="A96"/>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499</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521</v>
      </c>
      <c r="F5" s="170" t="s">
        <v>484</v>
      </c>
      <c r="G5" s="170" t="s">
        <v>409</v>
      </c>
      <c r="H5" s="170" t="s">
        <v>396</v>
      </c>
      <c r="I5" s="170" t="s">
        <v>383</v>
      </c>
    </row>
    <row r="6" spans="1:9" s="123" customFormat="1" ht="14.25" customHeight="1">
      <c r="A6" s="119"/>
      <c r="B6" s="120"/>
      <c r="C6" s="121"/>
      <c r="D6" s="144" t="s">
        <v>73</v>
      </c>
      <c r="E6" s="174">
        <v>-2.0000000000000001E-4</v>
      </c>
      <c r="F6" s="175">
        <v>1.1000000000000001E-3</v>
      </c>
      <c r="G6" s="175">
        <v>2.9999999999999997E-4</v>
      </c>
      <c r="H6" s="175">
        <v>-2.3999999999999998E-3</v>
      </c>
      <c r="I6" s="175">
        <v>-5.4999999999999997E-3</v>
      </c>
    </row>
    <row r="7" spans="1:9" s="123" customFormat="1" ht="14.25" customHeight="1">
      <c r="A7" s="119"/>
      <c r="B7" s="124"/>
      <c r="C7" s="124"/>
      <c r="D7" s="144" t="s">
        <v>74</v>
      </c>
      <c r="E7" s="174">
        <v>-5.0000000000000001E-4</v>
      </c>
      <c r="F7" s="175">
        <v>8.9999999999999998E-4</v>
      </c>
      <c r="G7" s="175">
        <v>0</v>
      </c>
      <c r="H7" s="175">
        <v>-4.0000000000000002E-4</v>
      </c>
      <c r="I7" s="175">
        <v>-5.9999999999999995E-4</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500</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521</v>
      </c>
      <c r="F34" s="179" t="s">
        <v>484</v>
      </c>
      <c r="G34" s="170" t="s">
        <v>409</v>
      </c>
      <c r="H34" s="170" t="s">
        <v>396</v>
      </c>
      <c r="I34" s="170" t="s">
        <v>383</v>
      </c>
    </row>
    <row r="35" spans="1:9" s="123" customFormat="1" ht="14.25" customHeight="1">
      <c r="A35" s="119"/>
      <c r="B35" s="125"/>
      <c r="C35" s="126"/>
      <c r="D35" s="144" t="s">
        <v>81</v>
      </c>
      <c r="E35" s="174">
        <v>1.6899999999999998E-2</v>
      </c>
      <c r="F35" s="371">
        <v>1.5299999999999999E-2</v>
      </c>
      <c r="G35" s="175">
        <v>1.66E-2</v>
      </c>
      <c r="H35" s="175">
        <v>1.7399999999999999E-2</v>
      </c>
      <c r="I35" s="175">
        <v>1.8100000000000002E-2</v>
      </c>
    </row>
    <row r="36" spans="1:9" s="123" customFormat="1" ht="14.25" customHeight="1">
      <c r="A36" s="119"/>
      <c r="B36" s="125"/>
      <c r="C36" s="126"/>
      <c r="D36" s="144" t="s">
        <v>82</v>
      </c>
      <c r="E36" s="174">
        <v>2.64E-2</v>
      </c>
      <c r="F36" s="371">
        <v>2.6100000000000002E-2</v>
      </c>
      <c r="G36" s="175">
        <v>2.6700000000000002E-2</v>
      </c>
      <c r="H36" s="175">
        <v>2.7900000000000001E-2</v>
      </c>
      <c r="I36" s="175">
        <v>3.0599999999999999E-2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xmlns:xlrd2="http://schemas.microsoft.com/office/spreadsheetml/2017/richdata2" columnSort="1" ref="E33:I36">
    <sortCondition ref="E33:I33"/>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A88" sqref="A88"/>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501</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521</v>
      </c>
      <c r="E5" s="170" t="s">
        <v>484</v>
      </c>
      <c r="F5" s="170" t="s">
        <v>409</v>
      </c>
      <c r="G5" s="170" t="s">
        <v>396</v>
      </c>
      <c r="H5" s="170" t="s">
        <v>383</v>
      </c>
      <c r="I5" s="232"/>
      <c r="J5" s="233"/>
      <c r="P5" s="242"/>
      <c r="Q5" s="242"/>
      <c r="R5" s="242"/>
      <c r="S5" s="242"/>
      <c r="T5" s="242"/>
      <c r="U5" s="242"/>
      <c r="V5" s="242"/>
      <c r="W5" s="242"/>
      <c r="X5" s="242"/>
      <c r="Y5" s="242"/>
      <c r="Z5" s="242"/>
      <c r="AA5" s="242"/>
    </row>
    <row r="6" spans="1:27" s="123" customFormat="1" ht="12.75" customHeight="1">
      <c r="A6" s="119"/>
      <c r="B6" s="125"/>
      <c r="C6" s="198" t="s">
        <v>105</v>
      </c>
      <c r="D6" s="206">
        <v>295.33500099000003</v>
      </c>
      <c r="E6" s="199">
        <v>310.06382122530351</v>
      </c>
      <c r="F6" s="199">
        <v>327.28410000000002</v>
      </c>
      <c r="G6" s="199">
        <v>270.61930000000001</v>
      </c>
      <c r="H6" s="199">
        <v>287.81636906440167</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106</v>
      </c>
      <c r="D7" s="206">
        <v>5681.3141812397153</v>
      </c>
      <c r="E7" s="199">
        <v>5419.2010890591637</v>
      </c>
      <c r="F7" s="199">
        <v>5485.9764000000005</v>
      </c>
      <c r="G7" s="199">
        <v>5367.6157999999996</v>
      </c>
      <c r="H7" s="199">
        <v>5226.7781584863296</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107</v>
      </c>
      <c r="D8" s="206">
        <v>1404.9141432582487</v>
      </c>
      <c r="E8" s="199">
        <v>1589.4331441152494</v>
      </c>
      <c r="F8" s="199">
        <v>1881.0839000000001</v>
      </c>
      <c r="G8" s="199">
        <v>2067.1268999999998</v>
      </c>
      <c r="H8" s="199">
        <v>2067.2412908461993</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108</v>
      </c>
      <c r="D9" s="206">
        <v>1318.1320204857498</v>
      </c>
      <c r="E9" s="199">
        <v>1396.7651852399479</v>
      </c>
      <c r="F9" s="199">
        <v>1485.894</v>
      </c>
      <c r="G9" s="199">
        <v>1813.6290999999999</v>
      </c>
      <c r="H9" s="199">
        <v>1805.123712822824</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109</v>
      </c>
      <c r="D10" s="206">
        <v>5154.3275553889907</v>
      </c>
      <c r="E10" s="199">
        <v>5128.7336578689474</v>
      </c>
      <c r="F10" s="199">
        <v>4818.8629000000001</v>
      </c>
      <c r="G10" s="199">
        <v>5136.4238000000005</v>
      </c>
      <c r="H10" s="199">
        <v>5370.5629296899106</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110</v>
      </c>
      <c r="D11" s="206">
        <v>504.2062703900001</v>
      </c>
      <c r="E11" s="199">
        <v>483.572850122349</v>
      </c>
      <c r="F11" s="199">
        <v>458.89049999999997</v>
      </c>
      <c r="G11" s="199">
        <v>459.54320000000001</v>
      </c>
      <c r="H11" s="199">
        <v>443.34236554292528</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111</v>
      </c>
      <c r="D12" s="206">
        <v>1360.3756041721176</v>
      </c>
      <c r="E12" s="199">
        <v>1265.317381032967</v>
      </c>
      <c r="F12" s="199">
        <v>1229.3657000000001</v>
      </c>
      <c r="G12" s="199">
        <v>1272.7579999999998</v>
      </c>
      <c r="H12" s="199">
        <v>1331.8813203059331</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112</v>
      </c>
      <c r="D13" s="206">
        <v>583.28799962744381</v>
      </c>
      <c r="E13" s="199">
        <v>565.39478547990996</v>
      </c>
      <c r="F13" s="199">
        <v>548.62360000000001</v>
      </c>
      <c r="G13" s="199">
        <v>544.83370000000002</v>
      </c>
      <c r="H13" s="199">
        <v>525.71209150294226</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113</v>
      </c>
      <c r="D14" s="206">
        <v>18252.719887885061</v>
      </c>
      <c r="E14" s="199">
        <v>16682.847508843974</v>
      </c>
      <c r="F14" s="199">
        <v>16295.164499999999</v>
      </c>
      <c r="G14" s="199">
        <v>16558.427599999999</v>
      </c>
      <c r="H14" s="199">
        <v>16396.184374848901</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114</v>
      </c>
      <c r="D15" s="206">
        <v>6052.2515387478843</v>
      </c>
      <c r="E15" s="199">
        <v>5769.8616727597328</v>
      </c>
      <c r="F15" s="199">
        <v>5611.6895000000004</v>
      </c>
      <c r="G15" s="199">
        <v>5380.7867999999999</v>
      </c>
      <c r="H15" s="199">
        <v>5456.4157339571666</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115</v>
      </c>
      <c r="D16" s="206">
        <v>1786.6110919015218</v>
      </c>
      <c r="E16" s="199">
        <v>1829.2402935058633</v>
      </c>
      <c r="F16" s="199">
        <v>1842.5391</v>
      </c>
      <c r="G16" s="199">
        <v>1827.85</v>
      </c>
      <c r="H16" s="199">
        <v>1848.9092170063288</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116</v>
      </c>
      <c r="D18" s="207">
        <f>SUM(D6:D17)</f>
        <v>42393.475294086733</v>
      </c>
      <c r="E18" s="201">
        <f>SUM(E6:E17)</f>
        <v>40440.431389253405</v>
      </c>
      <c r="F18" s="201">
        <f>SUM(F6:F17)</f>
        <v>39985.374199999998</v>
      </c>
      <c r="G18" s="201">
        <f>SUM(G6:G17)</f>
        <v>40699.614199999996</v>
      </c>
      <c r="H18" s="201">
        <f t="shared" ref="H18" si="0">SUM(H6:H17)</f>
        <v>40759.967564073864</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117</v>
      </c>
      <c r="D19" s="206">
        <f>75695.7407721752+42.48</f>
        <v>75738.220772175191</v>
      </c>
      <c r="E19" s="199">
        <f>73552.7991341867+44.26</f>
        <v>73597.059134186697</v>
      </c>
      <c r="F19" s="199">
        <f>73331.4685+51.57</f>
        <v>73383.03850000001</v>
      </c>
      <c r="G19" s="199">
        <v>72924.3704</v>
      </c>
      <c r="H19" s="199">
        <v>71621.080980593106</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118</v>
      </c>
      <c r="D20" s="207">
        <f>+D18+D19</f>
        <v>118131.69606626192</v>
      </c>
      <c r="E20" s="201">
        <f>+E18+E19</f>
        <v>114037.49052344009</v>
      </c>
      <c r="F20" s="201">
        <f>+F18+F19</f>
        <v>113368.41270000002</v>
      </c>
      <c r="G20" s="201">
        <f>+G18+G19</f>
        <v>113623.9846</v>
      </c>
      <c r="H20" s="201">
        <f t="shared" ref="H20" si="1">+H18+H19</f>
        <v>112381.04854466696</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119</v>
      </c>
      <c r="D21" s="206">
        <f>-108.674-294.806</f>
        <v>-403.48</v>
      </c>
      <c r="E21" s="203">
        <f>-108.944-302.891</f>
        <v>-411.83500000000004</v>
      </c>
      <c r="F21" s="203">
        <f>-118.913-313.19</f>
        <v>-432.10300000000001</v>
      </c>
      <c r="G21" s="203">
        <v>-527.77</v>
      </c>
      <c r="H21" s="203">
        <v>-502.78473888000002</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120</v>
      </c>
      <c r="D22" s="206">
        <f>-6.289-36.193</f>
        <v>-42.481999999999999</v>
      </c>
      <c r="E22" s="203">
        <f>-37.825-6.436</f>
        <v>-44.261000000000003</v>
      </c>
      <c r="F22" s="203">
        <f>-6.476-45.089</f>
        <v>-51.564999999999998</v>
      </c>
      <c r="G22" s="203">
        <v>-47.35</v>
      </c>
      <c r="H22" s="203">
        <v>-50.080532929999997</v>
      </c>
      <c r="K22" s="127"/>
      <c r="L22" s="197"/>
      <c r="M22" s="127"/>
      <c r="N22" s="127"/>
      <c r="O22" s="127"/>
      <c r="P22" s="243"/>
      <c r="Q22" s="243"/>
      <c r="R22" s="243"/>
      <c r="S22" s="243"/>
      <c r="T22" s="243"/>
      <c r="U22" s="243"/>
      <c r="V22" s="243"/>
      <c r="W22" s="243"/>
      <c r="X22" s="242"/>
      <c r="Y22" s="242"/>
      <c r="Z22" s="242"/>
      <c r="AA22" s="242"/>
    </row>
    <row r="23" spans="1:109" s="123" customFormat="1" ht="12.75">
      <c r="A23" s="119"/>
      <c r="B23" s="358"/>
      <c r="C23" s="202" t="s">
        <v>121</v>
      </c>
      <c r="D23" s="207">
        <f>SUM(D20:D22)</f>
        <v>117685.73406626192</v>
      </c>
      <c r="E23" s="201">
        <f>SUM(E20:E22)</f>
        <v>113581.39452344009</v>
      </c>
      <c r="F23" s="201">
        <f>SUM(F20:F22)</f>
        <v>112884.74470000001</v>
      </c>
      <c r="G23" s="201">
        <f>SUM(G20:G22)</f>
        <v>113048.86459999999</v>
      </c>
      <c r="H23" s="201">
        <f t="shared" ref="H23" si="2">SUM(H20:H22)</f>
        <v>111828.18327285696</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122</v>
      </c>
      <c r="D24" s="206">
        <v>48162.76504868998</v>
      </c>
      <c r="E24" s="199">
        <v>47522.061958350001</v>
      </c>
      <c r="F24" s="199">
        <v>46872.051399999997</v>
      </c>
      <c r="G24" s="199">
        <v>46153.341399999998</v>
      </c>
      <c r="H24" s="199">
        <v>44559.051670249995</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123</v>
      </c>
      <c r="D25" s="208">
        <v>995.63519871999995</v>
      </c>
      <c r="E25" s="204">
        <v>1007.48431772</v>
      </c>
      <c r="F25" s="204">
        <v>1018.1911</v>
      </c>
      <c r="G25" s="204">
        <v>1215.4574</v>
      </c>
      <c r="H25" s="204">
        <v>1015.88665297</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124</v>
      </c>
      <c r="D26" s="207">
        <f>SUM(D23:D25)</f>
        <v>166844.13431367191</v>
      </c>
      <c r="E26" s="201">
        <f>SUM(E23:E25)</f>
        <v>162110.94079951008</v>
      </c>
      <c r="F26" s="201">
        <f>SUM(F23:F25)</f>
        <v>160774.9872</v>
      </c>
      <c r="G26" s="201">
        <f>SUM(G23:G25)</f>
        <v>160417.66339999999</v>
      </c>
      <c r="H26" s="201">
        <f t="shared" ref="H26" si="3">SUM(H23:H25)</f>
        <v>157403.12159607693</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502</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228</v>
      </c>
      <c r="D42" s="169" t="s">
        <v>521</v>
      </c>
      <c r="E42" s="179" t="s">
        <v>409</v>
      </c>
      <c r="F42" s="170" t="s">
        <v>396</v>
      </c>
      <c r="G42" s="170" t="s">
        <v>383</v>
      </c>
      <c r="H42" s="170" t="s">
        <v>370</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229</v>
      </c>
      <c r="D43" s="353">
        <f>D20</f>
        <v>118131.69606626192</v>
      </c>
      <c r="E43" s="354">
        <f>E20</f>
        <v>114037.49052344009</v>
      </c>
      <c r="F43" s="354">
        <f>F20</f>
        <v>113368.41270000002</v>
      </c>
      <c r="G43" s="354">
        <v>108810.51082868567</v>
      </c>
      <c r="H43" s="354">
        <v>104037.30788707999</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235</v>
      </c>
      <c r="D44" s="208">
        <v>19635.3</v>
      </c>
      <c r="E44" s="351">
        <v>17852.3</v>
      </c>
      <c r="F44" s="351">
        <v>17495.699000000001</v>
      </c>
      <c r="G44" s="352">
        <v>17997.95</v>
      </c>
      <c r="H44" s="352">
        <v>17930.877</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49" t="s">
        <v>230</v>
      </c>
      <c r="D45" s="216">
        <f>D43-D44</f>
        <v>98496.396066261921</v>
      </c>
      <c r="E45" s="230">
        <f>E43-E44</f>
        <v>96185.190523440091</v>
      </c>
      <c r="F45" s="230">
        <f>F43-F44</f>
        <v>95872.713700000022</v>
      </c>
      <c r="G45" s="350">
        <v>92339.906828685664</v>
      </c>
      <c r="H45" s="350">
        <v>88732.22988708</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233</v>
      </c>
      <c r="D46" s="208">
        <f>SUM(D24:D25)</f>
        <v>49158.400247409983</v>
      </c>
      <c r="E46" s="351">
        <f>SUM(E24:E25)</f>
        <v>48529.546276070003</v>
      </c>
      <c r="F46" s="351">
        <f>SUM(F24:F25)</f>
        <v>47890.242499999993</v>
      </c>
      <c r="G46" s="352">
        <f>SUM(G24:G25)</f>
        <v>47368.798799999997</v>
      </c>
      <c r="H46" s="352">
        <v>43272.635014380008</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49" t="s">
        <v>237</v>
      </c>
      <c r="D47" s="216">
        <f>D45+D46</f>
        <v>147654.79631367192</v>
      </c>
      <c r="E47" s="230">
        <f>E45+E46</f>
        <v>144714.73679951008</v>
      </c>
      <c r="F47" s="230">
        <f>F45+F46</f>
        <v>143762.95620000002</v>
      </c>
      <c r="G47" s="350">
        <v>137374.71803804563</v>
      </c>
      <c r="H47" s="350">
        <v>132004.86490146001</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5" t="s">
        <v>232</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A86" sqref="A86"/>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503</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521</v>
      </c>
      <c r="E5" s="170" t="s">
        <v>484</v>
      </c>
      <c r="F5" s="170" t="s">
        <v>409</v>
      </c>
      <c r="G5" s="170" t="s">
        <v>396</v>
      </c>
      <c r="H5" s="170" t="s">
        <v>383</v>
      </c>
      <c r="I5" s="226"/>
      <c r="J5" s="227"/>
    </row>
    <row r="6" spans="1:24" ht="14.25" customHeight="1">
      <c r="B6" s="24"/>
      <c r="C6" s="214" t="s">
        <v>117</v>
      </c>
      <c r="D6" s="219">
        <v>51588.224787510073</v>
      </c>
      <c r="E6" s="224">
        <v>49040.33</v>
      </c>
      <c r="F6" s="224">
        <v>48689.49</v>
      </c>
      <c r="G6" s="209">
        <v>48332.37</v>
      </c>
      <c r="H6" s="210">
        <v>48858.364974030097</v>
      </c>
      <c r="I6" s="228"/>
      <c r="J6" s="228"/>
      <c r="R6" s="243"/>
      <c r="S6" s="243"/>
      <c r="T6" s="243"/>
      <c r="U6" s="243"/>
      <c r="V6" s="243"/>
      <c r="W6" s="243"/>
      <c r="X6" s="243"/>
    </row>
    <row r="7" spans="1:24">
      <c r="B7" s="24"/>
      <c r="C7" s="25" t="s">
        <v>105</v>
      </c>
      <c r="D7" s="219">
        <v>8655.2922976100053</v>
      </c>
      <c r="E7" s="224">
        <v>7398.93</v>
      </c>
      <c r="F7" s="224">
        <v>6798.38</v>
      </c>
      <c r="G7" s="209">
        <v>6959.32</v>
      </c>
      <c r="H7" s="210">
        <v>6755.9251911000019</v>
      </c>
      <c r="I7" s="228"/>
      <c r="J7" s="228"/>
      <c r="R7" s="243"/>
      <c r="S7" s="243"/>
      <c r="T7" s="243"/>
      <c r="U7" s="243"/>
      <c r="V7" s="243"/>
      <c r="W7" s="243"/>
      <c r="X7" s="243"/>
    </row>
    <row r="8" spans="1:24" ht="14.25" customHeight="1">
      <c r="B8" s="24"/>
      <c r="C8" s="25" t="s">
        <v>106</v>
      </c>
      <c r="D8" s="219">
        <v>1395.4788021699981</v>
      </c>
      <c r="E8" s="224">
        <v>1470.2</v>
      </c>
      <c r="F8" s="224">
        <v>1139.8800000000001</v>
      </c>
      <c r="G8" s="209">
        <v>1245.71</v>
      </c>
      <c r="H8" s="210">
        <v>1240.8334177300007</v>
      </c>
      <c r="I8" s="228"/>
      <c r="J8" s="228"/>
      <c r="R8" s="243"/>
      <c r="S8" s="243"/>
      <c r="T8" s="243"/>
      <c r="U8" s="243"/>
      <c r="V8" s="243"/>
      <c r="W8" s="243"/>
      <c r="X8" s="243"/>
    </row>
    <row r="9" spans="1:24" ht="14.25" customHeight="1">
      <c r="B9" s="99"/>
      <c r="C9" s="25" t="s">
        <v>107</v>
      </c>
      <c r="D9" s="219">
        <v>505.54087925999988</v>
      </c>
      <c r="E9" s="224">
        <v>466.58</v>
      </c>
      <c r="F9" s="224">
        <v>454.08</v>
      </c>
      <c r="G9" s="209">
        <v>479.22</v>
      </c>
      <c r="H9" s="210">
        <v>460.94915398999956</v>
      </c>
      <c r="I9" s="228"/>
      <c r="J9" s="228"/>
      <c r="R9" s="243"/>
      <c r="S9" s="243"/>
      <c r="T9" s="243"/>
      <c r="U9" s="243"/>
      <c r="V9" s="243"/>
      <c r="W9" s="243"/>
      <c r="X9" s="243"/>
    </row>
    <row r="10" spans="1:24" ht="14.25" customHeight="1">
      <c r="B10" s="101"/>
      <c r="C10" s="25" t="s">
        <v>108</v>
      </c>
      <c r="D10" s="219">
        <v>1045.6121436900009</v>
      </c>
      <c r="E10" s="224">
        <v>1038.3699999999999</v>
      </c>
      <c r="F10" s="224">
        <v>1153.25</v>
      </c>
      <c r="G10" s="209">
        <v>1001.7</v>
      </c>
      <c r="H10" s="210">
        <v>928.08410359000095</v>
      </c>
      <c r="I10" s="228"/>
      <c r="J10" s="228"/>
      <c r="R10" s="243"/>
      <c r="S10" s="243"/>
      <c r="T10" s="243"/>
      <c r="U10" s="243"/>
      <c r="V10" s="243"/>
      <c r="W10" s="243"/>
      <c r="X10" s="243"/>
    </row>
    <row r="11" spans="1:24" ht="14.25" customHeight="1">
      <c r="B11" s="101"/>
      <c r="C11" s="25" t="s">
        <v>125</v>
      </c>
      <c r="D11" s="219">
        <v>1981.5573256700022</v>
      </c>
      <c r="E11" s="224">
        <v>2091.87</v>
      </c>
      <c r="F11" s="224">
        <v>2186.0700000000002</v>
      </c>
      <c r="G11" s="209">
        <v>2077.7800000000002</v>
      </c>
      <c r="H11" s="210">
        <v>2134.9773556299979</v>
      </c>
      <c r="I11" s="228"/>
      <c r="J11" s="228"/>
      <c r="R11" s="243"/>
      <c r="S11" s="243"/>
      <c r="T11" s="243"/>
      <c r="U11" s="243"/>
      <c r="V11" s="243"/>
      <c r="W11" s="243"/>
      <c r="X11" s="243"/>
    </row>
    <row r="12" spans="1:24" ht="14.25" customHeight="1">
      <c r="B12" s="99"/>
      <c r="C12" s="25" t="s">
        <v>110</v>
      </c>
      <c r="D12" s="219">
        <v>105.12583816999997</v>
      </c>
      <c r="E12" s="224">
        <v>108.91</v>
      </c>
      <c r="F12" s="224">
        <v>104.72</v>
      </c>
      <c r="G12" s="209">
        <v>107.81</v>
      </c>
      <c r="H12" s="210">
        <v>314.13980852000009</v>
      </c>
      <c r="I12" s="228"/>
      <c r="J12" s="228"/>
      <c r="R12" s="243"/>
      <c r="S12" s="243"/>
      <c r="T12" s="243"/>
      <c r="U12" s="243"/>
      <c r="V12" s="243"/>
      <c r="W12" s="243"/>
      <c r="X12" s="243"/>
    </row>
    <row r="13" spans="1:24" ht="14.25" customHeight="1">
      <c r="B13" s="101"/>
      <c r="C13" s="25" t="s">
        <v>111</v>
      </c>
      <c r="D13" s="219">
        <v>2684.8057339199859</v>
      </c>
      <c r="E13" s="224">
        <v>2308.6999999999998</v>
      </c>
      <c r="F13" s="224">
        <v>2198.81</v>
      </c>
      <c r="G13" s="209">
        <v>2159.41</v>
      </c>
      <c r="H13" s="210">
        <v>1947.1952784600035</v>
      </c>
      <c r="I13" s="228"/>
      <c r="J13" s="228"/>
      <c r="R13" s="243"/>
      <c r="S13" s="243"/>
      <c r="T13" s="243"/>
      <c r="U13" s="243"/>
      <c r="V13" s="243"/>
      <c r="W13" s="243"/>
      <c r="X13" s="243"/>
    </row>
    <row r="14" spans="1:24" ht="14.25" customHeight="1">
      <c r="B14" s="101"/>
      <c r="C14" s="25" t="s">
        <v>112</v>
      </c>
      <c r="D14" s="219">
        <v>416.22419070999996</v>
      </c>
      <c r="E14" s="224">
        <v>363.41</v>
      </c>
      <c r="F14" s="224">
        <v>368.76</v>
      </c>
      <c r="G14" s="209">
        <v>378.29</v>
      </c>
      <c r="H14" s="210">
        <v>340.83875581000012</v>
      </c>
      <c r="I14" s="228"/>
      <c r="J14" s="228"/>
      <c r="R14" s="243"/>
      <c r="S14" s="243"/>
      <c r="T14" s="243"/>
      <c r="U14" s="243"/>
      <c r="V14" s="243"/>
      <c r="W14" s="243"/>
      <c r="X14" s="243"/>
    </row>
    <row r="15" spans="1:24" ht="14.25" customHeight="1">
      <c r="B15" s="99"/>
      <c r="C15" s="25" t="s">
        <v>113</v>
      </c>
      <c r="D15" s="219">
        <v>4820.0310620099954</v>
      </c>
      <c r="E15" s="224">
        <v>4489.6499999999996</v>
      </c>
      <c r="F15" s="224">
        <v>3958.4</v>
      </c>
      <c r="G15" s="209">
        <v>4647.93</v>
      </c>
      <c r="H15" s="210">
        <v>4667.6507060999957</v>
      </c>
      <c r="I15" s="228"/>
      <c r="J15" s="228"/>
      <c r="R15" s="243"/>
      <c r="S15" s="243"/>
      <c r="T15" s="243"/>
      <c r="U15" s="243"/>
      <c r="V15" s="243"/>
      <c r="W15" s="243"/>
      <c r="X15" s="243"/>
    </row>
    <row r="16" spans="1:24" ht="14.25" customHeight="1">
      <c r="B16" s="101"/>
      <c r="C16" s="25" t="s">
        <v>114</v>
      </c>
      <c r="D16" s="219">
        <v>17644.270320110074</v>
      </c>
      <c r="E16" s="224">
        <v>17296.25</v>
      </c>
      <c r="F16" s="224">
        <v>17213.509999999998</v>
      </c>
      <c r="G16" s="209">
        <v>16767.57210451</v>
      </c>
      <c r="H16" s="210">
        <v>16620.914269619901</v>
      </c>
      <c r="I16" s="228"/>
      <c r="J16" s="228"/>
      <c r="R16" s="243"/>
      <c r="S16" s="243"/>
      <c r="T16" s="243"/>
      <c r="U16" s="243"/>
      <c r="V16" s="243"/>
      <c r="W16" s="243"/>
      <c r="X16" s="243"/>
    </row>
    <row r="17" spans="2:24" ht="14.25" customHeight="1">
      <c r="B17" s="99"/>
      <c r="C17" s="25" t="s">
        <v>126</v>
      </c>
      <c r="D17" s="219">
        <v>1708.5677545099977</v>
      </c>
      <c r="E17" s="224">
        <v>1402.99</v>
      </c>
      <c r="F17" s="224">
        <v>1347.54</v>
      </c>
      <c r="G17" s="209">
        <v>1338.55</v>
      </c>
      <c r="H17" s="210">
        <v>1211.2784572399983</v>
      </c>
      <c r="I17" s="228"/>
      <c r="J17" s="228"/>
      <c r="R17" s="243"/>
      <c r="S17" s="243"/>
      <c r="T17" s="243"/>
      <c r="U17" s="243"/>
      <c r="V17" s="243"/>
      <c r="W17" s="243"/>
      <c r="X17" s="243"/>
    </row>
    <row r="18" spans="2:24" ht="14.25" customHeight="1">
      <c r="B18" s="99"/>
      <c r="C18" s="211" t="s">
        <v>127</v>
      </c>
      <c r="D18" s="208">
        <v>0</v>
      </c>
      <c r="E18" s="224">
        <v>0</v>
      </c>
      <c r="F18" s="224">
        <v>0</v>
      </c>
      <c r="G18" s="209">
        <v>0</v>
      </c>
      <c r="H18" s="212">
        <v>0</v>
      </c>
      <c r="I18" s="228"/>
      <c r="J18" s="228"/>
      <c r="R18" s="243"/>
      <c r="S18" s="243"/>
      <c r="T18" s="243"/>
      <c r="U18" s="243"/>
      <c r="V18" s="243"/>
      <c r="W18" s="243"/>
      <c r="X18" s="243"/>
    </row>
    <row r="19" spans="2:24" ht="14.25" customHeight="1">
      <c r="B19" s="99"/>
      <c r="C19" s="213" t="s">
        <v>128</v>
      </c>
      <c r="D19" s="216">
        <f>SUM(D6:D18)</f>
        <v>92550.731135340146</v>
      </c>
      <c r="E19" s="225">
        <f>SUM(E6:E18)</f>
        <v>87476.190000000017</v>
      </c>
      <c r="F19" s="225">
        <f>SUM(F6:F18)</f>
        <v>85612.889999999985</v>
      </c>
      <c r="G19" s="225">
        <f>SUM(G6:G18)</f>
        <v>85495.662104509989</v>
      </c>
      <c r="H19" s="225">
        <f>SUM(H6:H18)</f>
        <v>85481.151471819991</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504</v>
      </c>
    </row>
    <row r="40" spans="1:29">
      <c r="C40" s="237" t="s">
        <v>231</v>
      </c>
      <c r="D40" s="169" t="s">
        <v>521</v>
      </c>
      <c r="E40" s="170" t="s">
        <v>484</v>
      </c>
      <c r="F40" s="170" t="s">
        <v>409</v>
      </c>
      <c r="G40" s="170" t="s">
        <v>396</v>
      </c>
      <c r="H40" s="170" t="s">
        <v>383</v>
      </c>
    </row>
    <row r="41" spans="1:29">
      <c r="C41" s="214" t="s">
        <v>234</v>
      </c>
      <c r="D41" s="353">
        <f>D19</f>
        <v>92550.731135340146</v>
      </c>
      <c r="E41" s="354">
        <v>85495.662104509989</v>
      </c>
      <c r="F41" s="354">
        <v>85495.662104509989</v>
      </c>
      <c r="G41" s="354">
        <v>85481.151471819991</v>
      </c>
      <c r="H41" s="354">
        <v>79901.205413700009</v>
      </c>
    </row>
    <row r="42" spans="1:29">
      <c r="C42" s="211" t="s">
        <v>236</v>
      </c>
      <c r="D42" s="208">
        <v>12756</v>
      </c>
      <c r="E42" s="351">
        <v>12136.7</v>
      </c>
      <c r="F42" s="351">
        <v>11009.71</v>
      </c>
      <c r="G42" s="352">
        <v>12123.2</v>
      </c>
      <c r="H42" s="352">
        <v>11811.54</v>
      </c>
    </row>
    <row r="43" spans="1:29">
      <c r="C43" s="349" t="s">
        <v>230</v>
      </c>
      <c r="D43" s="216">
        <f>D41-D42</f>
        <v>79794.731135340146</v>
      </c>
      <c r="E43" s="230">
        <f>E41-E42</f>
        <v>73358.962104509992</v>
      </c>
      <c r="F43" s="230">
        <f t="shared" ref="F43:H43" si="0">F41-F42</f>
        <v>74485.952104509983</v>
      </c>
      <c r="G43" s="350">
        <f t="shared" si="0"/>
        <v>73357.951471819993</v>
      </c>
      <c r="H43" s="350">
        <f t="shared" si="0"/>
        <v>68089.665413700015</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K19"/>
  <sheetViews>
    <sheetView showGridLines="0" zoomScale="85" zoomScaleNormal="85" workbookViewId="0">
      <selection activeCell="A101" sqref="A101"/>
    </sheetView>
  </sheetViews>
  <sheetFormatPr baseColWidth="10" defaultColWidth="11.42578125" defaultRowHeight="12.75"/>
  <cols>
    <col min="2" max="2" width="4.85546875" customWidth="1"/>
    <col min="3" max="3" width="15.140625" bestFit="1" customWidth="1"/>
  </cols>
  <sheetData>
    <row r="2" spans="1:11" ht="15">
      <c r="A2" s="138" t="s">
        <v>505</v>
      </c>
      <c r="B2" s="98"/>
      <c r="C2" s="98"/>
      <c r="D2" s="98"/>
      <c r="E2" s="97"/>
      <c r="F2" s="97"/>
      <c r="G2" s="97"/>
      <c r="H2" s="68"/>
    </row>
    <row r="3" spans="1:11" ht="15">
      <c r="A3" s="138"/>
      <c r="B3" s="98"/>
      <c r="C3" s="98"/>
      <c r="D3" s="98"/>
      <c r="E3" s="97"/>
      <c r="F3" s="97"/>
      <c r="G3" s="97"/>
      <c r="H3" s="68"/>
    </row>
    <row r="4" spans="1:11" ht="15">
      <c r="A4" s="138"/>
      <c r="B4" s="95"/>
      <c r="C4" s="95"/>
      <c r="D4" s="96"/>
      <c r="E4" s="97"/>
      <c r="F4" s="97"/>
      <c r="G4" s="97"/>
      <c r="H4" s="68"/>
    </row>
    <row r="5" spans="1:11" ht="15">
      <c r="A5" s="138"/>
      <c r="B5" s="98"/>
      <c r="C5" s="108" t="s">
        <v>2</v>
      </c>
      <c r="D5" s="169" t="s">
        <v>521</v>
      </c>
      <c r="E5" s="170" t="s">
        <v>484</v>
      </c>
      <c r="F5" s="170" t="s">
        <v>409</v>
      </c>
      <c r="G5" s="170" t="s">
        <v>396</v>
      </c>
      <c r="H5" s="170" t="s">
        <v>383</v>
      </c>
    </row>
    <row r="6" spans="1:11" ht="14.25">
      <c r="A6" s="68"/>
      <c r="B6" s="24"/>
      <c r="C6" s="214" t="s">
        <v>225</v>
      </c>
      <c r="D6" s="219">
        <v>365943</v>
      </c>
      <c r="E6" s="224">
        <v>361482</v>
      </c>
      <c r="F6" s="224">
        <v>365108</v>
      </c>
      <c r="G6" s="209">
        <v>362430</v>
      </c>
      <c r="H6" s="210">
        <v>356575</v>
      </c>
    </row>
    <row r="9" spans="1:11">
      <c r="C9" s="345" t="s">
        <v>226</v>
      </c>
    </row>
    <row r="16" spans="1:11">
      <c r="C16" s="193"/>
      <c r="D16" s="193"/>
      <c r="E16" s="193"/>
      <c r="F16" s="193"/>
      <c r="G16" s="193"/>
      <c r="H16" s="193"/>
      <c r="I16" s="193"/>
      <c r="J16" s="193"/>
      <c r="K16" s="193"/>
    </row>
    <row r="17" spans="3:11">
      <c r="C17" s="193"/>
      <c r="D17" s="405"/>
      <c r="E17" s="405"/>
      <c r="F17" s="405"/>
      <c r="G17" s="405"/>
      <c r="H17" s="405"/>
      <c r="I17" s="405"/>
      <c r="J17" s="193"/>
      <c r="K17" s="193"/>
    </row>
    <row r="18" spans="3:11">
      <c r="C18" s="193"/>
      <c r="D18" s="193"/>
      <c r="E18" s="193"/>
      <c r="F18" s="193"/>
      <c r="G18" s="193"/>
      <c r="H18" s="193"/>
      <c r="I18" s="193"/>
      <c r="J18" s="193"/>
      <c r="K18" s="193"/>
    </row>
    <row r="19" spans="3:11">
      <c r="C19" s="193"/>
      <c r="D19" s="193"/>
      <c r="E19" s="193"/>
      <c r="F19" s="193"/>
      <c r="G19" s="193"/>
      <c r="H19" s="193"/>
      <c r="I19" s="193"/>
      <c r="J19" s="193"/>
      <c r="K19" s="193"/>
    </row>
  </sheetData>
  <sortState xmlns:xlrd2="http://schemas.microsoft.com/office/spreadsheetml/2017/richdata2" columnSort="1" ref="D16:I17">
    <sortCondition descending="1" ref="D16:I16"/>
  </sortState>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A83" sqref="A83"/>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138" t="s">
        <v>506</v>
      </c>
    </row>
    <row r="5" spans="1:7" ht="31.5" customHeight="1">
      <c r="B5" s="393"/>
      <c r="C5" s="394" t="s">
        <v>384</v>
      </c>
      <c r="D5" s="394" t="s">
        <v>385</v>
      </c>
      <c r="E5" s="400" t="s">
        <v>485</v>
      </c>
      <c r="F5" s="394" t="s">
        <v>486</v>
      </c>
      <c r="G5" s="400" t="s">
        <v>75</v>
      </c>
    </row>
    <row r="6" spans="1:7">
      <c r="B6" t="s">
        <v>387</v>
      </c>
      <c r="C6" s="395">
        <v>75.262999999999991</v>
      </c>
      <c r="D6" s="395">
        <v>164.34</v>
      </c>
      <c r="E6" s="401">
        <v>239.60300000000001</v>
      </c>
      <c r="F6" s="396">
        <v>85</v>
      </c>
      <c r="G6" s="401">
        <v>320.79000000000002</v>
      </c>
    </row>
    <row r="7" spans="1:7">
      <c r="B7" s="392" t="s">
        <v>388</v>
      </c>
      <c r="C7" s="396">
        <v>414.68</v>
      </c>
      <c r="D7" s="396">
        <v>745.26</v>
      </c>
      <c r="E7" s="401">
        <v>1159.94</v>
      </c>
      <c r="F7" s="396">
        <v>174.4</v>
      </c>
      <c r="G7" s="401">
        <v>1330.527</v>
      </c>
    </row>
    <row r="8" spans="1:7">
      <c r="B8" s="391" t="s">
        <v>389</v>
      </c>
      <c r="C8" s="397">
        <v>59.646999999999991</v>
      </c>
      <c r="D8" s="397">
        <v>102.29300000000001</v>
      </c>
      <c r="E8" s="402">
        <v>161.94</v>
      </c>
      <c r="F8" s="397">
        <v>63.6</v>
      </c>
      <c r="G8" s="402">
        <v>221.727</v>
      </c>
    </row>
    <row r="9" spans="1:7">
      <c r="B9" s="398" t="s">
        <v>390</v>
      </c>
      <c r="C9" s="399">
        <v>141.5848</v>
      </c>
      <c r="D9" s="399">
        <v>274.3193</v>
      </c>
      <c r="E9" s="399">
        <v>415.90410000000003</v>
      </c>
      <c r="F9" s="399">
        <v>100.74</v>
      </c>
      <c r="G9" s="399">
        <v>512.83109999999999</v>
      </c>
    </row>
    <row r="10" spans="1:7">
      <c r="B10" t="s">
        <v>391</v>
      </c>
      <c r="C10" s="395">
        <v>107.64309999999999</v>
      </c>
      <c r="D10" s="403">
        <v>216.22729999999999</v>
      </c>
      <c r="E10" s="401">
        <v>323.87040000000007</v>
      </c>
      <c r="F10" s="396">
        <v>91.8</v>
      </c>
      <c r="G10" s="401">
        <v>411.85740000000004</v>
      </c>
    </row>
    <row r="11" spans="1:7">
      <c r="B11" t="s">
        <v>392</v>
      </c>
      <c r="C11" s="395">
        <v>124.61394999999999</v>
      </c>
      <c r="D11" s="395">
        <v>245.27329999999998</v>
      </c>
      <c r="E11" s="401">
        <v>369.88725000000005</v>
      </c>
      <c r="F11" s="396">
        <v>96.27</v>
      </c>
      <c r="G11" s="401">
        <v>462.34425000000005</v>
      </c>
    </row>
    <row r="12" spans="1:7">
      <c r="B12" t="s">
        <v>393</v>
      </c>
      <c r="C12" s="395">
        <v>158.55564999999999</v>
      </c>
      <c r="D12" s="395">
        <v>303.36530000000005</v>
      </c>
      <c r="E12" s="401">
        <v>461.92095</v>
      </c>
      <c r="F12" s="396">
        <v>105.21</v>
      </c>
      <c r="G12" s="401">
        <v>563.31795</v>
      </c>
    </row>
    <row r="13" spans="1:7">
      <c r="B13" s="391" t="s">
        <v>394</v>
      </c>
      <c r="C13" s="397">
        <v>175.5265</v>
      </c>
      <c r="D13" s="397">
        <v>332.41130000000004</v>
      </c>
      <c r="E13" s="402">
        <v>507.93780000000004</v>
      </c>
      <c r="F13" s="397">
        <v>109.67999999999999</v>
      </c>
      <c r="G13" s="402">
        <v>613.8048</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6"/>
  <sheetViews>
    <sheetView showGridLines="0" zoomScale="140" zoomScaleNormal="140" zoomScaleSheetLayoutView="90" workbookViewId="0">
      <selection activeCell="A68" sqref="A6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56</v>
      </c>
      <c r="B2" s="75"/>
      <c r="C2" s="76"/>
      <c r="D2" s="76"/>
    </row>
    <row r="3" spans="1:4" s="78" customFormat="1" ht="12" customHeight="1"/>
    <row r="4" spans="1:4" s="81" customFormat="1" ht="15" customHeight="1">
      <c r="A4" s="79" t="s">
        <v>66</v>
      </c>
      <c r="B4" s="80"/>
    </row>
    <row r="5" spans="1:4" s="83" customFormat="1" ht="12.95" customHeight="1">
      <c r="A5" s="82" t="s">
        <v>65</v>
      </c>
      <c r="B5" s="82"/>
      <c r="C5" s="88" t="s">
        <v>132</v>
      </c>
      <c r="D5" s="88" t="s">
        <v>131</v>
      </c>
    </row>
    <row r="6" spans="1:4" s="78" customFormat="1" ht="12" customHeight="1"/>
    <row r="7" spans="1:4" s="81" customFormat="1" ht="15" customHeight="1">
      <c r="A7" s="79" t="s">
        <v>57</v>
      </c>
      <c r="B7" s="80"/>
    </row>
    <row r="8" spans="1:4" s="83" customFormat="1" ht="12.95" customHeight="1">
      <c r="A8" s="84" t="s">
        <v>63</v>
      </c>
      <c r="B8" s="84"/>
      <c r="C8" s="84" t="s">
        <v>64</v>
      </c>
      <c r="D8" s="85" t="s">
        <v>62</v>
      </c>
    </row>
    <row r="9" spans="1:4" s="83" customFormat="1" ht="12.95" customHeight="1">
      <c r="A9" s="84" t="s">
        <v>94</v>
      </c>
      <c r="B9" s="84"/>
      <c r="C9" s="82" t="s">
        <v>95</v>
      </c>
      <c r="D9" s="85" t="s">
        <v>96</v>
      </c>
    </row>
    <row r="10" spans="1:4" s="83" customFormat="1" ht="12.95" customHeight="1">
      <c r="A10" s="82"/>
      <c r="B10" s="82"/>
      <c r="C10" s="82"/>
      <c r="D10" s="86"/>
    </row>
    <row r="11" spans="1:4" s="78" customFormat="1" ht="12" customHeight="1"/>
    <row r="12" spans="1:4" s="81" customFormat="1" ht="15" customHeight="1">
      <c r="A12" s="79" t="s">
        <v>58</v>
      </c>
      <c r="B12" s="80"/>
      <c r="D12" s="87"/>
    </row>
    <row r="13" spans="1:4" s="83" customFormat="1" ht="12.95" customHeight="1">
      <c r="A13" s="82" t="s">
        <v>69</v>
      </c>
      <c r="B13" s="82"/>
      <c r="C13" s="82"/>
      <c r="D13" s="87"/>
    </row>
    <row r="14" spans="1:4" s="83" customFormat="1" ht="12.95" customHeight="1">
      <c r="A14" s="82" t="s">
        <v>68</v>
      </c>
      <c r="B14" s="82"/>
      <c r="C14" s="82"/>
      <c r="D14" s="87"/>
    </row>
    <row r="15" spans="1:4" s="78" customFormat="1" ht="12" customHeight="1"/>
    <row r="16" spans="1:4" s="81" customFormat="1" ht="15" customHeight="1">
      <c r="A16" s="79" t="s">
        <v>59</v>
      </c>
      <c r="B16" s="80"/>
      <c r="D16" s="87"/>
    </row>
    <row r="17" spans="1:7" s="83" customFormat="1" ht="12.95" customHeight="1">
      <c r="A17" s="88" t="s">
        <v>67</v>
      </c>
      <c r="B17" s="82"/>
      <c r="C17" s="82"/>
      <c r="D17" s="87"/>
    </row>
    <row r="18" spans="1:7" s="83" customFormat="1" ht="12.95" customHeight="1">
      <c r="A18" s="82"/>
      <c r="B18" s="82"/>
      <c r="C18" s="82"/>
      <c r="D18" s="87"/>
    </row>
    <row r="19" spans="1:7" s="81" customFormat="1" ht="15" customHeight="1">
      <c r="A19" s="79" t="s">
        <v>60</v>
      </c>
      <c r="B19" s="80"/>
    </row>
    <row r="20" spans="1:7" s="83" customFormat="1" ht="12.95" customHeight="1">
      <c r="A20" s="82" t="s">
        <v>137</v>
      </c>
      <c r="B20" s="247" t="s">
        <v>138</v>
      </c>
      <c r="C20" s="82"/>
      <c r="D20" s="87"/>
    </row>
    <row r="21" spans="1:7" ht="30" customHeight="1"/>
    <row r="22" spans="1:7" s="91" customFormat="1" ht="26.25">
      <c r="A22" s="74" t="s">
        <v>61</v>
      </c>
      <c r="B22" s="75"/>
      <c r="C22" s="90"/>
      <c r="D22" s="76"/>
    </row>
    <row r="23" spans="1:7" ht="9" customHeight="1"/>
    <row r="24" spans="1:7" ht="15" customHeight="1">
      <c r="A24" s="372">
        <v>2021</v>
      </c>
    </row>
    <row r="25" spans="1:7" s="83" customFormat="1" ht="12.95" customHeight="1">
      <c r="A25" s="359" t="s">
        <v>398</v>
      </c>
      <c r="B25" s="360" t="s">
        <v>399</v>
      </c>
      <c r="C25" s="82"/>
      <c r="D25" s="87"/>
      <c r="E25" s="93"/>
    </row>
    <row r="26" spans="1:7" s="83" customFormat="1" ht="12.95" customHeight="1">
      <c r="A26" s="359" t="s">
        <v>400</v>
      </c>
      <c r="B26" s="360" t="s">
        <v>401</v>
      </c>
      <c r="C26" s="82"/>
      <c r="D26" s="87"/>
      <c r="E26" s="92"/>
    </row>
    <row r="27" spans="1:7" s="83" customFormat="1" ht="12.95" customHeight="1">
      <c r="A27" s="359" t="s">
        <v>411</v>
      </c>
      <c r="B27" s="360" t="s">
        <v>410</v>
      </c>
      <c r="C27" s="82"/>
      <c r="D27" s="87"/>
      <c r="E27" s="92"/>
    </row>
    <row r="28" spans="1:7" s="83" customFormat="1" ht="12.95" customHeight="1">
      <c r="A28" s="359" t="s">
        <v>413</v>
      </c>
      <c r="B28" s="360" t="s">
        <v>412</v>
      </c>
      <c r="C28" s="82"/>
      <c r="D28" s="87"/>
      <c r="E28" s="92"/>
    </row>
    <row r="29" spans="1:7" s="83" customFormat="1" ht="12.95" customHeight="1">
      <c r="A29" s="359" t="s">
        <v>415</v>
      </c>
      <c r="B29" s="360" t="s">
        <v>414</v>
      </c>
      <c r="C29" s="82"/>
      <c r="D29" s="87"/>
      <c r="E29" s="92"/>
    </row>
    <row r="30" spans="1:7" s="83" customFormat="1" ht="12.95" customHeight="1">
      <c r="A30" s="359" t="s">
        <v>403</v>
      </c>
      <c r="B30" s="360" t="s">
        <v>402</v>
      </c>
      <c r="C30" s="82"/>
      <c r="D30" s="87"/>
      <c r="G30" s="92"/>
    </row>
    <row r="31" spans="1:7" s="83" customFormat="1" ht="12.95" customHeight="1">
      <c r="A31" s="92" t="s">
        <v>404</v>
      </c>
      <c r="B31" s="84" t="s">
        <v>406</v>
      </c>
      <c r="C31" s="82"/>
      <c r="D31" s="87"/>
      <c r="G31" s="92"/>
    </row>
    <row r="32" spans="1:7" s="83" customFormat="1" ht="12.95" customHeight="1">
      <c r="A32" s="92" t="s">
        <v>405</v>
      </c>
      <c r="B32" s="84" t="s">
        <v>407</v>
      </c>
      <c r="C32" s="82"/>
      <c r="D32" s="87"/>
      <c r="G32" s="92"/>
    </row>
    <row r="33" spans="1:7" s="83" customFormat="1" ht="12.95" customHeight="1">
      <c r="A33" s="92"/>
      <c r="B33" s="84"/>
      <c r="C33" s="82"/>
      <c r="D33" s="87"/>
      <c r="F33" s="89"/>
      <c r="G33" s="89"/>
    </row>
    <row r="34" spans="1:7" s="83" customFormat="1" ht="12.95" customHeight="1">
      <c r="A34" s="92"/>
      <c r="B34" s="84"/>
      <c r="C34" s="82"/>
      <c r="D34" s="87"/>
      <c r="F34" s="89"/>
      <c r="G34" s="89"/>
    </row>
    <row r="35" spans="1:7" s="83" customFormat="1" ht="19.5" customHeight="1">
      <c r="A35" s="82"/>
      <c r="B35" s="82"/>
      <c r="C35" s="93"/>
      <c r="D35" s="87"/>
      <c r="F35" s="89"/>
      <c r="G35" s="89"/>
    </row>
    <row r="36" spans="1:7" ht="21" customHeight="1">
      <c r="A36" s="471"/>
      <c r="B36" s="471"/>
      <c r="C36" s="471"/>
      <c r="D36" s="471"/>
    </row>
  </sheetData>
  <mergeCells count="1">
    <mergeCell ref="A36:D36"/>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8"/>
  <sheetViews>
    <sheetView showGridLines="0" zoomScaleNormal="100" zoomScaleSheetLayoutView="90" workbookViewId="0">
      <selection activeCell="B129" sqref="B129"/>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7"/>
      <c r="C4" s="176" t="s">
        <v>238</v>
      </c>
    </row>
    <row r="5" spans="1:4" ht="14.25" customHeight="1">
      <c r="A5" s="12"/>
      <c r="B5" s="176">
        <v>1</v>
      </c>
      <c r="C5" s="176" t="s">
        <v>133</v>
      </c>
    </row>
    <row r="6" spans="1:4" ht="14.25" customHeight="1">
      <c r="A6" s="12"/>
      <c r="B6" s="176"/>
      <c r="C6" s="176" t="s">
        <v>218</v>
      </c>
      <c r="D6" s="317"/>
    </row>
    <row r="7" spans="1:4" ht="14.25" customHeight="1">
      <c r="A7" s="12"/>
      <c r="B7" s="176"/>
      <c r="C7" s="176" t="s">
        <v>219</v>
      </c>
      <c r="D7" s="317"/>
    </row>
    <row r="8" spans="1:4" ht="14.25" customHeight="1">
      <c r="A8" s="12"/>
      <c r="B8" s="176"/>
      <c r="C8" s="176" t="s">
        <v>220</v>
      </c>
      <c r="D8" s="317"/>
    </row>
    <row r="9" spans="1:4" ht="14.25" customHeight="1">
      <c r="A9" s="12"/>
      <c r="B9" s="176"/>
      <c r="C9" s="176" t="s">
        <v>221</v>
      </c>
      <c r="D9" s="317"/>
    </row>
    <row r="10" spans="1:4" ht="14.25" customHeight="1">
      <c r="A10" s="12"/>
      <c r="B10" s="176"/>
      <c r="C10" s="176" t="s">
        <v>367</v>
      </c>
      <c r="D10" s="317"/>
    </row>
    <row r="11" spans="1:4" ht="14.25" customHeight="1">
      <c r="A11" s="12"/>
      <c r="B11" s="176"/>
      <c r="C11" s="176" t="s">
        <v>368</v>
      </c>
      <c r="D11" s="317"/>
    </row>
    <row r="12" spans="1:4" ht="14.25" customHeight="1">
      <c r="A12" s="12"/>
      <c r="B12" s="176"/>
      <c r="C12" s="176" t="s">
        <v>369</v>
      </c>
      <c r="D12" s="317"/>
    </row>
    <row r="13" spans="1:4" ht="14.25" customHeight="1">
      <c r="A13" s="12"/>
      <c r="B13" s="176"/>
      <c r="C13" s="176" t="s">
        <v>345</v>
      </c>
      <c r="D13" s="317"/>
    </row>
    <row r="14" spans="1:4" ht="14.25" customHeight="1">
      <c r="A14" s="12"/>
      <c r="B14" s="176"/>
      <c r="C14" s="176" t="s">
        <v>346</v>
      </c>
      <c r="D14" s="317"/>
    </row>
    <row r="15" spans="1:4" ht="14.25" customHeight="1">
      <c r="A15" s="12"/>
      <c r="B15" s="176"/>
      <c r="C15" s="176" t="s">
        <v>347</v>
      </c>
      <c r="D15" s="317"/>
    </row>
    <row r="16" spans="1:4" ht="14.25" customHeight="1">
      <c r="A16" s="12"/>
      <c r="B16" s="176"/>
      <c r="C16" s="176" t="s">
        <v>348</v>
      </c>
      <c r="D16" s="317"/>
    </row>
    <row r="17" spans="1:4" ht="14.25" customHeight="1">
      <c r="A17" s="12"/>
      <c r="B17" s="176"/>
      <c r="C17" s="176" t="s">
        <v>349</v>
      </c>
      <c r="D17" s="317"/>
    </row>
    <row r="18" spans="1:4" ht="14.25" customHeight="1">
      <c r="A18" s="12"/>
      <c r="B18" s="176"/>
      <c r="C18" s="176" t="s">
        <v>350</v>
      </c>
      <c r="D18" s="317"/>
    </row>
    <row r="19" spans="1:4" ht="14.25" customHeight="1">
      <c r="A19" s="12"/>
      <c r="B19" s="176"/>
      <c r="C19" s="365" t="s">
        <v>351</v>
      </c>
      <c r="D19" s="317"/>
    </row>
    <row r="20" spans="1:4" ht="14.25" customHeight="1">
      <c r="A20" s="12"/>
      <c r="B20" s="176"/>
      <c r="C20" s="365" t="s">
        <v>352</v>
      </c>
      <c r="D20" s="317"/>
    </row>
    <row r="21" spans="1:4" ht="14.25" customHeight="1">
      <c r="A21" s="12"/>
      <c r="B21" s="176"/>
      <c r="C21" s="176" t="s">
        <v>353</v>
      </c>
      <c r="D21" s="176"/>
    </row>
    <row r="22" spans="1:4" ht="14.25" customHeight="1">
      <c r="A22" s="12"/>
      <c r="B22" s="176"/>
      <c r="C22" s="176" t="s">
        <v>354</v>
      </c>
      <c r="D22" s="252"/>
    </row>
    <row r="23" spans="1:4" ht="14.25" customHeight="1">
      <c r="A23" s="12"/>
      <c r="B23" s="176"/>
      <c r="C23" s="176" t="s">
        <v>355</v>
      </c>
      <c r="D23" s="322"/>
    </row>
    <row r="24" spans="1:4" ht="14.25" customHeight="1">
      <c r="A24" s="12"/>
      <c r="B24" s="176"/>
      <c r="C24" s="176" t="s">
        <v>356</v>
      </c>
      <c r="D24" s="323"/>
    </row>
    <row r="25" spans="1:4" ht="14.25" customHeight="1">
      <c r="A25" s="12"/>
      <c r="B25" s="176"/>
      <c r="C25" s="176" t="s">
        <v>357</v>
      </c>
      <c r="D25" s="323"/>
    </row>
    <row r="26" spans="1:4" ht="14.25" customHeight="1">
      <c r="A26" s="12"/>
      <c r="B26" s="176"/>
      <c r="C26" s="176" t="s">
        <v>358</v>
      </c>
      <c r="D26" s="323"/>
    </row>
    <row r="27" spans="1:4" ht="14.25" customHeight="1">
      <c r="A27" s="12"/>
      <c r="B27" s="176"/>
      <c r="C27" s="176" t="s">
        <v>359</v>
      </c>
      <c r="D27" s="323"/>
    </row>
    <row r="28" spans="1:4" ht="14.25" customHeight="1">
      <c r="A28" s="12"/>
      <c r="B28" s="176"/>
      <c r="C28" s="176" t="s">
        <v>360</v>
      </c>
      <c r="D28" s="323"/>
    </row>
    <row r="29" spans="1:4" ht="14.25" customHeight="1">
      <c r="A29" s="12"/>
      <c r="B29" s="176"/>
      <c r="C29" s="176" t="s">
        <v>361</v>
      </c>
      <c r="D29" s="323"/>
    </row>
    <row r="30" spans="1:4" ht="14.25" customHeight="1">
      <c r="A30" s="12"/>
      <c r="B30" s="176"/>
      <c r="C30" s="176" t="s">
        <v>362</v>
      </c>
      <c r="D30" s="323"/>
    </row>
    <row r="31" spans="1:4" ht="14.25" customHeight="1">
      <c r="A31" s="12"/>
      <c r="B31" s="176"/>
      <c r="C31" s="176" t="s">
        <v>363</v>
      </c>
      <c r="D31" s="323"/>
    </row>
    <row r="32" spans="1:4" ht="14.25" customHeight="1">
      <c r="A32" s="12"/>
      <c r="B32" s="176"/>
      <c r="C32" s="176" t="s">
        <v>364</v>
      </c>
      <c r="D32" s="323"/>
    </row>
    <row r="33" spans="1:5" ht="14.25" customHeight="1">
      <c r="A33" s="12"/>
      <c r="B33" s="176"/>
      <c r="C33" s="176" t="s">
        <v>365</v>
      </c>
      <c r="D33" s="323"/>
    </row>
    <row r="34" spans="1:5" ht="14.25" customHeight="1">
      <c r="A34" s="12"/>
      <c r="B34" s="176"/>
      <c r="C34" s="176" t="s">
        <v>366</v>
      </c>
      <c r="D34" s="323"/>
    </row>
    <row r="35" spans="1:5" s="6" customFormat="1" ht="16.5" customHeight="1">
      <c r="A35" s="5"/>
      <c r="B35" s="176">
        <v>2</v>
      </c>
      <c r="C35" s="176" t="s">
        <v>11</v>
      </c>
      <c r="E35" s="3"/>
    </row>
    <row r="36" spans="1:5" s="6" customFormat="1" ht="16.5" customHeight="1">
      <c r="A36" s="5"/>
      <c r="B36" s="176">
        <v>3</v>
      </c>
      <c r="C36" s="176" t="s">
        <v>507</v>
      </c>
      <c r="E36" s="3"/>
    </row>
    <row r="37" spans="1:5" s="6" customFormat="1" ht="16.5" customHeight="1">
      <c r="A37" s="5"/>
      <c r="B37" s="176">
        <v>4</v>
      </c>
      <c r="C37" s="176" t="s">
        <v>508</v>
      </c>
      <c r="E37" s="3"/>
    </row>
    <row r="38" spans="1:5" s="6" customFormat="1" ht="16.5" customHeight="1">
      <c r="A38" s="5"/>
      <c r="B38" s="176">
        <v>5</v>
      </c>
      <c r="C38" s="176" t="s">
        <v>83</v>
      </c>
      <c r="E38" s="3"/>
    </row>
    <row r="39" spans="1:5" s="6" customFormat="1" ht="16.5" customHeight="1">
      <c r="A39" s="5"/>
      <c r="B39" s="318"/>
      <c r="C39" s="319" t="s">
        <v>493</v>
      </c>
      <c r="D39" s="3"/>
      <c r="E39" s="3"/>
    </row>
    <row r="40" spans="1:5" s="6" customFormat="1" ht="16.5" customHeight="1">
      <c r="A40" s="5"/>
      <c r="B40" s="318"/>
      <c r="C40" s="319" t="s">
        <v>494</v>
      </c>
      <c r="D40" s="3"/>
      <c r="E40" s="3"/>
    </row>
    <row r="41" spans="1:5" s="6" customFormat="1" ht="16.5" customHeight="1">
      <c r="A41" s="5"/>
      <c r="B41" s="318"/>
      <c r="C41" s="319" t="s">
        <v>495</v>
      </c>
      <c r="D41" s="3"/>
      <c r="E41" s="3"/>
    </row>
    <row r="42" spans="1:5" s="6" customFormat="1" ht="16.5" customHeight="1">
      <c r="A42" s="5"/>
      <c r="B42" s="318"/>
      <c r="C42" s="319" t="s">
        <v>496</v>
      </c>
      <c r="D42" s="3"/>
      <c r="E42" s="3"/>
    </row>
    <row r="43" spans="1:5" s="6" customFormat="1" ht="16.5" customHeight="1">
      <c r="A43" s="450"/>
      <c r="B43" s="320">
        <v>6</v>
      </c>
      <c r="C43" s="320" t="s">
        <v>84</v>
      </c>
      <c r="E43" s="3"/>
    </row>
    <row r="44" spans="1:5" s="6" customFormat="1" ht="16.5" customHeight="1">
      <c r="A44" s="5"/>
      <c r="B44" s="318"/>
      <c r="C44" s="320" t="s">
        <v>497</v>
      </c>
      <c r="D44" s="3"/>
      <c r="E44" s="3"/>
    </row>
    <row r="45" spans="1:5" s="6" customFormat="1" ht="16.5" customHeight="1">
      <c r="A45" s="5"/>
      <c r="B45" s="318"/>
      <c r="C45" s="320" t="s">
        <v>498</v>
      </c>
      <c r="D45" s="3"/>
      <c r="E45" s="3"/>
    </row>
    <row r="46" spans="1:5" s="6" customFormat="1" ht="16.5" customHeight="1">
      <c r="A46" s="5"/>
      <c r="B46" s="320">
        <v>7</v>
      </c>
      <c r="C46" s="320" t="s">
        <v>85</v>
      </c>
      <c r="D46" s="3"/>
      <c r="E46" s="3"/>
    </row>
    <row r="47" spans="1:5" s="6" customFormat="1" ht="16.5" customHeight="1">
      <c r="A47" s="5"/>
      <c r="B47" s="318"/>
      <c r="C47" s="320" t="s">
        <v>499</v>
      </c>
      <c r="D47" s="3"/>
      <c r="E47" s="3"/>
    </row>
    <row r="48" spans="1:5" s="6" customFormat="1" ht="16.5" customHeight="1">
      <c r="A48" s="5"/>
      <c r="B48" s="318"/>
      <c r="C48" s="320" t="s">
        <v>500</v>
      </c>
      <c r="D48" s="3"/>
      <c r="E48" s="3"/>
    </row>
    <row r="49" spans="1:5" s="6" customFormat="1" ht="16.5" customHeight="1">
      <c r="A49" s="5"/>
      <c r="B49" s="320">
        <v>8</v>
      </c>
      <c r="C49" s="320" t="s">
        <v>129</v>
      </c>
      <c r="E49" s="3"/>
    </row>
    <row r="50" spans="1:5" s="6" customFormat="1" ht="16.5" customHeight="1">
      <c r="A50" s="5"/>
      <c r="B50" s="318"/>
      <c r="C50" s="320" t="s">
        <v>501</v>
      </c>
      <c r="D50" s="3"/>
      <c r="E50" s="3"/>
    </row>
    <row r="51" spans="1:5" s="6" customFormat="1" ht="16.5" customHeight="1">
      <c r="A51" s="5"/>
      <c r="B51" s="318"/>
      <c r="C51" s="320" t="s">
        <v>502</v>
      </c>
      <c r="D51" s="3"/>
      <c r="E51" s="3"/>
    </row>
    <row r="52" spans="1:5" s="6" customFormat="1" ht="16.5" customHeight="1">
      <c r="A52" s="5"/>
      <c r="B52" s="320">
        <v>9</v>
      </c>
      <c r="C52" s="320" t="s">
        <v>130</v>
      </c>
      <c r="D52" s="3"/>
      <c r="E52" s="3"/>
    </row>
    <row r="53" spans="1:5" s="6" customFormat="1" ht="16.5" customHeight="1">
      <c r="A53" s="5"/>
      <c r="B53" s="318"/>
      <c r="C53" s="320" t="s">
        <v>503</v>
      </c>
      <c r="E53" s="3"/>
    </row>
    <row r="54" spans="1:5" s="6" customFormat="1" ht="16.5" customHeight="1">
      <c r="A54" s="5"/>
      <c r="B54" s="318"/>
      <c r="C54" s="320" t="s">
        <v>504</v>
      </c>
      <c r="D54" s="3"/>
      <c r="E54" s="3"/>
    </row>
    <row r="55" spans="1:5">
      <c r="B55" s="320">
        <v>10</v>
      </c>
      <c r="C55" s="320" t="s">
        <v>227</v>
      </c>
    </row>
    <row r="56" spans="1:5">
      <c r="B56" s="318"/>
      <c r="C56" s="320" t="s">
        <v>505</v>
      </c>
    </row>
    <row r="57" spans="1:5">
      <c r="B57" s="320">
        <v>11</v>
      </c>
      <c r="C57" s="320" t="s">
        <v>386</v>
      </c>
    </row>
    <row r="58" spans="1:5">
      <c r="C58" s="320" t="s">
        <v>506</v>
      </c>
    </row>
  </sheetData>
  <hyperlinks>
    <hyperlink ref="C38" location="'3 Income'!A1" display="Income" xr:uid="{00000000-0004-0000-0200-000000000000}"/>
    <hyperlink ref="C43" location="'4 Expences'!A1" display="Expences" xr:uid="{00000000-0004-0000-0200-000001000000}"/>
    <hyperlink ref="C46" location="'5 Margins'!A1" display="Margins" xr:uid="{00000000-0004-0000-0200-000002000000}"/>
    <hyperlink ref="C49" location="'6 Lending'!A2" display="Lending" xr:uid="{00000000-0004-0000-0200-000003000000}"/>
    <hyperlink ref="C52" location="'7 Deposits'!A2" display="Deposits" xr:uid="{00000000-0004-0000-0200-000004000000}"/>
    <hyperlink ref="C39" location="'5 Income'!A2" display="5.1 Net interest income and commissionfees from covered bonds companies" xr:uid="{00000000-0004-0000-0200-000005000000}"/>
    <hyperlink ref="C40" location="'5 Income'!A43" display="5.2 Net commision and other income" xr:uid="{00000000-0004-0000-0200-000006000000}"/>
    <hyperlink ref="C41" location="'5 Income'!A90" display="5.3 Net income from financial assets and liabilities" xr:uid="{00000000-0004-0000-0200-000007000000}"/>
    <hyperlink ref="C42" location="'5 Income'!A103" display="5.4 Specification of the consolidated profit after tax in NOK millions:" xr:uid="{00000000-0004-0000-0200-000008000000}"/>
    <hyperlink ref="C44" location="'6 Expences'!A2" display="6.1 Expences Group" xr:uid="{00000000-0004-0000-0200-000009000000}"/>
    <hyperlink ref="C45" location="'6 Expences'!A44" display="6.2 Expences Parent bank (adjusted)" xr:uid="{00000000-0004-0000-0200-00000A000000}"/>
    <hyperlink ref="C47" location="'7 Margins'!A2" display="7.1 Deposit margins" xr:uid="{00000000-0004-0000-0200-00000B000000}"/>
    <hyperlink ref="C48" location="'7 Margins'!A31" display="7.2 Lending margins" xr:uid="{00000000-0004-0000-0200-00000C000000}"/>
    <hyperlink ref="C50" location="'8 Lending'!A2" display="8.1 Development in volumes - Loans to customers" xr:uid="{00000000-0004-0000-0200-00000D000000}"/>
    <hyperlink ref="C53" location="'9 Deposits'!A2" display="9.1 Development in volumes - Deposits from customers" xr:uid="{00000000-0004-0000-0200-00000E000000}"/>
    <hyperlink ref="B35" location="'2 Results and key figures'!A1" display="'2 Results and key figures'!A1" xr:uid="{00000000-0004-0000-0200-00000F000000}"/>
    <hyperlink ref="B38" location="'3 Income'!A1" display="'3 Income'!A1" xr:uid="{00000000-0004-0000-0200-000010000000}"/>
    <hyperlink ref="B43" location="'4 Expences'!A1" display="'4 Expences'!A1" xr:uid="{00000000-0004-0000-0200-000011000000}"/>
    <hyperlink ref="B46" location="'5 Margins'!A1" display="'5 Margins'!A1" xr:uid="{00000000-0004-0000-0200-000012000000}"/>
    <hyperlink ref="B49" location="'6 Lending'!A1" display="'6 Lending'!A1" xr:uid="{00000000-0004-0000-0200-000013000000}"/>
    <hyperlink ref="B52"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5" location="'9 Customers'!A2" display="Customers" xr:uid="{00000000-0004-0000-0200-00002C000000}"/>
    <hyperlink ref="C56" location="'10 Customers'!A2" display="10.1 Number of customers" xr:uid="{00000000-0004-0000-0200-00002D000000}"/>
    <hyperlink ref="B55" location="'9 Customers'!A1" display="'9 Customers'!A1" xr:uid="{00000000-0004-0000-0200-00002E000000}"/>
    <hyperlink ref="C54" location="'9 Deposits'!A37" display="9.2 Deposits sensitive to changes in the NIBOR rate" xr:uid="{00000000-0004-0000-0200-00002F000000}"/>
    <hyperlink ref="C51" location="'8 Lending'!A39" display="8.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 ref="B57" location="'9 Makrosensitivitet'!A2" display="'9 Makrosensitivitet'!A2" xr:uid="{61392C7E-1165-49B3-9265-BB26E4E9D1D6}"/>
    <hyperlink ref="C58" location="'11 Macro sensitivity'!A1" display="11.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38:C38" location="'5 Income'!A1" display="'5 Income'!A1" xr:uid="{4EF4A446-071C-4FAD-AE3C-E1D705B25B27}"/>
    <hyperlink ref="B57:C57" location="'11 Macro sensitivity'!A1" display="'11 Macro sensitivity'!A1" xr:uid="{A414E6A0-290F-40C9-B218-9FC0F422492C}"/>
    <hyperlink ref="B43:C43" location="'6 Expences'!A1" display="'6 Expences'!A1" xr:uid="{D84AB759-CFE4-45B2-84B8-92EC948A01FC}"/>
    <hyperlink ref="B46:C46" location="'7 Margins'!A1" display="'7 Margins'!A1" xr:uid="{BE1BF75F-184B-4B14-8F92-55C9A3D382CA}"/>
    <hyperlink ref="B49:C49" location="'8 Lending'!A1" display="'8 Lending'!A1" xr:uid="{364FDA2B-17D9-44BC-93B5-E60B0BC48CED}"/>
    <hyperlink ref="B52:C52" location="'9 Deposits'!A1" display="'9 Deposits'!A1" xr:uid="{01494FD2-FF23-4286-964F-CE33DC051074}"/>
    <hyperlink ref="B55:C55" location="'10 Customers'!A1" display="'10 Customers'!A1" xr:uid="{79803A39-A518-4F3F-A267-6D51FFD59A5D}"/>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73" sqref="A173"/>
    </sheetView>
  </sheetViews>
  <sheetFormatPr baseColWidth="10" defaultColWidth="11.42578125" defaultRowHeight="10.5"/>
  <cols>
    <col min="1" max="1" width="33" style="379" customWidth="1"/>
    <col min="2" max="2" width="78" style="379" customWidth="1"/>
    <col min="3" max="44" width="11.42578125" style="380"/>
    <col min="45" max="16384" width="11.42578125" style="390"/>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1" t="s">
        <v>136</v>
      </c>
      <c r="B10" s="382" t="s">
        <v>239</v>
      </c>
    </row>
    <row r="11" spans="1:7" ht="69" customHeight="1">
      <c r="A11" s="472" t="s">
        <v>306</v>
      </c>
      <c r="B11" s="382"/>
    </row>
    <row r="12" spans="1:7" ht="69" customHeight="1">
      <c r="A12" s="472"/>
      <c r="B12" s="383" t="s">
        <v>307</v>
      </c>
    </row>
    <row r="13" spans="1:7" ht="69" customHeight="1">
      <c r="A13" s="472" t="s">
        <v>240</v>
      </c>
      <c r="B13" s="384"/>
      <c r="G13" s="385"/>
    </row>
    <row r="14" spans="1:7" ht="69" customHeight="1">
      <c r="A14" s="472"/>
      <c r="B14" s="383" t="s">
        <v>241</v>
      </c>
    </row>
    <row r="15" spans="1:7" ht="39" customHeight="1">
      <c r="A15" s="472" t="s">
        <v>242</v>
      </c>
      <c r="B15" s="384"/>
    </row>
    <row r="16" spans="1:7" ht="39" customHeight="1">
      <c r="A16" s="472"/>
      <c r="B16" s="386" t="s">
        <v>243</v>
      </c>
    </row>
    <row r="17" spans="1:5" ht="39" customHeight="1">
      <c r="A17" s="472" t="s">
        <v>145</v>
      </c>
      <c r="B17" s="384"/>
    </row>
    <row r="18" spans="1:5" ht="39" customHeight="1">
      <c r="A18" s="472"/>
      <c r="B18" s="386" t="s">
        <v>244</v>
      </c>
    </row>
    <row r="19" spans="1:5" ht="39" customHeight="1">
      <c r="A19" s="472" t="s">
        <v>245</v>
      </c>
      <c r="B19" s="384"/>
    </row>
    <row r="20" spans="1:5" ht="39" customHeight="1">
      <c r="A20" s="472"/>
      <c r="B20" s="386" t="s">
        <v>246</v>
      </c>
    </row>
    <row r="21" spans="1:5" ht="39" customHeight="1">
      <c r="A21" s="381" t="s">
        <v>136</v>
      </c>
      <c r="B21" s="382" t="s">
        <v>239</v>
      </c>
      <c r="E21" s="387"/>
    </row>
    <row r="22" spans="1:5" ht="39" customHeight="1">
      <c r="A22" s="472" t="s">
        <v>247</v>
      </c>
      <c r="B22" s="386"/>
    </row>
    <row r="23" spans="1:5" ht="39" customHeight="1">
      <c r="A23" s="472"/>
      <c r="B23" s="386" t="s">
        <v>248</v>
      </c>
    </row>
    <row r="24" spans="1:5" ht="48.95" customHeight="1">
      <c r="A24" s="472" t="s">
        <v>249</v>
      </c>
      <c r="B24" s="386"/>
    </row>
    <row r="25" spans="1:5" ht="48.95" customHeight="1">
      <c r="A25" s="472"/>
      <c r="B25" s="386" t="s">
        <v>250</v>
      </c>
    </row>
    <row r="26" spans="1:5" ht="48.95" customHeight="1">
      <c r="A26" s="472" t="s">
        <v>251</v>
      </c>
      <c r="B26" s="386"/>
    </row>
    <row r="27" spans="1:5" ht="48.95" customHeight="1">
      <c r="A27" s="472"/>
      <c r="B27" s="386" t="s">
        <v>252</v>
      </c>
    </row>
    <row r="28" spans="1:5" ht="39" customHeight="1">
      <c r="A28" s="472" t="s">
        <v>253</v>
      </c>
      <c r="B28" s="386"/>
    </row>
    <row r="29" spans="1:5" ht="39" customHeight="1">
      <c r="A29" s="472"/>
      <c r="B29" s="386" t="s">
        <v>254</v>
      </c>
    </row>
    <row r="30" spans="1:5" ht="39" customHeight="1">
      <c r="A30" s="472" t="s">
        <v>255</v>
      </c>
      <c r="B30" s="386"/>
    </row>
    <row r="31" spans="1:5" ht="39" customHeight="1">
      <c r="A31" s="472"/>
      <c r="B31" s="386" t="s">
        <v>256</v>
      </c>
    </row>
    <row r="32" spans="1:5" ht="39" customHeight="1">
      <c r="A32" s="472" t="s">
        <v>257</v>
      </c>
      <c r="B32" s="386"/>
    </row>
    <row r="33" spans="1:4" ht="48.95" customHeight="1">
      <c r="A33" s="472"/>
      <c r="B33" s="386" t="s">
        <v>258</v>
      </c>
    </row>
    <row r="34" spans="1:4" ht="48.95" customHeight="1">
      <c r="A34" s="472" t="s">
        <v>259</v>
      </c>
      <c r="B34" s="386"/>
    </row>
    <row r="35" spans="1:4" ht="48.95" customHeight="1">
      <c r="A35" s="472"/>
      <c r="B35" s="386" t="s">
        <v>260</v>
      </c>
    </row>
    <row r="36" spans="1:4" ht="39" customHeight="1">
      <c r="A36" s="472" t="s">
        <v>261</v>
      </c>
      <c r="B36" s="386"/>
    </row>
    <row r="37" spans="1:4" ht="39" customHeight="1">
      <c r="A37" s="472"/>
      <c r="B37" s="386" t="s">
        <v>262</v>
      </c>
    </row>
    <row r="38" spans="1:4" ht="48.95" customHeight="1">
      <c r="A38" s="472" t="s">
        <v>263</v>
      </c>
      <c r="B38" s="386"/>
    </row>
    <row r="39" spans="1:4" ht="48.95" customHeight="1">
      <c r="A39" s="472"/>
      <c r="B39" s="386" t="s">
        <v>264</v>
      </c>
    </row>
    <row r="40" spans="1:4" ht="48.95" customHeight="1">
      <c r="A40" s="381" t="s">
        <v>136</v>
      </c>
      <c r="B40" s="382" t="s">
        <v>239</v>
      </c>
    </row>
    <row r="41" spans="1:4" ht="39" customHeight="1">
      <c r="A41" s="472" t="s">
        <v>36</v>
      </c>
      <c r="B41" s="386"/>
    </row>
    <row r="42" spans="1:4" ht="39" customHeight="1">
      <c r="A42" s="472"/>
      <c r="B42" s="386" t="s">
        <v>265</v>
      </c>
    </row>
    <row r="43" spans="1:4" ht="59.1" customHeight="1">
      <c r="A43" s="472" t="s">
        <v>266</v>
      </c>
      <c r="B43" s="386"/>
    </row>
    <row r="44" spans="1:4" ht="59.1" customHeight="1">
      <c r="A44" s="472"/>
      <c r="B44" s="386" t="s">
        <v>267</v>
      </c>
    </row>
    <row r="45" spans="1:4" ht="59.1" customHeight="1">
      <c r="A45" s="472" t="s">
        <v>376</v>
      </c>
      <c r="B45" s="386"/>
      <c r="D45" s="388"/>
    </row>
    <row r="46" spans="1:4" ht="39" customHeight="1">
      <c r="A46" s="472"/>
      <c r="B46" s="386" t="s">
        <v>269</v>
      </c>
      <c r="D46" s="388"/>
    </row>
    <row r="47" spans="1:4" ht="59.1" customHeight="1">
      <c r="A47" s="472" t="s">
        <v>377</v>
      </c>
      <c r="B47" s="386"/>
    </row>
    <row r="48" spans="1:4" ht="39" customHeight="1">
      <c r="A48" s="472"/>
      <c r="B48" s="386" t="s">
        <v>269</v>
      </c>
    </row>
    <row r="49" spans="1:2" ht="39" customHeight="1">
      <c r="A49" s="472" t="s">
        <v>268</v>
      </c>
      <c r="B49" s="386"/>
    </row>
    <row r="50" spans="1:2" ht="39" customHeight="1">
      <c r="A50" s="472"/>
      <c r="B50" s="386" t="s">
        <v>269</v>
      </c>
    </row>
    <row r="51" spans="1:2" ht="39" customHeight="1">
      <c r="A51" s="472" t="s">
        <v>270</v>
      </c>
      <c r="B51" s="386"/>
    </row>
    <row r="52" spans="1:2" ht="39" customHeight="1">
      <c r="A52" s="472"/>
      <c r="B52" s="386" t="s">
        <v>269</v>
      </c>
    </row>
    <row r="53" spans="1:2" ht="39" customHeight="1">
      <c r="A53" s="472" t="s">
        <v>271</v>
      </c>
      <c r="B53" s="386"/>
    </row>
    <row r="54" spans="1:2" ht="39" customHeight="1">
      <c r="A54" s="472"/>
      <c r="B54" s="386" t="s">
        <v>269</v>
      </c>
    </row>
    <row r="55" spans="1:2" ht="39" customHeight="1">
      <c r="A55" s="472" t="s">
        <v>272</v>
      </c>
      <c r="B55" s="386"/>
    </row>
    <row r="56" spans="1:2" ht="39" customHeight="1">
      <c r="A56" s="472"/>
      <c r="B56" s="386" t="s">
        <v>269</v>
      </c>
    </row>
    <row r="57" spans="1:2" ht="39" customHeight="1">
      <c r="A57" s="472" t="s">
        <v>273</v>
      </c>
      <c r="B57" s="386"/>
    </row>
    <row r="58" spans="1:2" ht="39" customHeight="1">
      <c r="A58" s="472"/>
      <c r="B58" s="386" t="s">
        <v>269</v>
      </c>
    </row>
    <row r="59" spans="1:2" ht="39" customHeight="1">
      <c r="A59" s="472" t="s">
        <v>188</v>
      </c>
      <c r="B59" s="386"/>
    </row>
    <row r="60" spans="1:2" ht="39" customHeight="1">
      <c r="A60" s="472"/>
      <c r="B60" s="386" t="s">
        <v>274</v>
      </c>
    </row>
    <row r="61" spans="1:2" ht="39" customHeight="1">
      <c r="A61" s="381" t="s">
        <v>136</v>
      </c>
      <c r="B61" s="382" t="s">
        <v>239</v>
      </c>
    </row>
    <row r="62" spans="1:2" ht="48.95" customHeight="1">
      <c r="A62" s="472" t="s">
        <v>196</v>
      </c>
      <c r="B62" s="386"/>
    </row>
    <row r="63" spans="1:2" ht="48.95" customHeight="1">
      <c r="A63" s="472"/>
      <c r="B63" s="386" t="s">
        <v>275</v>
      </c>
    </row>
    <row r="64" spans="1:2" ht="48.95" customHeight="1">
      <c r="A64" s="472" t="s">
        <v>203</v>
      </c>
      <c r="B64" s="386"/>
    </row>
    <row r="65" spans="1:2" ht="48.95" customHeight="1">
      <c r="A65" s="472"/>
      <c r="B65" s="386" t="s">
        <v>276</v>
      </c>
    </row>
    <row r="66" spans="1:2" ht="48.95" customHeight="1">
      <c r="A66" s="472" t="s">
        <v>277</v>
      </c>
      <c r="B66" s="386"/>
    </row>
    <row r="67" spans="1:2" ht="48.95" customHeight="1">
      <c r="A67" s="472"/>
      <c r="B67" s="386" t="s">
        <v>278</v>
      </c>
    </row>
    <row r="68" spans="1:2" ht="39" customHeight="1">
      <c r="A68" s="472" t="s">
        <v>279</v>
      </c>
      <c r="B68" s="386"/>
    </row>
    <row r="69" spans="1:2" ht="39" customHeight="1">
      <c r="A69" s="472"/>
      <c r="B69" s="386" t="s">
        <v>280</v>
      </c>
    </row>
    <row r="70" spans="1:2" ht="39" customHeight="1">
      <c r="A70" s="472" t="s">
        <v>281</v>
      </c>
      <c r="B70" s="386"/>
    </row>
    <row r="71" spans="1:2" ht="39" customHeight="1">
      <c r="A71" s="472"/>
      <c r="B71" s="386" t="s">
        <v>282</v>
      </c>
    </row>
    <row r="72" spans="1:2" ht="39" customHeight="1">
      <c r="A72" s="472" t="s">
        <v>283</v>
      </c>
      <c r="B72" s="386"/>
    </row>
    <row r="73" spans="1:2" ht="39" customHeight="1">
      <c r="A73" s="472"/>
      <c r="B73" s="386" t="s">
        <v>284</v>
      </c>
    </row>
    <row r="74" spans="1:2" ht="39" customHeight="1">
      <c r="A74" s="472" t="s">
        <v>285</v>
      </c>
      <c r="B74" s="386"/>
    </row>
    <row r="75" spans="1:2" ht="39" customHeight="1">
      <c r="A75" s="472"/>
      <c r="B75" s="386" t="s">
        <v>286</v>
      </c>
    </row>
    <row r="76" spans="1:2" ht="39" customHeight="1">
      <c r="A76" s="473" t="s">
        <v>378</v>
      </c>
      <c r="B76" s="382"/>
    </row>
    <row r="77" spans="1:2" ht="39" customHeight="1">
      <c r="A77" s="474"/>
      <c r="B77" s="386" t="s">
        <v>379</v>
      </c>
    </row>
    <row r="78" spans="1:2" ht="39" customHeight="1">
      <c r="A78" s="473" t="s">
        <v>380</v>
      </c>
      <c r="B78" s="382"/>
    </row>
    <row r="79" spans="1:2" ht="39" customHeight="1">
      <c r="A79" s="474"/>
      <c r="B79" s="386" t="s">
        <v>381</v>
      </c>
    </row>
    <row r="80" spans="1:2" s="380" customFormat="1">
      <c r="A80" s="389"/>
      <c r="B80" s="389"/>
    </row>
    <row r="81" spans="1:2" s="380" customFormat="1">
      <c r="A81" s="389"/>
      <c r="B81" s="389"/>
    </row>
    <row r="82" spans="1:2" s="380" customFormat="1">
      <c r="A82" s="389"/>
      <c r="B82" s="389"/>
    </row>
    <row r="83" spans="1:2" s="380" customFormat="1">
      <c r="A83" s="389"/>
      <c r="B83" s="389"/>
    </row>
    <row r="84" spans="1:2" s="380" customFormat="1">
      <c r="A84" s="389"/>
      <c r="B84" s="389"/>
    </row>
    <row r="85" spans="1:2" s="380" customFormat="1">
      <c r="A85" s="389"/>
      <c r="B85" s="389"/>
    </row>
    <row r="86" spans="1:2" s="380" customFormat="1">
      <c r="A86" s="389"/>
      <c r="B86" s="389"/>
    </row>
    <row r="87" spans="1:2" s="380" customFormat="1">
      <c r="A87" s="389"/>
      <c r="B87" s="389"/>
    </row>
    <row r="88" spans="1:2" s="380" customFormat="1">
      <c r="A88" s="389"/>
      <c r="B88" s="389"/>
    </row>
    <row r="89" spans="1:2" s="380" customFormat="1">
      <c r="A89" s="389"/>
      <c r="B89" s="389"/>
    </row>
    <row r="90" spans="1:2" s="380" customFormat="1">
      <c r="A90" s="389"/>
      <c r="B90" s="389"/>
    </row>
    <row r="91" spans="1:2" s="380" customFormat="1">
      <c r="A91" s="389"/>
      <c r="B91" s="389"/>
    </row>
    <row r="92" spans="1:2" s="380" customFormat="1">
      <c r="A92" s="389"/>
      <c r="B92" s="389"/>
    </row>
    <row r="93" spans="1:2" s="380" customFormat="1">
      <c r="A93" s="389"/>
      <c r="B93" s="389"/>
    </row>
    <row r="94" spans="1:2" s="380" customFormat="1">
      <c r="A94" s="389"/>
      <c r="B94" s="389"/>
    </row>
    <row r="95" spans="1:2" s="380" customFormat="1">
      <c r="A95" s="389"/>
      <c r="B95" s="389"/>
    </row>
    <row r="96" spans="1:2" s="380" customFormat="1">
      <c r="A96" s="389"/>
      <c r="B96" s="389"/>
    </row>
    <row r="97" spans="1:2" s="380" customFormat="1">
      <c r="A97" s="389"/>
      <c r="B97" s="389"/>
    </row>
    <row r="98" spans="1:2" s="380" customFormat="1">
      <c r="A98" s="389"/>
      <c r="B98" s="389"/>
    </row>
    <row r="99" spans="1:2" s="380" customFormat="1">
      <c r="A99" s="389"/>
      <c r="B99" s="389"/>
    </row>
    <row r="100" spans="1:2" s="380" customFormat="1">
      <c r="A100" s="389"/>
      <c r="B100" s="389"/>
    </row>
    <row r="101" spans="1:2" s="380" customFormat="1">
      <c r="A101" s="389"/>
      <c r="B101" s="389"/>
    </row>
    <row r="102" spans="1:2" s="380" customFormat="1">
      <c r="A102" s="389"/>
      <c r="B102" s="389"/>
    </row>
    <row r="103" spans="1:2" s="380" customFormat="1">
      <c r="A103" s="389"/>
      <c r="B103" s="389"/>
    </row>
    <row r="104" spans="1:2" s="380" customFormat="1">
      <c r="A104" s="389"/>
      <c r="B104" s="389"/>
    </row>
    <row r="105" spans="1:2" s="380" customFormat="1">
      <c r="A105" s="389"/>
      <c r="B105" s="389"/>
    </row>
    <row r="106" spans="1:2" s="380" customFormat="1">
      <c r="A106" s="389"/>
      <c r="B106" s="389"/>
    </row>
    <row r="107" spans="1:2" s="380" customFormat="1">
      <c r="A107" s="389"/>
      <c r="B107" s="389"/>
    </row>
    <row r="108" spans="1:2" s="380" customFormat="1">
      <c r="A108" s="389"/>
      <c r="B108" s="389"/>
    </row>
    <row r="109" spans="1:2" s="380" customFormat="1">
      <c r="A109" s="389"/>
      <c r="B109" s="389"/>
    </row>
    <row r="110" spans="1:2" s="380" customFormat="1">
      <c r="A110" s="389"/>
      <c r="B110" s="389"/>
    </row>
    <row r="111" spans="1:2" s="380" customFormat="1">
      <c r="A111" s="389"/>
      <c r="B111" s="389"/>
    </row>
    <row r="112" spans="1:2" s="380" customFormat="1">
      <c r="A112" s="389"/>
      <c r="B112" s="389"/>
    </row>
    <row r="113" spans="1:2" s="380" customFormat="1">
      <c r="A113" s="389"/>
      <c r="B113" s="389"/>
    </row>
    <row r="114" spans="1:2" s="380" customFormat="1">
      <c r="A114" s="389"/>
      <c r="B114" s="389"/>
    </row>
    <row r="115" spans="1:2" s="380" customFormat="1">
      <c r="A115" s="389"/>
      <c r="B115" s="389"/>
    </row>
    <row r="116" spans="1:2" s="380" customFormat="1">
      <c r="A116" s="389"/>
      <c r="B116" s="389"/>
    </row>
    <row r="117" spans="1:2" s="380" customFormat="1">
      <c r="A117" s="389"/>
      <c r="B117" s="389"/>
    </row>
    <row r="118" spans="1:2" s="380" customFormat="1">
      <c r="A118" s="389"/>
      <c r="B118" s="389"/>
    </row>
    <row r="119" spans="1:2" s="380" customFormat="1">
      <c r="A119" s="389"/>
      <c r="B119" s="389"/>
    </row>
    <row r="120" spans="1:2" s="380" customFormat="1">
      <c r="A120" s="389"/>
      <c r="B120" s="389"/>
    </row>
    <row r="121" spans="1:2" s="380" customFormat="1">
      <c r="A121" s="389"/>
      <c r="B121" s="389"/>
    </row>
    <row r="122" spans="1:2" s="380" customFormat="1">
      <c r="A122" s="389"/>
      <c r="B122" s="389"/>
    </row>
    <row r="123" spans="1:2" s="380" customFormat="1">
      <c r="A123" s="389"/>
      <c r="B123" s="389"/>
    </row>
    <row r="124" spans="1:2" s="380" customFormat="1">
      <c r="A124" s="389"/>
      <c r="B124" s="389"/>
    </row>
    <row r="125" spans="1:2" s="380" customFormat="1">
      <c r="A125" s="389"/>
      <c r="B125" s="389"/>
    </row>
    <row r="126" spans="1:2" s="380" customFormat="1">
      <c r="A126" s="389"/>
      <c r="B126" s="389"/>
    </row>
    <row r="127" spans="1:2" s="380" customFormat="1">
      <c r="A127" s="389"/>
      <c r="B127" s="389"/>
    </row>
    <row r="128" spans="1:2" s="380" customFormat="1">
      <c r="A128" s="389"/>
      <c r="B128" s="389"/>
    </row>
    <row r="129" spans="1:2" s="380" customFormat="1">
      <c r="A129" s="389"/>
      <c r="B129" s="389"/>
    </row>
    <row r="130" spans="1:2" s="380" customFormat="1">
      <c r="A130" s="389"/>
      <c r="B130" s="389"/>
    </row>
    <row r="131" spans="1:2" s="380" customFormat="1">
      <c r="A131" s="389"/>
      <c r="B131" s="389"/>
    </row>
    <row r="132" spans="1:2" s="380" customFormat="1">
      <c r="A132" s="389"/>
      <c r="B132" s="389"/>
    </row>
    <row r="133" spans="1:2" s="380" customFormat="1">
      <c r="A133" s="389"/>
      <c r="B133" s="389"/>
    </row>
    <row r="134" spans="1:2" s="380" customFormat="1">
      <c r="A134" s="389"/>
      <c r="B134" s="389"/>
    </row>
    <row r="135" spans="1:2" s="380" customFormat="1">
      <c r="A135" s="389"/>
      <c r="B135" s="389"/>
    </row>
    <row r="136" spans="1:2" s="380" customFormat="1">
      <c r="A136" s="389"/>
      <c r="B136" s="389"/>
    </row>
    <row r="137" spans="1:2" s="380" customFormat="1">
      <c r="A137" s="389"/>
      <c r="B137" s="389"/>
    </row>
    <row r="138" spans="1:2" s="380" customFormat="1">
      <c r="A138" s="389"/>
      <c r="B138" s="389"/>
    </row>
    <row r="139" spans="1:2" s="380" customFormat="1">
      <c r="A139" s="389"/>
      <c r="B139" s="389"/>
    </row>
    <row r="140" spans="1:2" s="380" customFormat="1">
      <c r="A140" s="389"/>
      <c r="B140" s="389"/>
    </row>
    <row r="141" spans="1:2" s="380" customFormat="1">
      <c r="A141" s="389"/>
      <c r="B141" s="389"/>
    </row>
    <row r="142" spans="1:2" s="380" customFormat="1">
      <c r="A142" s="389"/>
      <c r="B142" s="389"/>
    </row>
    <row r="143" spans="1:2" s="380" customFormat="1">
      <c r="A143" s="389"/>
      <c r="B143" s="389"/>
    </row>
    <row r="144" spans="1:2" s="380" customFormat="1">
      <c r="A144" s="389"/>
      <c r="B144" s="389"/>
    </row>
    <row r="145" spans="1:2" s="380" customFormat="1">
      <c r="A145" s="389"/>
      <c r="B145" s="389"/>
    </row>
    <row r="146" spans="1:2" s="380" customFormat="1">
      <c r="A146" s="389"/>
      <c r="B146" s="389"/>
    </row>
    <row r="147" spans="1:2" s="380" customFormat="1">
      <c r="A147" s="389"/>
      <c r="B147" s="389"/>
    </row>
    <row r="148" spans="1:2" s="380" customFormat="1">
      <c r="A148" s="389"/>
      <c r="B148" s="389"/>
    </row>
    <row r="149" spans="1:2" s="380" customFormat="1">
      <c r="A149" s="389"/>
      <c r="B149" s="389"/>
    </row>
    <row r="150" spans="1:2" s="380" customFormat="1">
      <c r="A150" s="389"/>
      <c r="B150" s="389"/>
    </row>
    <row r="151" spans="1:2" s="380" customFormat="1">
      <c r="A151" s="389"/>
      <c r="B151" s="389"/>
    </row>
    <row r="152" spans="1:2" s="380" customFormat="1">
      <c r="A152" s="389"/>
      <c r="B152" s="389"/>
    </row>
    <row r="153" spans="1:2" s="380" customFormat="1">
      <c r="A153" s="389"/>
      <c r="B153" s="389"/>
    </row>
    <row r="154" spans="1:2" s="380" customFormat="1">
      <c r="A154" s="389"/>
      <c r="B154" s="389"/>
    </row>
    <row r="155" spans="1:2" s="380" customFormat="1">
      <c r="A155" s="389"/>
      <c r="B155" s="389"/>
    </row>
    <row r="156" spans="1:2" s="380" customFormat="1">
      <c r="A156" s="389"/>
      <c r="B156" s="389"/>
    </row>
    <row r="157" spans="1:2" s="380" customFormat="1">
      <c r="A157" s="389"/>
      <c r="B157" s="389"/>
    </row>
    <row r="158" spans="1:2" s="380" customFormat="1">
      <c r="A158" s="389"/>
      <c r="B158" s="389"/>
    </row>
    <row r="159" spans="1:2" s="380" customFormat="1">
      <c r="A159" s="389"/>
      <c r="B159" s="389"/>
    </row>
    <row r="160" spans="1:2" s="380" customFormat="1">
      <c r="A160" s="389"/>
      <c r="B160" s="389"/>
    </row>
    <row r="161" spans="1:2" s="380" customFormat="1">
      <c r="A161" s="389"/>
      <c r="B161" s="389"/>
    </row>
    <row r="162" spans="1:2" s="380" customFormat="1">
      <c r="A162" s="389"/>
      <c r="B162" s="389"/>
    </row>
    <row r="163" spans="1:2" s="380" customFormat="1">
      <c r="A163" s="389"/>
      <c r="B163" s="389"/>
    </row>
    <row r="164" spans="1:2" s="380" customFormat="1">
      <c r="A164" s="389"/>
      <c r="B164" s="389"/>
    </row>
    <row r="165" spans="1:2" s="380" customFormat="1">
      <c r="A165" s="389"/>
      <c r="B165" s="389"/>
    </row>
    <row r="166" spans="1:2" s="380" customFormat="1">
      <c r="A166" s="389"/>
      <c r="B166" s="389"/>
    </row>
    <row r="167" spans="1:2" s="380" customFormat="1">
      <c r="A167" s="389"/>
      <c r="B167" s="389"/>
    </row>
    <row r="168" spans="1:2" s="380" customFormat="1">
      <c r="A168" s="389"/>
      <c r="B168" s="389"/>
    </row>
    <row r="169" spans="1:2" s="380" customFormat="1">
      <c r="A169" s="389"/>
      <c r="B169" s="389"/>
    </row>
    <row r="170" spans="1:2" s="380" customFormat="1">
      <c r="A170" s="389"/>
      <c r="B170" s="389"/>
    </row>
    <row r="171" spans="1:2" s="380" customFormat="1">
      <c r="A171" s="389"/>
      <c r="B171" s="389"/>
    </row>
    <row r="172" spans="1:2" s="380" customFormat="1">
      <c r="A172" s="389"/>
      <c r="B172" s="389"/>
    </row>
    <row r="173" spans="1:2" s="380" customFormat="1">
      <c r="A173" s="389"/>
      <c r="B173" s="389"/>
    </row>
    <row r="174" spans="1:2" s="380" customFormat="1">
      <c r="A174" s="389"/>
      <c r="B174" s="389"/>
    </row>
    <row r="175" spans="1:2" s="380" customFormat="1">
      <c r="A175" s="389"/>
      <c r="B175" s="389"/>
    </row>
    <row r="176" spans="1:2" s="380" customFormat="1">
      <c r="A176" s="389"/>
      <c r="B176" s="389"/>
    </row>
    <row r="177" spans="1:2" s="380" customFormat="1">
      <c r="A177" s="389"/>
      <c r="B177" s="389"/>
    </row>
    <row r="178" spans="1:2" s="380" customFormat="1">
      <c r="A178" s="389"/>
      <c r="B178" s="389"/>
    </row>
    <row r="179" spans="1:2" s="380" customFormat="1">
      <c r="A179" s="389"/>
      <c r="B179" s="389"/>
    </row>
    <row r="180" spans="1:2" s="380" customFormat="1">
      <c r="A180" s="389"/>
      <c r="B180" s="389"/>
    </row>
    <row r="181" spans="1:2" s="380" customFormat="1">
      <c r="A181" s="389"/>
      <c r="B181" s="389"/>
    </row>
    <row r="182" spans="1:2" s="380" customFormat="1">
      <c r="A182" s="389"/>
      <c r="B182" s="389"/>
    </row>
    <row r="183" spans="1:2" s="380" customFormat="1">
      <c r="A183" s="389"/>
      <c r="B183" s="389"/>
    </row>
    <row r="184" spans="1:2" s="380" customFormat="1">
      <c r="A184" s="389"/>
      <c r="B184" s="389"/>
    </row>
    <row r="185" spans="1:2" s="380" customFormat="1">
      <c r="A185" s="389"/>
      <c r="B185" s="389"/>
    </row>
    <row r="186" spans="1:2" s="380" customFormat="1">
      <c r="A186" s="389"/>
      <c r="B186" s="389"/>
    </row>
    <row r="187" spans="1:2" s="380" customFormat="1">
      <c r="A187" s="389"/>
      <c r="B187" s="389"/>
    </row>
    <row r="188" spans="1:2" s="380" customFormat="1">
      <c r="A188" s="389"/>
      <c r="B188" s="389"/>
    </row>
    <row r="189" spans="1:2" s="380" customFormat="1">
      <c r="A189" s="389"/>
      <c r="B189" s="389"/>
    </row>
    <row r="190" spans="1:2" s="380" customFormat="1">
      <c r="A190" s="389"/>
      <c r="B190" s="389"/>
    </row>
    <row r="191" spans="1:2" s="380" customFormat="1">
      <c r="A191" s="389"/>
      <c r="B191" s="389"/>
    </row>
    <row r="192" spans="1:2" s="380" customFormat="1">
      <c r="A192" s="389"/>
      <c r="B192" s="389"/>
    </row>
    <row r="193" spans="1:2" s="380" customFormat="1">
      <c r="A193" s="389"/>
      <c r="B193" s="389"/>
    </row>
    <row r="194" spans="1:2" s="380" customFormat="1">
      <c r="A194" s="389"/>
      <c r="B194" s="389"/>
    </row>
    <row r="195" spans="1:2" s="380" customFormat="1">
      <c r="A195" s="389"/>
      <c r="B195" s="389"/>
    </row>
    <row r="196" spans="1:2" s="380" customFormat="1">
      <c r="A196" s="389"/>
      <c r="B196" s="389"/>
    </row>
    <row r="197" spans="1:2" s="380" customFormat="1">
      <c r="A197" s="389"/>
      <c r="B197" s="389"/>
    </row>
    <row r="198" spans="1:2" s="380" customFormat="1">
      <c r="A198" s="389"/>
      <c r="B198" s="389"/>
    </row>
  </sheetData>
  <mergeCells count="33">
    <mergeCell ref="A34:A35"/>
    <mergeCell ref="A11:A12"/>
    <mergeCell ref="A13:A14"/>
    <mergeCell ref="A15:A16"/>
    <mergeCell ref="A17:A18"/>
    <mergeCell ref="A19:A20"/>
    <mergeCell ref="A22:A23"/>
    <mergeCell ref="A24:A25"/>
    <mergeCell ref="A26:A27"/>
    <mergeCell ref="A28:A29"/>
    <mergeCell ref="A30:A31"/>
    <mergeCell ref="A32:A33"/>
    <mergeCell ref="A59:A60"/>
    <mergeCell ref="A36:A37"/>
    <mergeCell ref="A38:A39"/>
    <mergeCell ref="A41:A42"/>
    <mergeCell ref="A43:A44"/>
    <mergeCell ref="A45:A46"/>
    <mergeCell ref="A47:A48"/>
    <mergeCell ref="A49:A50"/>
    <mergeCell ref="A51:A52"/>
    <mergeCell ref="A53:A54"/>
    <mergeCell ref="A55:A56"/>
    <mergeCell ref="A57:A58"/>
    <mergeCell ref="A74:A75"/>
    <mergeCell ref="A76:A77"/>
    <mergeCell ref="A78:A79"/>
    <mergeCell ref="A62:A63"/>
    <mergeCell ref="A64:A65"/>
    <mergeCell ref="A66:A67"/>
    <mergeCell ref="A68:A69"/>
    <mergeCell ref="A70:A71"/>
    <mergeCell ref="A72:A7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18"/>
  <sheetViews>
    <sheetView showGridLines="0" workbookViewId="0">
      <pane ySplit="5" topLeftCell="A6" activePane="bottomLeft" state="frozen"/>
      <selection pane="bottomLeft" activeCell="A296" sqref="A296"/>
    </sheetView>
  </sheetViews>
  <sheetFormatPr baseColWidth="10" defaultColWidth="11.42578125" defaultRowHeight="12.75"/>
  <cols>
    <col min="1" max="1" width="101" customWidth="1"/>
    <col min="2" max="2" width="106.5703125" customWidth="1"/>
  </cols>
  <sheetData>
    <row r="1" spans="1:54" ht="15">
      <c r="A1" s="245">
        <v>365</v>
      </c>
    </row>
    <row r="2" spans="1:54" ht="15">
      <c r="A2" s="20" t="s">
        <v>136</v>
      </c>
    </row>
    <row r="5" spans="1:54" ht="15">
      <c r="A5" s="244"/>
      <c r="B5" s="253"/>
      <c r="C5" s="348">
        <v>44377</v>
      </c>
      <c r="D5" s="348" t="s">
        <v>518</v>
      </c>
      <c r="E5" s="348">
        <v>44286</v>
      </c>
      <c r="F5" s="348" t="s">
        <v>483</v>
      </c>
      <c r="G5" s="348">
        <v>44196</v>
      </c>
      <c r="H5" s="348" t="s">
        <v>408</v>
      </c>
      <c r="I5" s="348">
        <v>44104</v>
      </c>
      <c r="J5" s="348" t="s">
        <v>395</v>
      </c>
      <c r="K5" s="348">
        <v>44012</v>
      </c>
      <c r="L5" s="348" t="s">
        <v>382</v>
      </c>
      <c r="M5" s="348">
        <v>43921</v>
      </c>
      <c r="N5" s="348" t="s">
        <v>323</v>
      </c>
      <c r="O5" s="348">
        <v>43830</v>
      </c>
      <c r="P5" s="348" t="s">
        <v>318</v>
      </c>
      <c r="Q5" s="348">
        <v>43738</v>
      </c>
      <c r="R5" s="348" t="s">
        <v>316</v>
      </c>
      <c r="S5" s="348">
        <v>43646</v>
      </c>
      <c r="T5" s="348" t="s">
        <v>310</v>
      </c>
      <c r="U5" s="348">
        <v>43555</v>
      </c>
      <c r="V5" s="348" t="s">
        <v>308</v>
      </c>
      <c r="W5" s="348">
        <v>43465</v>
      </c>
      <c r="X5" s="348" t="s">
        <v>309</v>
      </c>
      <c r="Y5" s="348">
        <v>43373</v>
      </c>
      <c r="Z5" s="348" t="s">
        <v>291</v>
      </c>
      <c r="AA5" s="348">
        <v>43281</v>
      </c>
      <c r="AB5" s="254" t="s">
        <v>292</v>
      </c>
      <c r="AC5" s="348">
        <v>43190</v>
      </c>
      <c r="AD5" s="254" t="s">
        <v>293</v>
      </c>
      <c r="AE5" s="348">
        <v>43100</v>
      </c>
      <c r="AF5" s="254" t="s">
        <v>294</v>
      </c>
      <c r="AG5" s="348">
        <v>43008</v>
      </c>
      <c r="AH5" s="254" t="s">
        <v>295</v>
      </c>
      <c r="AI5" s="348">
        <v>42916</v>
      </c>
      <c r="AJ5" s="254" t="s">
        <v>296</v>
      </c>
      <c r="AK5" s="348">
        <v>42825</v>
      </c>
      <c r="AL5" s="254" t="s">
        <v>297</v>
      </c>
      <c r="AM5" s="348">
        <v>42735</v>
      </c>
      <c r="AN5" s="254" t="s">
        <v>298</v>
      </c>
      <c r="AO5" s="348">
        <v>42643</v>
      </c>
      <c r="AP5" s="254" t="s">
        <v>299</v>
      </c>
      <c r="AQ5" s="348">
        <v>42551</v>
      </c>
      <c r="AR5" s="254" t="s">
        <v>300</v>
      </c>
      <c r="AS5" s="348">
        <v>42460</v>
      </c>
      <c r="AT5" s="254" t="s">
        <v>301</v>
      </c>
      <c r="AU5" s="348">
        <v>42369</v>
      </c>
      <c r="AV5" s="254" t="s">
        <v>302</v>
      </c>
      <c r="AW5" s="348">
        <v>42277</v>
      </c>
      <c r="AX5" s="254" t="s">
        <v>303</v>
      </c>
      <c r="AY5" s="348">
        <v>42185</v>
      </c>
      <c r="AZ5" s="254" t="s">
        <v>304</v>
      </c>
      <c r="BA5" s="348">
        <v>42094</v>
      </c>
      <c r="BB5" s="254" t="s">
        <v>305</v>
      </c>
    </row>
    <row r="6" spans="1:54" ht="15">
      <c r="A6" s="244"/>
      <c r="B6" s="253"/>
      <c r="C6" s="346">
        <v>44197</v>
      </c>
      <c r="D6" s="346">
        <v>44287</v>
      </c>
      <c r="E6" s="346">
        <v>44197</v>
      </c>
      <c r="F6" s="346">
        <v>44197</v>
      </c>
      <c r="G6" s="346">
        <v>43831</v>
      </c>
      <c r="H6" s="346">
        <v>44104</v>
      </c>
      <c r="I6" s="346">
        <v>43831</v>
      </c>
      <c r="J6" s="346">
        <v>43921</v>
      </c>
      <c r="K6" s="346">
        <v>43831</v>
      </c>
      <c r="L6" s="346">
        <v>43921</v>
      </c>
      <c r="M6" s="346">
        <v>43831</v>
      </c>
      <c r="N6" s="346">
        <v>43831</v>
      </c>
      <c r="O6" s="346">
        <v>43466</v>
      </c>
      <c r="P6" s="346">
        <v>43739</v>
      </c>
      <c r="Q6" s="346">
        <v>43466</v>
      </c>
      <c r="R6" s="346">
        <v>43647</v>
      </c>
      <c r="S6" s="346">
        <v>43466</v>
      </c>
      <c r="T6" s="346">
        <v>43556</v>
      </c>
      <c r="U6" s="346">
        <v>43466</v>
      </c>
      <c r="V6" s="346">
        <v>43466</v>
      </c>
      <c r="W6" s="346">
        <v>43101</v>
      </c>
      <c r="X6" s="346">
        <v>43374</v>
      </c>
      <c r="Y6" s="346">
        <v>43101</v>
      </c>
      <c r="Z6" s="346">
        <v>43282</v>
      </c>
      <c r="AA6" s="346">
        <v>43101</v>
      </c>
      <c r="AB6" s="346">
        <v>43191</v>
      </c>
      <c r="AC6" s="346">
        <v>43101</v>
      </c>
      <c r="AD6" s="346">
        <v>43101</v>
      </c>
      <c r="AE6" s="346">
        <v>42736</v>
      </c>
      <c r="AF6" s="346">
        <v>43009</v>
      </c>
      <c r="AG6" s="346">
        <v>42736</v>
      </c>
      <c r="AH6" s="346">
        <v>42917</v>
      </c>
      <c r="AI6" s="346">
        <v>42736</v>
      </c>
      <c r="AJ6" s="346">
        <v>42826</v>
      </c>
      <c r="AK6" s="346">
        <v>42736</v>
      </c>
      <c r="AL6" s="346">
        <v>42736</v>
      </c>
      <c r="AM6" s="346">
        <v>42370</v>
      </c>
      <c r="AN6" s="346">
        <v>42644</v>
      </c>
      <c r="AO6" s="346">
        <v>42370</v>
      </c>
      <c r="AP6" s="346">
        <v>42552</v>
      </c>
      <c r="AQ6" s="346">
        <v>42370</v>
      </c>
      <c r="AR6" s="346">
        <v>42461</v>
      </c>
      <c r="AS6" s="346">
        <v>42370</v>
      </c>
      <c r="AT6" s="346">
        <v>42370</v>
      </c>
      <c r="AU6" s="346">
        <v>42005</v>
      </c>
      <c r="AV6" s="346">
        <v>42278</v>
      </c>
      <c r="AW6" s="346">
        <v>42005</v>
      </c>
      <c r="AX6" s="346">
        <v>42186</v>
      </c>
      <c r="AY6" s="346">
        <v>42005</v>
      </c>
      <c r="AZ6" s="346">
        <v>42095</v>
      </c>
      <c r="BA6" s="346">
        <v>42005</v>
      </c>
      <c r="BB6" s="346">
        <v>42005</v>
      </c>
    </row>
    <row r="7" spans="1:54" ht="15">
      <c r="A7" s="244"/>
      <c r="B7" s="255"/>
      <c r="C7" s="347">
        <v>44377</v>
      </c>
      <c r="D7" s="347">
        <v>44377</v>
      </c>
      <c r="E7" s="347">
        <v>44286</v>
      </c>
      <c r="F7" s="347">
        <v>44286</v>
      </c>
      <c r="G7" s="347">
        <v>44196</v>
      </c>
      <c r="H7" s="347">
        <v>44196</v>
      </c>
      <c r="I7" s="347">
        <v>44104</v>
      </c>
      <c r="J7" s="347">
        <v>44104</v>
      </c>
      <c r="K7" s="347">
        <v>44012</v>
      </c>
      <c r="L7" s="347">
        <v>44012</v>
      </c>
      <c r="M7" s="347">
        <v>43921</v>
      </c>
      <c r="N7" s="347">
        <v>43921</v>
      </c>
      <c r="O7" s="347">
        <v>43830</v>
      </c>
      <c r="P7" s="347">
        <v>43830</v>
      </c>
      <c r="Q7" s="347">
        <v>43738</v>
      </c>
      <c r="R7" s="347">
        <v>43738</v>
      </c>
      <c r="S7" s="347">
        <v>43646</v>
      </c>
      <c r="T7" s="347">
        <v>43646</v>
      </c>
      <c r="U7" s="347">
        <v>43555</v>
      </c>
      <c r="V7" s="347">
        <v>43555</v>
      </c>
      <c r="W7" s="347">
        <v>43465</v>
      </c>
      <c r="X7" s="347">
        <v>43465</v>
      </c>
      <c r="Y7" s="347">
        <v>43373</v>
      </c>
      <c r="Z7" s="347">
        <v>43373</v>
      </c>
      <c r="AA7" s="347">
        <v>43281</v>
      </c>
      <c r="AB7" s="347">
        <v>43281</v>
      </c>
      <c r="AC7" s="347">
        <v>43190</v>
      </c>
      <c r="AD7" s="347">
        <v>43190</v>
      </c>
      <c r="AE7" s="347">
        <v>43100</v>
      </c>
      <c r="AF7" s="347">
        <v>43100</v>
      </c>
      <c r="AG7" s="347">
        <v>43008</v>
      </c>
      <c r="AH7" s="347">
        <v>43008</v>
      </c>
      <c r="AI7" s="347">
        <v>42916</v>
      </c>
      <c r="AJ7" s="347">
        <v>42916</v>
      </c>
      <c r="AK7" s="347">
        <v>42825</v>
      </c>
      <c r="AL7" s="347">
        <v>42825</v>
      </c>
      <c r="AM7" s="347">
        <v>42735</v>
      </c>
      <c r="AN7" s="347">
        <v>42735</v>
      </c>
      <c r="AO7" s="347">
        <v>42643</v>
      </c>
      <c r="AP7" s="347">
        <v>42643</v>
      </c>
      <c r="AQ7" s="347">
        <v>42551</v>
      </c>
      <c r="AR7" s="347">
        <v>42551</v>
      </c>
      <c r="AS7" s="347">
        <v>42460</v>
      </c>
      <c r="AT7" s="347">
        <v>42460</v>
      </c>
      <c r="AU7" s="347">
        <v>42369</v>
      </c>
      <c r="AV7" s="347">
        <v>42369</v>
      </c>
      <c r="AW7" s="347">
        <v>42277</v>
      </c>
      <c r="AX7" s="347">
        <v>42277</v>
      </c>
      <c r="AY7" s="347">
        <v>42185</v>
      </c>
      <c r="AZ7" s="347">
        <v>42185</v>
      </c>
      <c r="BA7" s="347">
        <v>42094</v>
      </c>
      <c r="BB7" s="347">
        <v>42094</v>
      </c>
    </row>
    <row r="8" spans="1:54" ht="15">
      <c r="B8" s="255" t="s">
        <v>149</v>
      </c>
      <c r="C8" s="361">
        <v>181</v>
      </c>
      <c r="D8" s="361">
        <v>91</v>
      </c>
      <c r="E8" s="361">
        <v>90</v>
      </c>
      <c r="F8" s="361">
        <v>90</v>
      </c>
      <c r="G8" s="361">
        <v>366</v>
      </c>
      <c r="H8" s="361">
        <v>92</v>
      </c>
      <c r="I8" s="361">
        <v>274</v>
      </c>
      <c r="J8" s="361">
        <v>92</v>
      </c>
      <c r="K8" s="361">
        <v>182</v>
      </c>
      <c r="L8" s="361">
        <v>91</v>
      </c>
      <c r="M8" s="361">
        <v>91</v>
      </c>
      <c r="N8" s="361">
        <v>91</v>
      </c>
      <c r="O8" s="361">
        <v>365</v>
      </c>
      <c r="P8" s="361">
        <v>92</v>
      </c>
      <c r="Q8" s="361">
        <v>273</v>
      </c>
      <c r="R8" s="362">
        <v>92</v>
      </c>
      <c r="S8" s="361">
        <f>_xlfn.DAYS(S7,S6-1)</f>
        <v>181</v>
      </c>
      <c r="T8" s="362">
        <f>_xlfn.DAYS(T7,T6-1)</f>
        <v>91</v>
      </c>
      <c r="U8" s="255">
        <v>90</v>
      </c>
      <c r="V8" s="255">
        <v>90</v>
      </c>
      <c r="W8" s="255">
        <v>365</v>
      </c>
      <c r="X8" s="255">
        <v>92</v>
      </c>
      <c r="Y8" s="255">
        <v>273</v>
      </c>
      <c r="Z8" s="255">
        <v>92</v>
      </c>
      <c r="AA8" s="255">
        <v>181</v>
      </c>
      <c r="AB8" s="255">
        <v>91</v>
      </c>
      <c r="AC8" s="255">
        <f>31+28+31</f>
        <v>90</v>
      </c>
      <c r="AD8" s="255">
        <f>31+28+31</f>
        <v>90</v>
      </c>
      <c r="AE8" s="255">
        <f>+AF8+AG8</f>
        <v>365</v>
      </c>
      <c r="AF8" s="255">
        <f>31+30+31</f>
        <v>92</v>
      </c>
      <c r="AG8" s="255">
        <f>+AH8+AI8</f>
        <v>273</v>
      </c>
      <c r="AH8" s="255">
        <f>31+31+30</f>
        <v>92</v>
      </c>
      <c r="AI8" s="255">
        <f>+AJ8+AL8</f>
        <v>181</v>
      </c>
      <c r="AJ8" s="255">
        <f>30+31+30</f>
        <v>91</v>
      </c>
      <c r="AK8" s="255">
        <f>+AL8</f>
        <v>90</v>
      </c>
      <c r="AL8" s="255">
        <f>31+28+31</f>
        <v>90</v>
      </c>
      <c r="AM8" s="255">
        <f>+AN8+AO8</f>
        <v>366</v>
      </c>
      <c r="AN8" s="255">
        <f>31+30+31</f>
        <v>92</v>
      </c>
      <c r="AO8" s="255">
        <f>+AP8+AQ8</f>
        <v>274</v>
      </c>
      <c r="AP8" s="255">
        <f>31+31+30</f>
        <v>92</v>
      </c>
      <c r="AQ8" s="255">
        <f>+AR8+AS8</f>
        <v>182</v>
      </c>
      <c r="AR8" s="255">
        <f>30+31+30</f>
        <v>91</v>
      </c>
      <c r="AS8" s="255">
        <f>+AT8</f>
        <v>91</v>
      </c>
      <c r="AT8" s="255">
        <f>31+29+31</f>
        <v>91</v>
      </c>
      <c r="AU8" s="255">
        <f>+AV8+AW8</f>
        <v>365</v>
      </c>
      <c r="AV8" s="255">
        <f>31+30+31</f>
        <v>92</v>
      </c>
      <c r="AW8" s="255">
        <f>+AX8+AY8</f>
        <v>273</v>
      </c>
      <c r="AX8" s="255">
        <f>31+31+30</f>
        <v>92</v>
      </c>
      <c r="AY8" s="255">
        <f>+AZ8+BB8</f>
        <v>181</v>
      </c>
      <c r="AZ8" s="255">
        <f>30+31+30</f>
        <v>91</v>
      </c>
      <c r="BA8" s="255">
        <f>+BB8</f>
        <v>90</v>
      </c>
      <c r="BB8" s="255">
        <f>31+28+31</f>
        <v>90</v>
      </c>
    </row>
    <row r="9" spans="1:54"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5"/>
      <c r="AW9" s="257"/>
      <c r="AX9" s="257"/>
      <c r="AY9" s="257"/>
      <c r="AZ9" s="257"/>
      <c r="BA9" s="257"/>
      <c r="BB9" s="257"/>
    </row>
    <row r="10" spans="1:54">
      <c r="A10" s="246"/>
      <c r="B10" s="255" t="s">
        <v>32</v>
      </c>
      <c r="C10" s="258">
        <v>955.29416647999949</v>
      </c>
      <c r="D10" s="258">
        <v>515.95789824999974</v>
      </c>
      <c r="E10" s="258">
        <v>439.33630000000011</v>
      </c>
      <c r="F10" s="258">
        <v>439.33630000000011</v>
      </c>
      <c r="G10" s="258">
        <v>1608.4838</v>
      </c>
      <c r="H10" s="258">
        <v>466.33647999999994</v>
      </c>
      <c r="I10" s="258">
        <v>1142.1600000000001</v>
      </c>
      <c r="J10" s="258">
        <v>437.9</v>
      </c>
      <c r="K10" s="258">
        <v>704.26890106999986</v>
      </c>
      <c r="L10" s="258">
        <v>437.85398513999996</v>
      </c>
      <c r="M10" s="258">
        <v>266</v>
      </c>
      <c r="N10" s="258">
        <v>266</v>
      </c>
      <c r="O10" s="258">
        <v>1928.1664119999998</v>
      </c>
      <c r="P10" s="258">
        <v>291.48677683999989</v>
      </c>
      <c r="Q10" s="258">
        <v>1636.6796351600001</v>
      </c>
      <c r="R10" s="258">
        <v>409.28442015999985</v>
      </c>
      <c r="S10" s="258">
        <v>1227.3952150000005</v>
      </c>
      <c r="T10" s="258">
        <v>470.82553570000027</v>
      </c>
      <c r="U10" s="258">
        <v>756.56967929999973</v>
      </c>
      <c r="V10" s="258">
        <v>756.56967929999973</v>
      </c>
      <c r="W10" s="258">
        <v>1413.5559930000002</v>
      </c>
      <c r="X10" s="258">
        <v>321.80813815000039</v>
      </c>
      <c r="Y10" s="258">
        <v>1091.7478549999998</v>
      </c>
      <c r="Z10" s="258">
        <v>361.66793400000006</v>
      </c>
      <c r="AA10" s="258">
        <v>730.07992100000013</v>
      </c>
      <c r="AB10" s="258">
        <v>416.1546219999999</v>
      </c>
      <c r="AC10" s="258">
        <v>313.925299</v>
      </c>
      <c r="AD10" s="258">
        <v>313.925299</v>
      </c>
      <c r="AE10" s="258">
        <v>1262.8547599999997</v>
      </c>
      <c r="AF10" s="258">
        <v>336.63084299999963</v>
      </c>
      <c r="AG10" s="258">
        <v>925.79183999999987</v>
      </c>
      <c r="AH10" s="258">
        <v>376.79184000000026</v>
      </c>
      <c r="AI10" s="258">
        <v>547.89695000000029</v>
      </c>
      <c r="AJ10" s="258">
        <v>274.03295000000026</v>
      </c>
      <c r="AK10" s="258">
        <v>273.86399999999986</v>
      </c>
      <c r="AL10" s="258">
        <v>273.86399999999986</v>
      </c>
      <c r="AM10" s="258">
        <v>1099.5794989999999</v>
      </c>
      <c r="AN10" s="258">
        <v>281.49246836999998</v>
      </c>
      <c r="AO10" s="258">
        <v>819.40027437000026</v>
      </c>
      <c r="AP10" s="258">
        <v>423.74120293000004</v>
      </c>
      <c r="AQ10" s="258">
        <v>395.73999999999995</v>
      </c>
      <c r="AR10" s="258">
        <v>227.20000000000005</v>
      </c>
      <c r="AS10" s="258">
        <v>169.01000000000002</v>
      </c>
      <c r="AT10" s="258">
        <v>169.01000000000002</v>
      </c>
      <c r="AU10" s="258">
        <v>929.5</v>
      </c>
      <c r="AV10" s="258">
        <v>193.50000000000006</v>
      </c>
      <c r="AW10" s="258">
        <v>735.88799999999992</v>
      </c>
      <c r="AX10" s="258">
        <v>307.29000000000008</v>
      </c>
      <c r="AY10" s="258">
        <v>430</v>
      </c>
      <c r="AZ10" s="258">
        <v>190</v>
      </c>
      <c r="BA10" s="258">
        <v>240</v>
      </c>
      <c r="BB10" s="258">
        <v>240</v>
      </c>
    </row>
    <row r="11" spans="1:54">
      <c r="A11" s="246"/>
      <c r="B11" s="259" t="s">
        <v>150</v>
      </c>
      <c r="C11" s="260">
        <v>12.137389000000001</v>
      </c>
      <c r="D11" s="260">
        <v>6.2048890000000005</v>
      </c>
      <c r="E11" s="260">
        <v>5.9324999999999992</v>
      </c>
      <c r="F11" s="260">
        <v>5.9324999999999992</v>
      </c>
      <c r="G11" s="260">
        <v>19.578340000000001</v>
      </c>
      <c r="H11" s="260">
        <v>5.8433400000000013</v>
      </c>
      <c r="I11" s="260">
        <v>13.7354</v>
      </c>
      <c r="J11" s="260">
        <v>6.0016999999999996</v>
      </c>
      <c r="K11" s="260">
        <v>7.7336600000000075</v>
      </c>
      <c r="L11" s="260">
        <v>3.8026670000000076</v>
      </c>
      <c r="M11" s="260">
        <v>4</v>
      </c>
      <c r="N11" s="260">
        <v>4</v>
      </c>
      <c r="O11" s="260">
        <v>15.261431999999999</v>
      </c>
      <c r="P11" s="260">
        <v>6.1594199999999999</v>
      </c>
      <c r="Q11" s="260">
        <v>9.1020119999999984</v>
      </c>
      <c r="R11" s="260">
        <v>2.2946239999999998</v>
      </c>
      <c r="S11" s="260">
        <v>6.8073879999999996</v>
      </c>
      <c r="T11" s="260">
        <v>2.2233329999999998</v>
      </c>
      <c r="U11" s="260">
        <v>4.5840550000000002</v>
      </c>
      <c r="V11" s="260">
        <v>4.5840550000000002</v>
      </c>
      <c r="W11" s="260">
        <v>17.264553000000003</v>
      </c>
      <c r="X11" s="260">
        <v>4.3932770000000003</v>
      </c>
      <c r="Y11" s="260">
        <v>12.871276000000002</v>
      </c>
      <c r="Z11" s="260">
        <v>4.3728879999999997</v>
      </c>
      <c r="AA11" s="260">
        <v>8.4983880000000021</v>
      </c>
      <c r="AB11" s="260">
        <v>4.357888</v>
      </c>
      <c r="AC11" s="260">
        <v>4.140500000000003</v>
      </c>
      <c r="AD11" s="260">
        <v>4.140500000000003</v>
      </c>
      <c r="AE11" s="260">
        <v>17.059778000000001</v>
      </c>
      <c r="AF11" s="260">
        <v>4.1101669999999997</v>
      </c>
      <c r="AG11" s="260">
        <v>12.660722</v>
      </c>
      <c r="AH11" s="260">
        <v>4.1961110000000001</v>
      </c>
      <c r="AI11" s="260">
        <v>8.3062780000000007</v>
      </c>
      <c r="AJ11" s="260">
        <v>4.3544444000000002</v>
      </c>
      <c r="AK11" s="260">
        <v>4.3990559999999999</v>
      </c>
      <c r="AL11" s="260">
        <v>4.3990559999999999</v>
      </c>
      <c r="AM11" s="260">
        <v>13.238778</v>
      </c>
      <c r="AN11" s="260">
        <v>4.4033889999999998</v>
      </c>
      <c r="AO11" s="260">
        <v>8.8353889999999993</v>
      </c>
      <c r="AP11" s="260">
        <v>4.3999449999999998</v>
      </c>
      <c r="AQ11" s="260">
        <f>4.435444</f>
        <v>4.4354440000000004</v>
      </c>
      <c r="AR11" s="260">
        <f>4.435444</f>
        <v>4.4354440000000004</v>
      </c>
      <c r="AS11" s="260">
        <v>0</v>
      </c>
      <c r="AT11" s="260">
        <v>0</v>
      </c>
      <c r="AU11" s="260">
        <v>0</v>
      </c>
      <c r="AV11" s="260">
        <v>0</v>
      </c>
      <c r="AW11" s="260">
        <v>0</v>
      </c>
      <c r="AX11" s="260">
        <v>0</v>
      </c>
      <c r="AY11" s="260">
        <v>0</v>
      </c>
      <c r="AZ11" s="260">
        <v>0</v>
      </c>
      <c r="BA11" s="260">
        <v>0</v>
      </c>
      <c r="BB11" s="260">
        <v>0</v>
      </c>
    </row>
    <row r="12" spans="1:54">
      <c r="A12" s="246"/>
      <c r="B12" s="259" t="s">
        <v>151</v>
      </c>
      <c r="C12" s="260">
        <v>0</v>
      </c>
      <c r="D12" s="260">
        <v>0</v>
      </c>
      <c r="E12" s="260">
        <v>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260">
        <v>0</v>
      </c>
      <c r="V12" s="260">
        <v>0</v>
      </c>
      <c r="W12" s="260">
        <v>0</v>
      </c>
      <c r="X12" s="260">
        <v>0</v>
      </c>
      <c r="Y12" s="260">
        <v>3.2178190000000004</v>
      </c>
      <c r="Z12" s="260">
        <v>1.0932219999999999</v>
      </c>
      <c r="AA12" s="260">
        <f t="shared" ref="AA12:AB12" si="0">+AA11*0.25</f>
        <v>2.1245970000000005</v>
      </c>
      <c r="AB12" s="260">
        <f t="shared" si="0"/>
        <v>1.089472</v>
      </c>
      <c r="AC12" s="260">
        <f t="shared" ref="AC12:AR12" si="1">+AC11*0.25</f>
        <v>1.0351250000000007</v>
      </c>
      <c r="AD12" s="260">
        <f t="shared" si="1"/>
        <v>1.0351250000000007</v>
      </c>
      <c r="AE12" s="260">
        <f t="shared" si="1"/>
        <v>4.2649445000000004</v>
      </c>
      <c r="AF12" s="260">
        <f t="shared" si="1"/>
        <v>1.0275417499999999</v>
      </c>
      <c r="AG12" s="260">
        <f t="shared" si="1"/>
        <v>3.1651805</v>
      </c>
      <c r="AH12" s="260">
        <f t="shared" si="1"/>
        <v>1.04902775</v>
      </c>
      <c r="AI12" s="260">
        <f t="shared" si="1"/>
        <v>2.0765695000000002</v>
      </c>
      <c r="AJ12" s="260">
        <f t="shared" si="1"/>
        <v>1.0886111000000001</v>
      </c>
      <c r="AK12" s="260">
        <f t="shared" si="1"/>
        <v>1.099764</v>
      </c>
      <c r="AL12" s="260">
        <f t="shared" si="1"/>
        <v>1.099764</v>
      </c>
      <c r="AM12" s="260">
        <f t="shared" si="1"/>
        <v>3.3096945</v>
      </c>
      <c r="AN12" s="260">
        <f t="shared" si="1"/>
        <v>1.1008472499999999</v>
      </c>
      <c r="AO12" s="260">
        <f t="shared" si="1"/>
        <v>2.2088472499999998</v>
      </c>
      <c r="AP12" s="260">
        <f t="shared" si="1"/>
        <v>1.0999862499999999</v>
      </c>
      <c r="AQ12" s="260">
        <f t="shared" si="1"/>
        <v>1.1088610000000001</v>
      </c>
      <c r="AR12" s="260">
        <f t="shared" si="1"/>
        <v>1.1088610000000001</v>
      </c>
      <c r="AS12" s="260">
        <v>0</v>
      </c>
      <c r="AT12" s="260">
        <v>0</v>
      </c>
      <c r="AU12" s="260">
        <v>0</v>
      </c>
      <c r="AV12" s="260">
        <v>0</v>
      </c>
      <c r="AW12" s="260">
        <v>0</v>
      </c>
      <c r="AX12" s="260">
        <v>0</v>
      </c>
      <c r="AY12" s="260">
        <v>0</v>
      </c>
      <c r="AZ12" s="260">
        <v>0</v>
      </c>
      <c r="BA12" s="260">
        <v>0</v>
      </c>
      <c r="BB12" s="260">
        <v>0</v>
      </c>
    </row>
    <row r="13" spans="1:54">
      <c r="A13" s="109"/>
      <c r="B13" s="261" t="s">
        <v>152</v>
      </c>
      <c r="C13" s="262">
        <v>0</v>
      </c>
      <c r="D13" s="262">
        <v>0</v>
      </c>
      <c r="E13" s="262">
        <v>0</v>
      </c>
      <c r="F13" s="262">
        <v>0</v>
      </c>
      <c r="G13" s="262">
        <v>0</v>
      </c>
      <c r="H13" s="262">
        <v>0</v>
      </c>
      <c r="I13" s="262">
        <v>0</v>
      </c>
      <c r="J13" s="262">
        <v>0</v>
      </c>
      <c r="K13" s="262">
        <v>0</v>
      </c>
      <c r="L13" s="262">
        <v>0</v>
      </c>
      <c r="M13" s="262">
        <v>0</v>
      </c>
      <c r="N13" s="262">
        <v>0</v>
      </c>
      <c r="O13" s="262">
        <v>0</v>
      </c>
      <c r="P13" s="262">
        <v>0</v>
      </c>
      <c r="Q13" s="262">
        <v>6.8073880000000004</v>
      </c>
      <c r="R13" s="262">
        <v>2.2233330000000002</v>
      </c>
      <c r="S13" s="262">
        <v>6.8073880000000004</v>
      </c>
      <c r="T13" s="262">
        <v>2.2233330000000002</v>
      </c>
      <c r="U13" s="262">
        <v>4.5840550000000002</v>
      </c>
      <c r="V13" s="262">
        <v>4.5840550000000002</v>
      </c>
      <c r="W13" s="262">
        <v>17.264553000000003</v>
      </c>
      <c r="X13" s="262">
        <v>4.3932770000000003</v>
      </c>
      <c r="Y13" s="262">
        <v>9.6534570000000013</v>
      </c>
      <c r="Z13" s="262">
        <v>3.2796659999999997</v>
      </c>
      <c r="AA13" s="262">
        <f>AA11-AA12</f>
        <v>6.3737910000000015</v>
      </c>
      <c r="AB13" s="262">
        <f t="shared" ref="AB13" si="2">AB11-AB12</f>
        <v>3.2684160000000002</v>
      </c>
      <c r="AC13" s="262">
        <f>AC11-AC12</f>
        <v>3.1053750000000022</v>
      </c>
      <c r="AD13" s="262">
        <f t="shared" ref="AD13:AR13" si="3">AD11-AD12</f>
        <v>3.1053750000000022</v>
      </c>
      <c r="AE13" s="262">
        <f t="shared" si="3"/>
        <v>12.794833500000001</v>
      </c>
      <c r="AF13" s="262">
        <f t="shared" si="3"/>
        <v>3.0826252499999995</v>
      </c>
      <c r="AG13" s="262">
        <f t="shared" si="3"/>
        <v>9.4955414999999999</v>
      </c>
      <c r="AH13" s="262">
        <f t="shared" si="3"/>
        <v>3.1470832500000001</v>
      </c>
      <c r="AI13" s="262">
        <f t="shared" si="3"/>
        <v>6.229708500000001</v>
      </c>
      <c r="AJ13" s="262">
        <f t="shared" si="3"/>
        <v>3.2658333000000002</v>
      </c>
      <c r="AK13" s="262">
        <f t="shared" si="3"/>
        <v>3.2992919999999999</v>
      </c>
      <c r="AL13" s="262">
        <f t="shared" si="3"/>
        <v>3.2992919999999999</v>
      </c>
      <c r="AM13" s="262">
        <f t="shared" si="3"/>
        <v>9.9290835000000008</v>
      </c>
      <c r="AN13" s="262">
        <f t="shared" si="3"/>
        <v>3.3025417499999996</v>
      </c>
      <c r="AO13" s="262">
        <f t="shared" si="3"/>
        <v>6.6265417499999995</v>
      </c>
      <c r="AP13" s="262">
        <f t="shared" si="3"/>
        <v>3.2999587500000001</v>
      </c>
      <c r="AQ13" s="262">
        <f t="shared" si="3"/>
        <v>3.3265830000000003</v>
      </c>
      <c r="AR13" s="262">
        <f t="shared" si="3"/>
        <v>3.3265830000000003</v>
      </c>
      <c r="AS13" s="262">
        <v>0</v>
      </c>
      <c r="AT13" s="262">
        <v>0</v>
      </c>
      <c r="AU13" s="262">
        <v>0</v>
      </c>
      <c r="AV13" s="262">
        <v>0</v>
      </c>
      <c r="AW13" s="262">
        <v>0</v>
      </c>
      <c r="AX13" s="262">
        <v>0</v>
      </c>
      <c r="AY13" s="262">
        <v>0</v>
      </c>
      <c r="AZ13" s="262">
        <v>0</v>
      </c>
      <c r="BA13" s="262">
        <v>0</v>
      </c>
      <c r="BB13" s="262">
        <v>0</v>
      </c>
    </row>
    <row r="14" spans="1:54">
      <c r="A14" s="246"/>
      <c r="B14" s="255" t="s">
        <v>153</v>
      </c>
      <c r="C14" s="258">
        <v>943.1567774799995</v>
      </c>
      <c r="D14" s="258">
        <v>509.75300924999976</v>
      </c>
      <c r="E14" s="258">
        <v>433.4038000000001</v>
      </c>
      <c r="F14" s="258">
        <v>433.4038000000001</v>
      </c>
      <c r="G14" s="258">
        <v>1588.9054599999999</v>
      </c>
      <c r="H14" s="258">
        <v>460.49313999999993</v>
      </c>
      <c r="I14" s="258">
        <v>1128.4246000000001</v>
      </c>
      <c r="J14" s="258">
        <v>431.89830000000001</v>
      </c>
      <c r="K14" s="258">
        <v>696.53524106999987</v>
      </c>
      <c r="L14" s="258">
        <v>434.05131813999998</v>
      </c>
      <c r="M14" s="258">
        <v>262</v>
      </c>
      <c r="N14" s="258">
        <v>262</v>
      </c>
      <c r="O14" s="258">
        <v>1912.9049799999998</v>
      </c>
      <c r="P14" s="258">
        <v>285.32735683999988</v>
      </c>
      <c r="Q14" s="258">
        <v>1629.8722471600001</v>
      </c>
      <c r="R14" s="258">
        <v>407.06108715999983</v>
      </c>
      <c r="S14" s="258">
        <f>+S10-S13</f>
        <v>1220.5878270000005</v>
      </c>
      <c r="T14" s="258">
        <f t="shared" ref="T14" si="4">+T10-T13</f>
        <v>468.60220270000025</v>
      </c>
      <c r="U14" s="258">
        <v>751.9856242999997</v>
      </c>
      <c r="V14" s="258">
        <v>751.9856242999997</v>
      </c>
      <c r="W14" s="258">
        <v>1396.2914400000002</v>
      </c>
      <c r="X14" s="258">
        <v>317.41486115000038</v>
      </c>
      <c r="Y14" s="258">
        <v>1082.094398</v>
      </c>
      <c r="Z14" s="258">
        <v>358.38826800000004</v>
      </c>
      <c r="AA14" s="258">
        <f>+AA10-AA13</f>
        <v>723.70613000000014</v>
      </c>
      <c r="AB14" s="258">
        <f t="shared" ref="AB14" si="5">+AB10-AB13</f>
        <v>412.8862059999999</v>
      </c>
      <c r="AC14" s="258">
        <f>+AC10-AC13</f>
        <v>310.81992400000001</v>
      </c>
      <c r="AD14" s="258">
        <f t="shared" ref="AD14:AP14" si="6">+AD10-AD13</f>
        <v>310.81992400000001</v>
      </c>
      <c r="AE14" s="258">
        <f t="shared" si="6"/>
        <v>1250.0599264999996</v>
      </c>
      <c r="AF14" s="258">
        <f t="shared" si="6"/>
        <v>333.54821774999965</v>
      </c>
      <c r="AG14" s="258">
        <f t="shared" si="6"/>
        <v>916.29629849999992</v>
      </c>
      <c r="AH14" s="258">
        <f t="shared" si="6"/>
        <v>373.64475675000028</v>
      </c>
      <c r="AI14" s="258">
        <f t="shared" si="6"/>
        <v>541.66724150000027</v>
      </c>
      <c r="AJ14" s="258">
        <f t="shared" si="6"/>
        <v>270.76711670000026</v>
      </c>
      <c r="AK14" s="258">
        <f t="shared" si="6"/>
        <v>270.56470799999988</v>
      </c>
      <c r="AL14" s="258">
        <f t="shared" si="6"/>
        <v>270.56470799999988</v>
      </c>
      <c r="AM14" s="258">
        <f t="shared" si="6"/>
        <v>1089.6504155</v>
      </c>
      <c r="AN14" s="258">
        <f t="shared" si="6"/>
        <v>278.18992661999999</v>
      </c>
      <c r="AO14" s="258">
        <f t="shared" si="6"/>
        <v>812.77373262000026</v>
      </c>
      <c r="AP14" s="258">
        <f t="shared" si="6"/>
        <v>420.44124418000007</v>
      </c>
      <c r="AQ14" s="258">
        <f t="shared" ref="AQ14:BA14" si="7">+AQ10-AQ11</f>
        <v>391.30455599999993</v>
      </c>
      <c r="AR14" s="258">
        <f t="shared" si="7"/>
        <v>222.76455600000006</v>
      </c>
      <c r="AS14" s="258">
        <f t="shared" si="7"/>
        <v>169.01000000000002</v>
      </c>
      <c r="AT14" s="258">
        <f t="shared" si="7"/>
        <v>169.01000000000002</v>
      </c>
      <c r="AU14" s="258">
        <f t="shared" si="7"/>
        <v>929.5</v>
      </c>
      <c r="AV14" s="258">
        <f t="shared" si="7"/>
        <v>193.50000000000006</v>
      </c>
      <c r="AW14" s="258">
        <f t="shared" si="7"/>
        <v>735.88799999999992</v>
      </c>
      <c r="AX14" s="258">
        <f t="shared" si="7"/>
        <v>307.29000000000008</v>
      </c>
      <c r="AY14" s="258">
        <f t="shared" si="7"/>
        <v>430</v>
      </c>
      <c r="AZ14" s="258">
        <f t="shared" si="7"/>
        <v>190</v>
      </c>
      <c r="BA14" s="258">
        <f t="shared" si="7"/>
        <v>240</v>
      </c>
      <c r="BB14" s="263">
        <v>240</v>
      </c>
    </row>
    <row r="15" spans="1:54">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58"/>
      <c r="AI15" s="264"/>
      <c r="AJ15" s="264"/>
      <c r="AK15" s="264"/>
      <c r="AL15" s="264"/>
      <c r="AM15" s="264"/>
      <c r="AN15" s="264"/>
      <c r="AO15" s="258"/>
      <c r="AP15" s="258"/>
      <c r="AQ15" s="264"/>
      <c r="AR15" s="264"/>
      <c r="AS15" s="264"/>
      <c r="AT15" s="264"/>
      <c r="AU15" s="264"/>
      <c r="AV15" s="264"/>
      <c r="AW15" s="264"/>
      <c r="AX15" s="264"/>
      <c r="AY15" s="264"/>
      <c r="AZ15" s="264"/>
      <c r="BA15" s="264"/>
      <c r="BB15" s="265"/>
    </row>
    <row r="16" spans="1:54">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58"/>
      <c r="AI16" s="264"/>
      <c r="AJ16" s="264"/>
      <c r="AK16" s="264"/>
      <c r="AL16" s="264"/>
      <c r="AM16" s="264"/>
      <c r="AN16" s="264"/>
      <c r="AO16" s="258"/>
      <c r="AP16" s="258"/>
      <c r="AQ16" s="264"/>
      <c r="AR16" s="264"/>
      <c r="AS16" s="264"/>
      <c r="AT16" s="264"/>
      <c r="AU16" s="264"/>
      <c r="AV16" s="264"/>
      <c r="AW16" s="264"/>
      <c r="AX16" s="264"/>
      <c r="AY16" s="264"/>
      <c r="AZ16" s="264"/>
      <c r="BA16" s="264"/>
      <c r="BB16" s="265"/>
    </row>
    <row r="17" spans="1:54"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58"/>
      <c r="AI17" s="264"/>
      <c r="AJ17" s="264"/>
      <c r="AK17" s="264"/>
      <c r="AL17" s="264"/>
      <c r="AM17" s="264"/>
      <c r="AN17" s="264"/>
      <c r="AO17" s="258"/>
      <c r="AP17" s="258"/>
      <c r="AQ17" s="264"/>
      <c r="AR17" s="264"/>
      <c r="AS17" s="264"/>
      <c r="AT17" s="264"/>
      <c r="AU17" s="264"/>
      <c r="AV17" s="264"/>
      <c r="AW17" s="264"/>
      <c r="AX17" s="264"/>
      <c r="AY17" s="264"/>
      <c r="AZ17" s="264"/>
      <c r="BA17" s="264"/>
      <c r="BB17" s="264"/>
    </row>
    <row r="18" spans="1:54"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58"/>
      <c r="AI18" s="264"/>
      <c r="AJ18" s="264"/>
      <c r="AK18" s="264"/>
      <c r="AL18" s="264"/>
      <c r="AM18" s="264"/>
      <c r="AN18" s="264"/>
      <c r="AO18" s="258"/>
      <c r="AP18" s="258"/>
      <c r="AQ18" s="264"/>
      <c r="AR18" s="264"/>
      <c r="AS18" s="264"/>
      <c r="AT18" s="264"/>
      <c r="AU18" s="264"/>
      <c r="AV18" s="264"/>
      <c r="AW18" s="264"/>
      <c r="AX18" s="264"/>
      <c r="AY18" s="264"/>
      <c r="AZ18" s="264"/>
      <c r="BA18" s="264"/>
      <c r="BB18" s="264"/>
    </row>
    <row r="19" spans="1:54">
      <c r="A19" s="246"/>
      <c r="B19" s="255" t="s">
        <v>154</v>
      </c>
      <c r="C19" s="258">
        <v>17791.42000573</v>
      </c>
      <c r="D19" s="258">
        <v>17791.42000573</v>
      </c>
      <c r="E19" s="258">
        <v>17304.41509002</v>
      </c>
      <c r="F19" s="258">
        <v>17304.41509002</v>
      </c>
      <c r="G19" s="258">
        <v>17135.459832</v>
      </c>
      <c r="H19" s="258">
        <v>17135.459832</v>
      </c>
      <c r="I19" s="258">
        <v>16654.883699999998</v>
      </c>
      <c r="J19" s="258">
        <v>16654.883699999998</v>
      </c>
      <c r="K19" s="258">
        <v>16244.309691809998</v>
      </c>
      <c r="L19" s="258">
        <v>16244.309691809998</v>
      </c>
      <c r="M19" s="258">
        <v>15504</v>
      </c>
      <c r="N19" s="258">
        <v>15504</v>
      </c>
      <c r="O19" s="258">
        <v>15902.865877999999</v>
      </c>
      <c r="P19" s="258">
        <v>15902.865877999999</v>
      </c>
      <c r="Q19" s="258">
        <v>15781.623224370029</v>
      </c>
      <c r="R19" s="258">
        <v>15781.623224370029</v>
      </c>
      <c r="S19" s="258">
        <v>15088.845469150001</v>
      </c>
      <c r="T19" s="258">
        <v>15088.845469150001</v>
      </c>
      <c r="U19" s="258">
        <v>14604.36419099</v>
      </c>
      <c r="V19" s="258">
        <v>14604.36419099</v>
      </c>
      <c r="W19" s="258">
        <v>14761.540622534032</v>
      </c>
      <c r="X19" s="258">
        <v>14761.540622534032</v>
      </c>
      <c r="Y19" s="258">
        <v>13772.911895999998</v>
      </c>
      <c r="Z19" s="258">
        <v>13772.911895999998</v>
      </c>
      <c r="AA19" s="258">
        <v>13419.826445000001</v>
      </c>
      <c r="AB19" s="258">
        <v>13419.826445000001</v>
      </c>
      <c r="AC19" s="258">
        <v>13006.999244000001</v>
      </c>
      <c r="AD19" s="258">
        <v>13006.999244000001</v>
      </c>
      <c r="AE19" s="258">
        <v>13331.214576718428</v>
      </c>
      <c r="AF19" s="258">
        <v>13331.214576718428</v>
      </c>
      <c r="AG19" s="258">
        <v>12991.201010299999</v>
      </c>
      <c r="AH19" s="258">
        <v>12991.201010299999</v>
      </c>
      <c r="AI19" s="258">
        <v>12591.153999999999</v>
      </c>
      <c r="AJ19" s="258">
        <v>12591.153999999999</v>
      </c>
      <c r="AK19" s="258">
        <v>12369.748290755098</v>
      </c>
      <c r="AL19" s="258">
        <v>12369.748290755098</v>
      </c>
      <c r="AM19" s="258">
        <v>12107.396449</v>
      </c>
      <c r="AN19" s="258">
        <v>12107.396449</v>
      </c>
      <c r="AO19" s="258">
        <v>11775.9</v>
      </c>
      <c r="AP19" s="258">
        <v>11775.9</v>
      </c>
      <c r="AQ19" s="258">
        <f>11350.12103489-400</f>
        <v>10950.12103489</v>
      </c>
      <c r="AR19" s="258">
        <f>11350.12103489-400</f>
        <v>10950.12103489</v>
      </c>
      <c r="AS19" s="258">
        <v>8995.4</v>
      </c>
      <c r="AT19" s="258">
        <f>+AS19</f>
        <v>8995.4</v>
      </c>
      <c r="AU19" s="258">
        <v>8717.7999999999993</v>
      </c>
      <c r="AV19" s="258">
        <f>+AU19</f>
        <v>8717.7999999999993</v>
      </c>
      <c r="AW19" s="258">
        <v>8449.2000000000007</v>
      </c>
      <c r="AX19" s="258">
        <f>+AW19</f>
        <v>8449.2000000000007</v>
      </c>
      <c r="AY19" s="258">
        <v>8128</v>
      </c>
      <c r="AZ19" s="258">
        <f>+AY19</f>
        <v>8128</v>
      </c>
      <c r="BA19" s="258">
        <v>7889</v>
      </c>
      <c r="BB19" s="258">
        <f>+BA19</f>
        <v>7889</v>
      </c>
    </row>
    <row r="20" spans="1:54">
      <c r="A20" s="246"/>
      <c r="B20" s="261" t="s">
        <v>155</v>
      </c>
      <c r="C20" s="262">
        <v>650</v>
      </c>
      <c r="D20" s="262">
        <v>650</v>
      </c>
      <c r="E20" s="262">
        <v>650</v>
      </c>
      <c r="F20" s="262">
        <v>650</v>
      </c>
      <c r="G20" s="262">
        <v>650</v>
      </c>
      <c r="H20" s="262">
        <v>650</v>
      </c>
      <c r="I20" s="262">
        <v>650</v>
      </c>
      <c r="J20" s="262">
        <v>650</v>
      </c>
      <c r="K20" s="262">
        <v>650</v>
      </c>
      <c r="L20" s="262">
        <v>650</v>
      </c>
      <c r="M20" s="262">
        <v>300</v>
      </c>
      <c r="N20" s="262">
        <v>300</v>
      </c>
      <c r="O20" s="262">
        <v>300.00475699999998</v>
      </c>
      <c r="P20" s="262">
        <v>300.00475699999998</v>
      </c>
      <c r="Q20" s="262">
        <v>493.44836554</v>
      </c>
      <c r="R20" s="262">
        <v>493.44836554</v>
      </c>
      <c r="S20" s="262">
        <v>200</v>
      </c>
      <c r="T20" s="262">
        <v>200</v>
      </c>
      <c r="U20" s="262">
        <v>200</v>
      </c>
      <c r="V20" s="262">
        <v>200</v>
      </c>
      <c r="W20" s="262">
        <v>400</v>
      </c>
      <c r="X20" s="262">
        <v>400</v>
      </c>
      <c r="Y20" s="262">
        <v>400</v>
      </c>
      <c r="Z20" s="262">
        <v>400</v>
      </c>
      <c r="AA20" s="262">
        <v>400</v>
      </c>
      <c r="AB20" s="262">
        <v>400</v>
      </c>
      <c r="AC20" s="262">
        <v>400</v>
      </c>
      <c r="AD20" s="262">
        <v>400</v>
      </c>
      <c r="AE20" s="262">
        <v>400</v>
      </c>
      <c r="AF20" s="262">
        <v>400</v>
      </c>
      <c r="AG20" s="262">
        <v>400</v>
      </c>
      <c r="AH20" s="262">
        <v>400</v>
      </c>
      <c r="AI20" s="262">
        <v>400</v>
      </c>
      <c r="AJ20" s="262">
        <v>400</v>
      </c>
      <c r="AK20" s="262">
        <v>400</v>
      </c>
      <c r="AL20" s="262">
        <v>400</v>
      </c>
      <c r="AM20" s="262">
        <v>400</v>
      </c>
      <c r="AN20" s="262">
        <v>400</v>
      </c>
      <c r="AO20" s="262">
        <v>400</v>
      </c>
      <c r="AP20" s="262">
        <v>400</v>
      </c>
      <c r="AQ20" s="262">
        <v>400</v>
      </c>
      <c r="AR20" s="262">
        <v>400</v>
      </c>
      <c r="AS20" s="262">
        <v>0</v>
      </c>
      <c r="AT20" s="262">
        <v>0</v>
      </c>
      <c r="AU20" s="262">
        <v>0</v>
      </c>
      <c r="AV20" s="262">
        <v>0</v>
      </c>
      <c r="AW20" s="262">
        <v>0</v>
      </c>
      <c r="AX20" s="262">
        <v>0</v>
      </c>
      <c r="AY20" s="262">
        <v>0</v>
      </c>
      <c r="AZ20" s="262">
        <v>0</v>
      </c>
      <c r="BA20" s="262">
        <v>0</v>
      </c>
      <c r="BB20" s="262">
        <v>0</v>
      </c>
    </row>
    <row r="21" spans="1:54">
      <c r="A21" s="246"/>
      <c r="B21" s="255" t="s">
        <v>156</v>
      </c>
      <c r="C21" s="258">
        <v>17141.42000573</v>
      </c>
      <c r="D21" s="258">
        <v>17141.42000573</v>
      </c>
      <c r="E21" s="258">
        <v>16654.41509002</v>
      </c>
      <c r="F21" s="258">
        <v>16654.41509002</v>
      </c>
      <c r="G21" s="258">
        <v>16485.459832</v>
      </c>
      <c r="H21" s="258">
        <v>16485.459832</v>
      </c>
      <c r="I21" s="258">
        <v>16004.8837</v>
      </c>
      <c r="J21" s="258">
        <v>16004.8837</v>
      </c>
      <c r="K21" s="258">
        <v>15594.309691809998</v>
      </c>
      <c r="L21" s="258">
        <v>15594.309691809998</v>
      </c>
      <c r="M21" s="258">
        <v>15204</v>
      </c>
      <c r="N21" s="258">
        <v>15204</v>
      </c>
      <c r="O21" s="258">
        <v>15602.861120999998</v>
      </c>
      <c r="P21" s="258">
        <v>15602.861120999998</v>
      </c>
      <c r="Q21" s="258">
        <v>15288.174858830029</v>
      </c>
      <c r="R21" s="258">
        <v>15288.174858830029</v>
      </c>
      <c r="S21" s="258">
        <f t="shared" ref="S21:T21" si="8">S19-S20</f>
        <v>14888.845469150001</v>
      </c>
      <c r="T21" s="258">
        <f t="shared" si="8"/>
        <v>14888.845469150001</v>
      </c>
      <c r="U21" s="258">
        <f t="shared" ref="U21:X21" si="9">U19-U20</f>
        <v>14404.36419099</v>
      </c>
      <c r="V21" s="258">
        <f t="shared" si="9"/>
        <v>14404.36419099</v>
      </c>
      <c r="W21" s="258">
        <f t="shared" si="9"/>
        <v>14361.540622534032</v>
      </c>
      <c r="X21" s="258">
        <f t="shared" si="9"/>
        <v>14361.540622534032</v>
      </c>
      <c r="Y21" s="258">
        <f>Y19-Y20</f>
        <v>13372.911895999998</v>
      </c>
      <c r="Z21" s="258">
        <f t="shared" ref="Z21" si="10">Z19-Z20</f>
        <v>13372.911895999998</v>
      </c>
      <c r="AA21" s="258">
        <f>AA19-AA20</f>
        <v>13019.826445000001</v>
      </c>
      <c r="AB21" s="258">
        <f t="shared" ref="AB21" si="11">AB19-AB20</f>
        <v>13019.826445000001</v>
      </c>
      <c r="AC21" s="258">
        <f>AC19-AC20</f>
        <v>12606.999244000001</v>
      </c>
      <c r="AD21" s="258">
        <f t="shared" ref="AD21:BB21" si="12">AD19-AD20</f>
        <v>12606.999244000001</v>
      </c>
      <c r="AE21" s="258">
        <f t="shared" si="12"/>
        <v>12931.214576718428</v>
      </c>
      <c r="AF21" s="258">
        <f t="shared" si="12"/>
        <v>12931.214576718428</v>
      </c>
      <c r="AG21" s="258">
        <f t="shared" si="12"/>
        <v>12591.201010299999</v>
      </c>
      <c r="AH21" s="258">
        <f t="shared" si="12"/>
        <v>12591.201010299999</v>
      </c>
      <c r="AI21" s="258">
        <f t="shared" si="12"/>
        <v>12191.153999999999</v>
      </c>
      <c r="AJ21" s="258">
        <f t="shared" si="12"/>
        <v>12191.153999999999</v>
      </c>
      <c r="AK21" s="258">
        <f t="shared" si="12"/>
        <v>11969.748290755098</v>
      </c>
      <c r="AL21" s="258">
        <f t="shared" si="12"/>
        <v>11969.748290755098</v>
      </c>
      <c r="AM21" s="258">
        <f t="shared" si="12"/>
        <v>11707.396449</v>
      </c>
      <c r="AN21" s="258">
        <f t="shared" si="12"/>
        <v>11707.396449</v>
      </c>
      <c r="AO21" s="258">
        <f t="shared" si="12"/>
        <v>11375.9</v>
      </c>
      <c r="AP21" s="258">
        <f t="shared" si="12"/>
        <v>11375.9</v>
      </c>
      <c r="AQ21" s="258">
        <f t="shared" si="12"/>
        <v>10550.12103489</v>
      </c>
      <c r="AR21" s="258">
        <f t="shared" si="12"/>
        <v>10550.12103489</v>
      </c>
      <c r="AS21" s="258">
        <f t="shared" si="12"/>
        <v>8995.4</v>
      </c>
      <c r="AT21" s="258">
        <f t="shared" si="12"/>
        <v>8995.4</v>
      </c>
      <c r="AU21" s="258">
        <f t="shared" si="12"/>
        <v>8717.7999999999993</v>
      </c>
      <c r="AV21" s="258">
        <f t="shared" si="12"/>
        <v>8717.7999999999993</v>
      </c>
      <c r="AW21" s="258">
        <f t="shared" si="12"/>
        <v>8449.2000000000007</v>
      </c>
      <c r="AX21" s="258">
        <f t="shared" si="12"/>
        <v>8449.2000000000007</v>
      </c>
      <c r="AY21" s="258">
        <f t="shared" si="12"/>
        <v>8128</v>
      </c>
      <c r="AZ21" s="258">
        <f t="shared" si="12"/>
        <v>8128</v>
      </c>
      <c r="BA21" s="258">
        <f t="shared" si="12"/>
        <v>7889</v>
      </c>
      <c r="BB21" s="258">
        <f t="shared" si="12"/>
        <v>7889</v>
      </c>
    </row>
    <row r="22" spans="1:54"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58"/>
      <c r="AP22" s="258"/>
      <c r="AQ22" s="264"/>
      <c r="AR22" s="264"/>
      <c r="AS22" s="264"/>
      <c r="AT22" s="264"/>
      <c r="AU22" s="264"/>
      <c r="AV22" s="264"/>
      <c r="AW22" s="264"/>
      <c r="AX22" s="264"/>
      <c r="AY22" s="264"/>
      <c r="AZ22" s="264"/>
      <c r="BA22" s="264"/>
      <c r="BB22" s="264"/>
    </row>
    <row r="23" spans="1:54"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58"/>
      <c r="AP23" s="258"/>
      <c r="AQ23" s="264"/>
      <c r="AR23" s="264"/>
      <c r="AS23" s="264"/>
      <c r="AT23" s="264"/>
      <c r="AU23" s="264"/>
      <c r="AV23" s="264"/>
      <c r="AW23" s="264"/>
      <c r="AX23" s="264"/>
      <c r="AY23" s="258"/>
      <c r="AZ23" s="264"/>
      <c r="BA23" s="264"/>
      <c r="BB23" s="264"/>
    </row>
    <row r="24" spans="1:54">
      <c r="A24" s="246"/>
      <c r="B24" s="256" t="s">
        <v>157</v>
      </c>
      <c r="C24" s="258">
        <v>16760.431642583335</v>
      </c>
      <c r="D24" s="258"/>
      <c r="E24" s="258">
        <v>16569.937461009999</v>
      </c>
      <c r="F24" s="258"/>
      <c r="G24" s="258">
        <v>15778.284375975996</v>
      </c>
      <c r="H24" s="258"/>
      <c r="I24" s="258">
        <v>15601.4905</v>
      </c>
      <c r="J24" s="258"/>
      <c r="K24" s="258">
        <v>15467.026119293332</v>
      </c>
      <c r="L24" s="258"/>
      <c r="M24" s="258">
        <v>15403</v>
      </c>
      <c r="N24" s="258"/>
      <c r="O24" s="258">
        <v>14909.157252500812</v>
      </c>
      <c r="P24" s="258"/>
      <c r="Q24" s="258">
        <v>14735.731285376014</v>
      </c>
      <c r="R24" s="258"/>
      <c r="S24" s="258">
        <v>14551.583427558013</v>
      </c>
      <c r="T24" s="258"/>
      <c r="U24" s="258">
        <v>14382.952406762015</v>
      </c>
      <c r="V24" s="258"/>
      <c r="W24" s="258">
        <v>13258.498556850493</v>
      </c>
      <c r="X24" s="258"/>
      <c r="Y24" s="258">
        <f>(Y21+AC21++AA21+AE21)/4</f>
        <v>12982.738040429605</v>
      </c>
      <c r="Z24" s="258"/>
      <c r="AA24" s="258">
        <f>(AA21+AC21+AE21)/3</f>
        <v>12852.68008857281</v>
      </c>
      <c r="AB24" s="255"/>
      <c r="AC24" s="258">
        <f>(AC21+AE21)/2</f>
        <v>12769.106910359214</v>
      </c>
      <c r="AD24" s="255"/>
      <c r="AE24" s="258">
        <f>(AE21+AG21+AI21+AK21+AM21)/5</f>
        <v>12278.142865354706</v>
      </c>
      <c r="AF24" s="264"/>
      <c r="AG24" s="258">
        <f>(AG21+AI21+AK21+AM21)/4</f>
        <v>12114.874937513774</v>
      </c>
      <c r="AH24" s="258"/>
      <c r="AI24" s="258">
        <f>(AI21+AK21+AM21)/3</f>
        <v>11956.099579918366</v>
      </c>
      <c r="AJ24" s="258"/>
      <c r="AK24" s="258">
        <f>(AK21+AM21)/2</f>
        <v>11838.572369877549</v>
      </c>
      <c r="AL24" s="258"/>
      <c r="AM24" s="258">
        <f>(AM21+AO21+AQ21+AS21+AU21)/5</f>
        <v>10269.323496778001</v>
      </c>
      <c r="AN24" s="258"/>
      <c r="AO24" s="258">
        <f>(AO21+AQ21+AS21+AU21)/4</f>
        <v>9909.8052587224993</v>
      </c>
      <c r="AP24" s="258"/>
      <c r="AQ24" s="258">
        <f>(AQ21+AS21+AU21)/3</f>
        <v>9421.1070116299998</v>
      </c>
      <c r="AR24" s="258"/>
      <c r="AS24" s="258">
        <f>(AS21+AU21)/2</f>
        <v>8856.5999999999985</v>
      </c>
      <c r="AT24" s="258"/>
      <c r="AU24" s="258">
        <f>(AU21+AW21+AY21+BA21+7624)/5</f>
        <v>8161.6</v>
      </c>
      <c r="AV24" s="258"/>
      <c r="AW24" s="258">
        <f>(AW21+AY21+BA21+7624)/4</f>
        <v>8022.55</v>
      </c>
      <c r="AX24" s="266"/>
      <c r="AY24" s="258">
        <f>(AY21+BA21+7624)/3</f>
        <v>7880.333333333333</v>
      </c>
      <c r="AZ24" s="264"/>
      <c r="BA24" s="258">
        <f>(BA21+7624)/2</f>
        <v>7756.5</v>
      </c>
      <c r="BB24" s="258"/>
    </row>
    <row r="25" spans="1:54">
      <c r="A25" s="246"/>
      <c r="B25" s="256" t="s">
        <v>158</v>
      </c>
      <c r="C25" s="258"/>
      <c r="D25" s="258">
        <v>16897.917547875</v>
      </c>
      <c r="E25" s="258"/>
      <c r="F25" s="258">
        <v>16569.937461009999</v>
      </c>
      <c r="G25" s="258"/>
      <c r="H25" s="258">
        <v>16245.171761</v>
      </c>
      <c r="I25" s="258"/>
      <c r="J25" s="258">
        <v>15799.5967</v>
      </c>
      <c r="K25" s="258">
        <v>0</v>
      </c>
      <c r="L25" s="258">
        <v>15399.108618439997</v>
      </c>
      <c r="M25" s="258"/>
      <c r="N25" s="258">
        <v>15403</v>
      </c>
      <c r="O25" s="258">
        <v>0</v>
      </c>
      <c r="P25" s="258">
        <v>15445.517989915013</v>
      </c>
      <c r="Q25" s="258">
        <v>0</v>
      </c>
      <c r="R25" s="258">
        <v>15088.510163990015</v>
      </c>
      <c r="S25" s="258"/>
      <c r="T25" s="258">
        <v>14646.60483007</v>
      </c>
      <c r="U25" s="258"/>
      <c r="V25" s="258">
        <v>14382.952406762015</v>
      </c>
      <c r="W25" s="258"/>
      <c r="X25" s="258">
        <v>13867.226259267016</v>
      </c>
      <c r="Y25" s="258"/>
      <c r="Z25" s="258">
        <f>+(Y21+AA21)/2</f>
        <v>13196.369170499998</v>
      </c>
      <c r="AA25" s="258"/>
      <c r="AB25" s="267">
        <f>+(AA21+AC21)/2</f>
        <v>12813.412844500001</v>
      </c>
      <c r="AC25" s="258"/>
      <c r="AD25" s="267">
        <f>+(AC21+AE21)/2</f>
        <v>12769.106910359214</v>
      </c>
      <c r="AE25" s="264"/>
      <c r="AF25" s="267">
        <f>+(AE21+AG21)/2</f>
        <v>12761.207793509213</v>
      </c>
      <c r="AG25" s="258"/>
      <c r="AH25" s="267">
        <f>+(AG21+AI21)/2</f>
        <v>12391.177505149999</v>
      </c>
      <c r="AI25" s="258"/>
      <c r="AJ25" s="267">
        <f>+(AI21+AK21)/2</f>
        <v>12080.451145377549</v>
      </c>
      <c r="AK25" s="258"/>
      <c r="AL25" s="267">
        <f>+(AK21+AM21)/2</f>
        <v>11838.572369877549</v>
      </c>
      <c r="AM25" s="258"/>
      <c r="AN25" s="267">
        <f>+(AM21+AO21)/2</f>
        <v>11541.648224500001</v>
      </c>
      <c r="AO25" s="258"/>
      <c r="AP25" s="267">
        <f>+(AO21+AQ21)/2</f>
        <v>10963.010517445</v>
      </c>
      <c r="AQ25" s="258"/>
      <c r="AR25" s="267">
        <f>+(AQ21+AS21)/2</f>
        <v>9772.760517445</v>
      </c>
      <c r="AS25" s="258"/>
      <c r="AT25" s="267">
        <f>+(AS21+AU21)/2</f>
        <v>8856.5999999999985</v>
      </c>
      <c r="AU25" s="258"/>
      <c r="AV25" s="267">
        <f>+(AU21+AW21)/2</f>
        <v>8583.5</v>
      </c>
      <c r="AW25" s="258"/>
      <c r="AX25" s="267">
        <f>+(AW21+AY21)/2</f>
        <v>8288.6</v>
      </c>
      <c r="AY25" s="264"/>
      <c r="AZ25" s="267">
        <f>+(AY21+BA21)/2</f>
        <v>8008.5</v>
      </c>
      <c r="BA25" s="258"/>
      <c r="BB25" s="267">
        <f>+(BA21+7624)/2</f>
        <v>7756.5</v>
      </c>
    </row>
    <row r="26" spans="1:54"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58"/>
      <c r="AP26" s="258"/>
      <c r="AQ26" s="264"/>
      <c r="AR26" s="264"/>
      <c r="AS26" s="264"/>
      <c r="AT26" s="264"/>
      <c r="AU26" s="258"/>
      <c r="AV26" s="264"/>
      <c r="AW26" s="258"/>
      <c r="AX26" s="258"/>
      <c r="AY26" s="264"/>
      <c r="AZ26" s="264"/>
      <c r="BA26" s="264"/>
      <c r="BB26" s="264"/>
    </row>
    <row r="27" spans="1:54">
      <c r="A27" s="246"/>
      <c r="B27" s="255" t="s">
        <v>159</v>
      </c>
      <c r="C27" s="258">
        <v>1901.9459877359106</v>
      </c>
      <c r="D27" s="258">
        <v>2044.613718420329</v>
      </c>
      <c r="E27" s="258">
        <v>1757.6931888888892</v>
      </c>
      <c r="F27" s="258">
        <v>1757.6931888888892</v>
      </c>
      <c r="G27" s="258">
        <v>1588.9054599999997</v>
      </c>
      <c r="H27" s="258">
        <v>1831.9618395652171</v>
      </c>
      <c r="I27" s="258">
        <v>1507.3117</v>
      </c>
      <c r="J27" s="258">
        <v>1718.204</v>
      </c>
      <c r="K27" s="258">
        <v>1400.7247155583514</v>
      </c>
      <c r="L27" s="258">
        <v>1745.7448619696702</v>
      </c>
      <c r="M27" s="258">
        <v>1056</v>
      </c>
      <c r="N27" s="258">
        <v>1056</v>
      </c>
      <c r="O27" s="258">
        <v>1912.9049799999998</v>
      </c>
      <c r="P27" s="258">
        <v>1132.0052744195648</v>
      </c>
      <c r="Q27" s="258">
        <v>2179.1332242249086</v>
      </c>
      <c r="R27" s="258">
        <v>1614.9706175369558</v>
      </c>
      <c r="S27" s="258">
        <f t="shared" ref="S27:T27" si="13">S14/S8*$A$1</f>
        <v>2461.4063914640892</v>
      </c>
      <c r="T27" s="258">
        <f t="shared" si="13"/>
        <v>1879.558285554946</v>
      </c>
      <c r="U27" s="258">
        <f t="shared" ref="U27:V27" si="14">U14/U8*$A$1</f>
        <v>3049.7194763277766</v>
      </c>
      <c r="V27" s="258">
        <f t="shared" si="14"/>
        <v>3049.7194763277766</v>
      </c>
      <c r="W27" s="258">
        <f>W14/W8*$A$1</f>
        <v>1396.2914400000002</v>
      </c>
      <c r="X27" s="258">
        <f>X14/X8*$A$1</f>
        <v>1259.3089599972841</v>
      </c>
      <c r="Y27" s="258">
        <f>Y14/Y8*$A$1</f>
        <v>1446.7562464102564</v>
      </c>
      <c r="Z27" s="258">
        <f>Z14/Z8*$A$1</f>
        <v>1421.8664980434785</v>
      </c>
      <c r="AA27" s="258">
        <f>AA14/AA8*$A$1</f>
        <v>1459.4073892265196</v>
      </c>
      <c r="AB27" s="258">
        <f t="shared" ref="AB27" si="15">AB14/AB8*$A$1</f>
        <v>1656.0820350549448</v>
      </c>
      <c r="AC27" s="258">
        <f>AC14/AC8*$A$1</f>
        <v>1260.5474695555556</v>
      </c>
      <c r="AD27" s="258">
        <f t="shared" ref="AD27:BB27" si="16">AD14/AD8*$A$1</f>
        <v>1260.5474695555556</v>
      </c>
      <c r="AE27" s="258">
        <f t="shared" si="16"/>
        <v>1250.0599264999996</v>
      </c>
      <c r="AF27" s="258">
        <f t="shared" si="16"/>
        <v>1323.3162986820639</v>
      </c>
      <c r="AG27" s="258">
        <f t="shared" si="16"/>
        <v>1225.0847946978022</v>
      </c>
      <c r="AH27" s="258">
        <f t="shared" si="16"/>
        <v>1482.3949588451098</v>
      </c>
      <c r="AI27" s="258">
        <f t="shared" si="16"/>
        <v>1092.312393080111</v>
      </c>
      <c r="AJ27" s="258">
        <f t="shared" si="16"/>
        <v>1086.0439296208801</v>
      </c>
      <c r="AK27" s="258">
        <f t="shared" si="16"/>
        <v>1097.2902046666661</v>
      </c>
      <c r="AL27" s="258">
        <f t="shared" si="16"/>
        <v>1097.2902046666661</v>
      </c>
      <c r="AM27" s="258">
        <f t="shared" si="16"/>
        <v>1086.6732285724045</v>
      </c>
      <c r="AN27" s="258">
        <f t="shared" si="16"/>
        <v>1103.6882958293479</v>
      </c>
      <c r="AO27" s="258">
        <f t="shared" si="16"/>
        <v>1082.7095343295625</v>
      </c>
      <c r="AP27" s="258">
        <f t="shared" si="16"/>
        <v>1668.0549361489132</v>
      </c>
      <c r="AQ27" s="258">
        <f t="shared" si="16"/>
        <v>784.75913703296692</v>
      </c>
      <c r="AR27" s="258">
        <f t="shared" si="16"/>
        <v>893.50618615384633</v>
      </c>
      <c r="AS27" s="258">
        <f t="shared" si="16"/>
        <v>677.89725274725276</v>
      </c>
      <c r="AT27" s="258">
        <f t="shared" si="16"/>
        <v>677.89725274725276</v>
      </c>
      <c r="AU27" s="258">
        <f t="shared" si="16"/>
        <v>929.5</v>
      </c>
      <c r="AV27" s="258">
        <f t="shared" si="16"/>
        <v>767.6902173913046</v>
      </c>
      <c r="AW27" s="258">
        <f t="shared" si="16"/>
        <v>983.87956043956024</v>
      </c>
      <c r="AX27" s="258">
        <f t="shared" si="16"/>
        <v>1219.1396739130439</v>
      </c>
      <c r="AY27" s="258">
        <f t="shared" si="16"/>
        <v>867.12707182320435</v>
      </c>
      <c r="AZ27" s="258">
        <f t="shared" si="16"/>
        <v>762.08791208791217</v>
      </c>
      <c r="BA27" s="258">
        <f t="shared" si="16"/>
        <v>973.33333333333326</v>
      </c>
      <c r="BB27" s="258">
        <f t="shared" si="16"/>
        <v>973.33333333333326</v>
      </c>
    </row>
    <row r="28" spans="1:54">
      <c r="A28" s="246"/>
      <c r="B28" s="255" t="s">
        <v>160</v>
      </c>
      <c r="C28" s="258">
        <v>16760.431642583335</v>
      </c>
      <c r="D28" s="258">
        <v>16897.917547875</v>
      </c>
      <c r="E28" s="258">
        <v>16569.937461009999</v>
      </c>
      <c r="F28" s="258">
        <v>16569.937461009999</v>
      </c>
      <c r="G28" s="258">
        <v>15778.284375975996</v>
      </c>
      <c r="H28" s="258">
        <v>16245.171761</v>
      </c>
      <c r="I28" s="258">
        <v>15601.4905</v>
      </c>
      <c r="J28" s="258">
        <v>15799.5967</v>
      </c>
      <c r="K28" s="258">
        <v>15467.026119293332</v>
      </c>
      <c r="L28" s="258">
        <v>15399.108618439997</v>
      </c>
      <c r="M28" s="258">
        <v>15403</v>
      </c>
      <c r="N28" s="258">
        <v>15403</v>
      </c>
      <c r="O28" s="258">
        <v>14909.157252500812</v>
      </c>
      <c r="P28" s="258">
        <v>15445.517989915013</v>
      </c>
      <c r="Q28" s="258">
        <v>14735.731285376014</v>
      </c>
      <c r="R28" s="258">
        <v>15088.510163990015</v>
      </c>
      <c r="S28" s="258">
        <f>+S24</f>
        <v>14551.583427558013</v>
      </c>
      <c r="T28" s="258">
        <f>+T25</f>
        <v>14646.60483007</v>
      </c>
      <c r="U28" s="258">
        <f>+U24</f>
        <v>14382.952406762015</v>
      </c>
      <c r="V28" s="258">
        <f>+V25</f>
        <v>14382.952406762015</v>
      </c>
      <c r="W28" s="258">
        <f>+W24</f>
        <v>13258.498556850493</v>
      </c>
      <c r="X28" s="258">
        <f>+X25</f>
        <v>13867.226259267016</v>
      </c>
      <c r="Y28" s="258">
        <f>+Y24</f>
        <v>12982.738040429605</v>
      </c>
      <c r="Z28" s="258">
        <f>+Z25</f>
        <v>13196.369170499998</v>
      </c>
      <c r="AA28" s="258">
        <f>+AA24</f>
        <v>12852.68008857281</v>
      </c>
      <c r="AB28" s="258">
        <f>+AB25</f>
        <v>12813.412844500001</v>
      </c>
      <c r="AC28" s="258">
        <f>+AC24</f>
        <v>12769.106910359214</v>
      </c>
      <c r="AD28" s="258">
        <f>+AD25</f>
        <v>12769.106910359214</v>
      </c>
      <c r="AE28" s="258">
        <f>AE24</f>
        <v>12278.142865354706</v>
      </c>
      <c r="AF28" s="258">
        <f>+AF25</f>
        <v>12761.207793509213</v>
      </c>
      <c r="AG28" s="258">
        <f>AG24</f>
        <v>12114.874937513774</v>
      </c>
      <c r="AH28" s="258">
        <f>+AH25</f>
        <v>12391.177505149999</v>
      </c>
      <c r="AI28" s="258">
        <f>AI24</f>
        <v>11956.099579918366</v>
      </c>
      <c r="AJ28" s="258">
        <f>+AJ25</f>
        <v>12080.451145377549</v>
      </c>
      <c r="AK28" s="258">
        <f>AK24</f>
        <v>11838.572369877549</v>
      </c>
      <c r="AL28" s="258">
        <f>+AL25</f>
        <v>11838.572369877549</v>
      </c>
      <c r="AM28" s="258">
        <f>AM24</f>
        <v>10269.323496778001</v>
      </c>
      <c r="AN28" s="258">
        <f>+AN25</f>
        <v>11541.648224500001</v>
      </c>
      <c r="AO28" s="258">
        <f>AO24</f>
        <v>9909.8052587224993</v>
      </c>
      <c r="AP28" s="258">
        <f>+AP25</f>
        <v>10963.010517445</v>
      </c>
      <c r="AQ28" s="258">
        <f>AQ24</f>
        <v>9421.1070116299998</v>
      </c>
      <c r="AR28" s="258">
        <f>+AR25</f>
        <v>9772.760517445</v>
      </c>
      <c r="AS28" s="258">
        <f>AS24</f>
        <v>8856.5999999999985</v>
      </c>
      <c r="AT28" s="258">
        <f>+AT25</f>
        <v>8856.5999999999985</v>
      </c>
      <c r="AU28" s="258">
        <f>AU24</f>
        <v>8161.6</v>
      </c>
      <c r="AV28" s="258">
        <f>+AV25</f>
        <v>8583.5</v>
      </c>
      <c r="AW28" s="258">
        <f>AW24</f>
        <v>8022.55</v>
      </c>
      <c r="AX28" s="258">
        <f>+AX25</f>
        <v>8288.6</v>
      </c>
      <c r="AY28" s="258">
        <f>AY24</f>
        <v>7880.333333333333</v>
      </c>
      <c r="AZ28" s="258">
        <f>+AZ25</f>
        <v>8008.5</v>
      </c>
      <c r="BA28" s="258">
        <f>BA24</f>
        <v>7756.5</v>
      </c>
      <c r="BB28" s="258">
        <f>+BB25</f>
        <v>7756.5</v>
      </c>
    </row>
    <row r="29" spans="1:54" ht="13.5" thickBot="1">
      <c r="A29" s="321" t="s">
        <v>218</v>
      </c>
      <c r="B29" s="268" t="s">
        <v>161</v>
      </c>
      <c r="C29" s="269">
        <v>0.11347834162597725</v>
      </c>
      <c r="D29" s="269">
        <v>0.12099796987572883</v>
      </c>
      <c r="E29" s="269">
        <v>0.10607723734774743</v>
      </c>
      <c r="F29" s="269">
        <v>0.10607723734774743</v>
      </c>
      <c r="G29" s="269">
        <v>0.10070204225874303</v>
      </c>
      <c r="H29" s="269">
        <v>0.11276961958403126</v>
      </c>
      <c r="I29" s="269">
        <v>9.6600000000000005E-2</v>
      </c>
      <c r="J29" s="269">
        <v>0.1087</v>
      </c>
      <c r="K29" s="269">
        <v>9.0561993285257908E-2</v>
      </c>
      <c r="L29" s="269">
        <v>0.11336661784950267</v>
      </c>
      <c r="M29" s="269">
        <v>6.9000000000000006E-2</v>
      </c>
      <c r="N29" s="269">
        <v>6.9000000000000006E-2</v>
      </c>
      <c r="O29" s="269">
        <v>0.12830403138172922</v>
      </c>
      <c r="P29" s="269">
        <v>7.3290211125240062E-2</v>
      </c>
      <c r="Q29" s="269">
        <v>0.14788090132910586</v>
      </c>
      <c r="R29" s="269">
        <v>0.10703313978547846</v>
      </c>
      <c r="S29" s="269">
        <f t="shared" ref="S29:T29" si="17">S27/S28</f>
        <v>0.16915041608479803</v>
      </c>
      <c r="T29" s="269">
        <f t="shared" si="17"/>
        <v>0.12832723401509039</v>
      </c>
      <c r="U29" s="269">
        <f t="shared" ref="U29:V29" si="18">U27/U28</f>
        <v>0.21203709711880703</v>
      </c>
      <c r="V29" s="269">
        <f t="shared" si="18"/>
        <v>0.21203709711880703</v>
      </c>
      <c r="W29" s="269">
        <f>W27/W28</f>
        <v>0.10531293826468417</v>
      </c>
      <c r="X29" s="269">
        <f t="shared" ref="X29:AB29" si="19">X27/X28</f>
        <v>9.0811885264778805E-2</v>
      </c>
      <c r="Y29" s="269">
        <f>Y27/Y28</f>
        <v>0.11143691276099894</v>
      </c>
      <c r="Z29" s="269">
        <f t="shared" si="19"/>
        <v>0.10774679608251708</v>
      </c>
      <c r="AA29" s="269">
        <f>AA27/AA28</f>
        <v>0.11354887690109584</v>
      </c>
      <c r="AB29" s="269">
        <f t="shared" si="19"/>
        <v>0.1292459749133735</v>
      </c>
      <c r="AC29" s="269">
        <f>AC27/AC28</f>
        <v>9.8718530466129092E-2</v>
      </c>
      <c r="AD29" s="269">
        <f t="shared" ref="AD29:BB29" si="20">AD27/AD28</f>
        <v>9.8718530466129092E-2</v>
      </c>
      <c r="AE29" s="269">
        <f t="shared" si="20"/>
        <v>0.10181180820328289</v>
      </c>
      <c r="AF29" s="269">
        <f t="shared" si="20"/>
        <v>0.10369835834466608</v>
      </c>
      <c r="AG29" s="269">
        <f t="shared" si="20"/>
        <v>0.10112236411985737</v>
      </c>
      <c r="AH29" s="269">
        <f t="shared" si="20"/>
        <v>0.11963309848712921</v>
      </c>
      <c r="AI29" s="269">
        <f t="shared" si="20"/>
        <v>9.1360262247629179E-2</v>
      </c>
      <c r="AJ29" s="269">
        <f t="shared" si="20"/>
        <v>8.9900941326718817E-2</v>
      </c>
      <c r="AK29" s="269">
        <f t="shared" si="20"/>
        <v>9.2687713550549999E-2</v>
      </c>
      <c r="AL29" s="269">
        <f t="shared" si="20"/>
        <v>9.2687713550549999E-2</v>
      </c>
      <c r="AM29" s="269">
        <f t="shared" si="20"/>
        <v>0.10581741133321471</v>
      </c>
      <c r="AN29" s="269">
        <f t="shared" si="20"/>
        <v>9.5626575542867159E-2</v>
      </c>
      <c r="AO29" s="269">
        <f t="shared" si="20"/>
        <v>0.10925638860325472</v>
      </c>
      <c r="AP29" s="269">
        <f t="shared" si="20"/>
        <v>0.15215299971614585</v>
      </c>
      <c r="AQ29" s="269">
        <f t="shared" si="20"/>
        <v>8.3297975074926062E-2</v>
      </c>
      <c r="AR29" s="269">
        <f t="shared" si="20"/>
        <v>9.1428228959348878E-2</v>
      </c>
      <c r="AS29" s="269">
        <f t="shared" si="20"/>
        <v>7.6541477852364662E-2</v>
      </c>
      <c r="AT29" s="269">
        <f t="shared" si="20"/>
        <v>7.6541477852364662E-2</v>
      </c>
      <c r="AU29" s="269">
        <f t="shared" si="20"/>
        <v>0.11388698294452068</v>
      </c>
      <c r="AV29" s="269">
        <f t="shared" si="20"/>
        <v>8.9437900319369087E-2</v>
      </c>
      <c r="AW29" s="269">
        <f t="shared" si="20"/>
        <v>0.12263925565307293</v>
      </c>
      <c r="AX29" s="269">
        <f t="shared" si="20"/>
        <v>0.14708632023659532</v>
      </c>
      <c r="AY29" s="269">
        <f t="shared" si="20"/>
        <v>0.11003685188738264</v>
      </c>
      <c r="AZ29" s="269">
        <f t="shared" si="20"/>
        <v>9.5159881636749974E-2</v>
      </c>
      <c r="BA29" s="269">
        <f t="shared" si="20"/>
        <v>0.12548615139990116</v>
      </c>
      <c r="BB29" s="269">
        <f t="shared" si="20"/>
        <v>0.12548615139990116</v>
      </c>
    </row>
    <row r="30" spans="1:54">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58"/>
      <c r="AW30" s="264"/>
      <c r="AX30" s="264"/>
      <c r="AY30" s="264"/>
      <c r="AZ30" s="264"/>
      <c r="BA30" s="264"/>
      <c r="BB30" s="264"/>
    </row>
    <row r="31" spans="1:54">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row>
    <row r="32" spans="1:54">
      <c r="A32" s="252"/>
      <c r="B32" s="255" t="s">
        <v>27</v>
      </c>
      <c r="C32" s="258">
        <v>976.41022638999982</v>
      </c>
      <c r="D32" s="258">
        <v>491.55559354000002</v>
      </c>
      <c r="E32" s="258">
        <v>484.8546</v>
      </c>
      <c r="F32" s="258">
        <v>484.8546</v>
      </c>
      <c r="G32" s="258">
        <v>1902.2408</v>
      </c>
      <c r="H32" s="258">
        <v>503.52843999999999</v>
      </c>
      <c r="I32" s="258">
        <v>1398.71</v>
      </c>
      <c r="J32" s="258">
        <v>465.3</v>
      </c>
      <c r="K32" s="258">
        <v>933.40687057999992</v>
      </c>
      <c r="L32" s="258">
        <v>446.87732463999998</v>
      </c>
      <c r="M32" s="258">
        <v>487</v>
      </c>
      <c r="N32" s="258">
        <v>487</v>
      </c>
      <c r="O32" s="258">
        <v>1930.1984729999999</v>
      </c>
      <c r="P32" s="258">
        <v>489.68872420999998</v>
      </c>
      <c r="Q32" s="258">
        <v>1440.5097487899998</v>
      </c>
      <c r="R32" s="258">
        <v>457.45256878999999</v>
      </c>
      <c r="S32" s="258">
        <v>983.0571799999999</v>
      </c>
      <c r="T32" s="258">
        <v>489.34983629999999</v>
      </c>
      <c r="U32" s="258">
        <v>493.70734370000002</v>
      </c>
      <c r="V32" s="258">
        <v>493.70734370000002</v>
      </c>
      <c r="W32" s="258">
        <v>1880.8809209999999</v>
      </c>
      <c r="X32" s="258">
        <v>506.0202109999999</v>
      </c>
      <c r="Y32" s="258">
        <v>1374.8607099999999</v>
      </c>
      <c r="Z32" s="258">
        <v>456.97613200000001</v>
      </c>
      <c r="AA32" s="258">
        <v>917.88457799999992</v>
      </c>
      <c r="AB32" s="258">
        <v>468.38580300000001</v>
      </c>
      <c r="AC32" s="258">
        <v>449.49877500000002</v>
      </c>
      <c r="AD32" s="258">
        <v>449.49877500000002</v>
      </c>
      <c r="AE32" s="258">
        <v>1898.1372920000001</v>
      </c>
      <c r="AF32" s="258">
        <v>550.32229100000006</v>
      </c>
      <c r="AG32" s="258">
        <v>1347.8150009999999</v>
      </c>
      <c r="AH32" s="270">
        <v>432.81500099999994</v>
      </c>
      <c r="AI32" s="258">
        <v>915.47488900000008</v>
      </c>
      <c r="AJ32" s="270">
        <v>478.14488899999998</v>
      </c>
      <c r="AK32" s="258">
        <v>437.33000000000004</v>
      </c>
      <c r="AL32" s="258">
        <v>437.33000000000004</v>
      </c>
      <c r="AM32" s="258">
        <v>1203.043874</v>
      </c>
      <c r="AN32" s="255">
        <v>477</v>
      </c>
      <c r="AO32" s="258">
        <v>726.52359346000003</v>
      </c>
      <c r="AP32" s="258">
        <v>213.72041817000002</v>
      </c>
      <c r="AQ32" s="258">
        <v>512.69000000000005</v>
      </c>
      <c r="AR32" s="258">
        <v>259</v>
      </c>
      <c r="AS32" s="258">
        <v>253.10000000000002</v>
      </c>
      <c r="AT32" s="258">
        <v>253.10000000000002</v>
      </c>
      <c r="AU32" s="258">
        <v>1050.9000000000001</v>
      </c>
      <c r="AV32" s="258">
        <v>291.90000000000003</v>
      </c>
      <c r="AW32" s="258">
        <v>758.3</v>
      </c>
      <c r="AX32" s="258">
        <v>248.42000000000002</v>
      </c>
      <c r="AY32" s="258">
        <v>509</v>
      </c>
      <c r="AZ32" s="258">
        <v>251</v>
      </c>
      <c r="BA32" s="258">
        <v>258</v>
      </c>
      <c r="BB32" s="258">
        <v>258</v>
      </c>
    </row>
    <row r="33" spans="1:54">
      <c r="A33" s="252"/>
      <c r="B33" s="255" t="s">
        <v>23</v>
      </c>
      <c r="C33" s="258">
        <v>2160.0270291699994</v>
      </c>
      <c r="D33" s="258">
        <v>1138.9486030699998</v>
      </c>
      <c r="E33" s="258">
        <v>1021.0784000000001</v>
      </c>
      <c r="F33" s="258">
        <v>1021.0784000000001</v>
      </c>
      <c r="G33" s="258">
        <v>4163.7633999999998</v>
      </c>
      <c r="H33" s="258">
        <v>1101.6992299999999</v>
      </c>
      <c r="I33" s="258">
        <v>3062.07</v>
      </c>
      <c r="J33" s="258">
        <v>1061.17</v>
      </c>
      <c r="K33" s="258">
        <v>2000.9016221299999</v>
      </c>
      <c r="L33" s="258">
        <v>1112.1121814799999</v>
      </c>
      <c r="M33" s="258">
        <v>889</v>
      </c>
      <c r="N33" s="258">
        <v>889</v>
      </c>
      <c r="O33" s="258">
        <v>4288.8856759999999</v>
      </c>
      <c r="P33" s="258">
        <v>928.38598292999984</v>
      </c>
      <c r="Q33" s="258">
        <v>3360.4996930699999</v>
      </c>
      <c r="R33" s="258">
        <v>1007.4615580699999</v>
      </c>
      <c r="S33" s="258">
        <v>2353.0381350000002</v>
      </c>
      <c r="T33" s="258">
        <v>1082.0003480000003</v>
      </c>
      <c r="U33" s="258">
        <v>1271.0377869999998</v>
      </c>
      <c r="V33" s="258">
        <v>1271.0377869999998</v>
      </c>
      <c r="W33" s="258">
        <v>3651.2358140000001</v>
      </c>
      <c r="X33" s="258">
        <v>864.13029015000029</v>
      </c>
      <c r="Y33" s="258">
        <v>2787.1055239999996</v>
      </c>
      <c r="Z33" s="258">
        <v>929.55842200000006</v>
      </c>
      <c r="AA33" s="258">
        <v>1857.547102</v>
      </c>
      <c r="AB33" s="258">
        <v>993.71646899999996</v>
      </c>
      <c r="AC33" s="258">
        <v>863.83063300000003</v>
      </c>
      <c r="AD33" s="258">
        <v>863.83063300000003</v>
      </c>
      <c r="AE33" s="258">
        <v>3496.446023</v>
      </c>
      <c r="AF33" s="258">
        <v>958.90158899999972</v>
      </c>
      <c r="AG33" s="258">
        <v>2537.3532829999999</v>
      </c>
      <c r="AH33" s="258">
        <v>923.35328300000015</v>
      </c>
      <c r="AI33" s="258">
        <v>1613.8758500000004</v>
      </c>
      <c r="AJ33" s="258">
        <v>841.29085000000021</v>
      </c>
      <c r="AK33" s="258">
        <v>772.58499999999992</v>
      </c>
      <c r="AL33" s="258">
        <v>772.58499999999992</v>
      </c>
      <c r="AM33" s="258">
        <v>2648.862271</v>
      </c>
      <c r="AN33" s="258">
        <v>813.49246836999998</v>
      </c>
      <c r="AO33" s="258">
        <v>1836.0397904000001</v>
      </c>
      <c r="AP33" s="258">
        <v>804.08037246000004</v>
      </c>
      <c r="AQ33" s="258">
        <v>1031.73</v>
      </c>
      <c r="AR33" s="258">
        <v>568.6</v>
      </c>
      <c r="AS33" s="258">
        <v>464.01000000000005</v>
      </c>
      <c r="AT33" s="258">
        <v>464.01000000000005</v>
      </c>
      <c r="AU33" s="258">
        <v>2270.4</v>
      </c>
      <c r="AV33" s="258">
        <v>551.40000000000009</v>
      </c>
      <c r="AW33" s="258">
        <v>1718.4879999999998</v>
      </c>
      <c r="AX33" s="258">
        <v>643.18000000000006</v>
      </c>
      <c r="AY33" s="258">
        <v>1076</v>
      </c>
      <c r="AZ33" s="258">
        <v>519</v>
      </c>
      <c r="BA33" s="258">
        <v>557</v>
      </c>
      <c r="BB33" s="258">
        <v>557</v>
      </c>
    </row>
    <row r="34" spans="1:54" ht="13.5" thickBot="1">
      <c r="A34" s="321" t="s">
        <v>219</v>
      </c>
      <c r="B34" s="268" t="s">
        <v>162</v>
      </c>
      <c r="C34" s="269">
        <v>0.45203611492083506</v>
      </c>
      <c r="D34" s="269">
        <v>0.43158716048733675</v>
      </c>
      <c r="E34" s="269">
        <v>0.47484561420553012</v>
      </c>
      <c r="F34" s="269">
        <v>0.47484561420553012</v>
      </c>
      <c r="G34" s="269">
        <v>0.45685612203613685</v>
      </c>
      <c r="H34" s="269">
        <v>0.45704710168491269</v>
      </c>
      <c r="I34" s="269">
        <v>0.45679999999999998</v>
      </c>
      <c r="J34" s="269">
        <v>0.4385</v>
      </c>
      <c r="K34" s="269">
        <v>0.46649313502298512</v>
      </c>
      <c r="L34" s="269">
        <v>0.40182756027840216</v>
      </c>
      <c r="M34" s="269">
        <v>0.54700000000000004</v>
      </c>
      <c r="N34" s="269">
        <v>0.54700000000000004</v>
      </c>
      <c r="O34" s="269">
        <v>0.4500466132266287</v>
      </c>
      <c r="P34" s="269">
        <v>0.52746242749651939</v>
      </c>
      <c r="Q34" s="269">
        <v>0.42865939007838905</v>
      </c>
      <c r="R34" s="269">
        <v>0.45406453985831935</v>
      </c>
      <c r="S34" s="269">
        <f t="shared" ref="S34:T34" si="21">S32/S33</f>
        <v>0.41778208579692222</v>
      </c>
      <c r="T34" s="269">
        <f t="shared" si="21"/>
        <v>0.4522640285694251</v>
      </c>
      <c r="U34" s="269">
        <f t="shared" ref="U34:Z34" si="22">U32/U33</f>
        <v>0.38842853355704376</v>
      </c>
      <c r="V34" s="269">
        <f t="shared" si="22"/>
        <v>0.38842853355704376</v>
      </c>
      <c r="W34" s="269">
        <f t="shared" si="22"/>
        <v>0.51513542724030692</v>
      </c>
      <c r="X34" s="269">
        <f t="shared" si="22"/>
        <v>0.58558323526902667</v>
      </c>
      <c r="Y34" s="269">
        <f t="shared" si="22"/>
        <v>0.49329338202696632</v>
      </c>
      <c r="Z34" s="269">
        <f t="shared" si="22"/>
        <v>0.49160560668880687</v>
      </c>
      <c r="AA34" s="269">
        <f t="shared" ref="AA34:AB34" si="23">AA32/AA33</f>
        <v>0.49413798283323418</v>
      </c>
      <c r="AB34" s="269">
        <f t="shared" si="23"/>
        <v>0.47134752981536832</v>
      </c>
      <c r="AC34" s="269">
        <f t="shared" ref="AC34:AD34" si="24">AC32/AC33</f>
        <v>0.520355215279799</v>
      </c>
      <c r="AD34" s="269">
        <f t="shared" si="24"/>
        <v>0.520355215279799</v>
      </c>
      <c r="AE34" s="269">
        <f>AE32/AE33</f>
        <v>0.54287618899701229</v>
      </c>
      <c r="AF34" s="269">
        <f t="shared" ref="AF34:BB34" si="25">AF32/AF33</f>
        <v>0.57390904062836023</v>
      </c>
      <c r="AG34" s="269">
        <f t="shared" si="25"/>
        <v>0.53118933418937708</v>
      </c>
      <c r="AH34" s="269">
        <f t="shared" si="25"/>
        <v>0.46874258094775179</v>
      </c>
      <c r="AI34" s="269">
        <f t="shared" si="25"/>
        <v>0.56725236268948442</v>
      </c>
      <c r="AJ34" s="269">
        <f t="shared" si="25"/>
        <v>0.56834671267374404</v>
      </c>
      <c r="AK34" s="269">
        <f t="shared" si="25"/>
        <v>0.56606069235100354</v>
      </c>
      <c r="AL34" s="269">
        <f t="shared" si="25"/>
        <v>0.56606069235100354</v>
      </c>
      <c r="AM34" s="269">
        <f t="shared" si="25"/>
        <v>0.45417381159112746</v>
      </c>
      <c r="AN34" s="269">
        <f t="shared" si="25"/>
        <v>0.58636068377592721</v>
      </c>
      <c r="AO34" s="269">
        <f t="shared" si="25"/>
        <v>0.39570144245170163</v>
      </c>
      <c r="AP34" s="269">
        <f t="shared" si="25"/>
        <v>0.26579484525426816</v>
      </c>
      <c r="AQ34" s="269">
        <f t="shared" si="25"/>
        <v>0.49692264449032214</v>
      </c>
      <c r="AR34" s="269">
        <f t="shared" si="25"/>
        <v>0.45550474850510025</v>
      </c>
      <c r="AS34" s="269">
        <f t="shared" si="25"/>
        <v>0.545462382276244</v>
      </c>
      <c r="AT34" s="269">
        <f t="shared" si="25"/>
        <v>0.545462382276244</v>
      </c>
      <c r="AU34" s="269">
        <f t="shared" si="25"/>
        <v>0.46286997885835096</v>
      </c>
      <c r="AV34" s="269">
        <f t="shared" si="25"/>
        <v>0.52937976060935799</v>
      </c>
      <c r="AW34" s="269">
        <f t="shared" si="25"/>
        <v>0.44125999134122557</v>
      </c>
      <c r="AX34" s="269">
        <f t="shared" si="25"/>
        <v>0.38623713423924871</v>
      </c>
      <c r="AY34" s="269">
        <f t="shared" si="25"/>
        <v>0.47304832713754646</v>
      </c>
      <c r="AZ34" s="269">
        <f t="shared" si="25"/>
        <v>0.48362235067437381</v>
      </c>
      <c r="BA34" s="269">
        <f t="shared" si="25"/>
        <v>0.46319569120287252</v>
      </c>
      <c r="BB34" s="269">
        <f t="shared" si="25"/>
        <v>0.46319569120287252</v>
      </c>
    </row>
    <row r="35" spans="1:54">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58"/>
      <c r="AZ35" s="264"/>
      <c r="BA35" s="264"/>
      <c r="BB35" s="264"/>
    </row>
    <row r="36" spans="1:54">
      <c r="A36" s="252"/>
      <c r="B36" s="255" t="s">
        <v>34</v>
      </c>
      <c r="C36" s="258">
        <v>118131.69884341676</v>
      </c>
      <c r="D36" s="258"/>
      <c r="E36" s="258">
        <v>114037.49212344014</v>
      </c>
      <c r="F36" s="258"/>
      <c r="G36" s="258">
        <v>113368.40780000002</v>
      </c>
      <c r="H36" s="258"/>
      <c r="I36" s="258">
        <v>113623.98480000001</v>
      </c>
      <c r="J36" s="258"/>
      <c r="K36" s="258">
        <v>112381.12907763624</v>
      </c>
      <c r="L36" s="258"/>
      <c r="M36" s="258">
        <v>108811</v>
      </c>
      <c r="N36" s="258"/>
      <c r="O36" s="258">
        <v>107035.45492119202</v>
      </c>
      <c r="P36" s="258"/>
      <c r="Q36" s="258">
        <v>104037.30788707999</v>
      </c>
      <c r="R36" s="258"/>
      <c r="S36" s="258">
        <v>101668.24776078029</v>
      </c>
      <c r="T36" s="258"/>
      <c r="U36" s="258">
        <v>98744.151407699988</v>
      </c>
      <c r="V36" s="258"/>
      <c r="W36" s="258">
        <v>98940.269777329799</v>
      </c>
      <c r="X36" s="258"/>
      <c r="Y36" s="258">
        <v>98258.985487460028</v>
      </c>
      <c r="Z36" s="258"/>
      <c r="AA36" s="258">
        <v>96039.543704459997</v>
      </c>
      <c r="AB36" s="264"/>
      <c r="AC36" s="258">
        <v>92817.744119980198</v>
      </c>
      <c r="AD36" s="264"/>
      <c r="AE36" s="258">
        <v>90460.14825605003</v>
      </c>
      <c r="AF36" s="264"/>
      <c r="AG36" s="258">
        <v>88945.039514610005</v>
      </c>
      <c r="AH36" s="264"/>
      <c r="AI36" s="258">
        <v>87527.837190519887</v>
      </c>
      <c r="AJ36" s="264"/>
      <c r="AK36" s="258">
        <v>84901.214854689984</v>
      </c>
      <c r="AL36" s="264"/>
      <c r="AM36" s="258">
        <v>82944.802144999994</v>
      </c>
      <c r="AN36" s="264"/>
      <c r="AO36" s="258">
        <v>81336.069999999992</v>
      </c>
      <c r="AP36" s="264"/>
      <c r="AQ36" s="258">
        <v>79286.388672980014</v>
      </c>
      <c r="AR36" s="264"/>
      <c r="AS36" s="258">
        <v>44307.5</v>
      </c>
      <c r="AT36" s="264"/>
      <c r="AU36" s="258">
        <v>43779.16</v>
      </c>
      <c r="AV36" s="264"/>
      <c r="AW36" s="258">
        <v>42793.5</v>
      </c>
      <c r="AX36" s="264"/>
      <c r="AY36" s="258">
        <v>42090.69</v>
      </c>
      <c r="AZ36" s="264"/>
      <c r="BA36" s="258">
        <v>40483.611327409999</v>
      </c>
      <c r="BB36" s="264"/>
    </row>
    <row r="37" spans="1:54">
      <c r="A37" s="252"/>
      <c r="B37" s="272" t="s">
        <v>146</v>
      </c>
      <c r="C37" s="258">
        <v>48162.76504868998</v>
      </c>
      <c r="D37" s="258"/>
      <c r="E37" s="258">
        <v>47522.061958350001</v>
      </c>
      <c r="F37" s="258"/>
      <c r="G37" s="258">
        <v>46872.051399999997</v>
      </c>
      <c r="H37" s="258"/>
      <c r="I37" s="258">
        <v>46153.341399999998</v>
      </c>
      <c r="J37" s="258"/>
      <c r="K37" s="258">
        <v>44559.051670249995</v>
      </c>
      <c r="L37" s="258"/>
      <c r="M37" s="258">
        <v>44020</v>
      </c>
      <c r="N37" s="258"/>
      <c r="O37" s="258">
        <v>42630.288198770002</v>
      </c>
      <c r="P37" s="258"/>
      <c r="Q37" s="258">
        <v>42243.659336410004</v>
      </c>
      <c r="R37" s="258"/>
      <c r="S37" s="258">
        <v>41438.065000000002</v>
      </c>
      <c r="T37" s="258"/>
      <c r="U37" s="258">
        <v>40919.316098639996</v>
      </c>
      <c r="V37" s="258"/>
      <c r="W37" s="258">
        <v>39791.910470000003</v>
      </c>
      <c r="X37" s="258"/>
      <c r="Y37" s="258">
        <v>38414.786999999997</v>
      </c>
      <c r="Z37" s="258"/>
      <c r="AA37" s="258">
        <v>37943.764000000003</v>
      </c>
      <c r="AB37" s="264"/>
      <c r="AC37" s="258">
        <v>38009.275000000001</v>
      </c>
      <c r="AD37" s="264"/>
      <c r="AE37" s="258">
        <v>37451.131987000001</v>
      </c>
      <c r="AF37" s="264"/>
      <c r="AG37" s="258">
        <v>36650.008250999999</v>
      </c>
      <c r="AH37" s="264"/>
      <c r="AI37" s="258">
        <v>35532.226698999999</v>
      </c>
      <c r="AJ37" s="264"/>
      <c r="AK37" s="258">
        <v>35521.066979000003</v>
      </c>
      <c r="AL37" s="264"/>
      <c r="AM37" s="258">
        <v>35197.497000000003</v>
      </c>
      <c r="AN37" s="264"/>
      <c r="AO37" s="258">
        <v>35129.561126999994</v>
      </c>
      <c r="AP37" s="264"/>
      <c r="AQ37" s="258">
        <v>34766.900999999998</v>
      </c>
      <c r="AR37" s="264"/>
      <c r="AS37" s="273">
        <v>17288.619168000001</v>
      </c>
      <c r="AT37" s="264"/>
      <c r="AU37" s="273">
        <v>16796.622458000002</v>
      </c>
      <c r="AV37" s="264"/>
      <c r="AW37" s="258">
        <v>16076.098374450001</v>
      </c>
      <c r="AX37" s="264"/>
      <c r="AY37" s="258">
        <v>15329.815615</v>
      </c>
      <c r="AZ37" s="264"/>
      <c r="BA37" s="258">
        <v>15533.628225</v>
      </c>
      <c r="BB37" s="264"/>
    </row>
    <row r="38" spans="1:54">
      <c r="A38" s="252"/>
      <c r="B38" s="272" t="s">
        <v>147</v>
      </c>
      <c r="C38" s="258">
        <v>995.63519871999995</v>
      </c>
      <c r="D38" s="258"/>
      <c r="E38" s="258">
        <v>1007.48431772</v>
      </c>
      <c r="F38" s="258"/>
      <c r="G38" s="258">
        <v>1018.1911</v>
      </c>
      <c r="H38" s="258"/>
      <c r="I38" s="258">
        <v>1215.4574</v>
      </c>
      <c r="J38" s="258"/>
      <c r="K38" s="258">
        <v>1015.88665297</v>
      </c>
      <c r="L38" s="258"/>
      <c r="M38" s="258">
        <v>1015</v>
      </c>
      <c r="N38" s="258"/>
      <c r="O38" s="258">
        <v>1022.4164379700001</v>
      </c>
      <c r="P38" s="258"/>
      <c r="Q38" s="258">
        <v>1028.9756779700001</v>
      </c>
      <c r="R38" s="258"/>
      <c r="S38" s="258">
        <v>1230.3109999999999</v>
      </c>
      <c r="T38" s="258"/>
      <c r="U38" s="258">
        <v>1415.1529349700002</v>
      </c>
      <c r="V38" s="258"/>
      <c r="W38" s="258">
        <v>1432.9786079999999</v>
      </c>
      <c r="X38" s="258"/>
      <c r="Y38" s="258">
        <v>1478.806</v>
      </c>
      <c r="Z38" s="258"/>
      <c r="AA38" s="258">
        <v>1508.4760000000001</v>
      </c>
      <c r="AB38" s="264"/>
      <c r="AC38" s="258">
        <v>1605.809</v>
      </c>
      <c r="AD38" s="264"/>
      <c r="AE38" s="258">
        <v>1623.794453</v>
      </c>
      <c r="AF38" s="264"/>
      <c r="AG38" s="258">
        <v>1324.1435019999999</v>
      </c>
      <c r="AH38" s="264"/>
      <c r="AI38" s="258">
        <v>1333.118905</v>
      </c>
      <c r="AJ38" s="264"/>
      <c r="AK38" s="258">
        <v>1278.919551</v>
      </c>
      <c r="AL38" s="264"/>
      <c r="AM38" s="258">
        <v>1307.7759999999998</v>
      </c>
      <c r="AN38" s="264"/>
      <c r="AO38" s="258">
        <v>1159.912239</v>
      </c>
      <c r="AP38" s="264"/>
      <c r="AQ38" s="258">
        <v>1169.7469999999998</v>
      </c>
      <c r="AR38" s="264"/>
      <c r="AS38" s="273">
        <v>560.18392900000003</v>
      </c>
      <c r="AT38" s="264"/>
      <c r="AU38" s="273">
        <v>564.16929500000003</v>
      </c>
      <c r="AV38" s="264"/>
      <c r="AW38" s="258">
        <v>568.14836700000001</v>
      </c>
      <c r="AX38" s="264"/>
      <c r="AY38" s="258">
        <v>574.10100399999999</v>
      </c>
      <c r="AZ38" s="264"/>
      <c r="BA38" s="258">
        <v>601.47104200000001</v>
      </c>
      <c r="BB38" s="264"/>
    </row>
    <row r="39" spans="1:54" ht="13.5" thickBot="1">
      <c r="A39" s="321" t="s">
        <v>220</v>
      </c>
      <c r="B39" s="268" t="s">
        <v>163</v>
      </c>
      <c r="C39" s="274">
        <v>167290.09909082673</v>
      </c>
      <c r="D39" s="274"/>
      <c r="E39" s="274">
        <v>162567.03839951014</v>
      </c>
      <c r="F39" s="274"/>
      <c r="G39" s="274">
        <v>161258.65030000001</v>
      </c>
      <c r="H39" s="274"/>
      <c r="I39" s="274">
        <v>160992.7836</v>
      </c>
      <c r="J39" s="274"/>
      <c r="K39" s="274">
        <v>157956.06740085623</v>
      </c>
      <c r="L39" s="274"/>
      <c r="M39" s="274">
        <v>153846</v>
      </c>
      <c r="N39" s="274"/>
      <c r="O39" s="274">
        <v>150688.15955793203</v>
      </c>
      <c r="P39" s="274"/>
      <c r="Q39" s="274">
        <v>147309.94290146002</v>
      </c>
      <c r="R39" s="274"/>
      <c r="S39" s="274">
        <f t="shared" ref="S39" si="26">+S36+S37+S38</f>
        <v>144336.62376078026</v>
      </c>
      <c r="T39" s="274"/>
      <c r="U39" s="274">
        <f t="shared" ref="U39:Y39" si="27">+U36+U37+U38</f>
        <v>141078.62044130999</v>
      </c>
      <c r="V39" s="274"/>
      <c r="W39" s="274">
        <f t="shared" si="27"/>
        <v>140165.15885532982</v>
      </c>
      <c r="X39" s="274"/>
      <c r="Y39" s="274">
        <f t="shared" si="27"/>
        <v>138152.57848746004</v>
      </c>
      <c r="Z39" s="274"/>
      <c r="AA39" s="274">
        <f t="shared" ref="AA39:AC39" si="28">+AA36+AA37+AA38</f>
        <v>135491.78370445999</v>
      </c>
      <c r="AB39" s="275"/>
      <c r="AC39" s="274">
        <f t="shared" si="28"/>
        <v>132432.8281199802</v>
      </c>
      <c r="AD39" s="275"/>
      <c r="AE39" s="274">
        <f>+AE36+AE37+AE38</f>
        <v>129535.07469605003</v>
      </c>
      <c r="AF39" s="275"/>
      <c r="AG39" s="274">
        <f t="shared" ref="AG39" si="29">+AG36+AG37+AG38</f>
        <v>126919.19126761002</v>
      </c>
      <c r="AH39" s="275"/>
      <c r="AI39" s="274">
        <f t="shared" ref="AI39" si="30">+AI36+AI37+AI38</f>
        <v>124393.18279451989</v>
      </c>
      <c r="AJ39" s="275"/>
      <c r="AK39" s="274">
        <f t="shared" ref="AK39" si="31">+AK36+AK37+AK38</f>
        <v>121701.20138468998</v>
      </c>
      <c r="AL39" s="275"/>
      <c r="AM39" s="274">
        <f t="shared" ref="AM39" si="32">+AM36+AM37+AM38</f>
        <v>119450.075145</v>
      </c>
      <c r="AN39" s="275"/>
      <c r="AO39" s="274">
        <f t="shared" ref="AO39" si="33">+AO36+AO37+AO38</f>
        <v>117625.54336599998</v>
      </c>
      <c r="AP39" s="275"/>
      <c r="AQ39" s="274">
        <f t="shared" ref="AQ39" si="34">+AQ36+AQ37+AQ38</f>
        <v>115223.03667298002</v>
      </c>
      <c r="AR39" s="275"/>
      <c r="AS39" s="274">
        <f t="shared" ref="AS39" si="35">+AS36+AS37+AS38</f>
        <v>62156.303097000004</v>
      </c>
      <c r="AT39" s="275"/>
      <c r="AU39" s="274">
        <f t="shared" ref="AU39" si="36">+AU36+AU37+AU38</f>
        <v>61139.951753000001</v>
      </c>
      <c r="AV39" s="275"/>
      <c r="AW39" s="274">
        <f t="shared" ref="AW39" si="37">+AW36+AW37+AW38</f>
        <v>59437.746741449999</v>
      </c>
      <c r="AX39" s="275"/>
      <c r="AY39" s="274">
        <f t="shared" ref="AY39" si="38">+AY36+AY37+AY38</f>
        <v>57994.606618999998</v>
      </c>
      <c r="AZ39" s="275"/>
      <c r="BA39" s="274">
        <f t="shared" ref="BA39" si="39">+BA36+BA37+BA38</f>
        <v>56618.710594409997</v>
      </c>
      <c r="BB39" s="275"/>
    </row>
    <row r="40" spans="1:54">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58"/>
      <c r="AZ40" s="264"/>
      <c r="BA40" s="264"/>
      <c r="BB40" s="264"/>
    </row>
    <row r="41" spans="1:54">
      <c r="A41" s="252"/>
      <c r="B41" s="255" t="s">
        <v>164</v>
      </c>
      <c r="C41" s="258">
        <v>118131.69884341676</v>
      </c>
      <c r="D41" s="258"/>
      <c r="E41" s="258">
        <v>114037.49212344014</v>
      </c>
      <c r="F41" s="258"/>
      <c r="G41" s="258">
        <v>113368.40780000002</v>
      </c>
      <c r="H41" s="258"/>
      <c r="I41" s="258">
        <v>113623.98480000001</v>
      </c>
      <c r="J41" s="258"/>
      <c r="K41" s="258">
        <v>112381.12907763624</v>
      </c>
      <c r="L41" s="258"/>
      <c r="M41" s="258">
        <v>108811</v>
      </c>
      <c r="N41" s="258"/>
      <c r="O41" s="258">
        <v>107035.45492119202</v>
      </c>
      <c r="P41" s="258"/>
      <c r="Q41" s="258">
        <v>104037.30788707999</v>
      </c>
      <c r="R41" s="258"/>
      <c r="S41" s="258">
        <v>101668.24776078029</v>
      </c>
      <c r="T41" s="258"/>
      <c r="U41" s="258">
        <v>98744.151407699988</v>
      </c>
      <c r="V41" s="258"/>
      <c r="W41" s="258">
        <f>+W36</f>
        <v>98940.269777329799</v>
      </c>
      <c r="X41" s="258"/>
      <c r="Y41" s="258">
        <f>+Y36</f>
        <v>98258.985487460028</v>
      </c>
      <c r="Z41" s="258"/>
      <c r="AA41" s="258">
        <v>96039.543704459997</v>
      </c>
      <c r="AB41" s="264"/>
      <c r="AC41" s="258">
        <f>+AC36</f>
        <v>92817.744119980198</v>
      </c>
      <c r="AD41" s="264"/>
      <c r="AE41" s="258">
        <f>+AE36</f>
        <v>90460.14825605003</v>
      </c>
      <c r="AF41" s="264"/>
      <c r="AG41" s="258">
        <f>+AG36</f>
        <v>88945.039514610005</v>
      </c>
      <c r="AH41" s="264"/>
      <c r="AI41" s="258">
        <f>+AI36</f>
        <v>87527.837190519887</v>
      </c>
      <c r="AJ41" s="258"/>
      <c r="AK41" s="258">
        <f>+AK36</f>
        <v>84901.214854689984</v>
      </c>
      <c r="AL41" s="258"/>
      <c r="AM41" s="258">
        <f>+AM36</f>
        <v>82944.802144999994</v>
      </c>
      <c r="AN41" s="258"/>
      <c r="AO41" s="258">
        <f>+AO36</f>
        <v>81336.069999999992</v>
      </c>
      <c r="AP41" s="258"/>
      <c r="AQ41" s="258">
        <f>+AQ36</f>
        <v>79286.388672980014</v>
      </c>
      <c r="AR41" s="264"/>
      <c r="AS41" s="258">
        <f>+AS36</f>
        <v>44307.5</v>
      </c>
      <c r="AT41" s="264"/>
      <c r="AU41" s="258">
        <f>+AU36</f>
        <v>43779.16</v>
      </c>
      <c r="AV41" s="264"/>
      <c r="AW41" s="258">
        <f>+AW36</f>
        <v>42793.5</v>
      </c>
      <c r="AX41" s="264"/>
      <c r="AY41" s="258">
        <f>+AY36</f>
        <v>42090.69</v>
      </c>
      <c r="AZ41" s="264"/>
      <c r="BA41" s="258">
        <f>+BA36</f>
        <v>40483.611327409999</v>
      </c>
      <c r="BB41" s="264"/>
    </row>
    <row r="42" spans="1:54">
      <c r="A42" s="252"/>
      <c r="B42" s="276" t="s">
        <v>165</v>
      </c>
      <c r="C42" s="262">
        <v>112381.12907763624</v>
      </c>
      <c r="D42" s="262"/>
      <c r="E42" s="262">
        <v>108810.93195658</v>
      </c>
      <c r="F42" s="262"/>
      <c r="G42" s="262">
        <v>107035.04244061932</v>
      </c>
      <c r="H42" s="262"/>
      <c r="I42" s="262">
        <v>104037.26</v>
      </c>
      <c r="J42" s="262"/>
      <c r="K42" s="262">
        <v>101668.37312252022</v>
      </c>
      <c r="L42" s="262"/>
      <c r="M42" s="262">
        <v>98744</v>
      </c>
      <c r="N42" s="262"/>
      <c r="O42" s="262">
        <v>98940.269777329799</v>
      </c>
      <c r="P42" s="262"/>
      <c r="Q42" s="262">
        <v>98258.985487460028</v>
      </c>
      <c r="R42" s="262"/>
      <c r="S42" s="262">
        <v>96039.543704459997</v>
      </c>
      <c r="T42" s="262"/>
      <c r="U42" s="262">
        <v>92817.744119980198</v>
      </c>
      <c r="V42" s="262"/>
      <c r="W42" s="262">
        <v>90460.14825605003</v>
      </c>
      <c r="X42" s="262"/>
      <c r="Y42" s="262">
        <v>88945.039514610005</v>
      </c>
      <c r="Z42" s="262"/>
      <c r="AA42" s="262">
        <v>87527.837190519902</v>
      </c>
      <c r="AB42" s="277"/>
      <c r="AC42" s="262">
        <f>+AK41</f>
        <v>84901.214854689984</v>
      </c>
      <c r="AD42" s="277"/>
      <c r="AE42" s="262">
        <f>+AM41</f>
        <v>82944.802144999994</v>
      </c>
      <c r="AF42" s="277"/>
      <c r="AG42" s="262">
        <f>+AO41</f>
        <v>81336.069999999992</v>
      </c>
      <c r="AH42" s="277"/>
      <c r="AI42" s="262">
        <f>+AQ41</f>
        <v>79286.388672980014</v>
      </c>
      <c r="AJ42" s="277"/>
      <c r="AK42" s="262">
        <f>+AS41</f>
        <v>44307.5</v>
      </c>
      <c r="AL42" s="277"/>
      <c r="AM42" s="262">
        <f>+AU41</f>
        <v>43779.16</v>
      </c>
      <c r="AN42" s="277"/>
      <c r="AO42" s="262">
        <f>+AW41</f>
        <v>42793.5</v>
      </c>
      <c r="AP42" s="277"/>
      <c r="AQ42" s="262">
        <f>+AY41</f>
        <v>42090.69</v>
      </c>
      <c r="AR42" s="277"/>
      <c r="AS42" s="262">
        <f>+BA41</f>
        <v>40483.611327409999</v>
      </c>
      <c r="AT42" s="277"/>
      <c r="AU42" s="278">
        <v>39936</v>
      </c>
      <c r="AV42" s="279"/>
      <c r="AW42" s="278">
        <v>39233</v>
      </c>
      <c r="AX42" s="279"/>
      <c r="AY42" s="278">
        <v>38256</v>
      </c>
      <c r="AZ42" s="279"/>
      <c r="BA42" s="278">
        <v>36885</v>
      </c>
      <c r="BB42" s="277"/>
    </row>
    <row r="43" spans="1:54">
      <c r="A43" s="252"/>
      <c r="B43" s="272" t="s">
        <v>166</v>
      </c>
      <c r="C43" s="258">
        <v>5750.569765780514</v>
      </c>
      <c r="D43" s="258"/>
      <c r="E43" s="258">
        <v>5226.5601668601448</v>
      </c>
      <c r="F43" s="258"/>
      <c r="G43" s="258">
        <v>6333.3653593806957</v>
      </c>
      <c r="H43" s="258"/>
      <c r="I43" s="258">
        <v>9586.7248</v>
      </c>
      <c r="J43" s="258"/>
      <c r="K43" s="258">
        <v>10712.755955116023</v>
      </c>
      <c r="L43" s="258"/>
      <c r="M43" s="258">
        <v>10067</v>
      </c>
      <c r="N43" s="258"/>
      <c r="O43" s="258">
        <v>8095.1851438622252</v>
      </c>
      <c r="P43" s="258"/>
      <c r="Q43" s="258">
        <v>5778.3223996199667</v>
      </c>
      <c r="R43" s="258"/>
      <c r="S43" s="258">
        <f>+S41-S42</f>
        <v>5628.70405632029</v>
      </c>
      <c r="T43" s="258"/>
      <c r="U43" s="258">
        <v>5926.4072877197905</v>
      </c>
      <c r="V43" s="258"/>
      <c r="W43" s="258">
        <f>+W41-W42</f>
        <v>8480.1215212797688</v>
      </c>
      <c r="X43" s="258"/>
      <c r="Y43" s="258">
        <f>+Y41-Y42</f>
        <v>9313.9459728500224</v>
      </c>
      <c r="Z43" s="258"/>
      <c r="AA43" s="258">
        <f>+AA41-AA42</f>
        <v>8511.7065139400947</v>
      </c>
      <c r="AB43" s="264"/>
      <c r="AC43" s="258">
        <f>+AC41-AC42</f>
        <v>7916.5292652902135</v>
      </c>
      <c r="AD43" s="264"/>
      <c r="AE43" s="258">
        <f>+AE41-AE42</f>
        <v>7515.3461110500357</v>
      </c>
      <c r="AF43" s="264"/>
      <c r="AG43" s="258">
        <f>+AG41-AG42</f>
        <v>7608.969514610013</v>
      </c>
      <c r="AH43" s="264"/>
      <c r="AI43" s="258">
        <f>+AI41-AI42</f>
        <v>8241.4485175398731</v>
      </c>
      <c r="AJ43" s="264"/>
      <c r="AK43" s="258">
        <f>+AK41-AK42</f>
        <v>40593.714854689984</v>
      </c>
      <c r="AL43" s="264"/>
      <c r="AM43" s="258">
        <f>+AM41-AM42</f>
        <v>39165.642144999991</v>
      </c>
      <c r="AN43" s="264"/>
      <c r="AO43" s="258">
        <f>+AO41-AO42</f>
        <v>38542.569999999992</v>
      </c>
      <c r="AP43" s="264"/>
      <c r="AQ43" s="258">
        <f>+AQ41-AQ42</f>
        <v>37195.698672980012</v>
      </c>
      <c r="AR43" s="264"/>
      <c r="AS43" s="258">
        <f>+AS41-AS42</f>
        <v>3823.8886725900011</v>
      </c>
      <c r="AT43" s="264"/>
      <c r="AU43" s="258">
        <f>+AU41-AU42</f>
        <v>3843.1600000000035</v>
      </c>
      <c r="AV43" s="264"/>
      <c r="AW43" s="258">
        <f>+AW41-AW42</f>
        <v>3560.5</v>
      </c>
      <c r="AX43" s="264"/>
      <c r="AY43" s="258">
        <f>+AY41-AY42</f>
        <v>3834.6900000000023</v>
      </c>
      <c r="AZ43" s="264"/>
      <c r="BA43" s="258">
        <f>+BA41-BA42</f>
        <v>3598.6113274099989</v>
      </c>
      <c r="BB43" s="264"/>
    </row>
    <row r="44" spans="1:54">
      <c r="A44" s="252"/>
      <c r="B44" s="280" t="s">
        <v>325</v>
      </c>
      <c r="C44" s="258">
        <v>112381.12907763624</v>
      </c>
      <c r="D44" s="258"/>
      <c r="E44" s="258">
        <v>108810.93195658</v>
      </c>
      <c r="F44" s="258"/>
      <c r="G44" s="258">
        <v>107035.04244061932</v>
      </c>
      <c r="H44" s="258"/>
      <c r="I44" s="258">
        <v>104037.26</v>
      </c>
      <c r="J44" s="258"/>
      <c r="K44" s="258">
        <v>101668.37312252022</v>
      </c>
      <c r="L44" s="258"/>
      <c r="M44" s="258">
        <v>98744</v>
      </c>
      <c r="N44" s="258"/>
      <c r="O44" s="258">
        <v>98940.269777329799</v>
      </c>
      <c r="P44" s="258"/>
      <c r="Q44" s="258">
        <v>98258.985487460028</v>
      </c>
      <c r="R44" s="258"/>
      <c r="S44" s="258">
        <f>+S42</f>
        <v>96039.543704459997</v>
      </c>
      <c r="T44" s="258"/>
      <c r="U44" s="258">
        <v>92817.744119980198</v>
      </c>
      <c r="V44" s="258"/>
      <c r="W44" s="258">
        <f>+W42</f>
        <v>90460.14825605003</v>
      </c>
      <c r="X44" s="258"/>
      <c r="Y44" s="258">
        <f>+Y42</f>
        <v>88945.039514610005</v>
      </c>
      <c r="Z44" s="258"/>
      <c r="AA44" s="258">
        <f>+AA42</f>
        <v>87527.837190519902</v>
      </c>
      <c r="AB44" s="264"/>
      <c r="AC44" s="258">
        <f>+AC42</f>
        <v>84901.214854689984</v>
      </c>
      <c r="AD44" s="264"/>
      <c r="AE44" s="258">
        <f>+AE42</f>
        <v>82944.802144999994</v>
      </c>
      <c r="AF44" s="264"/>
      <c r="AG44" s="258">
        <f>+AG42</f>
        <v>81336.069999999992</v>
      </c>
      <c r="AH44" s="264"/>
      <c r="AI44" s="258">
        <f>+AI42</f>
        <v>79286.388672980014</v>
      </c>
      <c r="AJ44" s="264"/>
      <c r="AK44" s="258">
        <f>+AK42</f>
        <v>44307.5</v>
      </c>
      <c r="AL44" s="264"/>
      <c r="AM44" s="258">
        <f>+AM42</f>
        <v>43779.16</v>
      </c>
      <c r="AN44" s="264"/>
      <c r="AO44" s="258">
        <f>+AO42</f>
        <v>42793.5</v>
      </c>
      <c r="AP44" s="264"/>
      <c r="AQ44" s="258">
        <f>+AQ42</f>
        <v>42090.69</v>
      </c>
      <c r="AR44" s="264"/>
      <c r="AS44" s="258">
        <f>+AS42</f>
        <v>40483.611327409999</v>
      </c>
      <c r="AT44" s="264"/>
      <c r="AU44" s="258">
        <f>+AU42</f>
        <v>39936</v>
      </c>
      <c r="AV44" s="264"/>
      <c r="AW44" s="258">
        <f>+AW42</f>
        <v>39233</v>
      </c>
      <c r="AX44" s="264"/>
      <c r="AY44" s="258">
        <f>+AY42</f>
        <v>38256</v>
      </c>
      <c r="AZ44" s="264"/>
      <c r="BA44" s="258">
        <f>+BA42</f>
        <v>36885</v>
      </c>
      <c r="BB44" s="264"/>
    </row>
    <row r="45" spans="1:54" ht="13.5" thickBot="1">
      <c r="A45" s="321" t="s">
        <v>221</v>
      </c>
      <c r="B45" s="268" t="s">
        <v>167</v>
      </c>
      <c r="C45" s="269">
        <v>5.1170243732004586E-2</v>
      </c>
      <c r="D45" s="269"/>
      <c r="E45" s="269">
        <v>4.8033410548728284E-2</v>
      </c>
      <c r="F45" s="269"/>
      <c r="G45" s="269">
        <v>5.9170952007556843E-2</v>
      </c>
      <c r="H45" s="269"/>
      <c r="I45" s="269">
        <v>9.2100000000000001E-2</v>
      </c>
      <c r="J45" s="269"/>
      <c r="K45" s="269">
        <v>0.10536960144140514</v>
      </c>
      <c r="L45" s="269"/>
      <c r="M45" s="269">
        <v>0.10199999999999999</v>
      </c>
      <c r="N45" s="269"/>
      <c r="O45" s="269">
        <v>8.1818911168130615E-2</v>
      </c>
      <c r="P45" s="269"/>
      <c r="Q45" s="269">
        <v>5.8807063506241937E-2</v>
      </c>
      <c r="R45" s="269"/>
      <c r="S45" s="269">
        <f>+S43/S44</f>
        <v>5.860819240917424E-2</v>
      </c>
      <c r="T45" s="269"/>
      <c r="U45" s="269">
        <f>+U43/U44</f>
        <v>6.3849938865774003E-2</v>
      </c>
      <c r="V45" s="269"/>
      <c r="W45" s="269">
        <f>+W43/W44</f>
        <v>9.3744280600519717E-2</v>
      </c>
      <c r="X45" s="269"/>
      <c r="Y45" s="269">
        <f>+Y43/Y44</f>
        <v>0.10471574383099942</v>
      </c>
      <c r="Z45" s="269"/>
      <c r="AA45" s="269">
        <f>(AA36-AI36)/AI36</f>
        <v>9.7245708190102628E-2</v>
      </c>
      <c r="AB45" s="271"/>
      <c r="AC45" s="269">
        <f>(AC36-AK36)/AK36</f>
        <v>9.3244004562708566E-2</v>
      </c>
      <c r="AD45" s="271"/>
      <c r="AE45" s="269">
        <f>AE43/AE44</f>
        <v>9.0606595189799591E-2</v>
      </c>
      <c r="AF45" s="271"/>
      <c r="AG45" s="269">
        <f>AG43/AG44</f>
        <v>9.3549756148901875E-2</v>
      </c>
      <c r="AH45" s="271"/>
      <c r="AI45" s="269">
        <f>AI43/AI44</f>
        <v>0.10394531338199887</v>
      </c>
      <c r="AJ45" s="271"/>
      <c r="AK45" s="269">
        <f>AK43/AK44</f>
        <v>0.91618156868904777</v>
      </c>
      <c r="AL45" s="271"/>
      <c r="AM45" s="269">
        <f>AM43/AM44</f>
        <v>0.8946184016550337</v>
      </c>
      <c r="AN45" s="271"/>
      <c r="AO45" s="269">
        <f>AO43/AO44</f>
        <v>0.90066411955086623</v>
      </c>
      <c r="AP45" s="271"/>
      <c r="AQ45" s="269">
        <f>AQ43/AQ44</f>
        <v>0.88370370438165802</v>
      </c>
      <c r="AR45" s="271"/>
      <c r="AS45" s="269">
        <f>AS43/AS44</f>
        <v>9.4455226379495036E-2</v>
      </c>
      <c r="AT45" s="271"/>
      <c r="AU45" s="269">
        <f>AU43/AU44</f>
        <v>9.6232972756410337E-2</v>
      </c>
      <c r="AV45" s="271"/>
      <c r="AW45" s="269">
        <f>AW43/AW44</f>
        <v>9.0752682690592099E-2</v>
      </c>
      <c r="AX45" s="271"/>
      <c r="AY45" s="269">
        <f>AY43/AY44</f>
        <v>0.10023760978670018</v>
      </c>
      <c r="AZ45" s="271"/>
      <c r="BA45" s="269">
        <f>BA43/BA44</f>
        <v>9.7563001963128615E-2</v>
      </c>
      <c r="BB45" s="271"/>
    </row>
    <row r="46" spans="1:54">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row>
    <row r="47" spans="1:54">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row>
    <row r="48" spans="1:54">
      <c r="A48" s="252"/>
      <c r="B48" s="256" t="s">
        <v>168</v>
      </c>
      <c r="C48" s="258">
        <v>167290.09909082673</v>
      </c>
      <c r="D48" s="258"/>
      <c r="E48" s="258">
        <v>162567.03839951014</v>
      </c>
      <c r="F48" s="258"/>
      <c r="G48" s="258">
        <v>161258.65030000001</v>
      </c>
      <c r="H48" s="258"/>
      <c r="I48" s="258">
        <v>160992.7836</v>
      </c>
      <c r="J48" s="258"/>
      <c r="K48" s="258">
        <v>157956.06740085623</v>
      </c>
      <c r="L48" s="258"/>
      <c r="M48" s="258">
        <v>153846</v>
      </c>
      <c r="N48" s="258"/>
      <c r="O48" s="258">
        <v>150688.15955793203</v>
      </c>
      <c r="P48" s="258"/>
      <c r="Q48" s="258">
        <v>147309.94290146002</v>
      </c>
      <c r="R48" s="258"/>
      <c r="S48" s="258">
        <v>144336.62376078026</v>
      </c>
      <c r="T48" s="258"/>
      <c r="U48" s="258">
        <v>141078.62044130999</v>
      </c>
      <c r="V48" s="258"/>
      <c r="W48" s="258">
        <v>140165.15885532982</v>
      </c>
      <c r="X48" s="258"/>
      <c r="Y48" s="258">
        <v>138152.57848746004</v>
      </c>
      <c r="Z48" s="258"/>
      <c r="AA48" s="258">
        <v>135491.78370445999</v>
      </c>
      <c r="AB48" s="264"/>
      <c r="AC48" s="258">
        <f>AC39</f>
        <v>132432.8281199802</v>
      </c>
      <c r="AD48" s="264"/>
      <c r="AE48" s="258">
        <f>AE39</f>
        <v>129535.07469605003</v>
      </c>
      <c r="AF48" s="264"/>
      <c r="AG48" s="258">
        <f>AG39</f>
        <v>126919.19126761002</v>
      </c>
      <c r="AH48" s="264"/>
      <c r="AI48" s="258">
        <f>AI39</f>
        <v>124393.18279451989</v>
      </c>
      <c r="AJ48" s="264"/>
      <c r="AK48" s="258">
        <f>AK39</f>
        <v>121701.20138468998</v>
      </c>
      <c r="AL48" s="264"/>
      <c r="AM48" s="258">
        <f>AM39</f>
        <v>119450.075145</v>
      </c>
      <c r="AN48" s="264"/>
      <c r="AO48" s="258">
        <f>AO39</f>
        <v>117625.54336599998</v>
      </c>
      <c r="AP48" s="264"/>
      <c r="AQ48" s="258">
        <f>AQ39</f>
        <v>115223.03667298002</v>
      </c>
      <c r="AR48" s="264"/>
      <c r="AS48" s="258">
        <f>AS39</f>
        <v>62156.303097000004</v>
      </c>
      <c r="AT48" s="264"/>
      <c r="AU48" s="258">
        <f>AU39</f>
        <v>61139.951753000001</v>
      </c>
      <c r="AV48" s="264"/>
      <c r="AW48" s="258">
        <f>AW39</f>
        <v>59437.746741449999</v>
      </c>
      <c r="AX48" s="264"/>
      <c r="AY48" s="258">
        <f>AY39</f>
        <v>57994.606618999998</v>
      </c>
      <c r="AZ48" s="264"/>
      <c r="BA48" s="258">
        <f>BA39</f>
        <v>56618.710594409997</v>
      </c>
      <c r="BB48" s="264"/>
    </row>
    <row r="49" spans="1:54">
      <c r="A49" s="252"/>
      <c r="B49" s="276" t="s">
        <v>169</v>
      </c>
      <c r="C49" s="262">
        <v>157956.06740085623</v>
      </c>
      <c r="D49" s="262"/>
      <c r="E49" s="262">
        <v>153845.74316593996</v>
      </c>
      <c r="F49" s="262"/>
      <c r="G49" s="262">
        <v>150687.74644061932</v>
      </c>
      <c r="H49" s="262"/>
      <c r="I49" s="262">
        <v>147309.9</v>
      </c>
      <c r="J49" s="262"/>
      <c r="K49" s="262">
        <v>144336.74926297023</v>
      </c>
      <c r="L49" s="262"/>
      <c r="M49" s="262">
        <v>141079</v>
      </c>
      <c r="N49" s="262"/>
      <c r="O49" s="262">
        <v>140165.15885532982</v>
      </c>
      <c r="P49" s="262"/>
      <c r="Q49" s="262">
        <v>138152.57848746004</v>
      </c>
      <c r="R49" s="262"/>
      <c r="S49" s="262">
        <v>135491.78370445999</v>
      </c>
      <c r="T49" s="262"/>
      <c r="U49" s="262">
        <v>132432.8281199802</v>
      </c>
      <c r="V49" s="262"/>
      <c r="W49" s="262">
        <v>129535.07469605003</v>
      </c>
      <c r="X49" s="262"/>
      <c r="Y49" s="262">
        <v>126919.19126761002</v>
      </c>
      <c r="Z49" s="262"/>
      <c r="AA49" s="262">
        <v>124393.18279451989</v>
      </c>
      <c r="AB49" s="277"/>
      <c r="AC49" s="262">
        <f>+AK39</f>
        <v>121701.20138468998</v>
      </c>
      <c r="AD49" s="277"/>
      <c r="AE49" s="262">
        <f>+AM39</f>
        <v>119450.075145</v>
      </c>
      <c r="AF49" s="277"/>
      <c r="AG49" s="262">
        <f>+AO39</f>
        <v>117625.54336599998</v>
      </c>
      <c r="AH49" s="277"/>
      <c r="AI49" s="262">
        <f>+AQ39</f>
        <v>115223.03667298002</v>
      </c>
      <c r="AJ49" s="277"/>
      <c r="AK49" s="262">
        <f>+AS39</f>
        <v>62156.303097000004</v>
      </c>
      <c r="AL49" s="277"/>
      <c r="AM49" s="262">
        <f>+AU39</f>
        <v>61139.951753000001</v>
      </c>
      <c r="AN49" s="277"/>
      <c r="AO49" s="262">
        <f>+AW39</f>
        <v>59437.746741449999</v>
      </c>
      <c r="AP49" s="277"/>
      <c r="AQ49" s="262">
        <f>+AY39</f>
        <v>57994.606618999998</v>
      </c>
      <c r="AR49" s="277"/>
      <c r="AS49" s="262">
        <f>+BA39</f>
        <v>56618.710594409997</v>
      </c>
      <c r="AT49" s="277"/>
      <c r="AU49" s="278">
        <v>55930</v>
      </c>
      <c r="AV49" s="279"/>
      <c r="AW49" s="278">
        <v>54806</v>
      </c>
      <c r="AX49" s="279"/>
      <c r="AY49" s="278">
        <v>53916</v>
      </c>
      <c r="AZ49" s="279"/>
      <c r="BA49" s="278">
        <v>52579</v>
      </c>
      <c r="BB49" s="277"/>
    </row>
    <row r="50" spans="1:54">
      <c r="A50" s="252"/>
      <c r="B50" s="272" t="s">
        <v>170</v>
      </c>
      <c r="C50" s="258">
        <v>9334.0316899704922</v>
      </c>
      <c r="D50" s="258"/>
      <c r="E50" s="258">
        <v>8721.2952335701848</v>
      </c>
      <c r="F50" s="258"/>
      <c r="G50" s="258">
        <v>10570.903859380691</v>
      </c>
      <c r="H50" s="258"/>
      <c r="I50" s="258">
        <v>13682.883599999999</v>
      </c>
      <c r="J50" s="258"/>
      <c r="K50" s="258">
        <v>13619.318137886003</v>
      </c>
      <c r="L50" s="258"/>
      <c r="M50" s="258">
        <v>12767</v>
      </c>
      <c r="N50" s="258"/>
      <c r="O50" s="258">
        <v>10523.000702602207</v>
      </c>
      <c r="P50" s="258"/>
      <c r="Q50" s="258">
        <v>9157.3644139999815</v>
      </c>
      <c r="R50" s="258"/>
      <c r="S50" s="258">
        <f>S48-S49</f>
        <v>8844.840056320274</v>
      </c>
      <c r="T50" s="258"/>
      <c r="U50" s="258">
        <v>8645.7923213297909</v>
      </c>
      <c r="V50" s="258"/>
      <c r="W50" s="258">
        <f>W48-W49</f>
        <v>10630.084159279795</v>
      </c>
      <c r="X50" s="258"/>
      <c r="Y50" s="258">
        <f>Y48-Y49</f>
        <v>11233.387219850018</v>
      </c>
      <c r="Z50" s="258"/>
      <c r="AA50" s="258">
        <f>AA48-AA49</f>
        <v>11098.600909940098</v>
      </c>
      <c r="AB50" s="264"/>
      <c r="AC50" s="258">
        <f>AC48-AC49</f>
        <v>10731.626735290221</v>
      </c>
      <c r="AD50" s="264"/>
      <c r="AE50" s="258">
        <f>AE48-AE49</f>
        <v>10084.99955105003</v>
      </c>
      <c r="AF50" s="264"/>
      <c r="AG50" s="258">
        <f>AG48-AG49</f>
        <v>9293.6479016100348</v>
      </c>
      <c r="AH50" s="264"/>
      <c r="AI50" s="258">
        <f>AI48-AI49</f>
        <v>9170.146121539874</v>
      </c>
      <c r="AJ50" s="264"/>
      <c r="AK50" s="258">
        <f>AK48-AK49</f>
        <v>59544.898287689975</v>
      </c>
      <c r="AL50" s="264"/>
      <c r="AM50" s="258">
        <f>AM48-AM49</f>
        <v>58310.123391999994</v>
      </c>
      <c r="AN50" s="264"/>
      <c r="AO50" s="258">
        <f>AO48-AO49</f>
        <v>58187.796624549985</v>
      </c>
      <c r="AP50" s="264"/>
      <c r="AQ50" s="258">
        <f>AQ48-AQ49</f>
        <v>57228.430053980017</v>
      </c>
      <c r="AR50" s="264"/>
      <c r="AS50" s="258">
        <f>AS48-AS49</f>
        <v>5537.5925025900069</v>
      </c>
      <c r="AT50" s="264"/>
      <c r="AU50" s="258">
        <f>AU48-AU49</f>
        <v>5209.9517530000012</v>
      </c>
      <c r="AV50" s="264"/>
      <c r="AW50" s="258">
        <f>AW48-AW49</f>
        <v>4631.7467414499988</v>
      </c>
      <c r="AX50" s="264"/>
      <c r="AY50" s="258">
        <f>AY48-AY49</f>
        <v>4078.6066189999983</v>
      </c>
      <c r="AZ50" s="264"/>
      <c r="BA50" s="258">
        <f>BA48-BA49</f>
        <v>4039.7105944099967</v>
      </c>
      <c r="BB50" s="264"/>
    </row>
    <row r="51" spans="1:54">
      <c r="A51" s="252"/>
      <c r="B51" s="280" t="s">
        <v>171</v>
      </c>
      <c r="C51" s="258">
        <v>157956.06740085623</v>
      </c>
      <c r="D51" s="258"/>
      <c r="E51" s="258">
        <v>153845.74316593996</v>
      </c>
      <c r="F51" s="258"/>
      <c r="G51" s="258">
        <v>150687.74644061932</v>
      </c>
      <c r="H51" s="258"/>
      <c r="I51" s="258">
        <v>147309.9</v>
      </c>
      <c r="J51" s="258"/>
      <c r="K51" s="258">
        <v>144336.74926297023</v>
      </c>
      <c r="L51" s="258"/>
      <c r="M51" s="258">
        <v>141079</v>
      </c>
      <c r="N51" s="258"/>
      <c r="O51" s="258">
        <v>140165.15885532982</v>
      </c>
      <c r="P51" s="258"/>
      <c r="Q51" s="258">
        <v>138152.57848746004</v>
      </c>
      <c r="R51" s="258"/>
      <c r="S51" s="258">
        <f>+S49</f>
        <v>135491.78370445999</v>
      </c>
      <c r="T51" s="258"/>
      <c r="U51" s="258">
        <v>132432.8281199802</v>
      </c>
      <c r="V51" s="258"/>
      <c r="W51" s="258">
        <f>+W49</f>
        <v>129535.07469605003</v>
      </c>
      <c r="X51" s="258"/>
      <c r="Y51" s="258">
        <f>+Y49</f>
        <v>126919.19126761002</v>
      </c>
      <c r="Z51" s="258"/>
      <c r="AA51" s="258">
        <f>AA49</f>
        <v>124393.18279451989</v>
      </c>
      <c r="AB51" s="264"/>
      <c r="AC51" s="258">
        <f>AC49</f>
        <v>121701.20138468998</v>
      </c>
      <c r="AD51" s="264"/>
      <c r="AE51" s="258">
        <f>AE49</f>
        <v>119450.075145</v>
      </c>
      <c r="AF51" s="264"/>
      <c r="AG51" s="258">
        <f>AG49</f>
        <v>117625.54336599998</v>
      </c>
      <c r="AH51" s="264"/>
      <c r="AI51" s="258">
        <f>AI49</f>
        <v>115223.03667298002</v>
      </c>
      <c r="AJ51" s="264"/>
      <c r="AK51" s="258">
        <f>AK49</f>
        <v>62156.303097000004</v>
      </c>
      <c r="AL51" s="264"/>
      <c r="AM51" s="258">
        <f>AM49</f>
        <v>61139.951753000001</v>
      </c>
      <c r="AN51" s="264"/>
      <c r="AO51" s="258">
        <f>AO49</f>
        <v>59437.746741449999</v>
      </c>
      <c r="AP51" s="264"/>
      <c r="AQ51" s="258">
        <f>AQ49</f>
        <v>57994.606618999998</v>
      </c>
      <c r="AR51" s="264"/>
      <c r="AS51" s="258">
        <f>AS49</f>
        <v>56618.710594409997</v>
      </c>
      <c r="AT51" s="264"/>
      <c r="AU51" s="258">
        <f>AU49</f>
        <v>55930</v>
      </c>
      <c r="AV51" s="264"/>
      <c r="AW51" s="258">
        <f>AW49</f>
        <v>54806</v>
      </c>
      <c r="AX51" s="264"/>
      <c r="AY51" s="258">
        <f>AY49</f>
        <v>53916</v>
      </c>
      <c r="AZ51" s="264"/>
      <c r="BA51" s="258">
        <f>BA49</f>
        <v>52579</v>
      </c>
      <c r="BB51" s="264"/>
    </row>
    <row r="52" spans="1:54" ht="13.5" thickBot="1">
      <c r="A52" s="321" t="s">
        <v>367</v>
      </c>
      <c r="B52" s="281" t="s">
        <v>172</v>
      </c>
      <c r="C52" s="269">
        <v>5.9092580890120941E-2</v>
      </c>
      <c r="D52" s="269"/>
      <c r="E52" s="269">
        <v>5.668857034388846E-2</v>
      </c>
      <c r="F52" s="269"/>
      <c r="G52" s="269">
        <v>7.0151051489420926E-2</v>
      </c>
      <c r="H52" s="269"/>
      <c r="I52" s="269">
        <v>9.2899999999999996E-2</v>
      </c>
      <c r="J52" s="269"/>
      <c r="K52" s="269">
        <v>9.4357938691501733E-2</v>
      </c>
      <c r="L52" s="269"/>
      <c r="M52" s="269">
        <v>0.09</v>
      </c>
      <c r="N52" s="269"/>
      <c r="O52" s="269">
        <v>7.5075723443251863E-2</v>
      </c>
      <c r="P52" s="269"/>
      <c r="Q52" s="269">
        <v>6.6284426351341574E-2</v>
      </c>
      <c r="R52" s="269"/>
      <c r="S52" s="269">
        <f>+S50/S51</f>
        <v>6.5279530717618911E-2</v>
      </c>
      <c r="T52" s="269"/>
      <c r="U52" s="269">
        <f>+U50/U51</f>
        <v>6.5284359203572701E-2</v>
      </c>
      <c r="V52" s="269"/>
      <c r="W52" s="269">
        <f>+W50/W51</f>
        <v>8.206336534118619E-2</v>
      </c>
      <c r="X52" s="269"/>
      <c r="Y52" s="269">
        <f>+Y50/Y51</f>
        <v>8.850818467763745E-2</v>
      </c>
      <c r="Z52" s="269"/>
      <c r="AA52" s="269">
        <f>(AA39-AI39)/AI39</f>
        <v>8.9221938538813911E-2</v>
      </c>
      <c r="AB52" s="271"/>
      <c r="AC52" s="269">
        <f>(AC39-AK39)/AK39</f>
        <v>8.8180121586213536E-2</v>
      </c>
      <c r="AD52" s="271"/>
      <c r="AE52" s="269">
        <f>AE50/AE51</f>
        <v>8.4428574354665636E-2</v>
      </c>
      <c r="AF52" s="271"/>
      <c r="AG52" s="269">
        <f>(AG39-AO39)/AO39</f>
        <v>7.9010456705753185E-2</v>
      </c>
      <c r="AH52" s="271"/>
      <c r="AI52" s="269">
        <f>(AI39-AQ39)/AQ39</f>
        <v>7.9586047949474742E-2</v>
      </c>
      <c r="AJ52" s="271"/>
      <c r="AK52" s="269">
        <f>(AK39-AS39)/AS39</f>
        <v>0.95798648440794942</v>
      </c>
      <c r="AL52" s="271"/>
      <c r="AM52" s="269">
        <f>(AM39-AU39)/AU39</f>
        <v>0.95371556110426348</v>
      </c>
      <c r="AN52" s="271"/>
      <c r="AO52" s="269">
        <f>(AO39-AW39)/AW39</f>
        <v>0.97897043233591596</v>
      </c>
      <c r="AP52" s="271"/>
      <c r="AQ52" s="269">
        <f>(AQ39-AY39)/AY39</f>
        <v>0.98678883072604606</v>
      </c>
      <c r="AR52" s="271"/>
      <c r="AS52" s="269">
        <f>(AS39-BA39)/BA39</f>
        <v>9.7804991396902935E-2</v>
      </c>
      <c r="AT52" s="271"/>
      <c r="AU52" s="269">
        <f>AU50/AU51</f>
        <v>9.3151291846951562E-2</v>
      </c>
      <c r="AV52" s="271"/>
      <c r="AW52" s="269">
        <f>AW50/AW51</f>
        <v>8.4511672836003332E-2</v>
      </c>
      <c r="AX52" s="271"/>
      <c r="AY52" s="269">
        <f>AY50/AY51</f>
        <v>7.5647425977446364E-2</v>
      </c>
      <c r="AZ52" s="271"/>
      <c r="BA52" s="269">
        <f>BA50/BA51</f>
        <v>7.6831255718252472E-2</v>
      </c>
      <c r="BB52" s="271"/>
    </row>
    <row r="53" spans="1:54">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row>
    <row r="54" spans="1:54">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row>
    <row r="55" spans="1:54">
      <c r="A55" s="252"/>
      <c r="B55" s="255"/>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row>
    <row r="56" spans="1:54">
      <c r="A56" s="252"/>
      <c r="B56" s="255" t="s">
        <v>164</v>
      </c>
      <c r="C56" s="258">
        <v>118131.69884341676</v>
      </c>
      <c r="D56" s="258"/>
      <c r="E56" s="258">
        <v>114037.49212344014</v>
      </c>
      <c r="F56" s="258"/>
      <c r="G56" s="258">
        <v>113368.40780000002</v>
      </c>
      <c r="H56" s="258"/>
      <c r="I56" s="258">
        <v>113623.98480000001</v>
      </c>
      <c r="J56" s="258"/>
      <c r="K56" s="258">
        <v>112381.12907763624</v>
      </c>
      <c r="L56" s="258"/>
      <c r="M56" s="258">
        <v>108811</v>
      </c>
      <c r="N56" s="258"/>
      <c r="O56" s="258">
        <v>107035</v>
      </c>
      <c r="P56" s="258"/>
      <c r="Q56" s="258">
        <v>104037</v>
      </c>
      <c r="R56" s="258"/>
      <c r="S56" s="258">
        <v>101668</v>
      </c>
      <c r="T56" s="258"/>
      <c r="U56" s="258">
        <v>98744</v>
      </c>
      <c r="V56" s="258"/>
      <c r="W56" s="258">
        <v>98940</v>
      </c>
      <c r="X56" s="258"/>
      <c r="Y56" s="258">
        <v>98259</v>
      </c>
      <c r="Z56" s="258"/>
      <c r="AA56" s="258">
        <v>96040</v>
      </c>
      <c r="AB56" s="264"/>
      <c r="AC56" s="258">
        <v>92818</v>
      </c>
      <c r="AD56" s="264"/>
      <c r="AE56" s="258">
        <v>90460</v>
      </c>
      <c r="AF56" s="264"/>
      <c r="AG56" s="258">
        <v>88945</v>
      </c>
      <c r="AH56" s="264"/>
      <c r="AI56" s="258">
        <v>87528</v>
      </c>
      <c r="AJ56" s="258"/>
      <c r="AK56" s="258">
        <v>84901</v>
      </c>
      <c r="AL56" s="258"/>
      <c r="AM56" s="258">
        <v>82945</v>
      </c>
      <c r="AN56" s="258"/>
      <c r="AO56" s="258">
        <v>81336</v>
      </c>
      <c r="AP56" s="258"/>
      <c r="AQ56" s="258">
        <v>79286</v>
      </c>
      <c r="AR56" s="264"/>
      <c r="AS56" s="258">
        <v>44308</v>
      </c>
      <c r="AT56" s="264"/>
      <c r="AU56" s="258">
        <v>43779</v>
      </c>
      <c r="AV56" s="264"/>
      <c r="AW56" s="258">
        <v>42794</v>
      </c>
      <c r="AX56" s="264"/>
      <c r="AY56" s="258">
        <v>42091</v>
      </c>
      <c r="AZ56" s="264"/>
      <c r="BA56" s="258">
        <v>40484</v>
      </c>
      <c r="BB56" s="264"/>
    </row>
    <row r="57" spans="1:54">
      <c r="A57" s="252"/>
      <c r="B57" s="276" t="s">
        <v>324</v>
      </c>
      <c r="C57" s="262">
        <v>114037.49212344014</v>
      </c>
      <c r="D57" s="262"/>
      <c r="E57" s="262">
        <v>113368.40780000002</v>
      </c>
      <c r="F57" s="262"/>
      <c r="G57" s="262">
        <v>113623.98480000001</v>
      </c>
      <c r="H57" s="262"/>
      <c r="I57" s="262">
        <v>112381.12910000001</v>
      </c>
      <c r="J57" s="262"/>
      <c r="K57" s="262">
        <v>108810.93195658</v>
      </c>
      <c r="L57" s="262"/>
      <c r="M57" s="262">
        <v>107035</v>
      </c>
      <c r="N57" s="262"/>
      <c r="O57" s="262">
        <v>104037</v>
      </c>
      <c r="P57" s="262"/>
      <c r="Q57" s="262">
        <v>101668</v>
      </c>
      <c r="R57" s="262"/>
      <c r="S57" s="262">
        <v>98744</v>
      </c>
      <c r="T57" s="262"/>
      <c r="U57" s="262">
        <v>98940</v>
      </c>
      <c r="V57" s="262"/>
      <c r="W57" s="262">
        <v>98259</v>
      </c>
      <c r="X57" s="262"/>
      <c r="Y57" s="262">
        <v>96040</v>
      </c>
      <c r="Z57" s="262"/>
      <c r="AA57" s="262">
        <v>92818</v>
      </c>
      <c r="AB57" s="277"/>
      <c r="AC57" s="262">
        <v>90460</v>
      </c>
      <c r="AD57" s="277"/>
      <c r="AE57" s="262">
        <v>88945</v>
      </c>
      <c r="AF57" s="277"/>
      <c r="AG57" s="262">
        <v>87528</v>
      </c>
      <c r="AH57" s="277"/>
      <c r="AI57" s="262">
        <v>84901</v>
      </c>
      <c r="AJ57" s="277"/>
      <c r="AK57" s="262">
        <v>82945</v>
      </c>
      <c r="AL57" s="277"/>
      <c r="AM57" s="262">
        <v>81336</v>
      </c>
      <c r="AN57" s="277"/>
      <c r="AO57" s="262">
        <v>79286</v>
      </c>
      <c r="AP57" s="277"/>
      <c r="AQ57" s="262">
        <v>44308</v>
      </c>
      <c r="AR57" s="277"/>
      <c r="AS57" s="262">
        <v>43779</v>
      </c>
      <c r="AT57" s="277"/>
      <c r="AU57" s="278">
        <v>42794</v>
      </c>
      <c r="AV57" s="279"/>
      <c r="AW57" s="278">
        <v>42091</v>
      </c>
      <c r="AX57" s="279"/>
      <c r="AY57" s="278">
        <v>40484</v>
      </c>
      <c r="AZ57" s="279"/>
      <c r="BA57" s="278"/>
      <c r="BB57" s="277"/>
    </row>
    <row r="58" spans="1:54">
      <c r="A58" s="252"/>
      <c r="B58" s="272" t="s">
        <v>166</v>
      </c>
      <c r="C58" s="258">
        <v>4094.206719976617</v>
      </c>
      <c r="D58" s="258"/>
      <c r="E58" s="258">
        <v>669.08432344012544</v>
      </c>
      <c r="F58" s="258"/>
      <c r="G58" s="258">
        <v>-255.57699999999022</v>
      </c>
      <c r="H58" s="258"/>
      <c r="I58" s="258">
        <v>1242.8557000000001</v>
      </c>
      <c r="J58" s="258"/>
      <c r="K58" s="258">
        <v>3570.1971210562479</v>
      </c>
      <c r="L58" s="258"/>
      <c r="M58" s="258">
        <v>1775</v>
      </c>
      <c r="N58" s="258"/>
      <c r="O58" s="258">
        <v>2998</v>
      </c>
      <c r="P58" s="258"/>
      <c r="Q58" s="258">
        <v>2369</v>
      </c>
      <c r="R58" s="258"/>
      <c r="S58" s="258">
        <v>2924</v>
      </c>
      <c r="T58" s="258"/>
      <c r="U58" s="258">
        <v>-196</v>
      </c>
      <c r="V58" s="258"/>
      <c r="W58" s="258">
        <v>681</v>
      </c>
      <c r="X58" s="258"/>
      <c r="Y58" s="258">
        <v>2219</v>
      </c>
      <c r="Z58" s="258"/>
      <c r="AA58" s="258">
        <v>3222</v>
      </c>
      <c r="AB58" s="264"/>
      <c r="AC58" s="258">
        <v>2358</v>
      </c>
      <c r="AD58" s="264"/>
      <c r="AE58" s="258">
        <v>1515</v>
      </c>
      <c r="AF58" s="264"/>
      <c r="AG58" s="258">
        <v>1417</v>
      </c>
      <c r="AH58" s="264"/>
      <c r="AI58" s="258">
        <v>2627</v>
      </c>
      <c r="AJ58" s="264"/>
      <c r="AK58" s="258">
        <v>1956</v>
      </c>
      <c r="AL58" s="264"/>
      <c r="AM58" s="258">
        <v>1609</v>
      </c>
      <c r="AN58" s="264"/>
      <c r="AO58" s="258">
        <v>2050</v>
      </c>
      <c r="AP58" s="264"/>
      <c r="AQ58" s="258">
        <v>34979</v>
      </c>
      <c r="AR58" s="264"/>
      <c r="AS58" s="258">
        <v>528</v>
      </c>
      <c r="AT58" s="264"/>
      <c r="AU58" s="258">
        <v>986</v>
      </c>
      <c r="AV58" s="264"/>
      <c r="AW58" s="258">
        <v>703</v>
      </c>
      <c r="AX58" s="264"/>
      <c r="AY58" s="258">
        <v>1607</v>
      </c>
      <c r="AZ58" s="264"/>
      <c r="BA58" s="258">
        <v>40484</v>
      </c>
      <c r="BB58" s="264"/>
    </row>
    <row r="59" spans="1:54">
      <c r="A59" s="252"/>
      <c r="B59" s="280" t="s">
        <v>326</v>
      </c>
      <c r="C59" s="258">
        <v>114037.49212344014</v>
      </c>
      <c r="D59" s="258"/>
      <c r="E59" s="258">
        <v>113368.40780000002</v>
      </c>
      <c r="F59" s="258"/>
      <c r="G59" s="258">
        <v>113623.98480000001</v>
      </c>
      <c r="H59" s="258"/>
      <c r="I59" s="258">
        <v>112381.12910000001</v>
      </c>
      <c r="J59" s="258"/>
      <c r="K59" s="258">
        <v>108810.93195658</v>
      </c>
      <c r="L59" s="258"/>
      <c r="M59" s="258">
        <v>107035</v>
      </c>
      <c r="N59" s="258"/>
      <c r="O59" s="258">
        <v>104037</v>
      </c>
      <c r="P59" s="258"/>
      <c r="Q59" s="258">
        <v>101668</v>
      </c>
      <c r="R59" s="258"/>
      <c r="S59" s="258">
        <v>98744</v>
      </c>
      <c r="T59" s="258"/>
      <c r="U59" s="258">
        <v>98940</v>
      </c>
      <c r="V59" s="258"/>
      <c r="W59" s="258">
        <v>98259</v>
      </c>
      <c r="X59" s="258"/>
      <c r="Y59" s="258">
        <v>96040</v>
      </c>
      <c r="Z59" s="258"/>
      <c r="AA59" s="258">
        <v>92818</v>
      </c>
      <c r="AB59" s="264"/>
      <c r="AC59" s="258">
        <v>90460</v>
      </c>
      <c r="AD59" s="264"/>
      <c r="AE59" s="258">
        <v>88945</v>
      </c>
      <c r="AF59" s="264"/>
      <c r="AG59" s="258">
        <v>87528</v>
      </c>
      <c r="AH59" s="264"/>
      <c r="AI59" s="258">
        <v>84901</v>
      </c>
      <c r="AJ59" s="264"/>
      <c r="AK59" s="258">
        <v>82945</v>
      </c>
      <c r="AL59" s="264"/>
      <c r="AM59" s="258">
        <v>81336</v>
      </c>
      <c r="AN59" s="264"/>
      <c r="AO59" s="258">
        <v>79286</v>
      </c>
      <c r="AP59" s="264"/>
      <c r="AQ59" s="258">
        <v>44308</v>
      </c>
      <c r="AR59" s="264"/>
      <c r="AS59" s="258">
        <v>43779</v>
      </c>
      <c r="AT59" s="264"/>
      <c r="AU59" s="258">
        <v>42794</v>
      </c>
      <c r="AV59" s="264"/>
      <c r="AW59" s="258">
        <v>42091</v>
      </c>
      <c r="AX59" s="264"/>
      <c r="AY59" s="258">
        <v>40484</v>
      </c>
      <c r="AZ59" s="264"/>
      <c r="BA59" s="258">
        <v>0</v>
      </c>
      <c r="BB59" s="264"/>
    </row>
    <row r="60" spans="1:54" ht="13.5" thickBot="1">
      <c r="A60" s="321" t="s">
        <v>368</v>
      </c>
      <c r="B60" s="268" t="s">
        <v>327</v>
      </c>
      <c r="C60" s="269">
        <v>3.5902286552784185E-2</v>
      </c>
      <c r="D60" s="269"/>
      <c r="E60" s="269">
        <v>5.9018586961236772E-3</v>
      </c>
      <c r="F60" s="269"/>
      <c r="G60" s="269">
        <v>-2.2493226271711447E-3</v>
      </c>
      <c r="H60" s="269"/>
      <c r="I60" s="269">
        <v>1.11E-2</v>
      </c>
      <c r="J60" s="269"/>
      <c r="K60" s="269">
        <v>3.2811015004272755E-2</v>
      </c>
      <c r="L60" s="269"/>
      <c r="M60" s="269">
        <v>1.7000000000000001E-2</v>
      </c>
      <c r="N60" s="269"/>
      <c r="O60" s="269">
        <v>2.9000000000000001E-2</v>
      </c>
      <c r="P60" s="269"/>
      <c r="Q60" s="269">
        <v>2.3E-2</v>
      </c>
      <c r="R60" s="269"/>
      <c r="S60" s="269">
        <v>0.03</v>
      </c>
      <c r="T60" s="269"/>
      <c r="U60" s="269">
        <v>-2E-3</v>
      </c>
      <c r="V60" s="269"/>
      <c r="W60" s="269">
        <v>7.0000000000000001E-3</v>
      </c>
      <c r="X60" s="269"/>
      <c r="Y60" s="269">
        <v>2.3E-2</v>
      </c>
      <c r="Z60" s="269"/>
      <c r="AA60" s="269">
        <v>3.5000000000000003E-2</v>
      </c>
      <c r="AB60" s="271"/>
      <c r="AC60" s="269">
        <v>2.5999999999999999E-2</v>
      </c>
      <c r="AD60" s="271"/>
      <c r="AE60" s="269">
        <v>1.7000000000000001E-2</v>
      </c>
      <c r="AF60" s="271"/>
      <c r="AG60" s="269">
        <v>1.6E-2</v>
      </c>
      <c r="AH60" s="271"/>
      <c r="AI60" s="269">
        <v>3.1E-2</v>
      </c>
      <c r="AJ60" s="271"/>
      <c r="AK60" s="269">
        <v>2.4E-2</v>
      </c>
      <c r="AL60" s="271"/>
      <c r="AM60" s="269">
        <v>0.02</v>
      </c>
      <c r="AN60" s="271"/>
      <c r="AO60" s="269">
        <v>2.5999999999999999E-2</v>
      </c>
      <c r="AP60" s="271"/>
      <c r="AQ60" s="269">
        <v>0.78900000000000003</v>
      </c>
      <c r="AR60" s="271"/>
      <c r="AS60" s="269">
        <v>1.2E-2</v>
      </c>
      <c r="AT60" s="271"/>
      <c r="AU60" s="269">
        <v>2.3E-2</v>
      </c>
      <c r="AV60" s="271"/>
      <c r="AW60" s="269">
        <v>1.7000000000000001E-2</v>
      </c>
      <c r="AX60" s="271"/>
      <c r="AY60" s="269">
        <v>0.04</v>
      </c>
      <c r="AZ60" s="271"/>
      <c r="BA60" s="269"/>
      <c r="BB60" s="271"/>
    </row>
    <row r="61" spans="1:54">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row>
    <row r="62" spans="1:54">
      <c r="A62" s="252"/>
      <c r="B62" s="255"/>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row>
    <row r="63" spans="1:54">
      <c r="A63" s="252"/>
      <c r="B63" s="256" t="s">
        <v>168</v>
      </c>
      <c r="C63" s="258">
        <v>167290.09909082673</v>
      </c>
      <c r="D63" s="258"/>
      <c r="E63" s="258">
        <v>162567.03839951014</v>
      </c>
      <c r="F63" s="258"/>
      <c r="G63" s="258">
        <v>161258.65030000001</v>
      </c>
      <c r="H63" s="258"/>
      <c r="I63" s="258">
        <v>160992.7836</v>
      </c>
      <c r="J63" s="258"/>
      <c r="K63" s="258">
        <v>157956.06740085623</v>
      </c>
      <c r="L63" s="258"/>
      <c r="M63" s="258">
        <v>153846</v>
      </c>
      <c r="N63" s="258"/>
      <c r="O63" s="258">
        <v>150688</v>
      </c>
      <c r="P63" s="258"/>
      <c r="Q63" s="258">
        <v>147310</v>
      </c>
      <c r="R63" s="258"/>
      <c r="S63" s="258">
        <v>144337</v>
      </c>
      <c r="T63" s="258"/>
      <c r="U63" s="258">
        <v>141079</v>
      </c>
      <c r="V63" s="258"/>
      <c r="W63" s="258">
        <v>140165</v>
      </c>
      <c r="X63" s="258"/>
      <c r="Y63" s="258">
        <v>138153</v>
      </c>
      <c r="Z63" s="258"/>
      <c r="AA63" s="258">
        <v>135492</v>
      </c>
      <c r="AB63" s="264"/>
      <c r="AC63" s="258">
        <v>132433</v>
      </c>
      <c r="AD63" s="264"/>
      <c r="AE63" s="258">
        <v>129535</v>
      </c>
      <c r="AF63" s="264"/>
      <c r="AG63" s="258">
        <v>126919</v>
      </c>
      <c r="AH63" s="264"/>
      <c r="AI63" s="258">
        <v>124393</v>
      </c>
      <c r="AJ63" s="264"/>
      <c r="AK63" s="258">
        <v>121701</v>
      </c>
      <c r="AL63" s="264"/>
      <c r="AM63" s="258">
        <v>119450</v>
      </c>
      <c r="AN63" s="264"/>
      <c r="AO63" s="258">
        <v>117626</v>
      </c>
      <c r="AP63" s="264"/>
      <c r="AQ63" s="258">
        <v>115223</v>
      </c>
      <c r="AR63" s="264"/>
      <c r="AS63" s="258">
        <v>62156</v>
      </c>
      <c r="AT63" s="264"/>
      <c r="AU63" s="258">
        <v>61140</v>
      </c>
      <c r="AV63" s="264"/>
      <c r="AW63" s="258">
        <v>59438</v>
      </c>
      <c r="AX63" s="264"/>
      <c r="AY63" s="258">
        <v>57995</v>
      </c>
      <c r="AZ63" s="264"/>
      <c r="BA63" s="258">
        <v>56619</v>
      </c>
      <c r="BB63" s="264"/>
    </row>
    <row r="64" spans="1:54">
      <c r="A64" s="252"/>
      <c r="B64" s="276" t="s">
        <v>330</v>
      </c>
      <c r="C64" s="262">
        <v>162567.03839951014</v>
      </c>
      <c r="D64" s="262"/>
      <c r="E64" s="262">
        <v>161258.65030000001</v>
      </c>
      <c r="F64" s="262"/>
      <c r="G64" s="262">
        <v>160992.78360000002</v>
      </c>
      <c r="H64" s="262"/>
      <c r="I64" s="262">
        <v>157956.0674</v>
      </c>
      <c r="J64" s="262"/>
      <c r="K64" s="262">
        <v>153845.74316593996</v>
      </c>
      <c r="L64" s="262"/>
      <c r="M64" s="262">
        <v>150688</v>
      </c>
      <c r="N64" s="262"/>
      <c r="O64" s="262">
        <v>147310</v>
      </c>
      <c r="P64" s="262"/>
      <c r="Q64" s="262">
        <v>144337</v>
      </c>
      <c r="R64" s="262"/>
      <c r="S64" s="262">
        <v>141079</v>
      </c>
      <c r="T64" s="262"/>
      <c r="U64" s="262">
        <v>140165</v>
      </c>
      <c r="V64" s="262"/>
      <c r="W64" s="262">
        <v>138153</v>
      </c>
      <c r="X64" s="262"/>
      <c r="Y64" s="262">
        <v>135492</v>
      </c>
      <c r="Z64" s="262"/>
      <c r="AA64" s="262">
        <v>132433</v>
      </c>
      <c r="AB64" s="277"/>
      <c r="AC64" s="262">
        <v>129535</v>
      </c>
      <c r="AD64" s="277"/>
      <c r="AE64" s="262">
        <v>126919</v>
      </c>
      <c r="AF64" s="277"/>
      <c r="AG64" s="262">
        <v>124393</v>
      </c>
      <c r="AH64" s="277"/>
      <c r="AI64" s="262">
        <v>121701</v>
      </c>
      <c r="AJ64" s="277"/>
      <c r="AK64" s="262">
        <v>119450</v>
      </c>
      <c r="AL64" s="277"/>
      <c r="AM64" s="262">
        <v>117626</v>
      </c>
      <c r="AN64" s="277"/>
      <c r="AO64" s="262">
        <v>115223</v>
      </c>
      <c r="AP64" s="277"/>
      <c r="AQ64" s="262">
        <v>62156</v>
      </c>
      <c r="AR64" s="277"/>
      <c r="AS64" s="262">
        <v>61140</v>
      </c>
      <c r="AT64" s="277"/>
      <c r="AU64" s="278">
        <v>59438</v>
      </c>
      <c r="AV64" s="279"/>
      <c r="AW64" s="278">
        <v>57995</v>
      </c>
      <c r="AX64" s="279"/>
      <c r="AY64" s="278">
        <v>56619</v>
      </c>
      <c r="AZ64" s="279"/>
      <c r="BA64" s="278">
        <v>0</v>
      </c>
      <c r="BB64" s="277"/>
    </row>
    <row r="65" spans="1:54">
      <c r="A65" s="252"/>
      <c r="B65" s="272" t="s">
        <v>170</v>
      </c>
      <c r="C65" s="258">
        <v>4723.060691316583</v>
      </c>
      <c r="D65" s="258"/>
      <c r="E65" s="258">
        <v>1308.3880995101354</v>
      </c>
      <c r="F65" s="258"/>
      <c r="G65" s="258">
        <v>265.86669999998412</v>
      </c>
      <c r="H65" s="258"/>
      <c r="I65" s="258">
        <v>3036.7161999999998</v>
      </c>
      <c r="J65" s="258"/>
      <c r="K65" s="258">
        <v>4110.3242349162756</v>
      </c>
      <c r="L65" s="258"/>
      <c r="M65" s="258">
        <v>3158</v>
      </c>
      <c r="N65" s="258"/>
      <c r="O65" s="258">
        <v>3378</v>
      </c>
      <c r="P65" s="258"/>
      <c r="Q65" s="258">
        <v>2973</v>
      </c>
      <c r="R65" s="258"/>
      <c r="S65" s="258">
        <v>3258</v>
      </c>
      <c r="T65" s="258"/>
      <c r="U65" s="258">
        <v>913</v>
      </c>
      <c r="V65" s="258"/>
      <c r="W65" s="258">
        <v>2013</v>
      </c>
      <c r="X65" s="258"/>
      <c r="Y65" s="258">
        <v>2661</v>
      </c>
      <c r="Z65" s="258"/>
      <c r="AA65" s="258">
        <v>3059</v>
      </c>
      <c r="AB65" s="264"/>
      <c r="AC65" s="258">
        <v>2898</v>
      </c>
      <c r="AD65" s="264"/>
      <c r="AE65" s="258">
        <v>2616</v>
      </c>
      <c r="AF65" s="264"/>
      <c r="AG65" s="258">
        <v>2526</v>
      </c>
      <c r="AH65" s="264"/>
      <c r="AI65" s="258">
        <v>2692</v>
      </c>
      <c r="AJ65" s="264"/>
      <c r="AK65" s="258">
        <v>2251</v>
      </c>
      <c r="AL65" s="264"/>
      <c r="AM65" s="258">
        <v>1825</v>
      </c>
      <c r="AN65" s="264"/>
      <c r="AO65" s="258">
        <v>2403</v>
      </c>
      <c r="AP65" s="264"/>
      <c r="AQ65" s="258">
        <v>53067</v>
      </c>
      <c r="AR65" s="264"/>
      <c r="AS65" s="258">
        <v>1016</v>
      </c>
      <c r="AT65" s="264"/>
      <c r="AU65" s="258">
        <v>1702</v>
      </c>
      <c r="AV65" s="264"/>
      <c r="AW65" s="258">
        <v>1443</v>
      </c>
      <c r="AX65" s="264"/>
      <c r="AY65" s="258">
        <v>1376</v>
      </c>
      <c r="AZ65" s="264"/>
      <c r="BA65" s="258">
        <v>56619</v>
      </c>
      <c r="BB65" s="264"/>
    </row>
    <row r="66" spans="1:54">
      <c r="A66" s="252"/>
      <c r="B66" s="280" t="s">
        <v>329</v>
      </c>
      <c r="C66" s="258">
        <v>162567.03839951014</v>
      </c>
      <c r="D66" s="258"/>
      <c r="E66" s="258">
        <v>161258.65030000001</v>
      </c>
      <c r="F66" s="258"/>
      <c r="G66" s="258">
        <v>160992.78360000002</v>
      </c>
      <c r="H66" s="258"/>
      <c r="I66" s="258">
        <v>157956.0674</v>
      </c>
      <c r="J66" s="258"/>
      <c r="K66" s="258">
        <v>153845.74316593996</v>
      </c>
      <c r="L66" s="258"/>
      <c r="M66" s="258">
        <v>150688</v>
      </c>
      <c r="N66" s="258"/>
      <c r="O66" s="258">
        <v>147310</v>
      </c>
      <c r="P66" s="258"/>
      <c r="Q66" s="258">
        <v>144337</v>
      </c>
      <c r="R66" s="258"/>
      <c r="S66" s="258">
        <v>141079</v>
      </c>
      <c r="T66" s="258"/>
      <c r="U66" s="258">
        <v>140165</v>
      </c>
      <c r="V66" s="258"/>
      <c r="W66" s="258">
        <v>138153</v>
      </c>
      <c r="X66" s="258"/>
      <c r="Y66" s="258">
        <v>135492</v>
      </c>
      <c r="Z66" s="258"/>
      <c r="AA66" s="258">
        <v>132433</v>
      </c>
      <c r="AB66" s="264"/>
      <c r="AC66" s="258">
        <v>129535</v>
      </c>
      <c r="AD66" s="264"/>
      <c r="AE66" s="258">
        <v>126919</v>
      </c>
      <c r="AF66" s="264"/>
      <c r="AG66" s="258">
        <v>124393</v>
      </c>
      <c r="AH66" s="264"/>
      <c r="AI66" s="258">
        <v>121701</v>
      </c>
      <c r="AJ66" s="264"/>
      <c r="AK66" s="258">
        <v>119450</v>
      </c>
      <c r="AL66" s="264"/>
      <c r="AM66" s="258">
        <v>117626</v>
      </c>
      <c r="AN66" s="264"/>
      <c r="AO66" s="258">
        <v>115223</v>
      </c>
      <c r="AP66" s="264"/>
      <c r="AQ66" s="258">
        <v>62156</v>
      </c>
      <c r="AR66" s="264"/>
      <c r="AS66" s="258">
        <v>61140</v>
      </c>
      <c r="AT66" s="264"/>
      <c r="AU66" s="258">
        <v>59438</v>
      </c>
      <c r="AV66" s="264"/>
      <c r="AW66" s="258">
        <v>57995</v>
      </c>
      <c r="AX66" s="264"/>
      <c r="AY66" s="258">
        <v>56619</v>
      </c>
      <c r="AZ66" s="264"/>
      <c r="BA66" s="258">
        <v>0</v>
      </c>
      <c r="BB66" s="264"/>
    </row>
    <row r="67" spans="1:54" ht="13.5" thickBot="1">
      <c r="A67" s="321" t="s">
        <v>369</v>
      </c>
      <c r="B67" s="281" t="s">
        <v>328</v>
      </c>
      <c r="C67" s="269">
        <v>2.9053003227564579E-2</v>
      </c>
      <c r="D67" s="269"/>
      <c r="E67" s="269">
        <v>8.1135994693993501E-3</v>
      </c>
      <c r="F67" s="269"/>
      <c r="G67" s="269">
        <v>1.6514199832742321E-3</v>
      </c>
      <c r="H67" s="269"/>
      <c r="I67" s="269">
        <v>1.9199999999999998E-2</v>
      </c>
      <c r="J67" s="269"/>
      <c r="K67" s="269">
        <v>2.671717884636449E-2</v>
      </c>
      <c r="L67" s="269"/>
      <c r="M67" s="269">
        <v>2.1000000000000001E-2</v>
      </c>
      <c r="N67" s="269"/>
      <c r="O67" s="269">
        <v>2.3E-2</v>
      </c>
      <c r="P67" s="269"/>
      <c r="Q67" s="269">
        <v>2.1000000000000001E-2</v>
      </c>
      <c r="R67" s="269"/>
      <c r="S67" s="269">
        <v>2.3E-2</v>
      </c>
      <c r="T67" s="269"/>
      <c r="U67" s="269">
        <v>7.0000000000000001E-3</v>
      </c>
      <c r="V67" s="269"/>
      <c r="W67" s="269">
        <v>1.4999999999999999E-2</v>
      </c>
      <c r="X67" s="269"/>
      <c r="Y67" s="269">
        <v>0.02</v>
      </c>
      <c r="Z67" s="269"/>
      <c r="AA67" s="269">
        <v>2.3E-2</v>
      </c>
      <c r="AB67" s="271"/>
      <c r="AC67" s="269">
        <v>2.1999999999999999E-2</v>
      </c>
      <c r="AD67" s="271"/>
      <c r="AE67" s="269">
        <v>2.1000000000000001E-2</v>
      </c>
      <c r="AF67" s="271"/>
      <c r="AG67" s="269">
        <v>0.02</v>
      </c>
      <c r="AH67" s="271"/>
      <c r="AI67" s="269">
        <v>2.1999999999999999E-2</v>
      </c>
      <c r="AJ67" s="271"/>
      <c r="AK67" s="269">
        <v>1.9E-2</v>
      </c>
      <c r="AL67" s="271"/>
      <c r="AM67" s="269">
        <v>1.6E-2</v>
      </c>
      <c r="AN67" s="271"/>
      <c r="AO67" s="269">
        <v>2.1000000000000001E-2</v>
      </c>
      <c r="AP67" s="271"/>
      <c r="AQ67" s="269">
        <v>0.85399999999999998</v>
      </c>
      <c r="AR67" s="271"/>
      <c r="AS67" s="269">
        <v>1.7000000000000001E-2</v>
      </c>
      <c r="AT67" s="271"/>
      <c r="AU67" s="269">
        <v>2.9000000000000001E-2</v>
      </c>
      <c r="AV67" s="271"/>
      <c r="AW67" s="269">
        <v>2.5000000000000001E-2</v>
      </c>
      <c r="AX67" s="271"/>
      <c r="AY67" s="269">
        <v>2.4E-2</v>
      </c>
      <c r="AZ67" s="271"/>
      <c r="BA67" s="269"/>
      <c r="BB67" s="271"/>
    </row>
    <row r="68" spans="1:54">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row>
    <row r="69" spans="1:54">
      <c r="A69" s="252"/>
      <c r="B69" s="25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row>
    <row r="70" spans="1:54">
      <c r="A70" s="252"/>
      <c r="B70" s="255" t="s">
        <v>148</v>
      </c>
      <c r="C70" s="258">
        <v>92550.731135340044</v>
      </c>
      <c r="D70" s="258"/>
      <c r="E70" s="258">
        <v>87476.178799999994</v>
      </c>
      <c r="F70" s="258"/>
      <c r="G70" s="258">
        <v>85613.011799999993</v>
      </c>
      <c r="H70" s="258"/>
      <c r="I70" s="258">
        <v>85495.609500000006</v>
      </c>
      <c r="J70" s="258"/>
      <c r="K70" s="258">
        <v>85481.013749749996</v>
      </c>
      <c r="L70" s="258"/>
      <c r="M70" s="258">
        <v>79901</v>
      </c>
      <c r="N70" s="258"/>
      <c r="O70" s="258">
        <v>78493.732629149992</v>
      </c>
      <c r="P70" s="258"/>
      <c r="Q70" s="258">
        <v>76866.417997609999</v>
      </c>
      <c r="R70" s="258"/>
      <c r="S70" s="258">
        <v>77352.269637999998</v>
      </c>
      <c r="T70" s="258"/>
      <c r="U70" s="258">
        <v>72377.261180020068</v>
      </c>
      <c r="V70" s="258"/>
      <c r="W70" s="258">
        <v>71496.705265899989</v>
      </c>
      <c r="X70" s="258"/>
      <c r="Y70" s="258">
        <v>70251.127166959704</v>
      </c>
      <c r="Z70" s="258"/>
      <c r="AA70" s="258">
        <v>70644.62560828017</v>
      </c>
      <c r="AB70" s="264"/>
      <c r="AC70" s="258">
        <v>66109.582498999996</v>
      </c>
      <c r="AD70" s="264"/>
      <c r="AE70" s="258">
        <v>65985.425443</v>
      </c>
      <c r="AF70" s="264"/>
      <c r="AG70" s="258">
        <v>65267.820076999997</v>
      </c>
      <c r="AH70" s="264"/>
      <c r="AI70" s="258">
        <v>66652.514345999996</v>
      </c>
      <c r="AJ70" s="264"/>
      <c r="AK70" s="258">
        <v>62781.777000000002</v>
      </c>
      <c r="AL70" s="264"/>
      <c r="AM70" s="258">
        <v>63070.315360000001</v>
      </c>
      <c r="AN70" s="264"/>
      <c r="AO70" s="258">
        <v>62106.781999999999</v>
      </c>
      <c r="AP70" s="264"/>
      <c r="AQ70" s="258">
        <v>62636.800000000003</v>
      </c>
      <c r="AR70" s="264"/>
      <c r="AS70" s="258">
        <v>33674.5</v>
      </c>
      <c r="AT70" s="264"/>
      <c r="AU70" s="258">
        <v>33458.199999999997</v>
      </c>
      <c r="AV70" s="264"/>
      <c r="AW70" s="258">
        <v>33052.400000000001</v>
      </c>
      <c r="AX70" s="264"/>
      <c r="AY70" s="258">
        <v>33205</v>
      </c>
      <c r="AZ70" s="264"/>
      <c r="BA70" s="258">
        <v>31054</v>
      </c>
      <c r="BB70" s="264"/>
    </row>
    <row r="71" spans="1:54">
      <c r="A71" s="252"/>
      <c r="B71" s="255" t="s">
        <v>173</v>
      </c>
      <c r="C71" s="258">
        <v>118131.69884341676</v>
      </c>
      <c r="D71" s="258"/>
      <c r="E71" s="258">
        <v>114037.49212344014</v>
      </c>
      <c r="F71" s="258"/>
      <c r="G71" s="258">
        <v>113368.40780000002</v>
      </c>
      <c r="H71" s="258"/>
      <c r="I71" s="258">
        <v>113623.98480000001</v>
      </c>
      <c r="J71" s="258"/>
      <c r="K71" s="258">
        <v>112381.12907763624</v>
      </c>
      <c r="L71" s="258"/>
      <c r="M71" s="258">
        <v>108811</v>
      </c>
      <c r="N71" s="258"/>
      <c r="O71" s="258">
        <v>107035.45492119202</v>
      </c>
      <c r="P71" s="258"/>
      <c r="Q71" s="258">
        <v>104037.30788707999</v>
      </c>
      <c r="R71" s="258"/>
      <c r="S71" s="258">
        <v>101668.24776078029</v>
      </c>
      <c r="T71" s="258"/>
      <c r="U71" s="258">
        <v>98744.151407699988</v>
      </c>
      <c r="V71" s="258"/>
      <c r="W71" s="258">
        <f>+W41</f>
        <v>98940.269777329799</v>
      </c>
      <c r="X71" s="258"/>
      <c r="Y71" s="258">
        <f>+Y41</f>
        <v>98258.985487460028</v>
      </c>
      <c r="Z71" s="258"/>
      <c r="AA71" s="258">
        <v>96039.543704459997</v>
      </c>
      <c r="AB71" s="264"/>
      <c r="AC71" s="258">
        <f>+AC36</f>
        <v>92817.744119980198</v>
      </c>
      <c r="AD71" s="264"/>
      <c r="AE71" s="258">
        <f>+AE36</f>
        <v>90460.14825605003</v>
      </c>
      <c r="AF71" s="264"/>
      <c r="AG71" s="258">
        <f>+AG36</f>
        <v>88945.039514610005</v>
      </c>
      <c r="AH71" s="264"/>
      <c r="AI71" s="258">
        <f>+AI36</f>
        <v>87527.837190519887</v>
      </c>
      <c r="AJ71" s="264"/>
      <c r="AK71" s="258">
        <f>+AK36</f>
        <v>84901.214854689984</v>
      </c>
      <c r="AL71" s="264"/>
      <c r="AM71" s="258">
        <f>+AM36</f>
        <v>82944.802144999994</v>
      </c>
      <c r="AN71" s="264"/>
      <c r="AO71" s="258">
        <f>+AO36</f>
        <v>81336.069999999992</v>
      </c>
      <c r="AP71" s="264"/>
      <c r="AQ71" s="258">
        <f>+AQ36</f>
        <v>79286.388672980014</v>
      </c>
      <c r="AR71" s="264"/>
      <c r="AS71" s="258">
        <f>+AS36</f>
        <v>44307.5</v>
      </c>
      <c r="AT71" s="264"/>
      <c r="AU71" s="258">
        <f>+AU36</f>
        <v>43779.16</v>
      </c>
      <c r="AV71" s="264"/>
      <c r="AW71" s="258">
        <f>+AW36</f>
        <v>42793.5</v>
      </c>
      <c r="AX71" s="264"/>
      <c r="AY71" s="258">
        <f>+AY36</f>
        <v>42090.69</v>
      </c>
      <c r="AZ71" s="264"/>
      <c r="BA71" s="258">
        <f>+BA36</f>
        <v>40483.611327409999</v>
      </c>
      <c r="BB71" s="264"/>
    </row>
    <row r="72" spans="1:54" ht="13.5" thickBot="1">
      <c r="A72" s="321" t="s">
        <v>345</v>
      </c>
      <c r="B72" s="268" t="s">
        <v>145</v>
      </c>
      <c r="C72" s="269">
        <v>0.78345382349927761</v>
      </c>
      <c r="D72" s="269"/>
      <c r="E72" s="269">
        <v>0.76708262494330559</v>
      </c>
      <c r="F72" s="269"/>
      <c r="G72" s="269">
        <v>0.75517521557712108</v>
      </c>
      <c r="H72" s="269"/>
      <c r="I72" s="269">
        <v>0.75239999999999996</v>
      </c>
      <c r="J72" s="269"/>
      <c r="K72" s="269">
        <v>0.76063494335154047</v>
      </c>
      <c r="L72" s="269"/>
      <c r="M72" s="269">
        <v>0.73399999999999999</v>
      </c>
      <c r="N72" s="269"/>
      <c r="O72" s="269">
        <v>0.7333432897252905</v>
      </c>
      <c r="P72" s="269"/>
      <c r="Q72" s="269">
        <v>0.73883513096128228</v>
      </c>
      <c r="R72" s="269"/>
      <c r="S72" s="269">
        <f>S70/S71</f>
        <v>0.76083016420235328</v>
      </c>
      <c r="T72" s="269"/>
      <c r="U72" s="269">
        <f>U70/U71</f>
        <v>0.73297770195203837</v>
      </c>
      <c r="V72" s="269"/>
      <c r="W72" s="269">
        <f>W70/W71</f>
        <v>0.72262492741132633</v>
      </c>
      <c r="X72" s="269"/>
      <c r="Y72" s="269">
        <f>Y70/Y71</f>
        <v>0.71495880828044234</v>
      </c>
      <c r="Z72" s="269"/>
      <c r="AA72" s="269">
        <f>AA70/AA36</f>
        <v>0.73557852196458839</v>
      </c>
      <c r="AB72" s="271"/>
      <c r="AC72" s="269">
        <f>AC70/AC36</f>
        <v>0.71225155411603103</v>
      </c>
      <c r="AD72" s="271"/>
      <c r="AE72" s="269">
        <f>AE70/AE71</f>
        <v>0.72944193343820718</v>
      </c>
      <c r="AF72" s="271"/>
      <c r="AG72" s="269">
        <f t="shared" ref="AG72:BA72" si="40">AG70/AG71</f>
        <v>0.73379943876779308</v>
      </c>
      <c r="AH72" s="271"/>
      <c r="AI72" s="269">
        <f t="shared" si="40"/>
        <v>0.76150075776371529</v>
      </c>
      <c r="AJ72" s="271"/>
      <c r="AK72" s="269">
        <f t="shared" si="40"/>
        <v>0.73946853537316504</v>
      </c>
      <c r="AL72" s="271"/>
      <c r="AM72" s="269">
        <f t="shared" si="40"/>
        <v>0.7603890024325286</v>
      </c>
      <c r="AN72" s="271"/>
      <c r="AO72" s="269">
        <f t="shared" si="40"/>
        <v>0.76358228274368312</v>
      </c>
      <c r="AP72" s="271"/>
      <c r="AQ72" s="269">
        <f t="shared" si="40"/>
        <v>0.79000697406396037</v>
      </c>
      <c r="AR72" s="271"/>
      <c r="AS72" s="269">
        <f t="shared" si="40"/>
        <v>0.760018055633922</v>
      </c>
      <c r="AT72" s="271"/>
      <c r="AU72" s="269">
        <f t="shared" si="40"/>
        <v>0.76424947395061926</v>
      </c>
      <c r="AV72" s="271"/>
      <c r="AW72" s="269">
        <f t="shared" si="40"/>
        <v>0.77236963557549632</v>
      </c>
      <c r="AX72" s="271"/>
      <c r="AY72" s="269">
        <f t="shared" si="40"/>
        <v>0.78889179531150466</v>
      </c>
      <c r="AZ72" s="271"/>
      <c r="BA72" s="269">
        <f t="shared" si="40"/>
        <v>0.76707583591917483</v>
      </c>
      <c r="BB72" s="271"/>
    </row>
    <row r="73" spans="1:54">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row>
    <row r="74" spans="1:54">
      <c r="A74" s="252"/>
      <c r="B74" s="255"/>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row>
    <row r="75" spans="1:54">
      <c r="A75" s="252"/>
      <c r="B75" s="255" t="s">
        <v>148</v>
      </c>
      <c r="C75" s="258">
        <v>92550.731135340044</v>
      </c>
      <c r="D75" s="258"/>
      <c r="E75" s="258">
        <v>87476.178799999994</v>
      </c>
      <c r="F75" s="258"/>
      <c r="G75" s="258">
        <v>85613.011799999993</v>
      </c>
      <c r="H75" s="258"/>
      <c r="I75" s="258">
        <v>85495.609500000006</v>
      </c>
      <c r="J75" s="258"/>
      <c r="K75" s="258">
        <v>85481.013749749996</v>
      </c>
      <c r="L75" s="258"/>
      <c r="M75" s="258">
        <v>79901</v>
      </c>
      <c r="N75" s="258"/>
      <c r="O75" s="258">
        <v>78493.732629149992</v>
      </c>
      <c r="P75" s="258"/>
      <c r="Q75" s="258">
        <v>76866.417997609999</v>
      </c>
      <c r="R75" s="258"/>
      <c r="S75" s="258">
        <f>+S70</f>
        <v>77352.269637999998</v>
      </c>
      <c r="T75" s="258"/>
      <c r="U75" s="258">
        <v>72377.261180020068</v>
      </c>
      <c r="V75" s="258"/>
      <c r="W75" s="258">
        <f>+W70</f>
        <v>71496.705265899989</v>
      </c>
      <c r="X75" s="258"/>
      <c r="Y75" s="258">
        <f>+Y70</f>
        <v>70251.127166959704</v>
      </c>
      <c r="Z75" s="258"/>
      <c r="AA75" s="258">
        <f>+AA70</f>
        <v>70644.62560828017</v>
      </c>
      <c r="AB75" s="264"/>
      <c r="AC75" s="258">
        <f>+AC70</f>
        <v>66109.582498999996</v>
      </c>
      <c r="AD75" s="264"/>
      <c r="AE75" s="258">
        <f>+AE70</f>
        <v>65985.425443</v>
      </c>
      <c r="AF75" s="264"/>
      <c r="AG75" s="258">
        <f>+AG70</f>
        <v>65267.820076999997</v>
      </c>
      <c r="AH75" s="264"/>
      <c r="AI75" s="258">
        <f>+AI70</f>
        <v>66652.514345999996</v>
      </c>
      <c r="AJ75" s="264"/>
      <c r="AK75" s="258">
        <f>+AK70</f>
        <v>62781.777000000002</v>
      </c>
      <c r="AL75" s="264"/>
      <c r="AM75" s="258">
        <f>+AM70</f>
        <v>63070.315360000001</v>
      </c>
      <c r="AN75" s="264"/>
      <c r="AO75" s="258">
        <f>+AO70</f>
        <v>62106.781999999999</v>
      </c>
      <c r="AP75" s="264"/>
      <c r="AQ75" s="258">
        <f>+AQ70</f>
        <v>62636.800000000003</v>
      </c>
      <c r="AR75" s="264"/>
      <c r="AS75" s="258">
        <f>+AS70</f>
        <v>33674.5</v>
      </c>
      <c r="AT75" s="264"/>
      <c r="AU75" s="258">
        <f>+AU70</f>
        <v>33458.199999999997</v>
      </c>
      <c r="AV75" s="264"/>
      <c r="AW75" s="258">
        <f>+AW70</f>
        <v>33052.400000000001</v>
      </c>
      <c r="AX75" s="264"/>
      <c r="AY75" s="258">
        <f>+AY70</f>
        <v>33205</v>
      </c>
      <c r="AZ75" s="264"/>
      <c r="BA75" s="258">
        <f>+BA70</f>
        <v>31054</v>
      </c>
      <c r="BB75" s="264"/>
    </row>
    <row r="76" spans="1:54">
      <c r="A76" s="252"/>
      <c r="B76" s="280" t="s">
        <v>174</v>
      </c>
      <c r="C76" s="258">
        <v>167290.09909082673</v>
      </c>
      <c r="D76" s="258"/>
      <c r="E76" s="258">
        <v>162567.03839951014</v>
      </c>
      <c r="F76" s="258"/>
      <c r="G76" s="258">
        <v>161258.65030000001</v>
      </c>
      <c r="H76" s="258"/>
      <c r="I76" s="258">
        <v>160992.7836</v>
      </c>
      <c r="J76" s="258"/>
      <c r="K76" s="258">
        <v>157956.06740085623</v>
      </c>
      <c r="L76" s="258"/>
      <c r="M76" s="258">
        <v>153846</v>
      </c>
      <c r="N76" s="258"/>
      <c r="O76" s="258">
        <v>150688.15955793203</v>
      </c>
      <c r="P76" s="258"/>
      <c r="Q76" s="258">
        <v>147309.94290146002</v>
      </c>
      <c r="R76" s="258"/>
      <c r="S76" s="258">
        <f>+S48</f>
        <v>144336.62376078026</v>
      </c>
      <c r="T76" s="258"/>
      <c r="U76" s="258">
        <v>141078.62044130999</v>
      </c>
      <c r="V76" s="258"/>
      <c r="W76" s="258">
        <f>W48</f>
        <v>140165.15885532982</v>
      </c>
      <c r="X76" s="258"/>
      <c r="Y76" s="258">
        <f>+Y48</f>
        <v>138152.57848746004</v>
      </c>
      <c r="Z76" s="258"/>
      <c r="AA76" s="258">
        <f>+AA48</f>
        <v>135491.78370445999</v>
      </c>
      <c r="AB76" s="264"/>
      <c r="AC76" s="258">
        <f>+AC48</f>
        <v>132432.8281199802</v>
      </c>
      <c r="AD76" s="264"/>
      <c r="AE76" s="258">
        <f>+AE48</f>
        <v>129535.07469605003</v>
      </c>
      <c r="AF76" s="264"/>
      <c r="AG76" s="258">
        <f>+AG48</f>
        <v>126919.19126761002</v>
      </c>
      <c r="AH76" s="264"/>
      <c r="AI76" s="258">
        <f>+AI48</f>
        <v>124393.18279451989</v>
      </c>
      <c r="AJ76" s="264"/>
      <c r="AK76" s="258">
        <f>+AK48</f>
        <v>121701.20138468998</v>
      </c>
      <c r="AL76" s="264"/>
      <c r="AM76" s="258">
        <f>+AM48</f>
        <v>119450.075145</v>
      </c>
      <c r="AN76" s="264"/>
      <c r="AO76" s="258">
        <f>+AO48</f>
        <v>117625.54336599998</v>
      </c>
      <c r="AP76" s="264"/>
      <c r="AQ76" s="258">
        <f>+AQ48</f>
        <v>115223.03667298002</v>
      </c>
      <c r="AR76" s="264"/>
      <c r="AS76" s="258">
        <f>+AS48</f>
        <v>62156.303097000004</v>
      </c>
      <c r="AT76" s="264"/>
      <c r="AU76" s="258">
        <f>+AU48</f>
        <v>61139.951753000001</v>
      </c>
      <c r="AV76" s="264"/>
      <c r="AW76" s="258">
        <f>+AW48</f>
        <v>59437.746741449999</v>
      </c>
      <c r="AX76" s="264"/>
      <c r="AY76" s="258">
        <f>+AY48</f>
        <v>57994.606618999998</v>
      </c>
      <c r="AZ76" s="264"/>
      <c r="BA76" s="258">
        <f>+BA48</f>
        <v>56618.710594409997</v>
      </c>
      <c r="BB76" s="264"/>
    </row>
    <row r="77" spans="1:54" ht="13.5" thickBot="1">
      <c r="A77" s="321" t="s">
        <v>346</v>
      </c>
      <c r="B77" s="268" t="s">
        <v>175</v>
      </c>
      <c r="C77" s="269">
        <v>0.5532349591417931</v>
      </c>
      <c r="D77" s="269"/>
      <c r="E77" s="269">
        <v>0.53809295944130076</v>
      </c>
      <c r="F77" s="269"/>
      <c r="G77" s="269">
        <v>0.53090492597283001</v>
      </c>
      <c r="H77" s="269"/>
      <c r="I77" s="269">
        <v>0.53110000000000002</v>
      </c>
      <c r="J77" s="269"/>
      <c r="K77" s="269">
        <v>0.54116954895324665</v>
      </c>
      <c r="L77" s="269"/>
      <c r="M77" s="269">
        <v>0.51900000000000002</v>
      </c>
      <c r="N77" s="269"/>
      <c r="O77" s="269">
        <v>0.52090179387301561</v>
      </c>
      <c r="P77" s="269"/>
      <c r="Q77" s="269">
        <v>0.52180060954221008</v>
      </c>
      <c r="R77" s="269"/>
      <c r="S77" s="269">
        <f>S75/S76</f>
        <v>0.53591574766361183</v>
      </c>
      <c r="T77" s="269"/>
      <c r="U77" s="269">
        <f>U75/U76</f>
        <v>0.51302784896546161</v>
      </c>
      <c r="V77" s="269"/>
      <c r="W77" s="269">
        <f>W75/W76</f>
        <v>0.51008899679338038</v>
      </c>
      <c r="X77" s="269"/>
      <c r="Y77" s="269">
        <f>Y75/Y76</f>
        <v>0.50850391600426281</v>
      </c>
      <c r="Z77" s="269"/>
      <c r="AA77" s="269">
        <f>AA75/AA76</f>
        <v>0.52139416632356839</v>
      </c>
      <c r="AB77" s="271"/>
      <c r="AC77" s="269">
        <f>AC75/AC76</f>
        <v>0.49919331511297699</v>
      </c>
      <c r="AD77" s="271"/>
      <c r="AE77" s="269">
        <f>AE75/AE76</f>
        <v>0.50940199477116699</v>
      </c>
      <c r="AF77" s="271"/>
      <c r="AG77" s="269">
        <f>AG75/AG76</f>
        <v>0.51424705298808859</v>
      </c>
      <c r="AH77" s="271"/>
      <c r="AI77" s="269">
        <f>AI75/AI76</f>
        <v>0.53582127933892176</v>
      </c>
      <c r="AJ77" s="271"/>
      <c r="AK77" s="269">
        <f>AK75/AK76</f>
        <v>0.51586817784608952</v>
      </c>
      <c r="AL77" s="271"/>
      <c r="AM77" s="269">
        <f>AM75/AM76</f>
        <v>0.52800565661795673</v>
      </c>
      <c r="AN77" s="271"/>
      <c r="AO77" s="269">
        <f>AO75/AO76</f>
        <v>0.52800420914316604</v>
      </c>
      <c r="AP77" s="271"/>
      <c r="AQ77" s="269">
        <f>AQ75/AQ76</f>
        <v>0.5436135152189443</v>
      </c>
      <c r="AR77" s="271"/>
      <c r="AS77" s="269">
        <f>AS75/AS76</f>
        <v>0.54177128178695222</v>
      </c>
      <c r="AT77" s="271"/>
      <c r="AU77" s="269">
        <f>AU75/AU76</f>
        <v>0.54723955516301626</v>
      </c>
      <c r="AV77" s="271"/>
      <c r="AW77" s="269">
        <f>AW75/AW76</f>
        <v>0.55608433717677097</v>
      </c>
      <c r="AX77" s="271"/>
      <c r="AY77" s="269">
        <f>AY75/AY76</f>
        <v>0.57255324134091956</v>
      </c>
      <c r="AZ77" s="271"/>
      <c r="BA77" s="269">
        <f>BA75/BA76</f>
        <v>0.54847593090659297</v>
      </c>
      <c r="BB77" s="271"/>
    </row>
    <row r="78" spans="1:54">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58"/>
      <c r="AX78" s="264"/>
      <c r="AY78" s="264"/>
      <c r="AZ78" s="264"/>
      <c r="BA78" s="264"/>
      <c r="BB78" s="264"/>
    </row>
    <row r="79" spans="1:54">
      <c r="A79" s="252"/>
      <c r="B79" s="255"/>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row>
    <row r="80" spans="1:54">
      <c r="A80" s="252"/>
      <c r="B80" s="255" t="s">
        <v>176</v>
      </c>
      <c r="C80" s="258">
        <v>92550.731135340044</v>
      </c>
      <c r="D80" s="258"/>
      <c r="E80" s="258">
        <v>87476.178799999994</v>
      </c>
      <c r="F80" s="258"/>
      <c r="G80" s="258">
        <v>85613.011799999993</v>
      </c>
      <c r="H80" s="258"/>
      <c r="I80" s="258">
        <v>85495.609500000006</v>
      </c>
      <c r="J80" s="258"/>
      <c r="K80" s="258">
        <v>85481.013749749996</v>
      </c>
      <c r="L80" s="258"/>
      <c r="M80" s="258">
        <v>79901</v>
      </c>
      <c r="N80" s="258"/>
      <c r="O80" s="258">
        <v>78493.732629149992</v>
      </c>
      <c r="P80" s="258"/>
      <c r="Q80" s="258">
        <v>76866.417997609999</v>
      </c>
      <c r="R80" s="258"/>
      <c r="S80" s="258">
        <f>+S75</f>
        <v>77352.269637999998</v>
      </c>
      <c r="T80" s="258"/>
      <c r="U80" s="258">
        <v>72377.261180020068</v>
      </c>
      <c r="V80" s="258"/>
      <c r="W80" s="258">
        <f>+W75</f>
        <v>71496.705265899989</v>
      </c>
      <c r="X80" s="258"/>
      <c r="Y80" s="258">
        <f>+Y75</f>
        <v>70251.127166959704</v>
      </c>
      <c r="Z80" s="258"/>
      <c r="AA80" s="258">
        <f>+AA70</f>
        <v>70644.62560828017</v>
      </c>
      <c r="AB80" s="264"/>
      <c r="AC80" s="258">
        <f>+AC70</f>
        <v>66109.582498999996</v>
      </c>
      <c r="AD80" s="264"/>
      <c r="AE80" s="258">
        <f>AE70</f>
        <v>65985.425443</v>
      </c>
      <c r="AF80" s="264"/>
      <c r="AG80" s="258">
        <f>AG70</f>
        <v>65267.820076999997</v>
      </c>
      <c r="AH80" s="264"/>
      <c r="AI80" s="258">
        <f>AI70</f>
        <v>66652.514345999996</v>
      </c>
      <c r="AJ80" s="264"/>
      <c r="AK80" s="258">
        <f>AK70</f>
        <v>62781.777000000002</v>
      </c>
      <c r="AL80" s="264"/>
      <c r="AM80" s="258">
        <f>AM70</f>
        <v>63070.315360000001</v>
      </c>
      <c r="AN80" s="264"/>
      <c r="AO80" s="258">
        <f>AO70</f>
        <v>62106.781999999999</v>
      </c>
      <c r="AP80" s="264"/>
      <c r="AQ80" s="258">
        <f>AQ70</f>
        <v>62636.800000000003</v>
      </c>
      <c r="AR80" s="264"/>
      <c r="AS80" s="258">
        <f>AS70</f>
        <v>33674.5</v>
      </c>
      <c r="AT80" s="264"/>
      <c r="AU80" s="258">
        <f>AU70</f>
        <v>33458.199999999997</v>
      </c>
      <c r="AV80" s="264"/>
      <c r="AW80" s="258">
        <f>AW70</f>
        <v>33052.400000000001</v>
      </c>
      <c r="AX80" s="264"/>
      <c r="AY80" s="258">
        <f>AY70</f>
        <v>33205</v>
      </c>
      <c r="AZ80" s="264"/>
      <c r="BA80" s="258">
        <f>BA70</f>
        <v>31054</v>
      </c>
      <c r="BB80" s="264"/>
    </row>
    <row r="81" spans="1:54">
      <c r="A81" s="252"/>
      <c r="B81" s="276" t="s">
        <v>177</v>
      </c>
      <c r="C81" s="262">
        <v>85481.013749749996</v>
      </c>
      <c r="D81" s="262"/>
      <c r="E81" s="262">
        <v>79901.205413660005</v>
      </c>
      <c r="F81" s="262"/>
      <c r="G81" s="262">
        <v>78493.732629149992</v>
      </c>
      <c r="H81" s="262"/>
      <c r="I81" s="262">
        <v>76866.418000000005</v>
      </c>
      <c r="J81" s="262"/>
      <c r="K81" s="262">
        <v>77352.269637999998</v>
      </c>
      <c r="L81" s="262"/>
      <c r="M81" s="262">
        <v>72377</v>
      </c>
      <c r="N81" s="262"/>
      <c r="O81" s="262">
        <v>71496.705265899989</v>
      </c>
      <c r="P81" s="262"/>
      <c r="Q81" s="262">
        <v>70251.127166959704</v>
      </c>
      <c r="R81" s="262"/>
      <c r="S81" s="262">
        <f>+AC80</f>
        <v>66109.582498999996</v>
      </c>
      <c r="T81" s="262"/>
      <c r="U81" s="262">
        <v>66109.582498999996</v>
      </c>
      <c r="V81" s="262"/>
      <c r="W81" s="262">
        <v>65985.425443</v>
      </c>
      <c r="X81" s="262"/>
      <c r="Y81" s="262">
        <v>65268.037390600002</v>
      </c>
      <c r="Z81" s="262"/>
      <c r="AA81" s="262">
        <f>+AI80</f>
        <v>66652.514345999996</v>
      </c>
      <c r="AB81" s="277"/>
      <c r="AC81" s="262">
        <f>+AK80</f>
        <v>62781.777000000002</v>
      </c>
      <c r="AD81" s="277"/>
      <c r="AE81" s="262">
        <f>AM70</f>
        <v>63070.315360000001</v>
      </c>
      <c r="AF81" s="277"/>
      <c r="AG81" s="262">
        <f>+AO80</f>
        <v>62106.781999999999</v>
      </c>
      <c r="AH81" s="277"/>
      <c r="AI81" s="262">
        <f>+AQ80</f>
        <v>62636.800000000003</v>
      </c>
      <c r="AJ81" s="277"/>
      <c r="AK81" s="262">
        <f>+AS80</f>
        <v>33674.5</v>
      </c>
      <c r="AL81" s="277"/>
      <c r="AM81" s="262">
        <f>+AU80</f>
        <v>33458.199999999997</v>
      </c>
      <c r="AN81" s="277"/>
      <c r="AO81" s="262">
        <f>+AW80</f>
        <v>33052.400000000001</v>
      </c>
      <c r="AP81" s="277"/>
      <c r="AQ81" s="262">
        <f>+AY80</f>
        <v>33205</v>
      </c>
      <c r="AR81" s="277"/>
      <c r="AS81" s="262">
        <f>+BA80</f>
        <v>31054</v>
      </c>
      <c r="AT81" s="277"/>
      <c r="AU81" s="262">
        <v>31070</v>
      </c>
      <c r="AV81" s="277"/>
      <c r="AW81" s="262">
        <v>31575</v>
      </c>
      <c r="AX81" s="277"/>
      <c r="AY81" s="262">
        <v>32052.640421</v>
      </c>
      <c r="AZ81" s="277"/>
      <c r="BA81" s="262">
        <v>29948</v>
      </c>
      <c r="BB81" s="277"/>
    </row>
    <row r="82" spans="1:54">
      <c r="A82" s="252"/>
      <c r="B82" s="255" t="s">
        <v>178</v>
      </c>
      <c r="C82" s="258">
        <v>7069.7173855900473</v>
      </c>
      <c r="D82" s="258"/>
      <c r="E82" s="258">
        <v>7574.9733863399888</v>
      </c>
      <c r="F82" s="258"/>
      <c r="G82" s="258">
        <v>7119.2791708500008</v>
      </c>
      <c r="H82" s="258"/>
      <c r="I82" s="258">
        <v>8629.1915000000008</v>
      </c>
      <c r="J82" s="258"/>
      <c r="K82" s="258">
        <v>8128.7441117499984</v>
      </c>
      <c r="L82" s="258"/>
      <c r="M82" s="258">
        <v>7524</v>
      </c>
      <c r="N82" s="258"/>
      <c r="O82" s="258">
        <v>6997.027363250003</v>
      </c>
      <c r="P82" s="258"/>
      <c r="Q82" s="258">
        <v>6615.2908306502941</v>
      </c>
      <c r="R82" s="258"/>
      <c r="S82" s="258">
        <f>+S80-S81</f>
        <v>11242.687139000001</v>
      </c>
      <c r="T82" s="258"/>
      <c r="U82" s="258">
        <v>6267.678681020072</v>
      </c>
      <c r="V82" s="258"/>
      <c r="W82" s="258">
        <f>+W80-W81</f>
        <v>5511.2798228999891</v>
      </c>
      <c r="X82" s="258"/>
      <c r="Y82" s="258">
        <f>+Y80-Y81</f>
        <v>4983.0897763597022</v>
      </c>
      <c r="Z82" s="258"/>
      <c r="AA82" s="258">
        <f>+AA80-AA81</f>
        <v>3992.1112622801738</v>
      </c>
      <c r="AB82" s="264"/>
      <c r="AC82" s="258">
        <f>+AC80-AC81</f>
        <v>3327.8054989999946</v>
      </c>
      <c r="AD82" s="264"/>
      <c r="AE82" s="258">
        <f>AE80-AE81</f>
        <v>2915.1100829999996</v>
      </c>
      <c r="AF82" s="264"/>
      <c r="AG82" s="258">
        <f>AG80-AG81</f>
        <v>3161.0380769999974</v>
      </c>
      <c r="AH82" s="264"/>
      <c r="AI82" s="258">
        <f>AI80-AI81</f>
        <v>4015.7143459999934</v>
      </c>
      <c r="AJ82" s="264"/>
      <c r="AK82" s="258">
        <f>AK80-AK81</f>
        <v>29107.277000000002</v>
      </c>
      <c r="AL82" s="264"/>
      <c r="AM82" s="258">
        <f>AM80-AM81</f>
        <v>29612.115360000003</v>
      </c>
      <c r="AN82" s="264"/>
      <c r="AO82" s="258">
        <f>AO80-AO81</f>
        <v>29054.381999999998</v>
      </c>
      <c r="AP82" s="264"/>
      <c r="AQ82" s="258">
        <f>AQ80-AQ81</f>
        <v>29431.800000000003</v>
      </c>
      <c r="AR82" s="264"/>
      <c r="AS82" s="258">
        <f>AS80-AS81</f>
        <v>2620.5</v>
      </c>
      <c r="AT82" s="264"/>
      <c r="AU82" s="258">
        <f>AU80-AU81</f>
        <v>2388.1999999999971</v>
      </c>
      <c r="AV82" s="264"/>
      <c r="AW82" s="258">
        <f>AW80-AW81</f>
        <v>1477.4000000000015</v>
      </c>
      <c r="AX82" s="264"/>
      <c r="AY82" s="258">
        <f>AY80-AY81</f>
        <v>1152.3595789999999</v>
      </c>
      <c r="AZ82" s="264"/>
      <c r="BA82" s="258">
        <f>BA80-BA81</f>
        <v>1106</v>
      </c>
      <c r="BB82" s="264"/>
    </row>
    <row r="83" spans="1:54">
      <c r="A83" s="252"/>
      <c r="B83" s="256" t="s">
        <v>179</v>
      </c>
      <c r="C83" s="258">
        <v>85481.013749749996</v>
      </c>
      <c r="D83" s="258"/>
      <c r="E83" s="258">
        <v>79901.205413660005</v>
      </c>
      <c r="F83" s="258"/>
      <c r="G83" s="258">
        <v>78493.732629149992</v>
      </c>
      <c r="H83" s="258"/>
      <c r="I83" s="258">
        <v>76866.418000000005</v>
      </c>
      <c r="J83" s="258"/>
      <c r="K83" s="258">
        <v>77352.269637999998</v>
      </c>
      <c r="L83" s="258"/>
      <c r="M83" s="258">
        <v>72377</v>
      </c>
      <c r="N83" s="258"/>
      <c r="O83" s="258">
        <v>71496.705265899989</v>
      </c>
      <c r="P83" s="258"/>
      <c r="Q83" s="258">
        <v>70251.127166959704</v>
      </c>
      <c r="R83" s="258"/>
      <c r="S83" s="258">
        <f>+S81</f>
        <v>66109.582498999996</v>
      </c>
      <c r="T83" s="258"/>
      <c r="U83" s="258">
        <v>66109.582498999996</v>
      </c>
      <c r="V83" s="258"/>
      <c r="W83" s="258">
        <f>+W81</f>
        <v>65985.425443</v>
      </c>
      <c r="X83" s="258"/>
      <c r="Y83" s="258">
        <f>+Y81</f>
        <v>65268.037390600002</v>
      </c>
      <c r="Z83" s="258"/>
      <c r="AA83" s="258">
        <f>AA81</f>
        <v>66652.514345999996</v>
      </c>
      <c r="AB83" s="264"/>
      <c r="AC83" s="258">
        <f>AC81</f>
        <v>62781.777000000002</v>
      </c>
      <c r="AD83" s="264"/>
      <c r="AE83" s="258">
        <f>+AE81</f>
        <v>63070.315360000001</v>
      </c>
      <c r="AF83" s="264"/>
      <c r="AG83" s="258">
        <f>+AG81</f>
        <v>62106.781999999999</v>
      </c>
      <c r="AH83" s="264"/>
      <c r="AI83" s="258">
        <f>+AI81</f>
        <v>62636.800000000003</v>
      </c>
      <c r="AJ83" s="264"/>
      <c r="AK83" s="258">
        <f>+AK81</f>
        <v>33674.5</v>
      </c>
      <c r="AL83" s="264"/>
      <c r="AM83" s="258">
        <f>+AM81</f>
        <v>33458.199999999997</v>
      </c>
      <c r="AN83" s="264"/>
      <c r="AO83" s="258">
        <f>+AO81</f>
        <v>33052.400000000001</v>
      </c>
      <c r="AP83" s="264"/>
      <c r="AQ83" s="258">
        <f>+AQ81</f>
        <v>33205</v>
      </c>
      <c r="AR83" s="264"/>
      <c r="AS83" s="258">
        <f>+AS81</f>
        <v>31054</v>
      </c>
      <c r="AT83" s="264"/>
      <c r="AU83" s="258">
        <f>+AU81</f>
        <v>31070</v>
      </c>
      <c r="AV83" s="264"/>
      <c r="AW83" s="258">
        <f>+AW81</f>
        <v>31575</v>
      </c>
      <c r="AX83" s="264"/>
      <c r="AY83" s="258">
        <f>+AY81</f>
        <v>32052.640421</v>
      </c>
      <c r="AZ83" s="264"/>
      <c r="BA83" s="258">
        <f>+BA81</f>
        <v>29948</v>
      </c>
      <c r="BB83" s="264"/>
    </row>
    <row r="84" spans="1:54" ht="13.5" thickBot="1">
      <c r="A84" s="321" t="s">
        <v>347</v>
      </c>
      <c r="B84" s="268" t="s">
        <v>180</v>
      </c>
      <c r="C84" s="269">
        <v>8.2705118662806262E-2</v>
      </c>
      <c r="D84" s="269"/>
      <c r="E84" s="269">
        <v>9.4804244155307346E-2</v>
      </c>
      <c r="F84" s="269"/>
      <c r="G84" s="269">
        <v>9.0698695709702237E-2</v>
      </c>
      <c r="H84" s="269"/>
      <c r="I84" s="269">
        <v>0.1123</v>
      </c>
      <c r="J84" s="269"/>
      <c r="K84" s="269">
        <v>0.10508733809352479</v>
      </c>
      <c r="L84" s="269"/>
      <c r="M84" s="269">
        <v>0.104</v>
      </c>
      <c r="N84" s="269"/>
      <c r="O84" s="269">
        <v>9.7865032202920282E-2</v>
      </c>
      <c r="P84" s="269"/>
      <c r="Q84" s="269">
        <v>9.4166330099278148E-2</v>
      </c>
      <c r="R84" s="269"/>
      <c r="S84" s="269">
        <f>S82/S83</f>
        <v>0.17006138465887397</v>
      </c>
      <c r="T84" s="269"/>
      <c r="U84" s="269">
        <f>U82/U83</f>
        <v>9.4807415870685308E-2</v>
      </c>
      <c r="V84" s="269"/>
      <c r="W84" s="269">
        <f>W82/W83</f>
        <v>8.352268377296107E-2</v>
      </c>
      <c r="X84" s="269"/>
      <c r="Y84" s="269">
        <f>Y82/Y83</f>
        <v>7.6348086683503888E-2</v>
      </c>
      <c r="Z84" s="269"/>
      <c r="AA84" s="269">
        <f>AA82/AA83</f>
        <v>5.9894383602045638E-2</v>
      </c>
      <c r="AB84" s="271"/>
      <c r="AC84" s="269">
        <f>AC82/AC83</f>
        <v>5.3005914423224984E-2</v>
      </c>
      <c r="AD84" s="271"/>
      <c r="AE84" s="269">
        <f>AE82/AE83</f>
        <v>4.6220001697483179E-2</v>
      </c>
      <c r="AF84" s="271"/>
      <c r="AG84" s="269">
        <f>AG82/AG83</f>
        <v>5.089682600202982E-2</v>
      </c>
      <c r="AH84" s="271"/>
      <c r="AI84" s="269">
        <f>AI82/AI83</f>
        <v>6.4111103153417684E-2</v>
      </c>
      <c r="AJ84" s="271"/>
      <c r="AK84" s="269">
        <f>AK82/AK83</f>
        <v>0.86437146802476661</v>
      </c>
      <c r="AL84" s="271"/>
      <c r="AM84" s="269">
        <f>AM82/AM83</f>
        <v>0.8850480707270566</v>
      </c>
      <c r="AN84" s="271"/>
      <c r="AO84" s="269">
        <f>AO82/AO83</f>
        <v>0.87904000919751657</v>
      </c>
      <c r="AP84" s="271"/>
      <c r="AQ84" s="269">
        <f>AQ82/AQ83</f>
        <v>0.88636651106761044</v>
      </c>
      <c r="AR84" s="271"/>
      <c r="AS84" s="269">
        <f>AS82/AS83</f>
        <v>8.4385264378179947E-2</v>
      </c>
      <c r="AT84" s="271"/>
      <c r="AU84" s="269">
        <f>AU82/AU83</f>
        <v>7.6865143224975771E-2</v>
      </c>
      <c r="AV84" s="271"/>
      <c r="AW84" s="269">
        <f>AW82/AW83</f>
        <v>4.6790182106096645E-2</v>
      </c>
      <c r="AX84" s="271"/>
      <c r="AY84" s="269">
        <f>AY82/AY83</f>
        <v>3.5952095174193698E-2</v>
      </c>
      <c r="AZ84" s="271"/>
      <c r="BA84" s="269">
        <f>BA82/BA83</f>
        <v>3.6930679845064776E-2</v>
      </c>
      <c r="BB84" s="271"/>
    </row>
    <row r="85" spans="1:54">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row>
    <row r="86" spans="1:54">
      <c r="A86" s="252"/>
      <c r="B86" s="255"/>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row>
    <row r="87" spans="1:54">
      <c r="A87" s="252"/>
      <c r="B87" s="255" t="s">
        <v>176</v>
      </c>
      <c r="C87" s="258">
        <v>92550.731135340044</v>
      </c>
      <c r="D87" s="258"/>
      <c r="E87" s="258">
        <v>87476.178799999994</v>
      </c>
      <c r="F87" s="258"/>
      <c r="G87" s="258">
        <v>85613.011799999993</v>
      </c>
      <c r="H87" s="258"/>
      <c r="I87" s="258">
        <v>85495.609500000006</v>
      </c>
      <c r="J87" s="258"/>
      <c r="K87" s="258">
        <v>85481.013749749996</v>
      </c>
      <c r="L87" s="258"/>
      <c r="M87" s="258">
        <v>79901</v>
      </c>
      <c r="N87" s="258"/>
      <c r="O87" s="258">
        <v>78494</v>
      </c>
      <c r="P87" s="258"/>
      <c r="Q87" s="258">
        <v>76866</v>
      </c>
      <c r="R87" s="258"/>
      <c r="S87" s="258">
        <v>77352</v>
      </c>
      <c r="T87" s="258"/>
      <c r="U87" s="258">
        <v>72377</v>
      </c>
      <c r="V87" s="258"/>
      <c r="W87" s="258">
        <v>71497</v>
      </c>
      <c r="X87" s="258"/>
      <c r="Y87" s="258">
        <v>70251</v>
      </c>
      <c r="Z87" s="258"/>
      <c r="AA87" s="258">
        <v>70645</v>
      </c>
      <c r="AB87" s="264"/>
      <c r="AC87" s="258">
        <v>66110</v>
      </c>
      <c r="AD87" s="264"/>
      <c r="AE87" s="258">
        <v>65985</v>
      </c>
      <c r="AF87" s="264"/>
      <c r="AG87" s="258">
        <v>65268</v>
      </c>
      <c r="AH87" s="264"/>
      <c r="AI87" s="258">
        <v>66653</v>
      </c>
      <c r="AJ87" s="264"/>
      <c r="AK87" s="258">
        <v>62782</v>
      </c>
      <c r="AL87" s="264"/>
      <c r="AM87" s="258">
        <v>63070</v>
      </c>
      <c r="AN87" s="264"/>
      <c r="AO87" s="258">
        <v>62107</v>
      </c>
      <c r="AP87" s="264"/>
      <c r="AQ87" s="258">
        <v>62637</v>
      </c>
      <c r="AR87" s="264"/>
      <c r="AS87" s="258">
        <v>33675</v>
      </c>
      <c r="AT87" s="264"/>
      <c r="AU87" s="258">
        <v>33458</v>
      </c>
      <c r="AV87" s="264"/>
      <c r="AW87" s="258">
        <v>33052</v>
      </c>
      <c r="AX87" s="264"/>
      <c r="AY87" s="258">
        <v>33205</v>
      </c>
      <c r="AZ87" s="264"/>
      <c r="BA87" s="258">
        <v>31054</v>
      </c>
      <c r="BB87" s="264"/>
    </row>
    <row r="88" spans="1:54">
      <c r="A88" s="252"/>
      <c r="B88" s="276" t="s">
        <v>331</v>
      </c>
      <c r="C88" s="262">
        <v>87476.178799999994</v>
      </c>
      <c r="D88" s="262"/>
      <c r="E88" s="262">
        <v>85613.011799999993</v>
      </c>
      <c r="F88" s="262"/>
      <c r="G88" s="262">
        <v>85495.609540000005</v>
      </c>
      <c r="H88" s="262"/>
      <c r="I88" s="262">
        <v>85481.013699999996</v>
      </c>
      <c r="J88" s="262"/>
      <c r="K88" s="262">
        <v>79901.205413660005</v>
      </c>
      <c r="L88" s="262"/>
      <c r="M88" s="262">
        <v>78494</v>
      </c>
      <c r="N88" s="262"/>
      <c r="O88" s="262">
        <v>76866</v>
      </c>
      <c r="P88" s="262"/>
      <c r="Q88" s="262">
        <v>77352</v>
      </c>
      <c r="R88" s="262"/>
      <c r="S88" s="262">
        <v>72377</v>
      </c>
      <c r="T88" s="262"/>
      <c r="U88" s="262">
        <v>71497</v>
      </c>
      <c r="V88" s="262"/>
      <c r="W88" s="262">
        <v>70251</v>
      </c>
      <c r="X88" s="262"/>
      <c r="Y88" s="262">
        <v>70645</v>
      </c>
      <c r="Z88" s="262"/>
      <c r="AA88" s="262">
        <v>66110</v>
      </c>
      <c r="AB88" s="277"/>
      <c r="AC88" s="262">
        <v>65985</v>
      </c>
      <c r="AD88" s="277"/>
      <c r="AE88" s="262">
        <v>65268</v>
      </c>
      <c r="AF88" s="277"/>
      <c r="AG88" s="262">
        <v>66653</v>
      </c>
      <c r="AH88" s="277"/>
      <c r="AI88" s="262">
        <v>62782</v>
      </c>
      <c r="AJ88" s="277"/>
      <c r="AK88" s="262">
        <v>63070</v>
      </c>
      <c r="AL88" s="277"/>
      <c r="AM88" s="262">
        <v>62107</v>
      </c>
      <c r="AN88" s="277"/>
      <c r="AO88" s="262">
        <v>62637</v>
      </c>
      <c r="AP88" s="277"/>
      <c r="AQ88" s="262">
        <v>33675</v>
      </c>
      <c r="AR88" s="277"/>
      <c r="AS88" s="262">
        <v>33458</v>
      </c>
      <c r="AT88" s="277"/>
      <c r="AU88" s="262">
        <v>33052</v>
      </c>
      <c r="AV88" s="277"/>
      <c r="AW88" s="262">
        <v>33205</v>
      </c>
      <c r="AX88" s="277"/>
      <c r="AY88" s="262">
        <v>31054</v>
      </c>
      <c r="AZ88" s="277"/>
      <c r="BA88" s="262">
        <v>0</v>
      </c>
      <c r="BB88" s="277"/>
    </row>
    <row r="89" spans="1:54">
      <c r="A89" s="252"/>
      <c r="B89" s="255" t="s">
        <v>332</v>
      </c>
      <c r="C89" s="258">
        <v>5074.5523353400495</v>
      </c>
      <c r="D89" s="258"/>
      <c r="E89" s="258">
        <v>1863.1670000000013</v>
      </c>
      <c r="F89" s="258"/>
      <c r="G89" s="258">
        <v>117.40225999998802</v>
      </c>
      <c r="H89" s="258"/>
      <c r="I89" s="258">
        <v>14.595800000000001</v>
      </c>
      <c r="J89" s="258"/>
      <c r="K89" s="258">
        <v>5579.8083360899909</v>
      </c>
      <c r="L89" s="258"/>
      <c r="M89" s="258">
        <v>1407</v>
      </c>
      <c r="N89" s="258"/>
      <c r="O89" s="258">
        <v>1627</v>
      </c>
      <c r="P89" s="258"/>
      <c r="Q89" s="258">
        <v>-486</v>
      </c>
      <c r="R89" s="258"/>
      <c r="S89" s="258">
        <v>4975</v>
      </c>
      <c r="T89" s="258"/>
      <c r="U89" s="258">
        <v>881</v>
      </c>
      <c r="V89" s="258"/>
      <c r="W89" s="258">
        <v>1246</v>
      </c>
      <c r="X89" s="258"/>
      <c r="Y89" s="258">
        <v>-393</v>
      </c>
      <c r="Z89" s="258"/>
      <c r="AA89" s="258">
        <v>4535</v>
      </c>
      <c r="AB89" s="264"/>
      <c r="AC89" s="258">
        <v>124</v>
      </c>
      <c r="AD89" s="264"/>
      <c r="AE89" s="258">
        <v>718</v>
      </c>
      <c r="AF89" s="264"/>
      <c r="AG89" s="258">
        <v>-1385</v>
      </c>
      <c r="AH89" s="264"/>
      <c r="AI89" s="258">
        <v>3871</v>
      </c>
      <c r="AJ89" s="264"/>
      <c r="AK89" s="258">
        <v>-289</v>
      </c>
      <c r="AL89" s="264"/>
      <c r="AM89" s="258">
        <v>964</v>
      </c>
      <c r="AN89" s="264"/>
      <c r="AO89" s="258">
        <v>-530</v>
      </c>
      <c r="AP89" s="264"/>
      <c r="AQ89" s="258">
        <v>28962</v>
      </c>
      <c r="AR89" s="264"/>
      <c r="AS89" s="258">
        <v>216</v>
      </c>
      <c r="AT89" s="264"/>
      <c r="AU89" s="258">
        <v>406</v>
      </c>
      <c r="AV89" s="264"/>
      <c r="AW89" s="258">
        <v>-153</v>
      </c>
      <c r="AX89" s="264"/>
      <c r="AY89" s="258">
        <v>2151</v>
      </c>
      <c r="AZ89" s="264"/>
      <c r="BA89" s="258">
        <v>31054</v>
      </c>
      <c r="BB89" s="264"/>
    </row>
    <row r="90" spans="1:54">
      <c r="A90" s="252"/>
      <c r="B90" s="256" t="s">
        <v>333</v>
      </c>
      <c r="C90" s="258">
        <v>87476.178799999994</v>
      </c>
      <c r="D90" s="258"/>
      <c r="E90" s="258">
        <v>85613.011799999993</v>
      </c>
      <c r="F90" s="258"/>
      <c r="G90" s="258">
        <v>85495.609540000005</v>
      </c>
      <c r="H90" s="258"/>
      <c r="I90" s="258">
        <v>85481.013699999996</v>
      </c>
      <c r="J90" s="258"/>
      <c r="K90" s="258">
        <v>79901.205413660005</v>
      </c>
      <c r="L90" s="258"/>
      <c r="M90" s="258">
        <v>78494</v>
      </c>
      <c r="N90" s="258"/>
      <c r="O90" s="258">
        <v>76866</v>
      </c>
      <c r="P90" s="258"/>
      <c r="Q90" s="258">
        <v>77352</v>
      </c>
      <c r="R90" s="258"/>
      <c r="S90" s="258">
        <v>72377</v>
      </c>
      <c r="T90" s="258"/>
      <c r="U90" s="258">
        <v>71497</v>
      </c>
      <c r="V90" s="258"/>
      <c r="W90" s="258">
        <v>70251</v>
      </c>
      <c r="X90" s="258"/>
      <c r="Y90" s="258">
        <v>70645</v>
      </c>
      <c r="Z90" s="258"/>
      <c r="AA90" s="258">
        <v>66110</v>
      </c>
      <c r="AB90" s="264"/>
      <c r="AC90" s="258">
        <v>65985</v>
      </c>
      <c r="AD90" s="264"/>
      <c r="AE90" s="258">
        <v>65268</v>
      </c>
      <c r="AF90" s="264"/>
      <c r="AG90" s="258">
        <v>66653</v>
      </c>
      <c r="AH90" s="264"/>
      <c r="AI90" s="258">
        <v>62782</v>
      </c>
      <c r="AJ90" s="264"/>
      <c r="AK90" s="258">
        <v>63070</v>
      </c>
      <c r="AL90" s="264"/>
      <c r="AM90" s="258">
        <v>62107</v>
      </c>
      <c r="AN90" s="264"/>
      <c r="AO90" s="258">
        <v>62637</v>
      </c>
      <c r="AP90" s="264"/>
      <c r="AQ90" s="258">
        <v>33675</v>
      </c>
      <c r="AR90" s="264"/>
      <c r="AS90" s="258">
        <v>33458</v>
      </c>
      <c r="AT90" s="264"/>
      <c r="AU90" s="258">
        <v>33052</v>
      </c>
      <c r="AV90" s="264"/>
      <c r="AW90" s="258">
        <v>33205</v>
      </c>
      <c r="AX90" s="264"/>
      <c r="AY90" s="258">
        <v>31054</v>
      </c>
      <c r="AZ90" s="264"/>
      <c r="BA90" s="258">
        <v>0</v>
      </c>
      <c r="BB90" s="264"/>
    </row>
    <row r="91" spans="1:54" ht="13.5" thickBot="1">
      <c r="A91" s="321" t="s">
        <v>348</v>
      </c>
      <c r="B91" s="268" t="s">
        <v>334</v>
      </c>
      <c r="C91" s="269">
        <v>5.8010676791703318E-2</v>
      </c>
      <c r="D91" s="269"/>
      <c r="E91" s="269">
        <v>2.1762661549070764E-2</v>
      </c>
      <c r="F91" s="269"/>
      <c r="G91" s="269">
        <v>1.3731963621483997E-3</v>
      </c>
      <c r="H91" s="269"/>
      <c r="I91" s="269">
        <v>2.0000000000000001E-4</v>
      </c>
      <c r="J91" s="269"/>
      <c r="K91" s="269">
        <v>6.983384427309354E-2</v>
      </c>
      <c r="L91" s="269"/>
      <c r="M91" s="269">
        <v>1.7999999999999999E-2</v>
      </c>
      <c r="N91" s="269"/>
      <c r="O91" s="269">
        <v>2.1000000000000001E-2</v>
      </c>
      <c r="P91" s="269"/>
      <c r="Q91" s="269">
        <v>-6.0000000000000001E-3</v>
      </c>
      <c r="R91" s="269"/>
      <c r="S91" s="269">
        <v>6.9000000000000006E-2</v>
      </c>
      <c r="T91" s="269"/>
      <c r="U91" s="269">
        <v>1.2E-2</v>
      </c>
      <c r="V91" s="269"/>
      <c r="W91" s="269">
        <v>1.7999999999999999E-2</v>
      </c>
      <c r="X91" s="269"/>
      <c r="Y91" s="269">
        <v>-6.0000000000000001E-3</v>
      </c>
      <c r="Z91" s="269"/>
      <c r="AA91" s="269">
        <v>6.9000000000000006E-2</v>
      </c>
      <c r="AB91" s="271"/>
      <c r="AC91" s="269">
        <v>2E-3</v>
      </c>
      <c r="AD91" s="271"/>
      <c r="AE91" s="269">
        <v>1.0999999999999999E-2</v>
      </c>
      <c r="AF91" s="271"/>
      <c r="AG91" s="269">
        <v>-2.1000000000000001E-2</v>
      </c>
      <c r="AH91" s="271"/>
      <c r="AI91" s="269">
        <v>6.2E-2</v>
      </c>
      <c r="AJ91" s="271"/>
      <c r="AK91" s="269">
        <v>-5.0000000000000001E-3</v>
      </c>
      <c r="AL91" s="271"/>
      <c r="AM91" s="269">
        <v>1.6E-2</v>
      </c>
      <c r="AN91" s="271"/>
      <c r="AO91" s="269">
        <v>-8.0000000000000002E-3</v>
      </c>
      <c r="AP91" s="271"/>
      <c r="AQ91" s="269">
        <v>0.86</v>
      </c>
      <c r="AR91" s="271"/>
      <c r="AS91" s="269">
        <v>6.0000000000000001E-3</v>
      </c>
      <c r="AT91" s="271"/>
      <c r="AU91" s="269">
        <v>1.2E-2</v>
      </c>
      <c r="AV91" s="271"/>
      <c r="AW91" s="269">
        <v>-5.0000000000000001E-3</v>
      </c>
      <c r="AX91" s="271"/>
      <c r="AY91" s="269">
        <v>6.9000000000000006E-2</v>
      </c>
      <c r="AZ91" s="271"/>
      <c r="BA91" s="269"/>
      <c r="BB91" s="271"/>
    </row>
    <row r="92" spans="1:54">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row>
    <row r="93" spans="1:54">
      <c r="A93" s="252"/>
      <c r="B93" s="255"/>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row>
    <row r="94" spans="1:54">
      <c r="A94" s="252"/>
      <c r="B94" s="255" t="s">
        <v>1</v>
      </c>
      <c r="C94" s="258">
        <v>155242.86618750019</v>
      </c>
      <c r="D94" s="258"/>
      <c r="E94" s="258">
        <v>150118.14197999999</v>
      </c>
      <c r="F94" s="258"/>
      <c r="G94" s="258">
        <v>146073.80200999998</v>
      </c>
      <c r="H94" s="258"/>
      <c r="I94" s="258">
        <v>148898.13930000001</v>
      </c>
      <c r="J94" s="258"/>
      <c r="K94" s="258">
        <v>147197.40538354</v>
      </c>
      <c r="L94" s="258"/>
      <c r="M94" s="258">
        <v>143586</v>
      </c>
      <c r="N94" s="258"/>
      <c r="O94" s="258">
        <v>134782.94005149015</v>
      </c>
      <c r="P94" s="258"/>
      <c r="Q94" s="258">
        <v>136568.11884102001</v>
      </c>
      <c r="R94" s="258"/>
      <c r="S94" s="258">
        <v>130854.10594534002</v>
      </c>
      <c r="T94" s="258"/>
      <c r="U94" s="258">
        <v>126291.54656699001</v>
      </c>
      <c r="V94" s="258"/>
      <c r="W94" s="258">
        <v>123471.57226353404</v>
      </c>
      <c r="X94" s="258"/>
      <c r="Y94" s="258">
        <v>121318.88338399999</v>
      </c>
      <c r="Z94" s="258"/>
      <c r="AA94" s="258">
        <v>119591.87386200001</v>
      </c>
      <c r="AB94" s="264"/>
      <c r="AC94" s="258">
        <v>114088.20773600001</v>
      </c>
      <c r="AD94" s="264"/>
      <c r="AE94" s="258">
        <v>108321.32653799999</v>
      </c>
      <c r="AF94" s="264"/>
      <c r="AG94" s="258">
        <v>106311.634504</v>
      </c>
      <c r="AH94" s="264"/>
      <c r="AI94" s="258">
        <v>107652.02759400001</v>
      </c>
      <c r="AJ94" s="264"/>
      <c r="AK94" s="258">
        <v>101861.10500000003</v>
      </c>
      <c r="AL94" s="264"/>
      <c r="AM94" s="258">
        <v>101241.63347000002</v>
      </c>
      <c r="AN94" s="264"/>
      <c r="AO94" s="258">
        <v>99719.943000000014</v>
      </c>
      <c r="AP94" s="264"/>
      <c r="AQ94" s="258">
        <v>100882.75</v>
      </c>
      <c r="AR94" s="264"/>
      <c r="AS94" s="258">
        <v>57184.580000000009</v>
      </c>
      <c r="AT94" s="264"/>
      <c r="AU94" s="258">
        <v>55970</v>
      </c>
      <c r="AV94" s="264"/>
      <c r="AW94" s="258">
        <v>54500.600000000006</v>
      </c>
      <c r="AX94" s="264"/>
      <c r="AY94" s="258">
        <v>53558.399999999994</v>
      </c>
      <c r="AZ94" s="258"/>
      <c r="BA94" s="258">
        <v>51101</v>
      </c>
      <c r="BB94" s="263"/>
    </row>
    <row r="95" spans="1:54">
      <c r="A95" s="252"/>
      <c r="B95" s="255" t="s">
        <v>181</v>
      </c>
      <c r="C95" s="258">
        <v>150478.27005916671</v>
      </c>
      <c r="D95" s="258"/>
      <c r="E95" s="258">
        <v>148095.97199499997</v>
      </c>
      <c r="F95" s="258"/>
      <c r="G95" s="258">
        <v>144107.59548683002</v>
      </c>
      <c r="H95" s="258"/>
      <c r="I95" s="258">
        <v>143616.04389999999</v>
      </c>
      <c r="J95" s="258"/>
      <c r="K95" s="258">
        <v>141855.34537805003</v>
      </c>
      <c r="L95" s="258"/>
      <c r="M95" s="258">
        <v>139184</v>
      </c>
      <c r="N95" s="258"/>
      <c r="O95" s="258">
        <v>130393.65673367486</v>
      </c>
      <c r="P95" s="258"/>
      <c r="Q95" s="258">
        <v>129296.33590422102</v>
      </c>
      <c r="R95" s="258"/>
      <c r="S95" s="258">
        <v>126872.40825862135</v>
      </c>
      <c r="T95" s="258"/>
      <c r="U95" s="258">
        <v>124881.55941526202</v>
      </c>
      <c r="V95" s="258"/>
      <c r="W95" s="258">
        <f>(W94+AC94+Y94+AA94+AE94)/5</f>
        <v>117358.37275670681</v>
      </c>
      <c r="X95" s="258"/>
      <c r="Y95" s="258">
        <f>(Y94+AC94++AA94+AE94)/4</f>
        <v>115830.07287999999</v>
      </c>
      <c r="Z95" s="258"/>
      <c r="AA95" s="258">
        <f>(AA94+AC94+AE94)/3</f>
        <v>114000.46937866668</v>
      </c>
      <c r="AB95" s="258"/>
      <c r="AC95" s="258">
        <v>111204.767137</v>
      </c>
      <c r="AD95" s="258"/>
      <c r="AE95" s="258">
        <v>105077.54542120002</v>
      </c>
      <c r="AF95" s="264"/>
      <c r="AG95" s="258">
        <v>104266.60014200001</v>
      </c>
      <c r="AH95" s="264"/>
      <c r="AI95" s="258">
        <v>103584.92202133335</v>
      </c>
      <c r="AJ95" s="264"/>
      <c r="AK95" s="258">
        <v>101551.36923500002</v>
      </c>
      <c r="AL95" s="264"/>
      <c r="AM95" s="258">
        <v>82999.781294000015</v>
      </c>
      <c r="AN95" s="264"/>
      <c r="AO95" s="258">
        <v>78439.318250000011</v>
      </c>
      <c r="AP95" s="264"/>
      <c r="AQ95" s="258">
        <f>(AQ94+AS94+AU94)/3</f>
        <v>71345.776666666672</v>
      </c>
      <c r="AR95" s="264"/>
      <c r="AS95" s="258">
        <f>(AS94+AU94)/2</f>
        <v>56577.290000000008</v>
      </c>
      <c r="AT95" s="264"/>
      <c r="AU95" s="258">
        <f>(AU94+AW94+AY94+BA94+BC15)/5</f>
        <v>43026</v>
      </c>
      <c r="AV95" s="264"/>
      <c r="AW95" s="258">
        <f>(AW94+AY94+BA94+49934)/4</f>
        <v>52273.5</v>
      </c>
      <c r="AX95" s="264"/>
      <c r="AY95" s="258">
        <f>(AY94+BA94+49934)/3</f>
        <v>51531.133333333331</v>
      </c>
      <c r="AZ95" s="258"/>
      <c r="BA95" s="258">
        <f>(BA94+49934)/2</f>
        <v>50517.5</v>
      </c>
      <c r="BB95" s="263"/>
    </row>
    <row r="96" spans="1:54">
      <c r="A96" s="252"/>
      <c r="B96" s="255" t="s">
        <v>182</v>
      </c>
      <c r="C96" s="258"/>
      <c r="D96" s="258">
        <v>150658.33409875009</v>
      </c>
      <c r="E96" s="258"/>
      <c r="F96" s="258">
        <v>148095.97199499997</v>
      </c>
      <c r="G96" s="258"/>
      <c r="H96" s="258">
        <v>147485.97064999997</v>
      </c>
      <c r="I96" s="258"/>
      <c r="J96" s="258">
        <v>148047.77230000001</v>
      </c>
      <c r="K96" s="258"/>
      <c r="L96" s="258">
        <v>145391.54804133001</v>
      </c>
      <c r="M96" s="258"/>
      <c r="N96" s="258">
        <v>139184</v>
      </c>
      <c r="O96" s="258"/>
      <c r="P96" s="258">
        <v>135675.52944625507</v>
      </c>
      <c r="Q96" s="258"/>
      <c r="R96" s="258">
        <v>133711.11239318002</v>
      </c>
      <c r="S96" s="258"/>
      <c r="T96" s="258"/>
      <c r="U96" s="258"/>
      <c r="V96" s="258">
        <v>61735.786131767018</v>
      </c>
      <c r="W96" s="258"/>
      <c r="X96" s="258">
        <f>(W94+Y94)/2</f>
        <v>122395.22782376701</v>
      </c>
      <c r="Y96" s="258"/>
      <c r="Z96" s="258">
        <f>(Y94+AA94)/2</f>
        <v>120455.378623</v>
      </c>
      <c r="AA96" s="258"/>
      <c r="AB96" s="258">
        <v>111204.767137</v>
      </c>
      <c r="AC96" s="258"/>
      <c r="AD96" s="258">
        <v>111204.767137</v>
      </c>
      <c r="AE96" s="264"/>
      <c r="AF96" s="258">
        <v>107316.48052099999</v>
      </c>
      <c r="AG96" s="258"/>
      <c r="AH96" s="258">
        <v>106981.831049</v>
      </c>
      <c r="AI96" s="258"/>
      <c r="AJ96" s="258">
        <v>104756.56629700001</v>
      </c>
      <c r="AK96" s="258"/>
      <c r="AL96" s="258">
        <v>101551.36923500002</v>
      </c>
      <c r="AM96" s="258"/>
      <c r="AN96" s="258">
        <v>100480.78823500001</v>
      </c>
      <c r="AO96" s="258"/>
      <c r="AP96" s="258">
        <v>100301.34650000001</v>
      </c>
      <c r="AQ96" s="258"/>
      <c r="AR96" s="258">
        <f>(AQ94+AS94)/2</f>
        <v>79033.665000000008</v>
      </c>
      <c r="AS96" s="258"/>
      <c r="AT96" s="258">
        <f>(AS94+AU94)/2</f>
        <v>56577.290000000008</v>
      </c>
      <c r="AU96" s="258"/>
      <c r="AV96" s="258">
        <f>(AU94+AW94)/2</f>
        <v>55235.3</v>
      </c>
      <c r="AW96" s="264"/>
      <c r="AX96" s="258">
        <f>(AW94+AY94)/2</f>
        <v>54029.5</v>
      </c>
      <c r="AY96" s="264"/>
      <c r="AZ96" s="258">
        <f>(AY94+BA94)/2</f>
        <v>52329.7</v>
      </c>
      <c r="BA96" s="258"/>
      <c r="BB96" s="258">
        <f>(BA94+49934)/2</f>
        <v>50517.5</v>
      </c>
    </row>
    <row r="97" spans="1:54">
      <c r="A97" s="252"/>
      <c r="B97" s="255"/>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58"/>
      <c r="AH97" s="264"/>
      <c r="AI97" s="258"/>
      <c r="AJ97" s="264"/>
      <c r="AK97" s="258"/>
      <c r="AL97" s="264"/>
      <c r="AM97" s="258"/>
      <c r="AN97" s="264"/>
      <c r="AO97" s="258"/>
      <c r="AP97" s="264"/>
      <c r="AQ97" s="258"/>
      <c r="AR97" s="264"/>
      <c r="AS97" s="258"/>
      <c r="AT97" s="264"/>
      <c r="AU97" s="258"/>
      <c r="AV97" s="264"/>
      <c r="AW97" s="264"/>
      <c r="AX97" s="264"/>
      <c r="AY97" s="264"/>
      <c r="AZ97" s="264"/>
      <c r="BA97" s="264"/>
      <c r="BB97" s="264"/>
    </row>
    <row r="98" spans="1:54">
      <c r="A98" s="252"/>
      <c r="B98" s="255" t="s">
        <v>1</v>
      </c>
      <c r="C98" s="258">
        <v>155242.86618750019</v>
      </c>
      <c r="D98" s="258"/>
      <c r="E98" s="258">
        <v>150118.14197999999</v>
      </c>
      <c r="F98" s="258"/>
      <c r="G98" s="258">
        <v>146073.80200999998</v>
      </c>
      <c r="H98" s="258"/>
      <c r="I98" s="258">
        <v>148898.13930000001</v>
      </c>
      <c r="J98" s="258"/>
      <c r="K98" s="258">
        <v>147197.40538354</v>
      </c>
      <c r="L98" s="258"/>
      <c r="M98" s="258">
        <v>143586</v>
      </c>
      <c r="N98" s="258"/>
      <c r="O98" s="258">
        <v>134782.94005149015</v>
      </c>
      <c r="P98" s="258"/>
      <c r="Q98" s="258">
        <v>136568.11884102001</v>
      </c>
      <c r="R98" s="258"/>
      <c r="S98" s="258">
        <f>+S94</f>
        <v>130854.10594534002</v>
      </c>
      <c r="T98" s="258"/>
      <c r="U98" s="258">
        <v>126291.54656699001</v>
      </c>
      <c r="V98" s="258"/>
      <c r="W98" s="258">
        <f>+W94</f>
        <v>123471.57226353404</v>
      </c>
      <c r="X98" s="258"/>
      <c r="Y98" s="258">
        <f>+Y94</f>
        <v>121318.88338399999</v>
      </c>
      <c r="Z98" s="258"/>
      <c r="AA98" s="258">
        <f>AA94</f>
        <v>119591.87386200001</v>
      </c>
      <c r="AB98" s="264"/>
      <c r="AC98" s="258">
        <f>AC94</f>
        <v>114088.20773600001</v>
      </c>
      <c r="AD98" s="264"/>
      <c r="AE98" s="258">
        <f>AE94</f>
        <v>108321.32653799999</v>
      </c>
      <c r="AF98" s="264"/>
      <c r="AG98" s="258">
        <f>AG94</f>
        <v>106311.634504</v>
      </c>
      <c r="AH98" s="264"/>
      <c r="AI98" s="258">
        <f>AI94</f>
        <v>107652.02759400001</v>
      </c>
      <c r="AJ98" s="264"/>
      <c r="AK98" s="258">
        <f>AK94</f>
        <v>101861.10500000003</v>
      </c>
      <c r="AL98" s="264"/>
      <c r="AM98" s="258">
        <f>AM94</f>
        <v>101241.63347000002</v>
      </c>
      <c r="AN98" s="264"/>
      <c r="AO98" s="258">
        <f>AO94</f>
        <v>99719.943000000014</v>
      </c>
      <c r="AP98" s="264"/>
      <c r="AQ98" s="258">
        <f>AQ94</f>
        <v>100882.75</v>
      </c>
      <c r="AR98" s="264"/>
      <c r="AS98" s="258">
        <f>AS94</f>
        <v>57184.580000000009</v>
      </c>
      <c r="AT98" s="264"/>
      <c r="AU98" s="258">
        <f>AU94</f>
        <v>55970</v>
      </c>
      <c r="AV98" s="264"/>
      <c r="AW98" s="258">
        <f>AW94</f>
        <v>54500.600000000006</v>
      </c>
      <c r="AX98" s="264"/>
      <c r="AY98" s="258">
        <f>AY94</f>
        <v>53558.399999999994</v>
      </c>
      <c r="AZ98" s="264"/>
      <c r="BA98" s="258">
        <f>BA94</f>
        <v>51101</v>
      </c>
      <c r="BB98" s="264"/>
    </row>
    <row r="99" spans="1:54">
      <c r="A99" s="252"/>
      <c r="B99" s="272" t="s">
        <v>146</v>
      </c>
      <c r="C99" s="258">
        <v>48162.76504868998</v>
      </c>
      <c r="D99" s="258"/>
      <c r="E99" s="258">
        <v>47522.061958350001</v>
      </c>
      <c r="F99" s="258"/>
      <c r="G99" s="258">
        <v>46872.051399999997</v>
      </c>
      <c r="H99" s="258"/>
      <c r="I99" s="258">
        <v>46153.341399999998</v>
      </c>
      <c r="J99" s="258"/>
      <c r="K99" s="258">
        <v>44559.051670249995</v>
      </c>
      <c r="L99" s="258"/>
      <c r="M99" s="258">
        <v>44020</v>
      </c>
      <c r="N99" s="258"/>
      <c r="O99" s="258">
        <v>42630.288198770002</v>
      </c>
      <c r="P99" s="258"/>
      <c r="Q99" s="258">
        <v>42243.659336410004</v>
      </c>
      <c r="R99" s="258"/>
      <c r="S99" s="258">
        <f>+S37</f>
        <v>41438.065000000002</v>
      </c>
      <c r="T99" s="258"/>
      <c r="U99" s="258">
        <v>40919.316098639996</v>
      </c>
      <c r="V99" s="258"/>
      <c r="W99" s="258">
        <f>+W37</f>
        <v>39791.910470000003</v>
      </c>
      <c r="X99" s="258"/>
      <c r="Y99" s="258">
        <f>+Y37</f>
        <v>38414.786999999997</v>
      </c>
      <c r="Z99" s="258"/>
      <c r="AA99" s="258">
        <f>+AA37</f>
        <v>37943.764000000003</v>
      </c>
      <c r="AB99" s="264"/>
      <c r="AC99" s="258">
        <f>+AC37</f>
        <v>38009.275000000001</v>
      </c>
      <c r="AD99" s="264"/>
      <c r="AE99" s="258">
        <f>+AE37</f>
        <v>37451.131987000001</v>
      </c>
      <c r="AF99" s="264"/>
      <c r="AG99" s="258">
        <f>+AG37</f>
        <v>36650.008250999999</v>
      </c>
      <c r="AH99" s="264"/>
      <c r="AI99" s="258">
        <f>+AI37</f>
        <v>35532.226698999999</v>
      </c>
      <c r="AJ99" s="264"/>
      <c r="AK99" s="258">
        <f>+AK37</f>
        <v>35521.066979000003</v>
      </c>
      <c r="AL99" s="264"/>
      <c r="AM99" s="258">
        <f>+AM37</f>
        <v>35197.497000000003</v>
      </c>
      <c r="AN99" s="264"/>
      <c r="AO99" s="258">
        <f>+AO37</f>
        <v>35129.561126999994</v>
      </c>
      <c r="AP99" s="264"/>
      <c r="AQ99" s="258">
        <f>+AQ37</f>
        <v>34766.900999999998</v>
      </c>
      <c r="AR99" s="264"/>
      <c r="AS99" s="258">
        <f>+AS37</f>
        <v>17288.619168000001</v>
      </c>
      <c r="AT99" s="264"/>
      <c r="AU99" s="258">
        <f>+AU37</f>
        <v>16796.622458000002</v>
      </c>
      <c r="AV99" s="264"/>
      <c r="AW99" s="258">
        <f>+AW37</f>
        <v>16076.098374450001</v>
      </c>
      <c r="AX99" s="264"/>
      <c r="AY99" s="258">
        <f>+AY37</f>
        <v>15329.815615</v>
      </c>
      <c r="AZ99" s="264"/>
      <c r="BA99" s="258">
        <f>+BA37</f>
        <v>15533.628225</v>
      </c>
      <c r="BB99" s="264"/>
    </row>
    <row r="100" spans="1:54">
      <c r="A100" s="252"/>
      <c r="B100" s="272" t="s">
        <v>147</v>
      </c>
      <c r="C100" s="258">
        <v>995.63519871999995</v>
      </c>
      <c r="D100" s="258"/>
      <c r="E100" s="258">
        <v>1007.48431772</v>
      </c>
      <c r="F100" s="258"/>
      <c r="G100" s="258">
        <v>1018.1911</v>
      </c>
      <c r="H100" s="258"/>
      <c r="I100" s="258">
        <v>1215.4574</v>
      </c>
      <c r="J100" s="258"/>
      <c r="K100" s="258">
        <v>1015.88665297</v>
      </c>
      <c r="L100" s="258"/>
      <c r="M100" s="258">
        <v>1015</v>
      </c>
      <c r="N100" s="258"/>
      <c r="O100" s="258">
        <v>1022.4164379700001</v>
      </c>
      <c r="P100" s="258"/>
      <c r="Q100" s="258">
        <v>1028.9756779700001</v>
      </c>
      <c r="R100" s="258"/>
      <c r="S100" s="258">
        <f>+S38</f>
        <v>1230.3109999999999</v>
      </c>
      <c r="T100" s="258"/>
      <c r="U100" s="258">
        <v>1415.1529349700002</v>
      </c>
      <c r="V100" s="258"/>
      <c r="W100" s="258">
        <f>+W38</f>
        <v>1432.9786079999999</v>
      </c>
      <c r="X100" s="258"/>
      <c r="Y100" s="258">
        <f>+Y38</f>
        <v>1478.806</v>
      </c>
      <c r="Z100" s="258"/>
      <c r="AA100" s="258">
        <f>+AA38</f>
        <v>1508.4760000000001</v>
      </c>
      <c r="AB100" s="264"/>
      <c r="AC100" s="258">
        <f>+AC38</f>
        <v>1605.809</v>
      </c>
      <c r="AD100" s="264"/>
      <c r="AE100" s="258">
        <f>+AE38</f>
        <v>1623.794453</v>
      </c>
      <c r="AF100" s="264"/>
      <c r="AG100" s="258">
        <f>+AG38</f>
        <v>1324.1435019999999</v>
      </c>
      <c r="AH100" s="264"/>
      <c r="AI100" s="258">
        <f>+AI38</f>
        <v>1333.118905</v>
      </c>
      <c r="AJ100" s="264"/>
      <c r="AK100" s="258">
        <f>+AK38</f>
        <v>1278.919551</v>
      </c>
      <c r="AL100" s="264"/>
      <c r="AM100" s="258">
        <f>+AM38</f>
        <v>1307.7759999999998</v>
      </c>
      <c r="AN100" s="264"/>
      <c r="AO100" s="258">
        <f>+AO38</f>
        <v>1159.912239</v>
      </c>
      <c r="AP100" s="264"/>
      <c r="AQ100" s="258">
        <f>+AQ38</f>
        <v>1169.7469999999998</v>
      </c>
      <c r="AR100" s="264"/>
      <c r="AS100" s="258">
        <f>+AS38</f>
        <v>560.18392900000003</v>
      </c>
      <c r="AT100" s="264"/>
      <c r="AU100" s="258">
        <f>+AU38</f>
        <v>564.16929500000003</v>
      </c>
      <c r="AV100" s="264"/>
      <c r="AW100" s="258">
        <f>+AW38</f>
        <v>568.14836700000001</v>
      </c>
      <c r="AX100" s="264"/>
      <c r="AY100" s="258">
        <f>+AY38</f>
        <v>574.10100399999999</v>
      </c>
      <c r="AZ100" s="264"/>
      <c r="BA100" s="258">
        <f>+BA38</f>
        <v>601.47104200000001</v>
      </c>
      <c r="BB100" s="264"/>
    </row>
    <row r="101" spans="1:54" ht="13.5" thickBot="1">
      <c r="A101" s="321" t="s">
        <v>349</v>
      </c>
      <c r="B101" s="268" t="s">
        <v>183</v>
      </c>
      <c r="C101" s="274">
        <v>204401.26643491015</v>
      </c>
      <c r="D101" s="274"/>
      <c r="E101" s="274">
        <v>198647.68825606999</v>
      </c>
      <c r="F101" s="274"/>
      <c r="G101" s="274">
        <v>193964.04450999998</v>
      </c>
      <c r="H101" s="274"/>
      <c r="I101" s="274">
        <v>196266.9381</v>
      </c>
      <c r="J101" s="274"/>
      <c r="K101" s="274">
        <v>192772.34370675997</v>
      </c>
      <c r="L101" s="274"/>
      <c r="M101" s="274">
        <v>188621</v>
      </c>
      <c r="N101" s="274"/>
      <c r="O101" s="274">
        <v>178435.64468823015</v>
      </c>
      <c r="P101" s="274"/>
      <c r="Q101" s="274">
        <v>179840.75385540002</v>
      </c>
      <c r="R101" s="274"/>
      <c r="S101" s="274">
        <f>+S98+S99+S100</f>
        <v>173522.48194534</v>
      </c>
      <c r="T101" s="274"/>
      <c r="U101" s="274">
        <f>+U98+U99+U100</f>
        <v>168626.01560060002</v>
      </c>
      <c r="V101" s="274"/>
      <c r="W101" s="274">
        <f>+W98+W99+W100</f>
        <v>164696.46134153404</v>
      </c>
      <c r="X101" s="274"/>
      <c r="Y101" s="274">
        <f>+Y98+Y99+Y100</f>
        <v>161212.47638400001</v>
      </c>
      <c r="Z101" s="274"/>
      <c r="AA101" s="274">
        <f>+AA98+AA99+AA100</f>
        <v>159044.113862</v>
      </c>
      <c r="AB101" s="275"/>
      <c r="AC101" s="274">
        <f>+AC98+AC99+AC100</f>
        <v>153703.29173600001</v>
      </c>
      <c r="AD101" s="275"/>
      <c r="AE101" s="274">
        <f>+AE98+AE99+AE100</f>
        <v>147396.252978</v>
      </c>
      <c r="AF101" s="275"/>
      <c r="AG101" s="274">
        <f>+AG98+AG99+AG100</f>
        <v>144285.786257</v>
      </c>
      <c r="AH101" s="275"/>
      <c r="AI101" s="274">
        <f>+AI98+AI99+AI100</f>
        <v>144517.37319800002</v>
      </c>
      <c r="AJ101" s="275"/>
      <c r="AK101" s="274">
        <f>+AK98+AK99+AK100</f>
        <v>138661.09153000003</v>
      </c>
      <c r="AL101" s="275"/>
      <c r="AM101" s="274">
        <f>+AM98+AM99+AM100</f>
        <v>137746.90647000005</v>
      </c>
      <c r="AN101" s="275"/>
      <c r="AO101" s="274">
        <f>+AO98+AO99+AO100</f>
        <v>136009.41636599999</v>
      </c>
      <c r="AP101" s="275"/>
      <c r="AQ101" s="274">
        <f>+AQ98+AQ99+AQ100</f>
        <v>136819.39800000002</v>
      </c>
      <c r="AR101" s="275"/>
      <c r="AS101" s="274">
        <f>+AS98+AS99+AS100</f>
        <v>75033.383097000013</v>
      </c>
      <c r="AT101" s="275"/>
      <c r="AU101" s="274">
        <f>+AU98+AU99+AU100</f>
        <v>73330.791752999998</v>
      </c>
      <c r="AV101" s="275"/>
      <c r="AW101" s="274">
        <f>+AW98+AW99+AW100</f>
        <v>71144.846741450005</v>
      </c>
      <c r="AX101" s="275"/>
      <c r="AY101" s="274">
        <f>+AY98+AY99+AY100</f>
        <v>69462.31661899999</v>
      </c>
      <c r="AZ101" s="275"/>
      <c r="BA101" s="274">
        <f>+BA98+BA99+BA100</f>
        <v>67236.099266999998</v>
      </c>
      <c r="BB101" s="275"/>
    </row>
    <row r="102" spans="1:54">
      <c r="A102" s="252"/>
      <c r="B102" s="255"/>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row>
    <row r="103" spans="1:54">
      <c r="A103" s="252"/>
      <c r="B103" s="282" t="s">
        <v>29</v>
      </c>
      <c r="C103" s="262">
        <v>-6.8160652800000117</v>
      </c>
      <c r="D103" s="262">
        <v>10.752738110000003</v>
      </c>
      <c r="E103" s="262">
        <v>-17.5688</v>
      </c>
      <c r="F103" s="262">
        <v>-17.5688</v>
      </c>
      <c r="G103" s="262">
        <v>329.65710000000001</v>
      </c>
      <c r="H103" s="262">
        <v>1.16577</v>
      </c>
      <c r="I103" s="262">
        <v>328.49</v>
      </c>
      <c r="J103" s="262">
        <v>46.61</v>
      </c>
      <c r="K103" s="262">
        <v>281.87739035999999</v>
      </c>
      <c r="L103" s="262">
        <v>130.44631705999998</v>
      </c>
      <c r="M103" s="262">
        <v>151</v>
      </c>
      <c r="N103" s="262">
        <v>151</v>
      </c>
      <c r="O103" s="262">
        <v>32.483665000000002</v>
      </c>
      <c r="P103" s="262">
        <v>32.809047120000002</v>
      </c>
      <c r="Q103" s="262">
        <v>-0.325382119999997</v>
      </c>
      <c r="R103" s="262">
        <v>24.456724880000003</v>
      </c>
      <c r="S103" s="262">
        <v>-24.782107</v>
      </c>
      <c r="T103" s="262"/>
      <c r="U103" s="262">
        <v>-32.898592000000001</v>
      </c>
      <c r="V103" s="262">
        <v>-32.898592000000001</v>
      </c>
      <c r="W103" s="262">
        <v>35.339551</v>
      </c>
      <c r="X103" s="262">
        <v>11.441641000000001</v>
      </c>
      <c r="Y103" s="262">
        <v>23.89791</v>
      </c>
      <c r="Z103" s="262">
        <v>11.929739999999999</v>
      </c>
      <c r="AA103" s="262">
        <v>11.968170000000001</v>
      </c>
      <c r="AB103" s="262">
        <v>7.1308810000000005</v>
      </c>
      <c r="AC103" s="262">
        <v>4.8372890000000002</v>
      </c>
      <c r="AD103" s="262">
        <v>4.8372890000000002</v>
      </c>
      <c r="AE103" s="262">
        <v>-20.143094999999999</v>
      </c>
      <c r="AF103" s="262">
        <v>-13</v>
      </c>
      <c r="AG103" s="262">
        <v>-6.5001689999999996</v>
      </c>
      <c r="AH103" s="262">
        <v>14.499831</v>
      </c>
      <c r="AI103" s="262">
        <v>-20.920946000000001</v>
      </c>
      <c r="AJ103" s="262">
        <v>5.2380539999999982</v>
      </c>
      <c r="AK103" s="262">
        <v>-26.158999999999999</v>
      </c>
      <c r="AL103" s="262">
        <v>-26.158999999999999</v>
      </c>
      <c r="AM103" s="262">
        <v>75.163342</v>
      </c>
      <c r="AN103" s="262"/>
      <c r="AO103" s="262">
        <v>32.571090560000002</v>
      </c>
      <c r="AP103" s="262">
        <v>3.3884404799999999</v>
      </c>
      <c r="AQ103" s="262">
        <v>29</v>
      </c>
      <c r="AR103" s="262">
        <v>20.2</v>
      </c>
      <c r="AS103" s="262">
        <v>8.9</v>
      </c>
      <c r="AT103" s="262">
        <v>8.9</v>
      </c>
      <c r="AU103" s="262">
        <v>55.8</v>
      </c>
      <c r="AV103" s="262">
        <v>17.799999999999997</v>
      </c>
      <c r="AW103" s="262">
        <v>38.1</v>
      </c>
      <c r="AX103" s="262">
        <v>-2</v>
      </c>
      <c r="AY103" s="262">
        <v>40</v>
      </c>
      <c r="AZ103" s="262">
        <v>35</v>
      </c>
      <c r="BA103" s="262">
        <v>5</v>
      </c>
      <c r="BB103" s="262">
        <v>5</v>
      </c>
    </row>
    <row r="104" spans="1:54">
      <c r="A104" s="252"/>
      <c r="B104" s="255" t="s">
        <v>184</v>
      </c>
      <c r="C104" s="258">
        <v>-13.745104017679582</v>
      </c>
      <c r="D104" s="258">
        <v>43.129114397252756</v>
      </c>
      <c r="E104" s="258">
        <v>-71.251244444444438</v>
      </c>
      <c r="F104" s="258">
        <v>-71.251244444444438</v>
      </c>
      <c r="G104" s="258">
        <v>329.65710000000001</v>
      </c>
      <c r="H104" s="258">
        <v>4.6377371739130435</v>
      </c>
      <c r="I104" s="258">
        <v>438.78590000000003</v>
      </c>
      <c r="J104" s="258">
        <v>185.42670000000001</v>
      </c>
      <c r="K104" s="258">
        <v>566.85233446021971</v>
      </c>
      <c r="L104" s="258">
        <v>524.65222026329661</v>
      </c>
      <c r="M104" s="258">
        <v>609</v>
      </c>
      <c r="N104" s="258">
        <v>609</v>
      </c>
      <c r="O104" s="258">
        <v>32.483665000000002</v>
      </c>
      <c r="P104" s="258">
        <v>130.1663282478261</v>
      </c>
      <c r="Q104" s="258">
        <v>-0.43503470256409854</v>
      </c>
      <c r="R104" s="258">
        <v>97.029397621739136</v>
      </c>
      <c r="S104" s="258">
        <v>-49.974967154696138</v>
      </c>
      <c r="T104" s="258"/>
      <c r="U104" s="258">
        <v>-133.42206755555554</v>
      </c>
      <c r="V104" s="258">
        <v>-133.42206755555554</v>
      </c>
      <c r="W104" s="258">
        <v>35.339551</v>
      </c>
      <c r="X104" s="258">
        <v>45.393467010869564</v>
      </c>
      <c r="Y104" s="258">
        <v>31.951418131868131</v>
      </c>
      <c r="Z104" s="258">
        <v>47.329946739130428</v>
      </c>
      <c r="AA104" s="258">
        <v>24.134707458563536</v>
      </c>
      <c r="AB104" s="258">
        <v>28.601885329670331</v>
      </c>
      <c r="AC104" s="258">
        <f t="shared" ref="AC104:BB104" si="41">AC103/AC8*$A$1</f>
        <v>19.617894277777779</v>
      </c>
      <c r="AD104" s="258">
        <f t="shared" si="41"/>
        <v>19.617894277777779</v>
      </c>
      <c r="AE104" s="258">
        <f t="shared" si="41"/>
        <v>-20.143094999999999</v>
      </c>
      <c r="AF104" s="258">
        <f t="shared" si="41"/>
        <v>-51.576086956521735</v>
      </c>
      <c r="AG104" s="258">
        <f t="shared" si="41"/>
        <v>-8.6907021428571429</v>
      </c>
      <c r="AH104" s="258">
        <f t="shared" si="41"/>
        <v>57.526503423913049</v>
      </c>
      <c r="AI104" s="258">
        <f t="shared" si="41"/>
        <v>-42.188648011049722</v>
      </c>
      <c r="AJ104" s="258">
        <f t="shared" si="41"/>
        <v>21.009777032967026</v>
      </c>
      <c r="AK104" s="258">
        <f t="shared" si="41"/>
        <v>-106.08927777777778</v>
      </c>
      <c r="AL104" s="258">
        <f t="shared" si="41"/>
        <v>-106.08927777777778</v>
      </c>
      <c r="AM104" s="258">
        <f t="shared" si="41"/>
        <v>74.957977677595622</v>
      </c>
      <c r="AN104" s="258">
        <f t="shared" si="41"/>
        <v>0</v>
      </c>
      <c r="AO104" s="258">
        <f t="shared" si="41"/>
        <v>43.38849654890511</v>
      </c>
      <c r="AP104" s="258">
        <f t="shared" si="41"/>
        <v>13.443269295652172</v>
      </c>
      <c r="AQ104" s="258">
        <f t="shared" si="41"/>
        <v>58.159340659340657</v>
      </c>
      <c r="AR104" s="258">
        <f t="shared" si="41"/>
        <v>81.021978021978015</v>
      </c>
      <c r="AS104" s="258">
        <f t="shared" si="41"/>
        <v>35.697802197802197</v>
      </c>
      <c r="AT104" s="258">
        <f t="shared" si="41"/>
        <v>35.697802197802197</v>
      </c>
      <c r="AU104" s="258">
        <f t="shared" si="41"/>
        <v>55.8</v>
      </c>
      <c r="AV104" s="258">
        <f t="shared" si="41"/>
        <v>70.619565217391298</v>
      </c>
      <c r="AW104" s="258">
        <f t="shared" si="41"/>
        <v>50.939560439560438</v>
      </c>
      <c r="AX104" s="258">
        <f t="shared" si="41"/>
        <v>-7.9347826086956523</v>
      </c>
      <c r="AY104" s="258">
        <f t="shared" si="41"/>
        <v>80.662983425414367</v>
      </c>
      <c r="AZ104" s="258">
        <f t="shared" si="41"/>
        <v>140.38461538461539</v>
      </c>
      <c r="BA104" s="258">
        <f t="shared" si="41"/>
        <v>20.277777777777775</v>
      </c>
      <c r="BB104" s="258">
        <f t="shared" si="41"/>
        <v>20.277777777777775</v>
      </c>
    </row>
    <row r="105" spans="1:54">
      <c r="A105" s="252"/>
      <c r="B105" s="255"/>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58"/>
      <c r="AG105" s="258"/>
      <c r="AH105" s="258"/>
      <c r="AI105" s="258"/>
      <c r="AJ105" s="258"/>
      <c r="AK105" s="258"/>
      <c r="AL105" s="258"/>
      <c r="AM105" s="264"/>
      <c r="AN105" s="258"/>
      <c r="AO105" s="258"/>
      <c r="AP105" s="258"/>
      <c r="AQ105" s="258"/>
      <c r="AR105" s="258"/>
      <c r="AS105" s="258"/>
      <c r="AT105" s="258"/>
      <c r="AU105" s="258"/>
      <c r="AV105" s="258"/>
      <c r="AW105" s="258"/>
      <c r="AX105" s="258"/>
      <c r="AY105" s="258"/>
      <c r="AZ105" s="258"/>
      <c r="BA105" s="258"/>
      <c r="BB105" s="258"/>
    </row>
    <row r="106" spans="1:54">
      <c r="A106" s="252"/>
      <c r="B106" s="255" t="s">
        <v>29</v>
      </c>
      <c r="C106" s="258">
        <v>-13.745104017679582</v>
      </c>
      <c r="D106" s="258">
        <v>43.129114397252756</v>
      </c>
      <c r="E106" s="258">
        <v>-71.251244444444438</v>
      </c>
      <c r="F106" s="258">
        <v>-71.251244444444438</v>
      </c>
      <c r="G106" s="258">
        <v>329.65710000000001</v>
      </c>
      <c r="H106" s="258">
        <v>4.6377371739130435</v>
      </c>
      <c r="I106" s="258">
        <v>438.78590000000003</v>
      </c>
      <c r="J106" s="258">
        <v>185.42670000000001</v>
      </c>
      <c r="K106" s="258">
        <v>566.85233446021971</v>
      </c>
      <c r="L106" s="258">
        <v>524.65222026329661</v>
      </c>
      <c r="M106" s="258">
        <v>609</v>
      </c>
      <c r="N106" s="258">
        <v>609</v>
      </c>
      <c r="O106" s="258">
        <v>32.483665000000002</v>
      </c>
      <c r="P106" s="258">
        <v>130.1663282478261</v>
      </c>
      <c r="Q106" s="258">
        <v>-0.43503470256409854</v>
      </c>
      <c r="R106" s="258">
        <v>97.029397621739136</v>
      </c>
      <c r="S106" s="258">
        <f>+S104</f>
        <v>-49.974967154696138</v>
      </c>
      <c r="T106" s="258"/>
      <c r="U106" s="258">
        <v>-133.42206755555554</v>
      </c>
      <c r="V106" s="258">
        <v>-133.42206755555554</v>
      </c>
      <c r="W106" s="258">
        <v>35.339551</v>
      </c>
      <c r="X106" s="258">
        <v>45.393467010869564</v>
      </c>
      <c r="Y106" s="258">
        <v>31.951418131868131</v>
      </c>
      <c r="Z106" s="258">
        <v>47.329946739130428</v>
      </c>
      <c r="AA106" s="258">
        <f>+AA104</f>
        <v>24.134707458563536</v>
      </c>
      <c r="AB106" s="258">
        <f t="shared" ref="AB106" si="42">AB104</f>
        <v>28.601885329670331</v>
      </c>
      <c r="AC106" s="258">
        <f>+AC104</f>
        <v>19.617894277777779</v>
      </c>
      <c r="AD106" s="258">
        <f t="shared" ref="AD106:BA106" si="43">AD104</f>
        <v>19.617894277777779</v>
      </c>
      <c r="AE106" s="258">
        <f t="shared" si="43"/>
        <v>-20.143094999999999</v>
      </c>
      <c r="AF106" s="258">
        <f t="shared" si="43"/>
        <v>-51.576086956521735</v>
      </c>
      <c r="AG106" s="258">
        <f t="shared" si="43"/>
        <v>-8.6907021428571429</v>
      </c>
      <c r="AH106" s="258">
        <f t="shared" si="43"/>
        <v>57.526503423913049</v>
      </c>
      <c r="AI106" s="258">
        <f t="shared" si="43"/>
        <v>-42.188648011049722</v>
      </c>
      <c r="AJ106" s="258">
        <f t="shared" si="43"/>
        <v>21.009777032967026</v>
      </c>
      <c r="AK106" s="258">
        <f t="shared" si="43"/>
        <v>-106.08927777777778</v>
      </c>
      <c r="AL106" s="258">
        <f t="shared" si="43"/>
        <v>-106.08927777777778</v>
      </c>
      <c r="AM106" s="258">
        <f t="shared" si="43"/>
        <v>74.957977677595622</v>
      </c>
      <c r="AN106" s="258">
        <f t="shared" si="43"/>
        <v>0</v>
      </c>
      <c r="AO106" s="258">
        <f t="shared" si="43"/>
        <v>43.38849654890511</v>
      </c>
      <c r="AP106" s="258">
        <f t="shared" si="43"/>
        <v>13.443269295652172</v>
      </c>
      <c r="AQ106" s="258">
        <f t="shared" si="43"/>
        <v>58.159340659340657</v>
      </c>
      <c r="AR106" s="258">
        <f t="shared" si="43"/>
        <v>81.021978021978015</v>
      </c>
      <c r="AS106" s="258">
        <f t="shared" si="43"/>
        <v>35.697802197802197</v>
      </c>
      <c r="AT106" s="258">
        <f t="shared" si="43"/>
        <v>35.697802197802197</v>
      </c>
      <c r="AU106" s="258">
        <f t="shared" si="43"/>
        <v>55.8</v>
      </c>
      <c r="AV106" s="258">
        <f t="shared" si="43"/>
        <v>70.619565217391298</v>
      </c>
      <c r="AW106" s="258">
        <f t="shared" si="43"/>
        <v>50.939560439560438</v>
      </c>
      <c r="AX106" s="258">
        <f t="shared" si="43"/>
        <v>-7.9347826086956523</v>
      </c>
      <c r="AY106" s="258">
        <f t="shared" si="43"/>
        <v>80.662983425414367</v>
      </c>
      <c r="AZ106" s="258">
        <f t="shared" si="43"/>
        <v>140.38461538461539</v>
      </c>
      <c r="BA106" s="258">
        <f t="shared" si="43"/>
        <v>20.277777777777775</v>
      </c>
      <c r="BB106" s="258">
        <f t="shared" ref="BB106" si="44">+BB103</f>
        <v>5</v>
      </c>
    </row>
    <row r="107" spans="1:54">
      <c r="A107" s="252"/>
      <c r="B107" s="255" t="s">
        <v>208</v>
      </c>
      <c r="C107" s="258">
        <v>118131.69884341676</v>
      </c>
      <c r="D107" s="258">
        <v>118131.69884341676</v>
      </c>
      <c r="E107" s="258">
        <v>114037.49212344014</v>
      </c>
      <c r="F107" s="258">
        <v>114037.49212344014</v>
      </c>
      <c r="G107" s="258">
        <v>113368.40780000002</v>
      </c>
      <c r="H107" s="258">
        <v>113368.40780000002</v>
      </c>
      <c r="I107" s="258">
        <v>113623.98480000001</v>
      </c>
      <c r="J107" s="258">
        <v>113623.98480000001</v>
      </c>
      <c r="K107" s="258">
        <v>112381.12907763624</v>
      </c>
      <c r="L107" s="258">
        <v>112381.12907763624</v>
      </c>
      <c r="M107" s="258">
        <v>108811</v>
      </c>
      <c r="N107" s="258">
        <v>108811</v>
      </c>
      <c r="O107" s="258">
        <v>107035.45492119202</v>
      </c>
      <c r="P107" s="258">
        <v>107035.45492119202</v>
      </c>
      <c r="Q107" s="258">
        <v>104037.30788707999</v>
      </c>
      <c r="R107" s="258">
        <v>104037.30788707999</v>
      </c>
      <c r="S107" s="258">
        <f>S36</f>
        <v>101668.24776078029</v>
      </c>
      <c r="T107" s="258"/>
      <c r="U107" s="258">
        <v>98744.151407699988</v>
      </c>
      <c r="V107" s="258">
        <v>98744.151407699988</v>
      </c>
      <c r="W107" s="258">
        <v>98940.269777329799</v>
      </c>
      <c r="X107" s="258">
        <v>98940.269777329799</v>
      </c>
      <c r="Y107" s="258">
        <v>98258.985487460028</v>
      </c>
      <c r="Z107" s="258">
        <v>98258.985487460028</v>
      </c>
      <c r="AA107" s="258">
        <f>AA36</f>
        <v>96039.543704459997</v>
      </c>
      <c r="AB107" s="258">
        <f>+AA107</f>
        <v>96039.543704459997</v>
      </c>
      <c r="AC107" s="258">
        <f>AC36</f>
        <v>92817.744119980198</v>
      </c>
      <c r="AD107" s="258">
        <f>+AC107</f>
        <v>92817.744119980198</v>
      </c>
      <c r="AE107" s="258">
        <f>AE36</f>
        <v>90460.14825605003</v>
      </c>
      <c r="AF107" s="258">
        <f>+AE107</f>
        <v>90460.14825605003</v>
      </c>
      <c r="AG107" s="258">
        <f>AG36</f>
        <v>88945.039514610005</v>
      </c>
      <c r="AH107" s="258">
        <f>+AG107</f>
        <v>88945.039514610005</v>
      </c>
      <c r="AI107" s="258">
        <f>AI36</f>
        <v>87527.837190519887</v>
      </c>
      <c r="AJ107" s="258">
        <f>+AI107</f>
        <v>87527.837190519887</v>
      </c>
      <c r="AK107" s="258">
        <f>AK36</f>
        <v>84901.214854689984</v>
      </c>
      <c r="AL107" s="258">
        <f>+AK107</f>
        <v>84901.214854689984</v>
      </c>
      <c r="AM107" s="258">
        <f>AM36</f>
        <v>82944.802144999994</v>
      </c>
      <c r="AN107" s="258">
        <f>+AM107</f>
        <v>82944.802144999994</v>
      </c>
      <c r="AO107" s="258">
        <f>AO36</f>
        <v>81336.069999999992</v>
      </c>
      <c r="AP107" s="258">
        <f>+AO107</f>
        <v>81336.069999999992</v>
      </c>
      <c r="AQ107" s="258">
        <f>AQ36</f>
        <v>79286.388672980014</v>
      </c>
      <c r="AR107" s="258">
        <f>+AQ107</f>
        <v>79286.388672980014</v>
      </c>
      <c r="AS107" s="258">
        <f>AS36</f>
        <v>44307.5</v>
      </c>
      <c r="AT107" s="258">
        <f>+AS107</f>
        <v>44307.5</v>
      </c>
      <c r="AU107" s="258">
        <f>AU36</f>
        <v>43779.16</v>
      </c>
      <c r="AV107" s="258">
        <f>+AU107</f>
        <v>43779.16</v>
      </c>
      <c r="AW107" s="258">
        <f>AW36</f>
        <v>42793.5</v>
      </c>
      <c r="AX107" s="258">
        <f>+AW107</f>
        <v>42793.5</v>
      </c>
      <c r="AY107" s="258">
        <f>AY36</f>
        <v>42090.69</v>
      </c>
      <c r="AZ107" s="258">
        <f>+AY107</f>
        <v>42090.69</v>
      </c>
      <c r="BA107" s="258">
        <f>BA36</f>
        <v>40483.611327409999</v>
      </c>
      <c r="BB107" s="258">
        <f>+BA107</f>
        <v>40483.611327409999</v>
      </c>
    </row>
    <row r="108" spans="1:54" ht="13.5" thickBot="1">
      <c r="A108" s="321" t="s">
        <v>350</v>
      </c>
      <c r="B108" s="268" t="s">
        <v>185</v>
      </c>
      <c r="C108" s="269">
        <v>-1.1635407051835155E-4</v>
      </c>
      <c r="D108" s="269">
        <v>3.6509349158196972E-4</v>
      </c>
      <c r="E108" s="269">
        <v>-6.2480543124640423E-4</v>
      </c>
      <c r="F108" s="269">
        <v>-6.2480543124640423E-4</v>
      </c>
      <c r="G108" s="269">
        <v>2.9078391978616105E-3</v>
      </c>
      <c r="H108" s="269">
        <v>4.0908549955952037E-5</v>
      </c>
      <c r="I108" s="269">
        <v>3.8999999999999998E-3</v>
      </c>
      <c r="J108" s="269">
        <v>1.6000000000000001E-3</v>
      </c>
      <c r="K108" s="269">
        <v>5.0440170793142787E-3</v>
      </c>
      <c r="L108" s="269">
        <v>4.6685081789919654E-3</v>
      </c>
      <c r="M108" s="269">
        <v>6.0000000000000001E-3</v>
      </c>
      <c r="N108" s="269">
        <v>6.0000000000000001E-3</v>
      </c>
      <c r="O108" s="269">
        <v>3.0348509308356797E-4</v>
      </c>
      <c r="P108" s="269">
        <v>1.2161047789600637E-3</v>
      </c>
      <c r="Q108" s="269">
        <v>-4.1815259487132875E-6</v>
      </c>
      <c r="R108" s="269">
        <v>9.326404113325663E-4</v>
      </c>
      <c r="S108" s="269">
        <f>S106/S107</f>
        <v>-4.9154940952935908E-4</v>
      </c>
      <c r="T108" s="269"/>
      <c r="U108" s="269">
        <v>-1.3511895707592398E-3</v>
      </c>
      <c r="V108" s="269">
        <v>-1.3511895707592398E-3</v>
      </c>
      <c r="W108" s="269">
        <v>3.571806614185861E-4</v>
      </c>
      <c r="X108" s="269">
        <v>4.5879667715713644E-4</v>
      </c>
      <c r="Y108" s="269">
        <v>3.2517553456671731E-4</v>
      </c>
      <c r="Z108" s="269">
        <v>4.8168568507325727E-4</v>
      </c>
      <c r="AA108" s="269">
        <f>AA106/AA107</f>
        <v>2.5129968893680552E-4</v>
      </c>
      <c r="AB108" s="269">
        <f>AB106/AB107</f>
        <v>2.9781363203563495E-4</v>
      </c>
      <c r="AC108" s="269">
        <f>AC106/AC107</f>
        <v>2.1135930919004934E-4</v>
      </c>
      <c r="AD108" s="269">
        <f>AD106/AD107</f>
        <v>2.1135930919004934E-4</v>
      </c>
      <c r="AE108" s="269">
        <f>AE106/AE107</f>
        <v>-2.2267368988810845E-4</v>
      </c>
      <c r="AF108" s="269">
        <f t="shared" ref="AF108:BB108" si="45">AF106/AF107</f>
        <v>-5.7015258045492196E-4</v>
      </c>
      <c r="AG108" s="269">
        <f t="shared" si="45"/>
        <v>-9.7708677069389778E-5</v>
      </c>
      <c r="AH108" s="269">
        <f t="shared" si="45"/>
        <v>6.4676460584925388E-4</v>
      </c>
      <c r="AI108" s="269">
        <f t="shared" si="45"/>
        <v>-4.8200263327904052E-4</v>
      </c>
      <c r="AJ108" s="269">
        <f t="shared" si="45"/>
        <v>2.4003537282928076E-4</v>
      </c>
      <c r="AK108" s="269">
        <f t="shared" si="45"/>
        <v>-1.2495613632779172E-3</v>
      </c>
      <c r="AL108" s="269">
        <f t="shared" si="45"/>
        <v>-1.2495613632779172E-3</v>
      </c>
      <c r="AM108" s="269">
        <f t="shared" si="45"/>
        <v>9.0370916246876808E-4</v>
      </c>
      <c r="AN108" s="269">
        <f t="shared" si="45"/>
        <v>0</v>
      </c>
      <c r="AO108" s="269">
        <f t="shared" si="45"/>
        <v>5.3344717231733861E-4</v>
      </c>
      <c r="AP108" s="269">
        <f t="shared" si="45"/>
        <v>1.6528053661373328E-4</v>
      </c>
      <c r="AQ108" s="269">
        <f t="shared" si="45"/>
        <v>7.3353499425003776E-4</v>
      </c>
      <c r="AR108" s="269">
        <f t="shared" si="45"/>
        <v>1.0218901299207423E-3</v>
      </c>
      <c r="AS108" s="269">
        <f t="shared" si="45"/>
        <v>8.0568306038034641E-4</v>
      </c>
      <c r="AT108" s="269">
        <f t="shared" si="45"/>
        <v>8.0568306038034641E-4</v>
      </c>
      <c r="AU108" s="269">
        <f t="shared" si="45"/>
        <v>1.2745790462859495E-3</v>
      </c>
      <c r="AV108" s="269">
        <f t="shared" si="45"/>
        <v>1.6130863455898032E-3</v>
      </c>
      <c r="AW108" s="269">
        <f t="shared" si="45"/>
        <v>1.1903574243649255E-3</v>
      </c>
      <c r="AX108" s="269">
        <f t="shared" si="45"/>
        <v>-1.8542027664705276E-4</v>
      </c>
      <c r="AY108" s="269">
        <f t="shared" si="45"/>
        <v>1.9164091495153528E-3</v>
      </c>
      <c r="AZ108" s="269">
        <f t="shared" si="45"/>
        <v>3.3352890005988352E-3</v>
      </c>
      <c r="BA108" s="269">
        <f t="shared" si="45"/>
        <v>5.0088855991086995E-4</v>
      </c>
      <c r="BB108" s="269">
        <f t="shared" si="45"/>
        <v>1.2350676819720082E-4</v>
      </c>
    </row>
    <row r="109" spans="1:54">
      <c r="A109" s="252"/>
      <c r="B109" s="255"/>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row>
    <row r="110" spans="1:54">
      <c r="A110" s="252"/>
      <c r="B110" s="255" t="s">
        <v>312</v>
      </c>
      <c r="C110" s="258">
        <v>8567.1172030532834</v>
      </c>
      <c r="D110" s="258"/>
      <c r="E110" s="258">
        <v>8178.9587217770859</v>
      </c>
      <c r="F110" s="258"/>
      <c r="G110" s="258">
        <v>9422.177099999999</v>
      </c>
      <c r="H110" s="258"/>
      <c r="I110" s="258">
        <v>7216.84</v>
      </c>
      <c r="J110" s="258"/>
      <c r="K110" s="258">
        <v>6332.45</v>
      </c>
      <c r="L110" s="258"/>
      <c r="M110" s="258">
        <v>7017</v>
      </c>
      <c r="N110" s="258"/>
      <c r="O110" s="258">
        <v>7924.9314160481954</v>
      </c>
      <c r="P110" s="258"/>
      <c r="Q110" s="258">
        <v>7330.4661390100937</v>
      </c>
      <c r="R110" s="258"/>
      <c r="S110" s="258">
        <v>6466.5740829999986</v>
      </c>
      <c r="T110" s="258"/>
      <c r="U110" s="258">
        <v>6226.2861937999987</v>
      </c>
      <c r="V110" s="258"/>
      <c r="W110" s="258">
        <v>6316.5747439999986</v>
      </c>
      <c r="X110" s="258"/>
      <c r="Y110" s="258">
        <v>6312.7258069999998</v>
      </c>
      <c r="Z110" s="258"/>
      <c r="AA110" s="258">
        <v>5125.3235400000003</v>
      </c>
      <c r="AB110" s="264"/>
      <c r="AC110" s="258">
        <v>4778.3094410895192</v>
      </c>
      <c r="AD110" s="264"/>
      <c r="AE110" s="258"/>
      <c r="AF110" s="264"/>
      <c r="AG110" s="273"/>
      <c r="AH110" s="283"/>
      <c r="AI110" s="273"/>
      <c r="AJ110" s="283"/>
      <c r="AK110" s="273"/>
      <c r="AL110" s="283"/>
      <c r="AM110" s="273"/>
      <c r="AN110" s="283"/>
      <c r="AO110" s="273"/>
      <c r="AP110" s="283"/>
      <c r="AQ110" s="258"/>
      <c r="AR110" s="264"/>
      <c r="AS110" s="258"/>
      <c r="AT110" s="264"/>
      <c r="AU110" s="258"/>
      <c r="AV110" s="264"/>
      <c r="AW110" s="258"/>
      <c r="AX110" s="264"/>
      <c r="AY110" s="258"/>
      <c r="AZ110" s="264"/>
      <c r="BA110" s="258"/>
      <c r="BB110" s="264"/>
    </row>
    <row r="111" spans="1:54">
      <c r="A111" s="252"/>
      <c r="B111" s="255" t="s">
        <v>208</v>
      </c>
      <c r="C111" s="258">
        <v>118131.69884341676</v>
      </c>
      <c r="D111" s="258"/>
      <c r="E111" s="258">
        <v>114037.49212344014</v>
      </c>
      <c r="F111" s="258"/>
      <c r="G111" s="258">
        <v>113368.40780000002</v>
      </c>
      <c r="H111" s="258"/>
      <c r="I111" s="258">
        <v>113623.98480000001</v>
      </c>
      <c r="J111" s="258"/>
      <c r="K111" s="258">
        <v>112381.12907763624</v>
      </c>
      <c r="L111" s="258"/>
      <c r="M111" s="258">
        <v>108811</v>
      </c>
      <c r="N111" s="258"/>
      <c r="O111" s="258">
        <v>107035.45492119202</v>
      </c>
      <c r="P111" s="258"/>
      <c r="Q111" s="258">
        <v>104037.30788707999</v>
      </c>
      <c r="R111" s="258"/>
      <c r="S111" s="258">
        <v>101668.24776078029</v>
      </c>
      <c r="T111" s="258"/>
      <c r="U111" s="258">
        <f>+U36</f>
        <v>98744.151407699988</v>
      </c>
      <c r="V111" s="258"/>
      <c r="W111" s="258">
        <f>+W36</f>
        <v>98940.269777329799</v>
      </c>
      <c r="X111" s="258"/>
      <c r="Y111" s="258">
        <f>+Y36</f>
        <v>98258.985487460028</v>
      </c>
      <c r="Z111" s="258"/>
      <c r="AA111" s="258">
        <f>+AA36</f>
        <v>96039.543704459997</v>
      </c>
      <c r="AB111" s="264"/>
      <c r="AC111" s="258">
        <f>+AC36</f>
        <v>92817.744119980198</v>
      </c>
      <c r="AD111" s="264"/>
      <c r="AE111" s="258"/>
      <c r="AF111" s="264"/>
      <c r="AG111" s="258"/>
      <c r="AH111" s="264"/>
      <c r="AI111" s="258"/>
      <c r="AJ111" s="264"/>
      <c r="AK111" s="258"/>
      <c r="AL111" s="264"/>
      <c r="AM111" s="258"/>
      <c r="AN111" s="264"/>
      <c r="AO111" s="258"/>
      <c r="AP111" s="264"/>
      <c r="AQ111" s="258"/>
      <c r="AR111" s="264"/>
      <c r="AS111" s="258"/>
      <c r="AT111" s="264"/>
      <c r="AU111" s="258"/>
      <c r="AV111" s="264"/>
      <c r="AW111" s="258"/>
      <c r="AX111" s="264"/>
      <c r="AY111" s="258"/>
      <c r="AZ111" s="264"/>
      <c r="BA111" s="258"/>
      <c r="BB111" s="264"/>
    </row>
    <row r="112" spans="1:54" ht="13.5" thickBot="1">
      <c r="A112" s="321" t="s">
        <v>351</v>
      </c>
      <c r="B112" s="268" t="s">
        <v>311</v>
      </c>
      <c r="C112" s="284">
        <v>7.2521747227295652E-2</v>
      </c>
      <c r="D112" s="284"/>
      <c r="E112" s="284">
        <v>7.1721664248138264E-2</v>
      </c>
      <c r="F112" s="284"/>
      <c r="G112" s="284">
        <v>8.3111135481608117E-2</v>
      </c>
      <c r="H112" s="284"/>
      <c r="I112" s="284">
        <v>6.3500000000000001E-2</v>
      </c>
      <c r="J112" s="284"/>
      <c r="K112" s="284">
        <v>5.6347983437907569E-2</v>
      </c>
      <c r="L112" s="284"/>
      <c r="M112" s="284">
        <v>6.4000000000000001E-2</v>
      </c>
      <c r="N112" s="284"/>
      <c r="O112" s="284">
        <v>7.404024602766586E-2</v>
      </c>
      <c r="P112" s="284"/>
      <c r="Q112" s="284">
        <v>7.0459975252016652E-2</v>
      </c>
      <c r="R112" s="284"/>
      <c r="S112" s="284">
        <f>S110/S111</f>
        <v>6.3604657554593505E-2</v>
      </c>
      <c r="T112" s="284"/>
      <c r="U112" s="284">
        <f>U110/U111</f>
        <v>6.3054733926393117E-2</v>
      </c>
      <c r="V112" s="284"/>
      <c r="W112" s="284">
        <f>W110/W111</f>
        <v>6.3842303626377578E-2</v>
      </c>
      <c r="X112" s="284"/>
      <c r="Y112" s="284">
        <f>Y110/Y111</f>
        <v>6.4245786537310015E-2</v>
      </c>
      <c r="Z112" s="284"/>
      <c r="AA112" s="284">
        <f>AA110/AA111</f>
        <v>5.3366804363128025E-2</v>
      </c>
      <c r="AB112" s="275"/>
      <c r="AC112" s="284">
        <f>AC110/AC111</f>
        <v>5.1480559955355859E-2</v>
      </c>
      <c r="AD112" s="275"/>
      <c r="AE112" s="284"/>
      <c r="AF112" s="275"/>
      <c r="AG112" s="284"/>
      <c r="AH112" s="275"/>
      <c r="AI112" s="284"/>
      <c r="AJ112" s="275"/>
      <c r="AK112" s="284"/>
      <c r="AL112" s="275"/>
      <c r="AM112" s="284"/>
      <c r="AN112" s="275"/>
      <c r="AO112" s="284"/>
      <c r="AP112" s="275"/>
      <c r="AQ112" s="284"/>
      <c r="AR112" s="275"/>
      <c r="AS112" s="284"/>
      <c r="AT112" s="275"/>
      <c r="AU112" s="284"/>
      <c r="AV112" s="275"/>
      <c r="AW112" s="284"/>
      <c r="AX112" s="275"/>
      <c r="AY112" s="284"/>
      <c r="AZ112" s="275"/>
      <c r="BA112" s="284"/>
      <c r="BB112" s="275"/>
    </row>
    <row r="113" spans="1:54" ht="15">
      <c r="A113" s="252"/>
      <c r="C113" s="364"/>
      <c r="D113" s="364"/>
      <c r="E113" s="364"/>
      <c r="F113" s="364"/>
      <c r="G113" s="364"/>
      <c r="H113" s="364"/>
      <c r="I113" s="364"/>
      <c r="J113" s="364"/>
      <c r="K113" s="364"/>
      <c r="L113" s="364"/>
      <c r="M113" s="364"/>
      <c r="N113" s="364"/>
      <c r="O113" s="364"/>
      <c r="P113" s="364"/>
      <c r="Q113" s="364"/>
      <c r="R113" s="364"/>
      <c r="S113" s="364"/>
      <c r="T113" s="364"/>
      <c r="U113" s="364"/>
      <c r="V113" s="364"/>
      <c r="W113" s="363"/>
      <c r="X113" s="364"/>
      <c r="Y113" s="364"/>
      <c r="Z113" s="364"/>
      <c r="AA113" s="364"/>
      <c r="AB113" s="364"/>
      <c r="AC113" s="3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row>
    <row r="114" spans="1:54">
      <c r="A114" s="252"/>
      <c r="B114" s="255" t="s">
        <v>313</v>
      </c>
      <c r="C114" s="258">
        <v>742.45523487594653</v>
      </c>
      <c r="D114" s="258"/>
      <c r="E114" s="258">
        <v>724.20667587594642</v>
      </c>
      <c r="F114" s="258"/>
      <c r="G114" s="258">
        <v>488.47259999999994</v>
      </c>
      <c r="H114" s="258"/>
      <c r="I114" s="258">
        <v>751.34</v>
      </c>
      <c r="J114" s="258"/>
      <c r="K114" s="258">
        <v>825.87</v>
      </c>
      <c r="L114" s="258"/>
      <c r="M114" s="258">
        <v>518</v>
      </c>
      <c r="N114" s="258"/>
      <c r="O114" s="258">
        <v>455.73847552582748</v>
      </c>
      <c r="P114" s="258"/>
      <c r="Q114" s="258">
        <v>493.5166941326089</v>
      </c>
      <c r="R114" s="258"/>
      <c r="S114" s="258">
        <v>469.47978100000034</v>
      </c>
      <c r="T114" s="258"/>
      <c r="U114" s="258">
        <v>427.0088410000003</v>
      </c>
      <c r="V114" s="258"/>
      <c r="W114" s="258">
        <v>456.23614999999995</v>
      </c>
      <c r="X114" s="258"/>
      <c r="Y114" s="258">
        <v>527.34799600000008</v>
      </c>
      <c r="Z114" s="258"/>
      <c r="AA114" s="258">
        <v>429.91798600000004</v>
      </c>
      <c r="AB114" s="264"/>
      <c r="AC114" s="258">
        <v>562.08029052990287</v>
      </c>
      <c r="AD114" s="264"/>
      <c r="AE114" s="258"/>
      <c r="AF114" s="264"/>
      <c r="AG114" s="273"/>
      <c r="AH114" s="283"/>
      <c r="AI114" s="273"/>
      <c r="AJ114" s="283"/>
      <c r="AK114" s="273"/>
      <c r="AL114" s="283"/>
      <c r="AM114" s="273"/>
      <c r="AN114" s="283"/>
      <c r="AO114" s="273"/>
      <c r="AP114" s="283"/>
      <c r="AQ114" s="258"/>
      <c r="AR114" s="264"/>
      <c r="AS114" s="258"/>
      <c r="AT114" s="264"/>
      <c r="AU114" s="258"/>
      <c r="AV114" s="264"/>
      <c r="AW114" s="258"/>
      <c r="AX114" s="264"/>
      <c r="AY114" s="258"/>
      <c r="AZ114" s="264"/>
      <c r="BA114" s="258"/>
      <c r="BB114" s="264"/>
    </row>
    <row r="115" spans="1:54">
      <c r="A115" s="252"/>
      <c r="B115" s="255" t="s">
        <v>208</v>
      </c>
      <c r="C115" s="258">
        <v>118131.69884341676</v>
      </c>
      <c r="D115" s="258"/>
      <c r="E115" s="258">
        <v>114037.49212344014</v>
      </c>
      <c r="F115" s="258"/>
      <c r="G115" s="258">
        <v>113368.40780000002</v>
      </c>
      <c r="H115" s="258"/>
      <c r="I115" s="258">
        <v>113623.98480000001</v>
      </c>
      <c r="J115" s="258"/>
      <c r="K115" s="258">
        <v>112381.12907763624</v>
      </c>
      <c r="L115" s="258"/>
      <c r="M115" s="258">
        <v>108811</v>
      </c>
      <c r="N115" s="258"/>
      <c r="O115" s="258">
        <v>107035.45492119202</v>
      </c>
      <c r="P115" s="258"/>
      <c r="Q115" s="258">
        <v>104037.30788707999</v>
      </c>
      <c r="R115" s="258"/>
      <c r="S115" s="258">
        <v>101668.24776078029</v>
      </c>
      <c r="T115" s="258"/>
      <c r="U115" s="258">
        <f>U36</f>
        <v>98744.151407699988</v>
      </c>
      <c r="V115" s="258"/>
      <c r="W115" s="258">
        <f>W36</f>
        <v>98940.269777329799</v>
      </c>
      <c r="X115" s="258"/>
      <c r="Y115" s="258">
        <f>Y36</f>
        <v>98258.985487460028</v>
      </c>
      <c r="Z115" s="258"/>
      <c r="AA115" s="258">
        <f>AA36</f>
        <v>96039.543704459997</v>
      </c>
      <c r="AB115" s="264"/>
      <c r="AC115" s="258">
        <f>AC36</f>
        <v>92817.744119980198</v>
      </c>
      <c r="AD115" s="264"/>
      <c r="AE115" s="258"/>
      <c r="AF115" s="264"/>
      <c r="AG115" s="258"/>
      <c r="AH115" s="264"/>
      <c r="AI115" s="258"/>
      <c r="AJ115" s="264"/>
      <c r="AK115" s="258"/>
      <c r="AL115" s="264"/>
      <c r="AM115" s="258"/>
      <c r="AN115" s="264"/>
      <c r="AO115" s="258"/>
      <c r="AP115" s="264"/>
      <c r="AQ115" s="258"/>
      <c r="AR115" s="264"/>
      <c r="AS115" s="258"/>
      <c r="AT115" s="264"/>
      <c r="AU115" s="258"/>
      <c r="AV115" s="264"/>
      <c r="AW115" s="258"/>
      <c r="AX115" s="264"/>
      <c r="AY115" s="258"/>
      <c r="AZ115" s="264"/>
      <c r="BA115" s="258"/>
      <c r="BB115" s="264"/>
    </row>
    <row r="116" spans="1:54" ht="13.5" thickBot="1">
      <c r="A116" s="321" t="s">
        <v>352</v>
      </c>
      <c r="B116" s="268" t="s">
        <v>314</v>
      </c>
      <c r="C116" s="284">
        <v>6.2849789018954933E-3</v>
      </c>
      <c r="D116" s="284"/>
      <c r="E116" s="284">
        <v>6.3506015643699639E-3</v>
      </c>
      <c r="F116" s="284"/>
      <c r="G116" s="284">
        <v>4.3087188880851501E-3</v>
      </c>
      <c r="H116" s="284"/>
      <c r="I116" s="284">
        <v>6.6E-3</v>
      </c>
      <c r="J116" s="284"/>
      <c r="K116" s="284">
        <v>7.3488316657636023E-3</v>
      </c>
      <c r="L116" s="284"/>
      <c r="M116" s="284">
        <v>5.0000000000000001E-3</v>
      </c>
      <c r="N116" s="284"/>
      <c r="O116" s="284">
        <v>4.2578272392206698E-3</v>
      </c>
      <c r="P116" s="284"/>
      <c r="Q116" s="284">
        <v>4.743651139726357E-3</v>
      </c>
      <c r="R116" s="284"/>
      <c r="S116" s="284">
        <f>S114/S115</f>
        <v>4.6177620972150529E-3</v>
      </c>
      <c r="T116" s="284"/>
      <c r="U116" s="284">
        <f>U114/U115</f>
        <v>4.3243962798054135E-3</v>
      </c>
      <c r="V116" s="284"/>
      <c r="W116" s="284">
        <f>W114/W115</f>
        <v>4.6112280775743083E-3</v>
      </c>
      <c r="X116" s="284"/>
      <c r="Y116" s="284">
        <f>Y114/Y115</f>
        <v>5.3669187950989086E-3</v>
      </c>
      <c r="Z116" s="284"/>
      <c r="AA116" s="284">
        <f>AA114/AA115</f>
        <v>4.4764684359910696E-3</v>
      </c>
      <c r="AB116" s="275"/>
      <c r="AC116" s="284">
        <f>AC114/AC115</f>
        <v>6.0557417750137709E-3</v>
      </c>
      <c r="AD116" s="275"/>
      <c r="AE116" s="284"/>
      <c r="AF116" s="275"/>
      <c r="AG116" s="284"/>
      <c r="AH116" s="275"/>
      <c r="AI116" s="284"/>
      <c r="AJ116" s="275"/>
      <c r="AK116" s="284"/>
      <c r="AL116" s="275"/>
      <c r="AM116" s="284"/>
      <c r="AN116" s="275"/>
      <c r="AO116" s="284"/>
      <c r="AP116" s="275"/>
      <c r="AQ116" s="284"/>
      <c r="AR116" s="275"/>
      <c r="AS116" s="284"/>
      <c r="AT116" s="275"/>
      <c r="AU116" s="284"/>
      <c r="AV116" s="275"/>
      <c r="AW116" s="284"/>
      <c r="AX116" s="275"/>
      <c r="AY116" s="284"/>
      <c r="AZ116" s="275"/>
      <c r="BA116" s="284"/>
      <c r="BB116" s="275"/>
    </row>
    <row r="117" spans="1:54">
      <c r="A117" s="252"/>
      <c r="B117" s="255"/>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row>
    <row r="118" spans="1:54">
      <c r="A118" s="252"/>
      <c r="B118" s="255" t="s">
        <v>207</v>
      </c>
      <c r="C118" s="258">
        <v>393.97199999999998</v>
      </c>
      <c r="D118" s="258"/>
      <c r="E118" s="258">
        <v>330.33799999999997</v>
      </c>
      <c r="F118" s="258"/>
      <c r="G118" s="258">
        <v>326.84500000000003</v>
      </c>
      <c r="H118" s="258"/>
      <c r="I118" s="258">
        <v>395.05799999999999</v>
      </c>
      <c r="J118" s="258"/>
      <c r="K118" s="258">
        <v>390.82376499999998</v>
      </c>
      <c r="L118" s="258"/>
      <c r="M118" s="258">
        <v>476</v>
      </c>
      <c r="N118" s="258"/>
      <c r="O118" s="258">
        <v>406.88716299999999</v>
      </c>
      <c r="P118" s="258"/>
      <c r="Q118" s="258">
        <v>306.28355399999998</v>
      </c>
      <c r="R118" s="258"/>
      <c r="S118" s="258">
        <v>341.524</v>
      </c>
      <c r="T118" s="258"/>
      <c r="U118" s="258">
        <v>307.79300000000001</v>
      </c>
      <c r="V118" s="258"/>
      <c r="W118" s="258">
        <f>66.977712+247.212</f>
        <v>314.18971199999999</v>
      </c>
      <c r="X118" s="258"/>
      <c r="Y118" s="258">
        <f>277.694+73.185594</f>
        <v>350.879594</v>
      </c>
      <c r="Z118" s="258"/>
      <c r="AA118" s="258">
        <v>313.64925100000005</v>
      </c>
      <c r="AB118" s="264"/>
      <c r="AC118" s="258">
        <v>231.518</v>
      </c>
      <c r="AD118" s="264"/>
      <c r="AE118" s="258">
        <v>286.57365616999999</v>
      </c>
      <c r="AF118" s="264"/>
      <c r="AG118" s="273">
        <v>284.02508992999998</v>
      </c>
      <c r="AH118" s="283"/>
      <c r="AI118" s="273">
        <v>262.17069946000004</v>
      </c>
      <c r="AJ118" s="283"/>
      <c r="AK118" s="273">
        <v>222.20291896000003</v>
      </c>
      <c r="AL118" s="283"/>
      <c r="AM118" s="273">
        <v>232.715</v>
      </c>
      <c r="AN118" s="283"/>
      <c r="AO118" s="273">
        <v>336.17699999999996</v>
      </c>
      <c r="AP118" s="283"/>
      <c r="AQ118" s="258">
        <v>332.45699999999999</v>
      </c>
      <c r="AR118" s="264"/>
      <c r="AS118" s="258">
        <v>259.5</v>
      </c>
      <c r="AT118" s="264"/>
      <c r="AU118" s="258">
        <v>286.5</v>
      </c>
      <c r="AV118" s="264"/>
      <c r="AW118" s="258">
        <v>331.45699999999999</v>
      </c>
      <c r="AX118" s="264"/>
      <c r="AY118" s="258">
        <v>373.90199999999999</v>
      </c>
      <c r="AZ118" s="264"/>
      <c r="BA118" s="258">
        <v>300.7</v>
      </c>
      <c r="BB118" s="264"/>
    </row>
    <row r="119" spans="1:54">
      <c r="A119" s="252"/>
      <c r="B119" s="255" t="s">
        <v>208</v>
      </c>
      <c r="C119" s="258">
        <v>118131.69884341676</v>
      </c>
      <c r="D119" s="258"/>
      <c r="E119" s="258">
        <v>114037.49212344014</v>
      </c>
      <c r="F119" s="258"/>
      <c r="G119" s="258">
        <v>113368.40780000002</v>
      </c>
      <c r="H119" s="258"/>
      <c r="I119" s="258">
        <v>113623.98480000001</v>
      </c>
      <c r="J119" s="258"/>
      <c r="K119" s="258">
        <v>112381.12907763624</v>
      </c>
      <c r="L119" s="258"/>
      <c r="M119" s="258">
        <v>108811</v>
      </c>
      <c r="N119" s="258"/>
      <c r="O119" s="258">
        <v>107035.45492119202</v>
      </c>
      <c r="P119" s="258"/>
      <c r="Q119" s="258">
        <v>104037.30788707999</v>
      </c>
      <c r="R119" s="258"/>
      <c r="S119" s="258">
        <v>101668.24776078029</v>
      </c>
      <c r="T119" s="258"/>
      <c r="U119" s="258">
        <v>98744.151407699988</v>
      </c>
      <c r="V119" s="258"/>
      <c r="W119" s="258">
        <f>W36</f>
        <v>98940.269777329799</v>
      </c>
      <c r="X119" s="258"/>
      <c r="Y119" s="258">
        <f>Y36</f>
        <v>98258.985487460028</v>
      </c>
      <c r="Z119" s="258"/>
      <c r="AA119" s="258">
        <v>96039.543704459997</v>
      </c>
      <c r="AB119" s="264"/>
      <c r="AC119" s="258">
        <f>AC36</f>
        <v>92817.744119980198</v>
      </c>
      <c r="AD119" s="264"/>
      <c r="AE119" s="258">
        <f>AE36</f>
        <v>90460.14825605003</v>
      </c>
      <c r="AF119" s="264"/>
      <c r="AG119" s="258">
        <f>AG36</f>
        <v>88945.039514610005</v>
      </c>
      <c r="AH119" s="264"/>
      <c r="AI119" s="258">
        <f>AI36</f>
        <v>87527.837190519887</v>
      </c>
      <c r="AJ119" s="264"/>
      <c r="AK119" s="258">
        <f>AK36</f>
        <v>84901.214854689984</v>
      </c>
      <c r="AL119" s="264"/>
      <c r="AM119" s="258">
        <f>AM36</f>
        <v>82944.802144999994</v>
      </c>
      <c r="AN119" s="264"/>
      <c r="AO119" s="258">
        <f>AO36</f>
        <v>81336.069999999992</v>
      </c>
      <c r="AP119" s="264"/>
      <c r="AQ119" s="258">
        <f>AQ36</f>
        <v>79286.388672980014</v>
      </c>
      <c r="AR119" s="264"/>
      <c r="AS119" s="258">
        <f>AS36</f>
        <v>44307.5</v>
      </c>
      <c r="AT119" s="264"/>
      <c r="AU119" s="258">
        <f>AU36</f>
        <v>43779.16</v>
      </c>
      <c r="AV119" s="264"/>
      <c r="AW119" s="258">
        <f>AW36</f>
        <v>42793.5</v>
      </c>
      <c r="AX119" s="264"/>
      <c r="AY119" s="258">
        <f>AY36</f>
        <v>42090.69</v>
      </c>
      <c r="AZ119" s="264"/>
      <c r="BA119" s="258">
        <f>BA36</f>
        <v>40483.611327409999</v>
      </c>
      <c r="BB119" s="264"/>
    </row>
    <row r="120" spans="1:54" ht="13.5" thickBot="1">
      <c r="A120" s="321" t="s">
        <v>353</v>
      </c>
      <c r="B120" s="268" t="s">
        <v>223</v>
      </c>
      <c r="C120" s="284">
        <v>3.3350235699412803E-3</v>
      </c>
      <c r="D120" s="284"/>
      <c r="E120" s="284">
        <v>2.8967490765442723E-3</v>
      </c>
      <c r="F120" s="284"/>
      <c r="G120" s="284">
        <v>2.8830342274596184E-3</v>
      </c>
      <c r="H120" s="284"/>
      <c r="I120" s="284">
        <v>3.5000000000000001E-3</v>
      </c>
      <c r="J120" s="284"/>
      <c r="K120" s="284">
        <v>3.4776636274049823E-3</v>
      </c>
      <c r="L120" s="284"/>
      <c r="M120" s="284">
        <v>4.0000000000000001E-3</v>
      </c>
      <c r="N120" s="284"/>
      <c r="O120" s="284">
        <v>3.801424147723598E-3</v>
      </c>
      <c r="P120" s="284"/>
      <c r="Q120" s="284">
        <v>2.9439780807518972E-3</v>
      </c>
      <c r="R120" s="284"/>
      <c r="S120" s="284">
        <f>S118/S119</f>
        <v>3.3592002175899297E-3</v>
      </c>
      <c r="T120" s="284"/>
      <c r="U120" s="284">
        <f>U118/U119</f>
        <v>3.117075751951812E-3</v>
      </c>
      <c r="V120" s="284"/>
      <c r="W120" s="284">
        <f>W118/W119</f>
        <v>3.175549376478356E-3</v>
      </c>
      <c r="X120" s="284"/>
      <c r="Y120" s="284">
        <f>Y118/Y119</f>
        <v>3.570966993596528E-3</v>
      </c>
      <c r="Z120" s="284"/>
      <c r="AA120" s="284">
        <f>AA118/AA119</f>
        <v>3.2658344563275391E-3</v>
      </c>
      <c r="AB120" s="275"/>
      <c r="AC120" s="284">
        <f>AC118/AC119</f>
        <v>2.4943290983319944E-3</v>
      </c>
      <c r="AD120" s="275"/>
      <c r="AE120" s="284">
        <f>AE118/AE119</f>
        <v>3.1679547479719476E-3</v>
      </c>
      <c r="AF120" s="275"/>
      <c r="AG120" s="284">
        <f>AG118/AG119</f>
        <v>3.193265093590142E-3</v>
      </c>
      <c r="AH120" s="275"/>
      <c r="AI120" s="284">
        <f>AI118/AI119</f>
        <v>2.9952836477535592E-3</v>
      </c>
      <c r="AJ120" s="275"/>
      <c r="AK120" s="284">
        <f>AK118/AK119</f>
        <v>2.6171936330982365E-3</v>
      </c>
      <c r="AL120" s="275"/>
      <c r="AM120" s="284">
        <f>AM118/AM119</f>
        <v>2.8056610418236839E-3</v>
      </c>
      <c r="AN120" s="275"/>
      <c r="AO120" s="284">
        <f>AO118/AO119</f>
        <v>4.1331846989902509E-3</v>
      </c>
      <c r="AP120" s="275"/>
      <c r="AQ120" s="284">
        <f>AQ118/AQ119</f>
        <v>4.193115685609451E-3</v>
      </c>
      <c r="AR120" s="275"/>
      <c r="AS120" s="284">
        <f>AS118/AS119</f>
        <v>5.8567962534559611E-3</v>
      </c>
      <c r="AT120" s="275"/>
      <c r="AU120" s="284">
        <f>AU118/AU119</f>
        <v>6.5442096193714079E-3</v>
      </c>
      <c r="AV120" s="275"/>
      <c r="AW120" s="284">
        <f>AW118/AW119</f>
        <v>7.7454987322841083E-3</v>
      </c>
      <c r="AX120" s="275"/>
      <c r="AY120" s="284">
        <f>AY118/AY119</f>
        <v>8.8832471028628887E-3</v>
      </c>
      <c r="AZ120" s="275"/>
      <c r="BA120" s="284">
        <f>BA118/BA119</f>
        <v>7.4276970393796571E-3</v>
      </c>
      <c r="BB120" s="275"/>
    </row>
    <row r="121" spans="1:54">
      <c r="A121" s="252"/>
      <c r="B121" s="255"/>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58"/>
      <c r="AZ121" s="264"/>
      <c r="BA121" s="264"/>
      <c r="BB121" s="264"/>
    </row>
    <row r="122" spans="1:54">
      <c r="A122" s="252"/>
      <c r="B122" s="256" t="s">
        <v>209</v>
      </c>
      <c r="C122" s="258">
        <v>348.18546199999997</v>
      </c>
      <c r="D122" s="258"/>
      <c r="E122" s="258">
        <v>393.60399999999998</v>
      </c>
      <c r="F122" s="258"/>
      <c r="G122" s="258">
        <v>187.74600000000001</v>
      </c>
      <c r="H122" s="258"/>
      <c r="I122" s="258">
        <v>493.05</v>
      </c>
      <c r="J122" s="258"/>
      <c r="K122" s="258">
        <v>375.87459699999999</v>
      </c>
      <c r="L122" s="258"/>
      <c r="M122" s="258">
        <v>173</v>
      </c>
      <c r="N122" s="258"/>
      <c r="O122" s="258">
        <v>83.810366000000002</v>
      </c>
      <c r="P122" s="258"/>
      <c r="Q122" s="258">
        <v>98.724193</v>
      </c>
      <c r="R122" s="258"/>
      <c r="S122" s="258">
        <v>105.97900000000001</v>
      </c>
      <c r="T122" s="258"/>
      <c r="U122" s="258">
        <v>111.137</v>
      </c>
      <c r="V122" s="258"/>
      <c r="W122" s="258">
        <f>4.789461+129.191</f>
        <v>133.98046099999999</v>
      </c>
      <c r="X122" s="258"/>
      <c r="Y122" s="258">
        <f>147.104+4.155131</f>
        <v>151.25913100000002</v>
      </c>
      <c r="Z122" s="258"/>
      <c r="AA122" s="258">
        <v>218.058446</v>
      </c>
      <c r="AB122" s="264"/>
      <c r="AC122" s="258">
        <v>252.654</v>
      </c>
      <c r="AD122" s="264"/>
      <c r="AE122" s="258">
        <v>254.45234506</v>
      </c>
      <c r="AF122" s="264"/>
      <c r="AG122" s="258">
        <v>250.24210007000002</v>
      </c>
      <c r="AH122" s="264"/>
      <c r="AI122" s="258">
        <v>262.46432599999997</v>
      </c>
      <c r="AJ122" s="264"/>
      <c r="AK122" s="258">
        <v>256.79862200000002</v>
      </c>
      <c r="AL122" s="264"/>
      <c r="AM122" s="258">
        <v>272.18251900000001</v>
      </c>
      <c r="AN122" s="264"/>
      <c r="AO122" s="258">
        <v>223.315</v>
      </c>
      <c r="AP122" s="264"/>
      <c r="AQ122" s="258">
        <v>232.28300000000002</v>
      </c>
      <c r="AR122" s="264"/>
      <c r="AS122" s="258">
        <v>219.3</v>
      </c>
      <c r="AT122" s="264"/>
      <c r="AU122" s="258">
        <v>256.5</v>
      </c>
      <c r="AV122" s="264"/>
      <c r="AW122" s="258">
        <v>211.9</v>
      </c>
      <c r="AX122" s="264"/>
      <c r="AY122" s="258">
        <v>216.64699999999999</v>
      </c>
      <c r="AZ122" s="264"/>
      <c r="BA122" s="263">
        <v>217.36</v>
      </c>
      <c r="BB122" s="264"/>
    </row>
    <row r="123" spans="1:54">
      <c r="A123" s="252"/>
      <c r="B123" s="255" t="s">
        <v>208</v>
      </c>
      <c r="C123" s="258">
        <v>118131.69884341676</v>
      </c>
      <c r="D123" s="258"/>
      <c r="E123" s="258">
        <v>114037.49212344014</v>
      </c>
      <c r="F123" s="258"/>
      <c r="G123" s="258">
        <v>113368.40780000002</v>
      </c>
      <c r="H123" s="258"/>
      <c r="I123" s="258">
        <v>113623.98480000001</v>
      </c>
      <c r="J123" s="258"/>
      <c r="K123" s="258">
        <v>112381.12907763624</v>
      </c>
      <c r="L123" s="258"/>
      <c r="M123" s="258">
        <v>108811</v>
      </c>
      <c r="N123" s="258"/>
      <c r="O123" s="258">
        <v>107035.45492119202</v>
      </c>
      <c r="P123" s="258"/>
      <c r="Q123" s="258">
        <v>104037.30788707999</v>
      </c>
      <c r="R123" s="258"/>
      <c r="S123" s="258">
        <v>101668.24776078029</v>
      </c>
      <c r="T123" s="258"/>
      <c r="U123" s="258">
        <v>98744.151407699988</v>
      </c>
      <c r="V123" s="258"/>
      <c r="W123" s="258">
        <f>+W107</f>
        <v>98940.269777329799</v>
      </c>
      <c r="X123" s="258"/>
      <c r="Y123" s="258">
        <f>+Y107</f>
        <v>98258.985487460028</v>
      </c>
      <c r="Z123" s="258"/>
      <c r="AA123" s="258">
        <v>96039.543704459997</v>
      </c>
      <c r="AB123" s="264"/>
      <c r="AC123" s="258">
        <f>+AC107</f>
        <v>92817.744119980198</v>
      </c>
      <c r="AD123" s="264"/>
      <c r="AE123" s="258">
        <f>AE36</f>
        <v>90460.14825605003</v>
      </c>
      <c r="AF123" s="264"/>
      <c r="AG123" s="258">
        <f>AG36</f>
        <v>88945.039514610005</v>
      </c>
      <c r="AH123" s="264"/>
      <c r="AI123" s="258">
        <f>AI36</f>
        <v>87527.837190519887</v>
      </c>
      <c r="AJ123" s="264"/>
      <c r="AK123" s="258">
        <f>AK36</f>
        <v>84901.214854689984</v>
      </c>
      <c r="AL123" s="264"/>
      <c r="AM123" s="258">
        <f>AM36</f>
        <v>82944.802144999994</v>
      </c>
      <c r="AN123" s="264"/>
      <c r="AO123" s="258">
        <f>AO36</f>
        <v>81336.069999999992</v>
      </c>
      <c r="AP123" s="264"/>
      <c r="AQ123" s="258">
        <f>AQ36</f>
        <v>79286.388672980014</v>
      </c>
      <c r="AR123" s="264"/>
      <c r="AS123" s="258">
        <f>AS36</f>
        <v>44307.5</v>
      </c>
      <c r="AT123" s="264"/>
      <c r="AU123" s="258">
        <f>AU36</f>
        <v>43779.16</v>
      </c>
      <c r="AV123" s="264"/>
      <c r="AW123" s="258">
        <f>AW36</f>
        <v>42793.5</v>
      </c>
      <c r="AX123" s="264"/>
      <c r="AY123" s="258">
        <f>AY36</f>
        <v>42090.69</v>
      </c>
      <c r="AZ123" s="264"/>
      <c r="BA123" s="258">
        <f>BA36</f>
        <v>40483.611327409999</v>
      </c>
      <c r="BB123" s="264"/>
    </row>
    <row r="124" spans="1:54" ht="13.5" thickBot="1">
      <c r="A124" s="321" t="s">
        <v>354</v>
      </c>
      <c r="B124" s="281" t="s">
        <v>224</v>
      </c>
      <c r="C124" s="284">
        <v>2.9474346463223122E-3</v>
      </c>
      <c r="D124" s="284"/>
      <c r="E124" s="284">
        <v>3.4515315329272803E-3</v>
      </c>
      <c r="F124" s="284"/>
      <c r="G124" s="284">
        <v>1.6560698314755725E-3</v>
      </c>
      <c r="H124" s="284"/>
      <c r="I124" s="284">
        <v>4.3E-3</v>
      </c>
      <c r="J124" s="284"/>
      <c r="K124" s="284">
        <v>3.3446415789285637E-3</v>
      </c>
      <c r="L124" s="284"/>
      <c r="M124" s="284">
        <v>2E-3</v>
      </c>
      <c r="N124" s="284"/>
      <c r="O124" s="284">
        <v>7.8301499313202178E-4</v>
      </c>
      <c r="P124" s="284"/>
      <c r="Q124" s="284">
        <v>9.4893067693709704E-4</v>
      </c>
      <c r="R124" s="284"/>
      <c r="S124" s="284">
        <f>S122/S123</f>
        <v>1.0424001823004041E-3</v>
      </c>
      <c r="T124" s="284"/>
      <c r="U124" s="284">
        <f>U122/U123</f>
        <v>1.1255046341036622E-3</v>
      </c>
      <c r="V124" s="284"/>
      <c r="W124" s="284">
        <f>W122/W123</f>
        <v>1.3541549997946232E-3</v>
      </c>
      <c r="X124" s="284"/>
      <c r="Y124" s="284">
        <f>Y122/Y123</f>
        <v>1.5393923542931752E-3</v>
      </c>
      <c r="Z124" s="284"/>
      <c r="AA124" s="284">
        <f>AA122/AA123</f>
        <v>2.2705068931920961E-3</v>
      </c>
      <c r="AB124" s="275"/>
      <c r="AC124" s="284">
        <f>AC122/AC123</f>
        <v>2.7220441780335513E-3</v>
      </c>
      <c r="AD124" s="275"/>
      <c r="AE124" s="284">
        <f>AE122/AE123</f>
        <v>2.8128667702352794E-3</v>
      </c>
      <c r="AF124" s="275"/>
      <c r="AG124" s="284">
        <f>AG122/AG123</f>
        <v>2.8134463870679999E-3</v>
      </c>
      <c r="AH124" s="275"/>
      <c r="AI124" s="284">
        <f>AI122/AI123</f>
        <v>2.9986383123885461E-3</v>
      </c>
      <c r="AJ124" s="275"/>
      <c r="AK124" s="284">
        <f>AK122/AK123</f>
        <v>3.0246754706574654E-3</v>
      </c>
      <c r="AL124" s="275"/>
      <c r="AM124" s="284">
        <f>AM122/AM123</f>
        <v>3.2814897613979961E-3</v>
      </c>
      <c r="AN124" s="275"/>
      <c r="AO124" s="284">
        <f>AO122/AO123</f>
        <v>2.745583847363169E-3</v>
      </c>
      <c r="AP124" s="275"/>
      <c r="AQ124" s="284">
        <f>AQ122/AQ123</f>
        <v>2.9296705763464754E-3</v>
      </c>
      <c r="AR124" s="275"/>
      <c r="AS124" s="284">
        <f>AS122/AS123</f>
        <v>4.9495006488743439E-3</v>
      </c>
      <c r="AT124" s="275"/>
      <c r="AU124" s="284">
        <f>AU122/AU123</f>
        <v>5.8589520676047687E-3</v>
      </c>
      <c r="AV124" s="275"/>
      <c r="AW124" s="284">
        <f>AW122/AW123</f>
        <v>4.9516865879163895E-3</v>
      </c>
      <c r="AX124" s="275"/>
      <c r="AY124" s="284">
        <f>AY122/AY123</f>
        <v>5.147147742172912E-3</v>
      </c>
      <c r="AZ124" s="275"/>
      <c r="BA124" s="284">
        <f>BA122/BA123</f>
        <v>5.369086227068714E-3</v>
      </c>
      <c r="BB124" s="275"/>
    </row>
    <row r="125" spans="1:54">
      <c r="A125" s="252"/>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7"/>
      <c r="AZ125" s="286"/>
      <c r="BA125" s="286"/>
      <c r="BB125" s="286"/>
    </row>
    <row r="126" spans="1:54">
      <c r="A126" s="252"/>
      <c r="B126" s="255" t="s">
        <v>210</v>
      </c>
      <c r="C126" s="263">
        <v>312.49099999999999</v>
      </c>
      <c r="D126" s="263"/>
      <c r="E126" s="263">
        <v>257.31999999999994</v>
      </c>
      <c r="F126" s="263"/>
      <c r="G126" s="263">
        <v>249.59900000000002</v>
      </c>
      <c r="H126" s="263"/>
      <c r="I126" s="263">
        <v>321.29950000000002</v>
      </c>
      <c r="J126" s="263"/>
      <c r="K126" s="263">
        <v>325.07061999999996</v>
      </c>
      <c r="L126" s="263"/>
      <c r="M126" s="263">
        <v>427</v>
      </c>
      <c r="N126" s="263"/>
      <c r="O126" s="263">
        <v>310.01256999999998</v>
      </c>
      <c r="P126" s="263"/>
      <c r="Q126" s="263">
        <v>262.34312599999998</v>
      </c>
      <c r="R126" s="263"/>
      <c r="S126" s="263">
        <f>S118-S133</f>
        <v>299.95699999999999</v>
      </c>
      <c r="T126" s="263"/>
      <c r="U126" s="263">
        <v>275.22500000000002</v>
      </c>
      <c r="V126" s="263"/>
      <c r="W126" s="263">
        <f>W118-W133</f>
        <v>264.33771200000001</v>
      </c>
      <c r="X126" s="263"/>
      <c r="Y126" s="263">
        <f>Y118-Y133</f>
        <v>286.767</v>
      </c>
      <c r="Z126" s="263"/>
      <c r="AA126" s="263">
        <v>257.55793400000005</v>
      </c>
      <c r="AB126" s="288"/>
      <c r="AC126" s="263">
        <v>193.17000000000002</v>
      </c>
      <c r="AD126" s="288"/>
      <c r="AE126" s="263">
        <v>244.41251417000001</v>
      </c>
      <c r="AF126" s="288"/>
      <c r="AG126" s="263">
        <v>230.18639757</v>
      </c>
      <c r="AH126" s="288"/>
      <c r="AI126" s="263">
        <v>221.43033446000004</v>
      </c>
      <c r="AJ126" s="288"/>
      <c r="AK126" s="263">
        <v>176.29389296000005</v>
      </c>
      <c r="AL126" s="289"/>
      <c r="AM126" s="263">
        <v>178.596238</v>
      </c>
      <c r="AN126" s="289"/>
      <c r="AO126" s="263">
        <v>286.62699999999995</v>
      </c>
      <c r="AP126" s="289"/>
      <c r="AQ126" s="263">
        <v>285.33299999999997</v>
      </c>
      <c r="AR126" s="289"/>
      <c r="AS126" s="263">
        <v>208.2</v>
      </c>
      <c r="AT126" s="288"/>
      <c r="AU126" s="263">
        <v>245.8</v>
      </c>
      <c r="AV126" s="288"/>
      <c r="AW126" s="263">
        <v>288.25700000000001</v>
      </c>
      <c r="AX126" s="265"/>
      <c r="AY126" s="263">
        <v>323.09199999999998</v>
      </c>
      <c r="AZ126" s="265"/>
      <c r="BA126" s="263">
        <v>250.7</v>
      </c>
      <c r="BB126" s="265"/>
    </row>
    <row r="127" spans="1:54">
      <c r="A127" s="252"/>
      <c r="B127" s="261" t="s">
        <v>211</v>
      </c>
      <c r="C127" s="262">
        <v>308.86146199999996</v>
      </c>
      <c r="D127" s="262"/>
      <c r="E127" s="262">
        <v>347.75700000000001</v>
      </c>
      <c r="F127" s="262"/>
      <c r="G127" s="262">
        <v>139.36000000000001</v>
      </c>
      <c r="H127" s="262"/>
      <c r="I127" s="262">
        <v>353.721</v>
      </c>
      <c r="J127" s="262"/>
      <c r="K127" s="262">
        <v>265.03777300000002</v>
      </c>
      <c r="L127" s="262"/>
      <c r="M127" s="262">
        <v>131</v>
      </c>
      <c r="N127" s="262"/>
      <c r="O127" s="262">
        <v>51.223824</v>
      </c>
      <c r="P127" s="262"/>
      <c r="Q127" s="262">
        <v>62.184789000000002</v>
      </c>
      <c r="R127" s="262"/>
      <c r="S127" s="262">
        <f>S122-S137</f>
        <v>60.672000000000011</v>
      </c>
      <c r="T127" s="262"/>
      <c r="U127" s="262">
        <v>68.92</v>
      </c>
      <c r="V127" s="262"/>
      <c r="W127" s="262">
        <f>W122-W137</f>
        <v>90.962475999999995</v>
      </c>
      <c r="X127" s="262"/>
      <c r="Y127" s="262">
        <f>Y122-Y137</f>
        <v>87.037519000000032</v>
      </c>
      <c r="Z127" s="262"/>
      <c r="AA127" s="262">
        <v>129.45849700000002</v>
      </c>
      <c r="AB127" s="290"/>
      <c r="AC127" s="262">
        <v>160.41399999999999</v>
      </c>
      <c r="AD127" s="290"/>
      <c r="AE127" s="262">
        <v>150.86494906000001</v>
      </c>
      <c r="AF127" s="290"/>
      <c r="AG127" s="262">
        <v>152.74032990000001</v>
      </c>
      <c r="AH127" s="290"/>
      <c r="AI127" s="262">
        <v>157.60262899999998</v>
      </c>
      <c r="AJ127" s="290"/>
      <c r="AK127" s="262">
        <v>149.49618800000002</v>
      </c>
      <c r="AL127" s="291"/>
      <c r="AM127" s="262">
        <v>170.83889500000004</v>
      </c>
      <c r="AN127" s="291"/>
      <c r="AO127" s="262">
        <v>134.68</v>
      </c>
      <c r="AP127" s="291"/>
      <c r="AQ127" s="262">
        <v>130.21000000000004</v>
      </c>
      <c r="AR127" s="291"/>
      <c r="AS127" s="262">
        <v>119.80000000000001</v>
      </c>
      <c r="AT127" s="290"/>
      <c r="AU127" s="262">
        <v>150</v>
      </c>
      <c r="AV127" s="290"/>
      <c r="AW127" s="262">
        <v>109</v>
      </c>
      <c r="AX127" s="277"/>
      <c r="AY127" s="262">
        <v>116.38699999999999</v>
      </c>
      <c r="AZ127" s="277"/>
      <c r="BA127" s="262">
        <v>131.36000000000001</v>
      </c>
      <c r="BB127" s="277"/>
    </row>
    <row r="128" spans="1:54">
      <c r="A128" s="252"/>
      <c r="B128" s="292" t="s">
        <v>212</v>
      </c>
      <c r="C128" s="263">
        <v>621.35246199999995</v>
      </c>
      <c r="D128" s="263"/>
      <c r="E128" s="263">
        <v>605.077</v>
      </c>
      <c r="F128" s="263"/>
      <c r="G128" s="263">
        <v>388.95900000000006</v>
      </c>
      <c r="H128" s="263"/>
      <c r="I128" s="263">
        <v>675.02049999999997</v>
      </c>
      <c r="J128" s="263"/>
      <c r="K128" s="263">
        <v>590.10839299999998</v>
      </c>
      <c r="L128" s="263"/>
      <c r="M128" s="263">
        <v>558</v>
      </c>
      <c r="N128" s="263"/>
      <c r="O128" s="263">
        <v>361.23639399999996</v>
      </c>
      <c r="P128" s="263"/>
      <c r="Q128" s="263">
        <v>324.52791500000001</v>
      </c>
      <c r="R128" s="263"/>
      <c r="S128" s="263">
        <f>S126+S127</f>
        <v>360.62900000000002</v>
      </c>
      <c r="T128" s="263"/>
      <c r="U128" s="263">
        <v>344.14500000000004</v>
      </c>
      <c r="V128" s="263"/>
      <c r="W128" s="263">
        <f>W126+W127</f>
        <v>355.30018799999999</v>
      </c>
      <c r="X128" s="263"/>
      <c r="Y128" s="263">
        <f>Y126+Y127</f>
        <v>373.80451900000003</v>
      </c>
      <c r="Z128" s="263"/>
      <c r="AA128" s="263">
        <f>AA126+AA127</f>
        <v>387.01643100000007</v>
      </c>
      <c r="AB128" s="288"/>
      <c r="AC128" s="263">
        <f>AC126+AC127</f>
        <v>353.584</v>
      </c>
      <c r="AD128" s="288"/>
      <c r="AE128" s="263">
        <f>AE126+AE127</f>
        <v>395.27746323000002</v>
      </c>
      <c r="AF128" s="288"/>
      <c r="AG128" s="263">
        <f>AG126+AG127</f>
        <v>382.92672747</v>
      </c>
      <c r="AH128" s="288"/>
      <c r="AI128" s="263">
        <f>AI126+AI127</f>
        <v>379.03296346000002</v>
      </c>
      <c r="AJ128" s="288"/>
      <c r="AK128" s="263">
        <f>AK126+AK127</f>
        <v>325.79008096000007</v>
      </c>
      <c r="AL128" s="289"/>
      <c r="AM128" s="263">
        <f>AM126+AM127</f>
        <v>349.43513300000006</v>
      </c>
      <c r="AN128" s="289"/>
      <c r="AO128" s="263">
        <f>AO126+AO127</f>
        <v>421.30699999999996</v>
      </c>
      <c r="AP128" s="289"/>
      <c r="AQ128" s="263">
        <f>AQ126+AQ127</f>
        <v>415.54300000000001</v>
      </c>
      <c r="AR128" s="289"/>
      <c r="AS128" s="263">
        <f>AS126+AS127</f>
        <v>328</v>
      </c>
      <c r="AT128" s="288"/>
      <c r="AU128" s="263">
        <f>AU126+AU127</f>
        <v>395.8</v>
      </c>
      <c r="AV128" s="288"/>
      <c r="AW128" s="263">
        <f>AW126+AW127</f>
        <v>397.25700000000001</v>
      </c>
      <c r="AX128" s="288"/>
      <c r="AY128" s="263">
        <f>AY126+AY127</f>
        <v>439.47899999999998</v>
      </c>
      <c r="AZ128" s="288"/>
      <c r="BA128" s="263">
        <f>BA126+BA127</f>
        <v>382.06</v>
      </c>
      <c r="BB128" s="288"/>
    </row>
    <row r="129" spans="1:54">
      <c r="A129" s="252"/>
      <c r="B129" s="255" t="s">
        <v>208</v>
      </c>
      <c r="C129" s="263">
        <v>118131.69884341676</v>
      </c>
      <c r="D129" s="263"/>
      <c r="E129" s="263">
        <v>114037.49212344014</v>
      </c>
      <c r="F129" s="263"/>
      <c r="G129" s="263">
        <v>113368.40780000002</v>
      </c>
      <c r="H129" s="263"/>
      <c r="I129" s="263">
        <v>113623.98480000001</v>
      </c>
      <c r="J129" s="263"/>
      <c r="K129" s="263">
        <v>112381.12907763624</v>
      </c>
      <c r="L129" s="263"/>
      <c r="M129" s="263">
        <v>108811</v>
      </c>
      <c r="N129" s="263"/>
      <c r="O129" s="263">
        <v>107035.45492119202</v>
      </c>
      <c r="P129" s="263"/>
      <c r="Q129" s="263">
        <v>104037.30788707999</v>
      </c>
      <c r="R129" s="263"/>
      <c r="S129" s="263">
        <f>S36</f>
        <v>101668.24776078029</v>
      </c>
      <c r="T129" s="263"/>
      <c r="U129" s="263">
        <v>98744.151407699988</v>
      </c>
      <c r="V129" s="263"/>
      <c r="W129" s="263">
        <f>W36</f>
        <v>98940.269777329799</v>
      </c>
      <c r="X129" s="263"/>
      <c r="Y129" s="263">
        <f>Y36</f>
        <v>98258.985487460028</v>
      </c>
      <c r="Z129" s="263"/>
      <c r="AA129" s="263">
        <f>AA36</f>
        <v>96039.543704459997</v>
      </c>
      <c r="AB129" s="288"/>
      <c r="AC129" s="263">
        <f>AC36</f>
        <v>92817.744119980198</v>
      </c>
      <c r="AD129" s="288"/>
      <c r="AE129" s="263">
        <f>AE36</f>
        <v>90460.14825605003</v>
      </c>
      <c r="AF129" s="288"/>
      <c r="AG129" s="263">
        <f>AG36</f>
        <v>88945.039514610005</v>
      </c>
      <c r="AH129" s="288"/>
      <c r="AI129" s="263">
        <f>AI36</f>
        <v>87527.837190519887</v>
      </c>
      <c r="AJ129" s="288"/>
      <c r="AK129" s="263">
        <f>AK36</f>
        <v>84901.214854689984</v>
      </c>
      <c r="AL129" s="289"/>
      <c r="AM129" s="263">
        <f>AM36</f>
        <v>82944.802144999994</v>
      </c>
      <c r="AN129" s="289"/>
      <c r="AO129" s="263">
        <f>AO36</f>
        <v>81336.069999999992</v>
      </c>
      <c r="AP129" s="289"/>
      <c r="AQ129" s="263">
        <f>AQ36</f>
        <v>79286.388672980014</v>
      </c>
      <c r="AR129" s="289"/>
      <c r="AS129" s="263">
        <f>AS36</f>
        <v>44307.5</v>
      </c>
      <c r="AT129" s="288"/>
      <c r="AU129" s="263">
        <f>AU36</f>
        <v>43779.16</v>
      </c>
      <c r="AV129" s="288"/>
      <c r="AW129" s="263">
        <f>AW36</f>
        <v>42793.5</v>
      </c>
      <c r="AX129" s="288"/>
      <c r="AY129" s="263">
        <f>AY36</f>
        <v>42090.69</v>
      </c>
      <c r="AZ129" s="288"/>
      <c r="BA129" s="263">
        <f>BA36</f>
        <v>40483.611327409999</v>
      </c>
      <c r="BB129" s="288"/>
    </row>
    <row r="130" spans="1:54" ht="13.5" thickBot="1">
      <c r="A130" s="321" t="s">
        <v>355</v>
      </c>
      <c r="B130" s="281" t="s">
        <v>217</v>
      </c>
      <c r="C130" s="269">
        <v>5.259828378694536E-3</v>
      </c>
      <c r="D130" s="269"/>
      <c r="E130" s="269">
        <v>5.3059479714358589E-3</v>
      </c>
      <c r="F130" s="269"/>
      <c r="G130" s="269">
        <v>3.4309293704308337E-3</v>
      </c>
      <c r="H130" s="269"/>
      <c r="I130" s="269">
        <v>5.8999999999999999E-3</v>
      </c>
      <c r="J130" s="269"/>
      <c r="K130" s="269">
        <v>5.2509562578992733E-3</v>
      </c>
      <c r="L130" s="269"/>
      <c r="M130" s="269">
        <v>5.0000000000000001E-3</v>
      </c>
      <c r="N130" s="269"/>
      <c r="O130" s="269">
        <v>3.3749227698987292E-3</v>
      </c>
      <c r="P130" s="269"/>
      <c r="Q130" s="269">
        <v>3.1193417206857765E-3</v>
      </c>
      <c r="R130" s="269"/>
      <c r="S130" s="269">
        <f>S128/S129</f>
        <v>3.5471153279688652E-3</v>
      </c>
      <c r="T130" s="269"/>
      <c r="U130" s="269">
        <f>U128/U129</f>
        <v>3.4852190746880417E-3</v>
      </c>
      <c r="V130" s="269"/>
      <c r="W130" s="269">
        <f>W128/W129</f>
        <v>3.5910574005874603E-3</v>
      </c>
      <c r="X130" s="269"/>
      <c r="Y130" s="269">
        <f>Y128/Y129</f>
        <v>3.8042782260122722E-3</v>
      </c>
      <c r="Z130" s="269"/>
      <c r="AA130" s="269">
        <f>AA128/AA129</f>
        <v>4.0297612428371763E-3</v>
      </c>
      <c r="AB130" s="275"/>
      <c r="AC130" s="269">
        <f>AC128/AC129</f>
        <v>3.8094440168998521E-3</v>
      </c>
      <c r="AD130" s="275"/>
      <c r="AE130" s="269">
        <f>AE128/AE129</f>
        <v>4.3696309463384462E-3</v>
      </c>
      <c r="AF130" s="275"/>
      <c r="AG130" s="269">
        <f>AG128/AG129</f>
        <v>4.305206108847711E-3</v>
      </c>
      <c r="AH130" s="275"/>
      <c r="AI130" s="269">
        <f>AI128/AI129</f>
        <v>4.3304276173872251E-3</v>
      </c>
      <c r="AJ130" s="275"/>
      <c r="AK130" s="269">
        <f>AK128/AK129</f>
        <v>3.8372840897223422E-3</v>
      </c>
      <c r="AL130" s="274"/>
      <c r="AM130" s="269">
        <f>AM128/AM129</f>
        <v>4.2128635425416399E-3</v>
      </c>
      <c r="AN130" s="274"/>
      <c r="AO130" s="269">
        <f>AO128/AO129</f>
        <v>5.1798298098248412E-3</v>
      </c>
      <c r="AP130" s="274"/>
      <c r="AQ130" s="269">
        <f>AQ128/AQ129</f>
        <v>5.2410383037361464E-3</v>
      </c>
      <c r="AR130" s="274"/>
      <c r="AS130" s="269">
        <f>AS128/AS129</f>
        <v>7.4028099080291144E-3</v>
      </c>
      <c r="AT130" s="275"/>
      <c r="AU130" s="269">
        <f>AU128/AU129</f>
        <v>9.0408312996411982E-3</v>
      </c>
      <c r="AV130" s="275"/>
      <c r="AW130" s="269">
        <f>AW128/AW129</f>
        <v>9.2831154264082158E-3</v>
      </c>
      <c r="AX130" s="275"/>
      <c r="AY130" s="269">
        <f>AY128/AY129</f>
        <v>1.0441240093711933E-2</v>
      </c>
      <c r="AZ130" s="275"/>
      <c r="BA130" s="269">
        <f>BA128/BA129</f>
        <v>9.4373991714845097E-3</v>
      </c>
      <c r="BB130" s="275"/>
    </row>
    <row r="131" spans="1:54">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58"/>
      <c r="AZ131" s="264"/>
      <c r="BA131" s="258"/>
      <c r="BB131" s="264"/>
    </row>
    <row r="132" spans="1:54">
      <c r="A132" s="252"/>
      <c r="B132" s="255"/>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58"/>
      <c r="AZ132" s="264"/>
      <c r="BA132" s="258"/>
      <c r="BB132" s="264"/>
    </row>
    <row r="133" spans="1:54">
      <c r="A133" s="252"/>
      <c r="B133" s="256" t="s">
        <v>214</v>
      </c>
      <c r="C133" s="258">
        <v>81.480999999999995</v>
      </c>
      <c r="D133" s="258"/>
      <c r="E133" s="258">
        <v>73.018000000000001</v>
      </c>
      <c r="F133" s="258"/>
      <c r="G133" s="258">
        <v>77.246000000000009</v>
      </c>
      <c r="H133" s="258"/>
      <c r="I133" s="258">
        <v>73.758499999999998</v>
      </c>
      <c r="J133" s="258"/>
      <c r="K133" s="258">
        <v>65.753145000000004</v>
      </c>
      <c r="L133" s="258"/>
      <c r="M133" s="258">
        <v>49</v>
      </c>
      <c r="N133" s="258"/>
      <c r="O133" s="258">
        <v>96.874593000000004</v>
      </c>
      <c r="P133" s="258"/>
      <c r="Q133" s="258">
        <v>43.940427999999997</v>
      </c>
      <c r="R133" s="258"/>
      <c r="S133" s="258">
        <f>29.976+11.591</f>
        <v>41.567</v>
      </c>
      <c r="T133" s="258"/>
      <c r="U133" s="258">
        <v>32.567999999999998</v>
      </c>
      <c r="V133" s="258"/>
      <c r="W133" s="258">
        <f>11.644+38.208</f>
        <v>49.851999999999997</v>
      </c>
      <c r="X133" s="258"/>
      <c r="Y133" s="258">
        <f>44.927+19.185594</f>
        <v>64.112594000000001</v>
      </c>
      <c r="Z133" s="258"/>
      <c r="AA133" s="258">
        <v>56.091317000000004</v>
      </c>
      <c r="AB133" s="264"/>
      <c r="AC133" s="258">
        <v>38.347999999999999</v>
      </c>
      <c r="AD133" s="264"/>
      <c r="AE133" s="258">
        <v>42.161141999999998</v>
      </c>
      <c r="AF133" s="264"/>
      <c r="AG133" s="258">
        <v>53.838692359999996</v>
      </c>
      <c r="AH133" s="264"/>
      <c r="AI133" s="258">
        <v>40.740365000000004</v>
      </c>
      <c r="AJ133" s="264"/>
      <c r="AK133" s="258">
        <v>45.909025999999997</v>
      </c>
      <c r="AL133" s="264"/>
      <c r="AM133" s="258">
        <v>54.118761999999997</v>
      </c>
      <c r="AN133" s="264"/>
      <c r="AO133" s="258">
        <v>49.550000000000004</v>
      </c>
      <c r="AP133" s="264"/>
      <c r="AQ133" s="258">
        <v>47.124000000000002</v>
      </c>
      <c r="AR133" s="264"/>
      <c r="AS133" s="258">
        <v>51.3</v>
      </c>
      <c r="AT133" s="264"/>
      <c r="AU133" s="258">
        <v>40.700000000000003</v>
      </c>
      <c r="AV133" s="264"/>
      <c r="AW133" s="258">
        <v>43.2</v>
      </c>
      <c r="AX133" s="264"/>
      <c r="AY133" s="258">
        <v>50.81</v>
      </c>
      <c r="AZ133" s="264"/>
      <c r="BA133" s="258">
        <v>50</v>
      </c>
      <c r="BB133" s="264"/>
    </row>
    <row r="134" spans="1:54">
      <c r="A134" s="252"/>
      <c r="B134" s="255" t="s">
        <v>206</v>
      </c>
      <c r="C134" s="258">
        <v>393.97199999999998</v>
      </c>
      <c r="D134" s="258"/>
      <c r="E134" s="258">
        <v>330.33799999999997</v>
      </c>
      <c r="F134" s="258"/>
      <c r="G134" s="258">
        <v>326.84500000000003</v>
      </c>
      <c r="H134" s="258"/>
      <c r="I134" s="258">
        <v>395.05799999999999</v>
      </c>
      <c r="J134" s="258"/>
      <c r="K134" s="258">
        <v>390.82376499999998</v>
      </c>
      <c r="L134" s="258"/>
      <c r="M134" s="258">
        <v>476</v>
      </c>
      <c r="N134" s="258"/>
      <c r="O134" s="258">
        <v>406.88716299999999</v>
      </c>
      <c r="P134" s="258"/>
      <c r="Q134" s="258">
        <v>306.28355399999998</v>
      </c>
      <c r="R134" s="258"/>
      <c r="S134" s="258">
        <f>+S118</f>
        <v>341.524</v>
      </c>
      <c r="T134" s="258"/>
      <c r="U134" s="258">
        <v>307.79300000000001</v>
      </c>
      <c r="V134" s="258"/>
      <c r="W134" s="258">
        <f>+W118</f>
        <v>314.18971199999999</v>
      </c>
      <c r="X134" s="258"/>
      <c r="Y134" s="258">
        <f>+Y118</f>
        <v>350.879594</v>
      </c>
      <c r="Z134" s="258"/>
      <c r="AA134" s="258">
        <v>313.64925100000005</v>
      </c>
      <c r="AB134" s="264"/>
      <c r="AC134" s="258">
        <f>+AC118</f>
        <v>231.518</v>
      </c>
      <c r="AD134" s="264"/>
      <c r="AE134" s="258">
        <f>+AE118</f>
        <v>286.57365616999999</v>
      </c>
      <c r="AF134" s="264"/>
      <c r="AG134" s="258">
        <f>+AG118</f>
        <v>284.02508992999998</v>
      </c>
      <c r="AH134" s="264"/>
      <c r="AI134" s="258">
        <f>+AI118</f>
        <v>262.17069946000004</v>
      </c>
      <c r="AJ134" s="264"/>
      <c r="AK134" s="258">
        <f>+AK118</f>
        <v>222.20291896000003</v>
      </c>
      <c r="AL134" s="264"/>
      <c r="AM134" s="258">
        <f>+AM118</f>
        <v>232.715</v>
      </c>
      <c r="AN134" s="264"/>
      <c r="AO134" s="258">
        <f>+AO118</f>
        <v>336.17699999999996</v>
      </c>
      <c r="AP134" s="264"/>
      <c r="AQ134" s="258">
        <f>+AQ118</f>
        <v>332.45699999999999</v>
      </c>
      <c r="AR134" s="264"/>
      <c r="AS134" s="258">
        <f>+AS118</f>
        <v>259.5</v>
      </c>
      <c r="AT134" s="264"/>
      <c r="AU134" s="258">
        <f>+AU118</f>
        <v>286.5</v>
      </c>
      <c r="AV134" s="264"/>
      <c r="AW134" s="258">
        <f>+AW118</f>
        <v>331.45699999999999</v>
      </c>
      <c r="AX134" s="264"/>
      <c r="AY134" s="258">
        <f>+AY118</f>
        <v>373.90199999999999</v>
      </c>
      <c r="AZ134" s="264"/>
      <c r="BA134" s="258">
        <f>+BA118</f>
        <v>300.7</v>
      </c>
      <c r="BB134" s="264"/>
    </row>
    <row r="135" spans="1:54" ht="13.5" thickBot="1">
      <c r="A135" s="321" t="s">
        <v>356</v>
      </c>
      <c r="B135" s="268" t="s">
        <v>213</v>
      </c>
      <c r="C135" s="293">
        <v>0.20681926634380107</v>
      </c>
      <c r="D135" s="293"/>
      <c r="E135" s="293">
        <v>0.22104026784687203</v>
      </c>
      <c r="F135" s="293"/>
      <c r="G135" s="293">
        <v>0.23633832550597378</v>
      </c>
      <c r="H135" s="293"/>
      <c r="I135" s="293">
        <v>0.1867</v>
      </c>
      <c r="J135" s="293"/>
      <c r="K135" s="293">
        <v>0.1682424429844997</v>
      </c>
      <c r="L135" s="293"/>
      <c r="M135" s="293">
        <v>0.1</v>
      </c>
      <c r="N135" s="293"/>
      <c r="O135" s="293">
        <v>0.23808712048258943</v>
      </c>
      <c r="P135" s="293"/>
      <c r="Q135" s="293">
        <v>0.14346323015436865</v>
      </c>
      <c r="R135" s="293"/>
      <c r="S135" s="293">
        <f>S133/S134</f>
        <v>0.12171033368079549</v>
      </c>
      <c r="T135" s="293"/>
      <c r="U135" s="293">
        <f>U133/U134</f>
        <v>0.10581137322811109</v>
      </c>
      <c r="V135" s="293"/>
      <c r="W135" s="293">
        <f>W133/W134</f>
        <v>0.15866846715846633</v>
      </c>
      <c r="X135" s="293"/>
      <c r="Y135" s="293">
        <f>Y133/Y134</f>
        <v>0.18271964256775788</v>
      </c>
      <c r="Z135" s="293"/>
      <c r="AA135" s="293">
        <f>AA133/AA134</f>
        <v>0.17883453195301907</v>
      </c>
      <c r="AB135" s="275"/>
      <c r="AC135" s="293">
        <f>AC133/AC134</f>
        <v>0.1656372290707418</v>
      </c>
      <c r="AD135" s="275"/>
      <c r="AE135" s="293">
        <f>AE133/AE134</f>
        <v>0.14712148549687118</v>
      </c>
      <c r="AF135" s="275"/>
      <c r="AG135" s="293">
        <f>AG133/AG134</f>
        <v>0.18955611412100576</v>
      </c>
      <c r="AH135" s="275"/>
      <c r="AI135" s="293">
        <f>AI133/AI134</f>
        <v>0.15539633179418608</v>
      </c>
      <c r="AJ135" s="275"/>
      <c r="AK135" s="293">
        <f>AK133/AK134</f>
        <v>0.20660856398679592</v>
      </c>
      <c r="AL135" s="275"/>
      <c r="AM135" s="293">
        <f>AM133/AM134</f>
        <v>0.2325538190490514</v>
      </c>
      <c r="AN135" s="275"/>
      <c r="AO135" s="293">
        <f>AO133/AO134</f>
        <v>0.14739259378244202</v>
      </c>
      <c r="AP135" s="275"/>
      <c r="AQ135" s="293">
        <f>AQ133/AQ134</f>
        <v>0.1417446466761115</v>
      </c>
      <c r="AR135" s="275"/>
      <c r="AS135" s="293">
        <f>AS133/AS134</f>
        <v>0.19768786127167629</v>
      </c>
      <c r="AT135" s="275"/>
      <c r="AU135" s="293">
        <f>AU133/AU134</f>
        <v>0.14205933682373473</v>
      </c>
      <c r="AV135" s="275"/>
      <c r="AW135" s="293">
        <f>AW133/AW134</f>
        <v>0.13033364810518408</v>
      </c>
      <c r="AX135" s="275"/>
      <c r="AY135" s="293">
        <f>AY133/AY134</f>
        <v>0.13589122283379068</v>
      </c>
      <c r="AZ135" s="275"/>
      <c r="BA135" s="293">
        <f>BA133/BA134</f>
        <v>0.16627868307283006</v>
      </c>
      <c r="BB135" s="275"/>
    </row>
    <row r="136" spans="1:54">
      <c r="A136" s="252"/>
      <c r="B136" s="255"/>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58"/>
      <c r="AZ136" s="264"/>
      <c r="BA136" s="258"/>
      <c r="BB136" s="264"/>
    </row>
    <row r="137" spans="1:54">
      <c r="A137" s="252"/>
      <c r="B137" s="256" t="s">
        <v>215</v>
      </c>
      <c r="C137" s="258">
        <v>39.323999999999998</v>
      </c>
      <c r="D137" s="258"/>
      <c r="E137" s="258">
        <v>45.846999999999994</v>
      </c>
      <c r="F137" s="258"/>
      <c r="G137" s="258">
        <v>48.385999999999996</v>
      </c>
      <c r="H137" s="258"/>
      <c r="I137" s="258">
        <v>139.32900000000001</v>
      </c>
      <c r="J137" s="258"/>
      <c r="K137" s="258">
        <v>110.83682400000001</v>
      </c>
      <c r="L137" s="258"/>
      <c r="M137" s="258">
        <v>43</v>
      </c>
      <c r="N137" s="258"/>
      <c r="O137" s="258">
        <v>32.586542000000001</v>
      </c>
      <c r="P137" s="258"/>
      <c r="Q137" s="258">
        <v>36.539403999999998</v>
      </c>
      <c r="R137" s="258"/>
      <c r="S137" s="258">
        <f>40.975+4.332</f>
        <v>45.307000000000002</v>
      </c>
      <c r="T137" s="258"/>
      <c r="U137" s="258">
        <v>42.216999999999999</v>
      </c>
      <c r="V137" s="258"/>
      <c r="W137" s="258">
        <f>1.361985+41.656</f>
        <v>43.017984999999996</v>
      </c>
      <c r="X137" s="258"/>
      <c r="Y137" s="258">
        <f>62.407+1.814612</f>
        <v>64.221611999999993</v>
      </c>
      <c r="Z137" s="258"/>
      <c r="AA137" s="258">
        <v>88.599948999999995</v>
      </c>
      <c r="AB137" s="264"/>
      <c r="AC137" s="258">
        <v>92.24</v>
      </c>
      <c r="AD137" s="264"/>
      <c r="AE137" s="258">
        <v>103.58739599999998</v>
      </c>
      <c r="AF137" s="264"/>
      <c r="AG137" s="258">
        <v>97.50177017</v>
      </c>
      <c r="AH137" s="264"/>
      <c r="AI137" s="258">
        <v>104.86169700000001</v>
      </c>
      <c r="AJ137" s="264"/>
      <c r="AK137" s="258">
        <v>107.30243400000001</v>
      </c>
      <c r="AL137" s="264"/>
      <c r="AM137" s="258">
        <v>101.34362399999999</v>
      </c>
      <c r="AN137" s="264"/>
      <c r="AO137" s="258">
        <v>88.635000000000005</v>
      </c>
      <c r="AP137" s="264"/>
      <c r="AQ137" s="258">
        <v>102.07299999999999</v>
      </c>
      <c r="AR137" s="264"/>
      <c r="AS137" s="258">
        <v>99.5</v>
      </c>
      <c r="AT137" s="264"/>
      <c r="AU137" s="258">
        <v>106.5</v>
      </c>
      <c r="AV137" s="264"/>
      <c r="AW137" s="258">
        <v>102.9</v>
      </c>
      <c r="AX137" s="264"/>
      <c r="AY137" s="258">
        <v>100.26</v>
      </c>
      <c r="AZ137" s="264"/>
      <c r="BA137" s="258">
        <v>86</v>
      </c>
      <c r="BB137" s="264"/>
    </row>
    <row r="138" spans="1:54">
      <c r="A138" s="252"/>
      <c r="B138" s="255" t="s">
        <v>209</v>
      </c>
      <c r="C138" s="258">
        <v>348.18546199999997</v>
      </c>
      <c r="D138" s="258"/>
      <c r="E138" s="258">
        <v>393.60399999999998</v>
      </c>
      <c r="F138" s="258"/>
      <c r="G138" s="258">
        <v>187.74600000000001</v>
      </c>
      <c r="H138" s="258"/>
      <c r="I138" s="258">
        <v>493.05</v>
      </c>
      <c r="J138" s="258"/>
      <c r="K138" s="258">
        <v>375.87459699999999</v>
      </c>
      <c r="L138" s="258"/>
      <c r="M138" s="258">
        <v>173</v>
      </c>
      <c r="N138" s="258"/>
      <c r="O138" s="258">
        <v>83.810366000000002</v>
      </c>
      <c r="P138" s="258"/>
      <c r="Q138" s="258">
        <v>98.724193</v>
      </c>
      <c r="R138" s="258"/>
      <c r="S138" s="258">
        <f>S122</f>
        <v>105.97900000000001</v>
      </c>
      <c r="T138" s="258"/>
      <c r="U138" s="258">
        <v>111.137</v>
      </c>
      <c r="V138" s="258"/>
      <c r="W138" s="258">
        <f>W122</f>
        <v>133.98046099999999</v>
      </c>
      <c r="X138" s="258"/>
      <c r="Y138" s="258">
        <f>Y122</f>
        <v>151.25913100000002</v>
      </c>
      <c r="Z138" s="258"/>
      <c r="AA138" s="258">
        <v>218.058446</v>
      </c>
      <c r="AB138" s="264"/>
      <c r="AC138" s="258">
        <f>AC122</f>
        <v>252.654</v>
      </c>
      <c r="AD138" s="264"/>
      <c r="AE138" s="258">
        <f>AE122</f>
        <v>254.45234506</v>
      </c>
      <c r="AF138" s="264"/>
      <c r="AG138" s="258">
        <f>AG122</f>
        <v>250.24210007000002</v>
      </c>
      <c r="AH138" s="264"/>
      <c r="AI138" s="258">
        <f>AI122</f>
        <v>262.46432599999997</v>
      </c>
      <c r="AJ138" s="264"/>
      <c r="AK138" s="258">
        <f>AK122</f>
        <v>256.79862200000002</v>
      </c>
      <c r="AL138" s="264"/>
      <c r="AM138" s="258">
        <f>AM122</f>
        <v>272.18251900000001</v>
      </c>
      <c r="AN138" s="264"/>
      <c r="AO138" s="258">
        <f>AO122</f>
        <v>223.315</v>
      </c>
      <c r="AP138" s="264"/>
      <c r="AQ138" s="258">
        <f>AQ122</f>
        <v>232.28300000000002</v>
      </c>
      <c r="AR138" s="264"/>
      <c r="AS138" s="258">
        <f>AS122</f>
        <v>219.3</v>
      </c>
      <c r="AT138" s="264"/>
      <c r="AU138" s="258">
        <f>AU122</f>
        <v>256.5</v>
      </c>
      <c r="AV138" s="264"/>
      <c r="AW138" s="258">
        <f>AW122</f>
        <v>211.9</v>
      </c>
      <c r="AX138" s="264"/>
      <c r="AY138" s="258">
        <f>AY122</f>
        <v>216.64699999999999</v>
      </c>
      <c r="AZ138" s="264"/>
      <c r="BA138" s="258">
        <f>BA122</f>
        <v>217.36</v>
      </c>
      <c r="BB138" s="264"/>
    </row>
    <row r="139" spans="1:54" ht="13.5" thickBot="1">
      <c r="A139" s="321" t="s">
        <v>357</v>
      </c>
      <c r="B139" s="268" t="s">
        <v>216</v>
      </c>
      <c r="C139" s="293">
        <v>0.11293981022102526</v>
      </c>
      <c r="D139" s="293"/>
      <c r="E139" s="293">
        <v>0.11648001544699747</v>
      </c>
      <c r="F139" s="293"/>
      <c r="G139" s="293">
        <v>0.25772053732170058</v>
      </c>
      <c r="H139" s="293"/>
      <c r="I139" s="293">
        <v>0.28260000000000002</v>
      </c>
      <c r="J139" s="293"/>
      <c r="K139" s="293">
        <v>0.29487713424804818</v>
      </c>
      <c r="L139" s="293"/>
      <c r="M139" s="293">
        <v>0.25</v>
      </c>
      <c r="N139" s="293"/>
      <c r="O139" s="293">
        <v>0.38881278719150325</v>
      </c>
      <c r="P139" s="293"/>
      <c r="Q139" s="293">
        <v>0.37011600591153981</v>
      </c>
      <c r="R139" s="293"/>
      <c r="S139" s="293">
        <f>S137/S138</f>
        <v>0.42750922352541537</v>
      </c>
      <c r="T139" s="293"/>
      <c r="U139" s="293">
        <f>U137/U138</f>
        <v>0.37986449157346336</v>
      </c>
      <c r="V139" s="293"/>
      <c r="W139" s="293">
        <f>W137/W138</f>
        <v>0.32107655608081537</v>
      </c>
      <c r="X139" s="293"/>
      <c r="Y139" s="293">
        <f>Y137/Y138</f>
        <v>0.42458006716963081</v>
      </c>
      <c r="Z139" s="293"/>
      <c r="AA139" s="293">
        <f>AA137/AA138</f>
        <v>0.40631285155540359</v>
      </c>
      <c r="AB139" s="275"/>
      <c r="AC139" s="293">
        <f>AC137/AC138</f>
        <v>0.36508426543810901</v>
      </c>
      <c r="AD139" s="275"/>
      <c r="AE139" s="293">
        <f>AE137/AE138</f>
        <v>0.40709939606009143</v>
      </c>
      <c r="AF139" s="275"/>
      <c r="AG139" s="293">
        <f>AG137/AG138</f>
        <v>0.38962976310830955</v>
      </c>
      <c r="AH139" s="275"/>
      <c r="AI139" s="293">
        <f>AI137/AI138</f>
        <v>0.3995274275864828</v>
      </c>
      <c r="AJ139" s="275"/>
      <c r="AK139" s="293">
        <f>AK137/AK138</f>
        <v>0.41784661134201878</v>
      </c>
      <c r="AL139" s="275"/>
      <c r="AM139" s="293">
        <f>AM137/AM138</f>
        <v>0.3723370052284658</v>
      </c>
      <c r="AN139" s="275"/>
      <c r="AO139" s="293">
        <f>AO137/AO138</f>
        <v>0.39690571614087727</v>
      </c>
      <c r="AP139" s="275"/>
      <c r="AQ139" s="293">
        <f>AQ137/AQ138</f>
        <v>0.43943379412182548</v>
      </c>
      <c r="AR139" s="275"/>
      <c r="AS139" s="293">
        <f>AS137/AS138</f>
        <v>0.45371637026903783</v>
      </c>
      <c r="AT139" s="275"/>
      <c r="AU139" s="293">
        <f>AU137/AU138</f>
        <v>0.41520467836257308</v>
      </c>
      <c r="AV139" s="275"/>
      <c r="AW139" s="293">
        <f>AW137/AW138</f>
        <v>0.48560641812175553</v>
      </c>
      <c r="AX139" s="275"/>
      <c r="AY139" s="293">
        <f>AY137/AY138</f>
        <v>0.46278046776553566</v>
      </c>
      <c r="AZ139" s="275"/>
      <c r="BA139" s="293">
        <f>BA137/BA138</f>
        <v>0.39565697460434301</v>
      </c>
      <c r="BB139" s="275"/>
    </row>
    <row r="140" spans="1:54">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row>
    <row r="141" spans="1:54">
      <c r="A141" s="252"/>
      <c r="B141" s="255"/>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row>
    <row r="142" spans="1:54">
      <c r="A142" s="252"/>
      <c r="B142" s="255" t="s">
        <v>186</v>
      </c>
      <c r="C142" s="258">
        <v>17791.42000573</v>
      </c>
      <c r="D142" s="258"/>
      <c r="E142" s="258">
        <v>17304.41509002</v>
      </c>
      <c r="F142" s="258"/>
      <c r="G142" s="258">
        <v>17135.459832</v>
      </c>
      <c r="H142" s="258"/>
      <c r="I142" s="258">
        <v>16654.883699999998</v>
      </c>
      <c r="J142" s="258"/>
      <c r="K142" s="258">
        <v>16244.309691809998</v>
      </c>
      <c r="L142" s="258"/>
      <c r="M142" s="258">
        <v>15504</v>
      </c>
      <c r="N142" s="258"/>
      <c r="O142" s="258">
        <v>15902.865877999999</v>
      </c>
      <c r="P142" s="258"/>
      <c r="Q142" s="258">
        <v>15781.623224370029</v>
      </c>
      <c r="R142" s="258"/>
      <c r="S142" s="258">
        <f>S19</f>
        <v>15088.845469150001</v>
      </c>
      <c r="T142" s="258"/>
      <c r="U142" s="258">
        <v>14604.36419099</v>
      </c>
      <c r="V142" s="258"/>
      <c r="W142" s="258">
        <v>14761.540622534032</v>
      </c>
      <c r="X142" s="258"/>
      <c r="Y142" s="258">
        <f>Y19</f>
        <v>13772.911895999998</v>
      </c>
      <c r="Z142" s="258"/>
      <c r="AA142" s="258">
        <f>AA19</f>
        <v>13419.826445000001</v>
      </c>
      <c r="AB142" s="264"/>
      <c r="AC142" s="258">
        <f>AC19</f>
        <v>13006.999244000001</v>
      </c>
      <c r="AD142" s="264"/>
      <c r="AE142" s="258">
        <f>AE19</f>
        <v>13331.214576718428</v>
      </c>
      <c r="AF142" s="264"/>
      <c r="AG142" s="258">
        <f>AG19</f>
        <v>12991.201010299999</v>
      </c>
      <c r="AH142" s="264"/>
      <c r="AI142" s="258">
        <f>AI19</f>
        <v>12591.153999999999</v>
      </c>
      <c r="AJ142" s="264"/>
      <c r="AK142" s="258">
        <f>AK19</f>
        <v>12369.748290755098</v>
      </c>
      <c r="AL142" s="264"/>
      <c r="AM142" s="258">
        <f>AM19</f>
        <v>12107.396449</v>
      </c>
      <c r="AN142" s="264"/>
      <c r="AO142" s="258">
        <f>AO19</f>
        <v>11775.9</v>
      </c>
      <c r="AP142" s="264"/>
      <c r="AQ142" s="258">
        <f>AQ19</f>
        <v>10950.12103489</v>
      </c>
      <c r="AR142" s="264"/>
      <c r="AS142" s="258">
        <f>AS19</f>
        <v>8995.4</v>
      </c>
      <c r="AT142" s="264"/>
      <c r="AU142" s="258">
        <f>AU19</f>
        <v>8717.7999999999993</v>
      </c>
      <c r="AV142" s="264"/>
      <c r="AW142" s="258">
        <f>AW19</f>
        <v>8449.2000000000007</v>
      </c>
      <c r="AX142" s="264"/>
      <c r="AY142" s="258">
        <f>AY19</f>
        <v>8128</v>
      </c>
      <c r="AZ142" s="264"/>
      <c r="BA142" s="258">
        <f>BA19</f>
        <v>7889</v>
      </c>
      <c r="BB142" s="264"/>
    </row>
    <row r="143" spans="1:54">
      <c r="A143" s="252"/>
      <c r="B143" s="255" t="s">
        <v>187</v>
      </c>
      <c r="C143" s="258">
        <v>155242.86618750019</v>
      </c>
      <c r="D143" s="258"/>
      <c r="E143" s="258">
        <v>150118.14197999999</v>
      </c>
      <c r="F143" s="258"/>
      <c r="G143" s="258">
        <v>146073.80200999998</v>
      </c>
      <c r="H143" s="258"/>
      <c r="I143" s="258">
        <v>148898.13930000001</v>
      </c>
      <c r="J143" s="258"/>
      <c r="K143" s="258">
        <v>147197.40538354</v>
      </c>
      <c r="L143" s="258"/>
      <c r="M143" s="258">
        <v>143586</v>
      </c>
      <c r="N143" s="258"/>
      <c r="O143" s="258">
        <v>134782.94005149015</v>
      </c>
      <c r="P143" s="258"/>
      <c r="Q143" s="258">
        <v>136568.11884102001</v>
      </c>
      <c r="R143" s="258"/>
      <c r="S143" s="258">
        <f>+S94</f>
        <v>130854.10594534002</v>
      </c>
      <c r="T143" s="258"/>
      <c r="U143" s="258">
        <v>126291.54656699001</v>
      </c>
      <c r="V143" s="258"/>
      <c r="W143" s="258">
        <f>+W94</f>
        <v>123471.57226353404</v>
      </c>
      <c r="X143" s="258"/>
      <c r="Y143" s="258">
        <f>+Y94</f>
        <v>121318.88338399999</v>
      </c>
      <c r="Z143" s="258"/>
      <c r="AA143" s="258">
        <f>+AA94</f>
        <v>119591.87386200001</v>
      </c>
      <c r="AB143" s="264"/>
      <c r="AC143" s="258">
        <f>+AC94</f>
        <v>114088.20773600001</v>
      </c>
      <c r="AD143" s="264"/>
      <c r="AE143" s="258">
        <f>+AE94</f>
        <v>108321.32653799999</v>
      </c>
      <c r="AF143" s="264"/>
      <c r="AG143" s="258">
        <f>+AG94</f>
        <v>106311.634504</v>
      </c>
      <c r="AH143" s="264"/>
      <c r="AI143" s="258">
        <f>+AI94</f>
        <v>107652.02759400001</v>
      </c>
      <c r="AJ143" s="264"/>
      <c r="AK143" s="258">
        <f>+AK94</f>
        <v>101861.10500000003</v>
      </c>
      <c r="AL143" s="264"/>
      <c r="AM143" s="258">
        <f>+AM94</f>
        <v>101241.63347000002</v>
      </c>
      <c r="AN143" s="264"/>
      <c r="AO143" s="258">
        <f>+AO94</f>
        <v>99719.943000000014</v>
      </c>
      <c r="AP143" s="264"/>
      <c r="AQ143" s="258">
        <f>+AQ94</f>
        <v>100882.75</v>
      </c>
      <c r="AR143" s="264"/>
      <c r="AS143" s="258">
        <f>+AS94</f>
        <v>57184.580000000009</v>
      </c>
      <c r="AT143" s="264"/>
      <c r="AU143" s="258">
        <f>+AU94</f>
        <v>55970</v>
      </c>
      <c r="AV143" s="264"/>
      <c r="AW143" s="258">
        <f>+AW94</f>
        <v>54500.600000000006</v>
      </c>
      <c r="AX143" s="264"/>
      <c r="AY143" s="258">
        <f>+AY94</f>
        <v>53558.399999999994</v>
      </c>
      <c r="AZ143" s="264"/>
      <c r="BA143" s="258">
        <f>+BA94</f>
        <v>51101</v>
      </c>
      <c r="BB143" s="264"/>
    </row>
    <row r="144" spans="1:54" ht="13.5" thickBot="1">
      <c r="A144" s="321" t="s">
        <v>358</v>
      </c>
      <c r="B144" s="268" t="s">
        <v>188</v>
      </c>
      <c r="C144" s="284">
        <v>0.11460378465469563</v>
      </c>
      <c r="D144" s="284"/>
      <c r="E144" s="284">
        <v>0.11527197753570279</v>
      </c>
      <c r="F144" s="284"/>
      <c r="G144" s="284">
        <v>0.11730686540785003</v>
      </c>
      <c r="H144" s="284"/>
      <c r="I144" s="284">
        <v>0.1119</v>
      </c>
      <c r="J144" s="284"/>
      <c r="K144" s="284">
        <v>0.11035730996401436</v>
      </c>
      <c r="L144" s="284"/>
      <c r="M144" s="284">
        <v>0.108</v>
      </c>
      <c r="N144" s="284"/>
      <c r="O144" s="284">
        <v>0.11798871483234259</v>
      </c>
      <c r="P144" s="284"/>
      <c r="Q144" s="284">
        <v>0.11555861908548024</v>
      </c>
      <c r="R144" s="284"/>
      <c r="S144" s="284">
        <f>S142/S143</f>
        <v>0.11531044715901285</v>
      </c>
      <c r="T144" s="284"/>
      <c r="U144" s="284">
        <f>U142/U143</f>
        <v>0.11564007717051172</v>
      </c>
      <c r="V144" s="284"/>
      <c r="W144" s="284">
        <f>W142/W143</f>
        <v>0.11955416418467112</v>
      </c>
      <c r="X144" s="284"/>
      <c r="Y144" s="284">
        <f>Y142/Y143</f>
        <v>0.11352653034569904</v>
      </c>
      <c r="Z144" s="284"/>
      <c r="AA144" s="284">
        <f>AA142/AA143</f>
        <v>0.11221353100032086</v>
      </c>
      <c r="AB144" s="275"/>
      <c r="AC144" s="284">
        <f>AC142/AC143</f>
        <v>0.11400827046120475</v>
      </c>
      <c r="AD144" s="275"/>
      <c r="AE144" s="284">
        <f>AE142/AE143</f>
        <v>0.12307100552393743</v>
      </c>
      <c r="AF144" s="275"/>
      <c r="AG144" s="284">
        <f>AG142/AG143</f>
        <v>0.12219924066552849</v>
      </c>
      <c r="AH144" s="275"/>
      <c r="AI144" s="284">
        <f>AI142/AI143</f>
        <v>0.11696160566047496</v>
      </c>
      <c r="AJ144" s="275"/>
      <c r="AK144" s="284">
        <f>AK142/AK143</f>
        <v>0.12143740528590471</v>
      </c>
      <c r="AL144" s="275"/>
      <c r="AM144" s="284">
        <f>AM142/AM143</f>
        <v>0.11958910612191645</v>
      </c>
      <c r="AN144" s="275"/>
      <c r="AO144" s="284">
        <f>AO142/AO143</f>
        <v>0.11808971852300396</v>
      </c>
      <c r="AP144" s="275"/>
      <c r="AQ144" s="284">
        <f>AQ142/AQ143</f>
        <v>0.10854304660499442</v>
      </c>
      <c r="AR144" s="275"/>
      <c r="AS144" s="284">
        <f>AS142/AS143</f>
        <v>0.15730464401417302</v>
      </c>
      <c r="AT144" s="275"/>
      <c r="AU144" s="284">
        <f>AU142/AU143</f>
        <v>0.15575844202251204</v>
      </c>
      <c r="AV144" s="275"/>
      <c r="AW144" s="284">
        <f>AW142/AW143</f>
        <v>0.15502948591391655</v>
      </c>
      <c r="AX144" s="275"/>
      <c r="AY144" s="284">
        <f>AY142/AY143</f>
        <v>0.15175957459520822</v>
      </c>
      <c r="AZ144" s="275"/>
      <c r="BA144" s="284">
        <f>BA142/BA143</f>
        <v>0.154380540498229</v>
      </c>
      <c r="BB144" s="275"/>
    </row>
    <row r="145" spans="1:54">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row>
    <row r="146" spans="1:54">
      <c r="A146" s="252"/>
      <c r="B146" s="255"/>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row>
    <row r="147" spans="1:54">
      <c r="B147" s="255" t="s">
        <v>186</v>
      </c>
      <c r="C147" s="258">
        <v>17791.42000573</v>
      </c>
      <c r="D147" s="258"/>
      <c r="E147" s="258">
        <v>17304.41509002</v>
      </c>
      <c r="F147" s="258"/>
      <c r="G147" s="258">
        <v>17135.459832</v>
      </c>
      <c r="H147" s="258"/>
      <c r="I147" s="258">
        <v>16654.883699999998</v>
      </c>
      <c r="J147" s="258"/>
      <c r="K147" s="258">
        <v>16244.309691809998</v>
      </c>
      <c r="L147" s="258"/>
      <c r="M147" s="258">
        <v>15504</v>
      </c>
      <c r="N147" s="258"/>
      <c r="O147" s="258">
        <v>15902.865877999999</v>
      </c>
      <c r="P147" s="258"/>
      <c r="Q147" s="258">
        <v>15781.623224370029</v>
      </c>
      <c r="R147" s="258"/>
      <c r="S147" s="258">
        <v>15088.845469150001</v>
      </c>
      <c r="T147" s="258"/>
      <c r="U147" s="258">
        <v>14604.36419099</v>
      </c>
      <c r="V147" s="258"/>
      <c r="W147" s="258">
        <v>14761.540622534032</v>
      </c>
      <c r="X147" s="258"/>
      <c r="Y147" s="258">
        <v>13772.911895999998</v>
      </c>
      <c r="Z147" s="258"/>
      <c r="AA147" s="258">
        <v>13419.826445000001</v>
      </c>
      <c r="AB147" s="264"/>
      <c r="AC147" s="258">
        <v>13006.999244000001</v>
      </c>
      <c r="AD147" s="264"/>
      <c r="AE147" s="258">
        <v>13331.214576718428</v>
      </c>
      <c r="AF147" s="264"/>
      <c r="AG147" s="258">
        <v>12991.201010299999</v>
      </c>
      <c r="AH147" s="258"/>
      <c r="AI147" s="258">
        <v>12591.153999999999</v>
      </c>
      <c r="AJ147" s="264"/>
      <c r="AK147" s="258">
        <v>12369.748290755098</v>
      </c>
      <c r="AL147" s="264"/>
      <c r="AM147" s="258">
        <v>12107.396449</v>
      </c>
      <c r="AN147" s="264"/>
      <c r="AO147" s="258">
        <v>11775.9</v>
      </c>
      <c r="AP147" s="264"/>
      <c r="AQ147" s="258">
        <v>10950.12103489</v>
      </c>
      <c r="AR147" s="264"/>
      <c r="AS147" s="294" t="s">
        <v>134</v>
      </c>
      <c r="AT147" s="264"/>
      <c r="AU147" s="294" t="s">
        <v>134</v>
      </c>
      <c r="AV147" s="264"/>
      <c r="AW147" s="294" t="s">
        <v>134</v>
      </c>
      <c r="AX147" s="264"/>
      <c r="AY147" s="294" t="s">
        <v>134</v>
      </c>
      <c r="AZ147" s="264"/>
      <c r="BA147" s="294" t="s">
        <v>134</v>
      </c>
      <c r="BB147" s="264"/>
    </row>
    <row r="148" spans="1:54">
      <c r="B148" s="272" t="s">
        <v>189</v>
      </c>
      <c r="C148" s="258">
        <v>112.42981</v>
      </c>
      <c r="D148" s="258"/>
      <c r="E148" s="258">
        <v>109.570846</v>
      </c>
      <c r="F148" s="258"/>
      <c r="G148" s="258">
        <v>113.26664</v>
      </c>
      <c r="H148" s="258"/>
      <c r="I148" s="258">
        <v>112.57599999999999</v>
      </c>
      <c r="J148" s="258"/>
      <c r="K148" s="258">
        <v>110.50827200000001</v>
      </c>
      <c r="L148" s="258"/>
      <c r="M148" s="258">
        <v>109</v>
      </c>
      <c r="N148" s="258"/>
      <c r="O148" s="258">
        <v>113.514532</v>
      </c>
      <c r="P148" s="258"/>
      <c r="Q148" s="258">
        <v>100.881528</v>
      </c>
      <c r="R148" s="258"/>
      <c r="S148" s="258">
        <v>100.21979899999999</v>
      </c>
      <c r="T148" s="258"/>
      <c r="U148" s="258">
        <v>98.409527999999995</v>
      </c>
      <c r="V148" s="258"/>
      <c r="W148" s="258">
        <v>102.476</v>
      </c>
      <c r="X148" s="258"/>
      <c r="Y148" s="258">
        <v>94.432304000000002</v>
      </c>
      <c r="Z148" s="258"/>
      <c r="AA148" s="258">
        <v>92.616168999999999</v>
      </c>
      <c r="AB148" s="264"/>
      <c r="AC148" s="258">
        <v>57.376956999999997</v>
      </c>
      <c r="AD148" s="264"/>
      <c r="AE148" s="258">
        <v>62.4</v>
      </c>
      <c r="AF148" s="264"/>
      <c r="AG148" s="258">
        <v>53.335999999999999</v>
      </c>
      <c r="AH148" s="258"/>
      <c r="AI148" s="258">
        <v>50.855761000000001</v>
      </c>
      <c r="AJ148" s="264"/>
      <c r="AK148" s="258">
        <v>49</v>
      </c>
      <c r="AL148" s="264"/>
      <c r="AM148" s="258">
        <v>47.279034750000001</v>
      </c>
      <c r="AN148" s="264"/>
      <c r="AO148" s="258">
        <v>46</v>
      </c>
      <c r="AP148" s="264"/>
      <c r="AQ148" s="258">
        <v>45</v>
      </c>
      <c r="AR148" s="264"/>
      <c r="AS148" s="294" t="s">
        <v>134</v>
      </c>
      <c r="AT148" s="264"/>
      <c r="AU148" s="294" t="s">
        <v>134</v>
      </c>
      <c r="AV148" s="264"/>
      <c r="AW148" s="294" t="s">
        <v>134</v>
      </c>
      <c r="AX148" s="264"/>
      <c r="AY148" s="294" t="s">
        <v>134</v>
      </c>
      <c r="AZ148" s="264"/>
      <c r="BA148" s="294" t="s">
        <v>134</v>
      </c>
      <c r="BB148" s="264"/>
    </row>
    <row r="149" spans="1:54">
      <c r="B149" s="272" t="s">
        <v>190</v>
      </c>
      <c r="C149" s="258">
        <v>23.892459890000001</v>
      </c>
      <c r="D149" s="258"/>
      <c r="E149" s="258">
        <v>28.696660000000001</v>
      </c>
      <c r="F149" s="258"/>
      <c r="G149" s="258">
        <v>29.296659999999999</v>
      </c>
      <c r="H149" s="258"/>
      <c r="I149" s="258">
        <v>30.436699999999998</v>
      </c>
      <c r="J149" s="258"/>
      <c r="K149" s="258">
        <v>31.936659890000001</v>
      </c>
      <c r="L149" s="258"/>
      <c r="M149" s="258">
        <v>32</v>
      </c>
      <c r="N149" s="258"/>
      <c r="O149" s="258">
        <v>12.411659999999998</v>
      </c>
      <c r="P149" s="258"/>
      <c r="Q149" s="258">
        <v>12.96165989</v>
      </c>
      <c r="R149" s="258"/>
      <c r="S149" s="258">
        <v>14.46165989</v>
      </c>
      <c r="T149" s="258"/>
      <c r="U149" s="258">
        <v>14.56165989</v>
      </c>
      <c r="V149" s="258"/>
      <c r="W149" s="258">
        <v>14.661659999999999</v>
      </c>
      <c r="X149" s="258"/>
      <c r="Y149" s="258">
        <v>16.509160000000001</v>
      </c>
      <c r="Z149" s="258"/>
      <c r="AA149" s="258">
        <v>19.009160000000001</v>
      </c>
      <c r="AB149" s="264"/>
      <c r="AC149" s="258">
        <v>19.237159999999999</v>
      </c>
      <c r="AD149" s="264"/>
      <c r="AE149" s="258">
        <v>19.520132000000004</v>
      </c>
      <c r="AF149" s="264"/>
      <c r="AG149" s="258">
        <v>23.610119999999998</v>
      </c>
      <c r="AH149" s="258"/>
      <c r="AI149" s="258">
        <v>27.225885000000002</v>
      </c>
      <c r="AJ149" s="264"/>
      <c r="AK149" s="258">
        <v>28.733000000000001</v>
      </c>
      <c r="AL149" s="264"/>
      <c r="AM149" s="258">
        <v>32.701132000000001</v>
      </c>
      <c r="AN149" s="264"/>
      <c r="AO149" s="258">
        <v>40.4</v>
      </c>
      <c r="AP149" s="264"/>
      <c r="AQ149" s="258">
        <v>43.90314489</v>
      </c>
      <c r="AR149" s="264"/>
      <c r="AS149" s="294" t="s">
        <v>134</v>
      </c>
      <c r="AT149" s="264"/>
      <c r="AU149" s="294" t="s">
        <v>134</v>
      </c>
      <c r="AV149" s="264"/>
      <c r="AW149" s="294" t="s">
        <v>134</v>
      </c>
      <c r="AX149" s="264"/>
      <c r="AY149" s="294" t="s">
        <v>134</v>
      </c>
      <c r="AZ149" s="264"/>
      <c r="BA149" s="294" t="s">
        <v>134</v>
      </c>
      <c r="BB149" s="264"/>
    </row>
    <row r="150" spans="1:54">
      <c r="B150" s="272" t="s">
        <v>191</v>
      </c>
      <c r="C150" s="258">
        <v>650</v>
      </c>
      <c r="D150" s="258"/>
      <c r="E150" s="258">
        <v>650</v>
      </c>
      <c r="F150" s="258"/>
      <c r="G150" s="258">
        <v>650</v>
      </c>
      <c r="H150" s="258"/>
      <c r="I150" s="258">
        <v>650</v>
      </c>
      <c r="J150" s="258"/>
      <c r="K150" s="258">
        <v>650</v>
      </c>
      <c r="L150" s="258"/>
      <c r="M150" s="258">
        <v>300</v>
      </c>
      <c r="N150" s="258"/>
      <c r="O150" s="258">
        <v>300.00475699999998</v>
      </c>
      <c r="P150" s="258"/>
      <c r="Q150" s="258">
        <v>493.44836554</v>
      </c>
      <c r="R150" s="258"/>
      <c r="S150" s="258">
        <v>200</v>
      </c>
      <c r="T150" s="258"/>
      <c r="U150" s="258">
        <v>200</v>
      </c>
      <c r="V150" s="258"/>
      <c r="W150" s="258">
        <v>400</v>
      </c>
      <c r="X150" s="258"/>
      <c r="Y150" s="258">
        <v>400</v>
      </c>
      <c r="Z150" s="258"/>
      <c r="AA150" s="258">
        <v>400</v>
      </c>
      <c r="AB150" s="264"/>
      <c r="AC150" s="258">
        <v>400</v>
      </c>
      <c r="AD150" s="264"/>
      <c r="AE150" s="258">
        <v>400</v>
      </c>
      <c r="AF150" s="264"/>
      <c r="AG150" s="258">
        <v>400</v>
      </c>
      <c r="AH150" s="258"/>
      <c r="AI150" s="258">
        <v>400</v>
      </c>
      <c r="AJ150" s="264"/>
      <c r="AK150" s="258">
        <v>400</v>
      </c>
      <c r="AL150" s="264"/>
      <c r="AM150" s="258">
        <v>400</v>
      </c>
      <c r="AN150" s="264"/>
      <c r="AO150" s="258">
        <v>400</v>
      </c>
      <c r="AP150" s="264"/>
      <c r="AQ150" s="258">
        <v>400</v>
      </c>
      <c r="AR150" s="264"/>
      <c r="AS150" s="294" t="s">
        <v>134</v>
      </c>
      <c r="AT150" s="264"/>
      <c r="AU150" s="294" t="s">
        <v>134</v>
      </c>
      <c r="AV150" s="264"/>
      <c r="AW150" s="294" t="s">
        <v>134</v>
      </c>
      <c r="AX150" s="264"/>
      <c r="AY150" s="294" t="s">
        <v>134</v>
      </c>
      <c r="AZ150" s="264"/>
      <c r="BA150" s="294" t="s">
        <v>134</v>
      </c>
      <c r="BB150" s="264"/>
    </row>
    <row r="151" spans="1:54">
      <c r="B151" s="297" t="s">
        <v>192</v>
      </c>
      <c r="C151" s="258">
        <v>17005.097735839998</v>
      </c>
      <c r="D151" s="258"/>
      <c r="E151" s="258">
        <v>16516.14758402</v>
      </c>
      <c r="F151" s="258"/>
      <c r="G151" s="258">
        <v>16342.896531999999</v>
      </c>
      <c r="H151" s="258"/>
      <c r="I151" s="258">
        <v>15861.8711</v>
      </c>
      <c r="J151" s="258"/>
      <c r="K151" s="258">
        <v>15451.864759919999</v>
      </c>
      <c r="L151" s="258"/>
      <c r="M151" s="258">
        <v>15063</v>
      </c>
      <c r="N151" s="258"/>
      <c r="O151" s="258">
        <v>15476.934928999999</v>
      </c>
      <c r="P151" s="258"/>
      <c r="Q151" s="258">
        <v>15174.33167094003</v>
      </c>
      <c r="R151" s="258"/>
      <c r="S151" s="258">
        <v>14774.164010260001</v>
      </c>
      <c r="T151" s="258"/>
      <c r="U151" s="258">
        <v>14291.3930031</v>
      </c>
      <c r="V151" s="258"/>
      <c r="W151" s="258">
        <v>14244.402962534032</v>
      </c>
      <c r="X151" s="258"/>
      <c r="Y151" s="258">
        <v>13261.970431999998</v>
      </c>
      <c r="Z151" s="258"/>
      <c r="AA151" s="258">
        <v>12908.201116</v>
      </c>
      <c r="AB151" s="264"/>
      <c r="AC151" s="258">
        <v>12530.385127</v>
      </c>
      <c r="AD151" s="264"/>
      <c r="AE151" s="258">
        <v>12849.294444718429</v>
      </c>
      <c r="AF151" s="264"/>
      <c r="AG151" s="258">
        <v>12514.254890300001</v>
      </c>
      <c r="AH151" s="258"/>
      <c r="AI151" s="258">
        <v>12113.072353999998</v>
      </c>
      <c r="AJ151" s="264"/>
      <c r="AK151" s="258">
        <v>11892.015290755098</v>
      </c>
      <c r="AL151" s="264"/>
      <c r="AM151" s="258">
        <v>11627.41628225</v>
      </c>
      <c r="AN151" s="258"/>
      <c r="AO151" s="258">
        <v>11289.5</v>
      </c>
      <c r="AP151" s="264"/>
      <c r="AQ151" s="258">
        <v>10461.21789</v>
      </c>
      <c r="AR151" s="264"/>
      <c r="AS151" s="294" t="s">
        <v>134</v>
      </c>
      <c r="AT151" s="264"/>
      <c r="AU151" s="294" t="s">
        <v>134</v>
      </c>
      <c r="AV151" s="264"/>
      <c r="AW151" s="294" t="s">
        <v>134</v>
      </c>
      <c r="AX151" s="264"/>
      <c r="AY151" s="294" t="s">
        <v>134</v>
      </c>
      <c r="AZ151" s="264"/>
      <c r="BA151" s="294" t="s">
        <v>134</v>
      </c>
      <c r="BB151" s="264"/>
    </row>
    <row r="152" spans="1:54">
      <c r="B152" s="298" t="s">
        <v>193</v>
      </c>
      <c r="C152" s="299">
        <v>0.696274605713462</v>
      </c>
      <c r="D152" s="299"/>
      <c r="E152" s="299">
        <v>0.696274605713462</v>
      </c>
      <c r="F152" s="299"/>
      <c r="G152" s="299">
        <v>0.69997791239999996</v>
      </c>
      <c r="H152" s="299"/>
      <c r="I152" s="299">
        <v>0.70099999999999996</v>
      </c>
      <c r="J152" s="299"/>
      <c r="K152" s="299">
        <v>0.70099912411646903</v>
      </c>
      <c r="L152" s="299"/>
      <c r="M152" s="299">
        <v>0.70099999999999996</v>
      </c>
      <c r="N152" s="299"/>
      <c r="O152" s="299">
        <v>0.70099912415633248</v>
      </c>
      <c r="P152" s="299"/>
      <c r="Q152" s="299">
        <v>0.69355058599999997</v>
      </c>
      <c r="R152" s="299"/>
      <c r="S152" s="299">
        <v>0.69355058599999997</v>
      </c>
      <c r="T152" s="299"/>
      <c r="U152" s="299">
        <v>0.69355058599999997</v>
      </c>
      <c r="V152" s="299"/>
      <c r="W152" s="299">
        <v>0.69255300847357781</v>
      </c>
      <c r="X152" s="299"/>
      <c r="Y152" s="299">
        <v>0.67552884523400603</v>
      </c>
      <c r="Z152" s="299"/>
      <c r="AA152" s="299">
        <v>0.67552884523400603</v>
      </c>
      <c r="AB152" s="264"/>
      <c r="AC152" s="299">
        <v>0.67552884523400603</v>
      </c>
      <c r="AD152" s="264"/>
      <c r="AE152" s="300">
        <v>0.67527848656046996</v>
      </c>
      <c r="AF152" s="300"/>
      <c r="AG152" s="300">
        <v>0.67909544299689906</v>
      </c>
      <c r="AH152" s="300"/>
      <c r="AI152" s="300">
        <v>0.68019204285072066</v>
      </c>
      <c r="AJ152" s="300"/>
      <c r="AK152" s="300">
        <v>0.67294279680764146</v>
      </c>
      <c r="AL152" s="301"/>
      <c r="AM152" s="300">
        <v>0.67300000000000004</v>
      </c>
      <c r="AN152" s="300">
        <v>0.67300000000000004</v>
      </c>
      <c r="AO152" s="300">
        <v>0.67255691881993418</v>
      </c>
      <c r="AP152" s="301"/>
      <c r="AQ152" s="300">
        <v>0.67255691881993418</v>
      </c>
      <c r="AR152" s="300"/>
      <c r="AS152" s="294" t="s">
        <v>134</v>
      </c>
      <c r="AT152" s="294"/>
      <c r="AU152" s="294" t="s">
        <v>134</v>
      </c>
      <c r="AV152" s="302"/>
      <c r="AW152" s="294" t="s">
        <v>134</v>
      </c>
      <c r="AX152" s="294"/>
      <c r="AY152" s="294" t="s">
        <v>134</v>
      </c>
      <c r="AZ152" s="294"/>
      <c r="BA152" s="294" t="s">
        <v>134</v>
      </c>
      <c r="BB152" s="294"/>
    </row>
    <row r="153" spans="1:54">
      <c r="B153" s="297" t="s">
        <v>194</v>
      </c>
      <c r="C153" s="258">
        <v>11840.21772114088</v>
      </c>
      <c r="D153" s="258"/>
      <c r="E153" s="258">
        <v>11499.774146968874</v>
      </c>
      <c r="F153" s="258"/>
      <c r="G153" s="258">
        <v>11439.666597038558</v>
      </c>
      <c r="H153" s="258"/>
      <c r="I153" s="258">
        <v>11119.1577</v>
      </c>
      <c r="J153" s="258"/>
      <c r="K153" s="258">
        <v>10831.743662670053</v>
      </c>
      <c r="L153" s="258"/>
      <c r="M153" s="258">
        <v>10559</v>
      </c>
      <c r="N153" s="258"/>
      <c r="O153" s="258">
        <v>10849.317829853549</v>
      </c>
      <c r="P153" s="258"/>
      <c r="Q153" s="258">
        <v>10563.454521036645</v>
      </c>
      <c r="R153" s="258"/>
      <c r="S153" s="258">
        <v>10284.338953080276</v>
      </c>
      <c r="T153" s="258"/>
      <c r="U153" s="258">
        <v>9875.6371398569845</v>
      </c>
      <c r="V153" s="258"/>
      <c r="W153" s="258">
        <v>9897.943889999633</v>
      </c>
      <c r="X153" s="258"/>
      <c r="Y153" s="258">
        <v>8985.8324258674093</v>
      </c>
      <c r="Z153" s="258"/>
      <c r="AA153" s="258">
        <v>8743.3967177522609</v>
      </c>
      <c r="AB153" s="264"/>
      <c r="AC153" s="258">
        <v>8464.6365951796743</v>
      </c>
      <c r="AD153" s="264"/>
      <c r="AE153" s="258">
        <v>8676.8521059993145</v>
      </c>
      <c r="AF153" s="258"/>
      <c r="AG153" s="258">
        <v>8498.3734685043892</v>
      </c>
      <c r="AH153" s="258"/>
      <c r="AI153" s="258">
        <v>8239.2154296658464</v>
      </c>
      <c r="AJ153" s="258"/>
      <c r="AK153" s="258">
        <v>8002.6460294399731</v>
      </c>
      <c r="AL153" s="264"/>
      <c r="AM153" s="258">
        <v>7825.2511579542506</v>
      </c>
      <c r="AN153" s="258"/>
      <c r="AO153" s="258">
        <v>7592.8313350176468</v>
      </c>
      <c r="AP153" s="264"/>
      <c r="AQ153" s="258">
        <v>7035.764471202373</v>
      </c>
      <c r="AR153" s="258"/>
      <c r="AS153" s="294" t="s">
        <v>134</v>
      </c>
      <c r="AT153" s="294"/>
      <c r="AU153" s="294" t="s">
        <v>134</v>
      </c>
      <c r="AV153" s="258"/>
      <c r="AW153" s="294" t="s">
        <v>134</v>
      </c>
      <c r="AX153" s="294"/>
      <c r="AY153" s="294" t="s">
        <v>134</v>
      </c>
      <c r="AZ153" s="294"/>
      <c r="BA153" s="294" t="s">
        <v>134</v>
      </c>
      <c r="BB153" s="294"/>
    </row>
    <row r="154" spans="1:54">
      <c r="B154" s="298" t="s">
        <v>195</v>
      </c>
      <c r="C154" s="258">
        <v>115829789</v>
      </c>
      <c r="D154" s="258"/>
      <c r="E154" s="258">
        <v>115829789</v>
      </c>
      <c r="F154" s="258"/>
      <c r="G154" s="258">
        <v>115829789</v>
      </c>
      <c r="H154" s="258"/>
      <c r="I154" s="258">
        <v>115829789</v>
      </c>
      <c r="J154" s="258"/>
      <c r="K154" s="258">
        <v>115829789</v>
      </c>
      <c r="L154" s="258"/>
      <c r="M154" s="258">
        <v>115829789</v>
      </c>
      <c r="N154" s="258"/>
      <c r="O154" s="258">
        <v>115829789</v>
      </c>
      <c r="P154" s="258"/>
      <c r="Q154" s="258">
        <v>115829789</v>
      </c>
      <c r="R154" s="258"/>
      <c r="S154" s="258">
        <v>115829789</v>
      </c>
      <c r="T154" s="258"/>
      <c r="U154" s="258">
        <v>115829789</v>
      </c>
      <c r="V154" s="258"/>
      <c r="W154" s="258">
        <v>115319521</v>
      </c>
      <c r="X154" s="258"/>
      <c r="Y154" s="258">
        <v>107179987</v>
      </c>
      <c r="Z154" s="258"/>
      <c r="AA154" s="258">
        <v>107179987</v>
      </c>
      <c r="AB154" s="264"/>
      <c r="AC154" s="258">
        <v>107179987</v>
      </c>
      <c r="AD154" s="264"/>
      <c r="AE154" s="258">
        <v>107179987</v>
      </c>
      <c r="AF154" s="258"/>
      <c r="AG154" s="258">
        <v>107179987</v>
      </c>
      <c r="AH154" s="258"/>
      <c r="AI154" s="258">
        <v>107179987</v>
      </c>
      <c r="AJ154" s="258"/>
      <c r="AK154" s="258">
        <v>106202540</v>
      </c>
      <c r="AL154" s="264"/>
      <c r="AM154" s="258">
        <v>106202540</v>
      </c>
      <c r="AN154" s="258">
        <v>106202540</v>
      </c>
      <c r="AO154" s="258">
        <v>106202540</v>
      </c>
      <c r="AP154" s="264"/>
      <c r="AQ154" s="258">
        <v>106202540</v>
      </c>
      <c r="AR154" s="258">
        <v>106202540</v>
      </c>
      <c r="AS154" s="294" t="s">
        <v>134</v>
      </c>
      <c r="AT154" s="294"/>
      <c r="AU154" s="294" t="s">
        <v>134</v>
      </c>
      <c r="AV154" s="294"/>
      <c r="AW154" s="294" t="s">
        <v>134</v>
      </c>
      <c r="AX154" s="294"/>
      <c r="AY154" s="294" t="s">
        <v>134</v>
      </c>
      <c r="AZ154" s="294"/>
      <c r="BA154" s="294" t="s">
        <v>134</v>
      </c>
      <c r="BB154" s="294"/>
    </row>
    <row r="155" spans="1:54" ht="13.5" thickBot="1">
      <c r="A155" s="321" t="s">
        <v>359</v>
      </c>
      <c r="B155" s="268" t="s">
        <v>196</v>
      </c>
      <c r="C155" s="303">
        <v>102.22083475556431</v>
      </c>
      <c r="D155" s="303"/>
      <c r="E155" s="303">
        <v>99.281663605282702</v>
      </c>
      <c r="F155" s="303"/>
      <c r="G155" s="303">
        <v>98.762733626654182</v>
      </c>
      <c r="H155" s="303"/>
      <c r="I155" s="303">
        <v>95.995699999999999</v>
      </c>
      <c r="J155" s="303"/>
      <c r="K155" s="303">
        <v>93.514317484166824</v>
      </c>
      <c r="L155" s="303"/>
      <c r="M155" s="303">
        <v>91.16</v>
      </c>
      <c r="N155" s="303"/>
      <c r="O155" s="303">
        <v>93.666041555627373</v>
      </c>
      <c r="P155" s="303"/>
      <c r="Q155" s="303">
        <v>91.198081359162671</v>
      </c>
      <c r="R155" s="303"/>
      <c r="S155" s="303">
        <v>88.78837682317004</v>
      </c>
      <c r="T155" s="303"/>
      <c r="U155" s="303">
        <v>85.259907879630035</v>
      </c>
      <c r="V155" s="303"/>
      <c r="W155" s="303">
        <v>85.830601828459152</v>
      </c>
      <c r="X155" s="303"/>
      <c r="Y155" s="303">
        <v>83.838715392523881</v>
      </c>
      <c r="Z155" s="303"/>
      <c r="AA155" s="303">
        <v>81.57676598479398</v>
      </c>
      <c r="AB155" s="275"/>
      <c r="AC155" s="303">
        <v>78.975906156619274</v>
      </c>
      <c r="AD155" s="275"/>
      <c r="AE155" s="303">
        <v>80.955898100634357</v>
      </c>
      <c r="AF155" s="275"/>
      <c r="AG155" s="303">
        <v>79.29067455946219</v>
      </c>
      <c r="AH155" s="274"/>
      <c r="AI155" s="303">
        <v>76.872704133336455</v>
      </c>
      <c r="AJ155" s="275"/>
      <c r="AK155" s="303">
        <v>75.352680166029671</v>
      </c>
      <c r="AL155" s="275"/>
      <c r="AM155" s="303">
        <v>73.682335261983852</v>
      </c>
      <c r="AN155" s="275"/>
      <c r="AO155" s="303">
        <v>71.493877029849259</v>
      </c>
      <c r="AP155" s="275"/>
      <c r="AQ155" s="303">
        <v>66.248551787955094</v>
      </c>
      <c r="AR155" s="275"/>
      <c r="AS155" s="304" t="s">
        <v>134</v>
      </c>
      <c r="AT155" s="304"/>
      <c r="AU155" s="304" t="s">
        <v>134</v>
      </c>
      <c r="AV155" s="274"/>
      <c r="AW155" s="304" t="s">
        <v>134</v>
      </c>
      <c r="AX155" s="304"/>
      <c r="AY155" s="304" t="s">
        <v>134</v>
      </c>
      <c r="AZ155" s="304"/>
      <c r="BA155" s="304" t="s">
        <v>134</v>
      </c>
      <c r="BB155" s="304"/>
    </row>
    <row r="156" spans="1:54">
      <c r="A156" s="252"/>
      <c r="B156" s="285"/>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7"/>
      <c r="AP156" s="286"/>
      <c r="AQ156" s="286"/>
      <c r="AR156" s="286"/>
      <c r="AS156" s="288"/>
      <c r="AT156" s="286"/>
      <c r="AU156" s="286"/>
      <c r="AV156" s="286"/>
      <c r="AW156" s="286"/>
      <c r="AX156" s="286"/>
      <c r="AY156" s="286"/>
      <c r="AZ156" s="286"/>
      <c r="BA156" s="286"/>
      <c r="BB156" s="286"/>
    </row>
    <row r="157" spans="1:54">
      <c r="A157" s="252"/>
      <c r="B157" s="30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9"/>
      <c r="AP157" s="288"/>
      <c r="AQ157" s="288"/>
      <c r="AR157" s="288"/>
      <c r="AS157" s="288"/>
      <c r="AT157" s="288"/>
      <c r="AU157" s="288"/>
      <c r="AV157" s="288"/>
      <c r="AW157" s="288"/>
      <c r="AX157" s="288"/>
      <c r="AY157" s="288"/>
      <c r="AZ157" s="288"/>
      <c r="BA157" s="288"/>
      <c r="BB157" s="288"/>
    </row>
    <row r="158" spans="1:54">
      <c r="A158" s="252"/>
      <c r="B158" s="298" t="s">
        <v>197</v>
      </c>
      <c r="C158" s="263">
        <v>955.29416647999949</v>
      </c>
      <c r="D158" s="263">
        <v>515.95789824999974</v>
      </c>
      <c r="E158" s="263">
        <v>439.33630000000011</v>
      </c>
      <c r="F158" s="263">
        <v>439.33630000000011</v>
      </c>
      <c r="G158" s="263">
        <v>1608.4838</v>
      </c>
      <c r="H158" s="263">
        <v>466.33647999999994</v>
      </c>
      <c r="I158" s="263">
        <v>1142.1600000000001</v>
      </c>
      <c r="J158" s="263">
        <v>437.9</v>
      </c>
      <c r="K158" s="263">
        <v>704.26890106999986</v>
      </c>
      <c r="L158" s="263">
        <v>437.85398513999996</v>
      </c>
      <c r="M158" s="263">
        <v>266</v>
      </c>
      <c r="N158" s="263">
        <v>266</v>
      </c>
      <c r="O158" s="263">
        <v>1928.1664119999998</v>
      </c>
      <c r="P158" s="263">
        <v>291.48677683999989</v>
      </c>
      <c r="Q158" s="263">
        <v>1636.6796351600001</v>
      </c>
      <c r="R158" s="263">
        <v>409.28442015999985</v>
      </c>
      <c r="S158" s="263">
        <v>1227.3952150000005</v>
      </c>
      <c r="T158" s="263">
        <v>470.82553570000027</v>
      </c>
      <c r="U158" s="263">
        <v>756.56967929999973</v>
      </c>
      <c r="V158" s="263">
        <v>756.56967929999973</v>
      </c>
      <c r="W158" s="263">
        <v>1413.5559930000002</v>
      </c>
      <c r="X158" s="263">
        <v>321.80813815000039</v>
      </c>
      <c r="Y158" s="263">
        <v>1091.7478549999998</v>
      </c>
      <c r="Z158" s="263">
        <v>361.66793400000006</v>
      </c>
      <c r="AA158" s="263">
        <v>730.07992100000013</v>
      </c>
      <c r="AB158" s="263">
        <v>416.1546219999999</v>
      </c>
      <c r="AC158" s="263">
        <v>313.925299</v>
      </c>
      <c r="AD158" s="263">
        <v>313.925299</v>
      </c>
      <c r="AE158" s="263">
        <v>1262.8547599999997</v>
      </c>
      <c r="AF158" s="263">
        <v>336.63084299999963</v>
      </c>
      <c r="AG158" s="263">
        <v>925.79183999999987</v>
      </c>
      <c r="AH158" s="263">
        <v>376.79184000000026</v>
      </c>
      <c r="AI158" s="263">
        <v>547.89695000000029</v>
      </c>
      <c r="AJ158" s="263">
        <v>274.03295000000026</v>
      </c>
      <c r="AK158" s="263">
        <v>273.86399999999986</v>
      </c>
      <c r="AL158" s="263">
        <v>273.86399999999986</v>
      </c>
      <c r="AM158" s="263">
        <v>1099.5794989999999</v>
      </c>
      <c r="AN158" s="263">
        <v>281.49246836999998</v>
      </c>
      <c r="AO158" s="263">
        <v>819.40027437000026</v>
      </c>
      <c r="AP158" s="263">
        <v>423.74120293000004</v>
      </c>
      <c r="AQ158" s="263">
        <v>395.73999999999995</v>
      </c>
      <c r="AR158" s="263"/>
      <c r="AS158" s="294" t="s">
        <v>134</v>
      </c>
      <c r="AT158" s="265"/>
      <c r="AU158" s="294" t="s">
        <v>134</v>
      </c>
      <c r="AV158" s="265"/>
      <c r="AW158" s="294" t="s">
        <v>134</v>
      </c>
      <c r="AX158" s="265"/>
      <c r="AY158" s="294" t="s">
        <v>134</v>
      </c>
      <c r="AZ158" s="265"/>
      <c r="BA158" s="294" t="s">
        <v>134</v>
      </c>
      <c r="BB158" s="265"/>
    </row>
    <row r="159" spans="1:54">
      <c r="A159" s="252"/>
      <c r="B159" s="272" t="s">
        <v>317</v>
      </c>
      <c r="C159" s="263">
        <v>5.3619830000000004</v>
      </c>
      <c r="D159" s="263">
        <v>2.6589630000000004</v>
      </c>
      <c r="E159" s="263">
        <v>2.70302</v>
      </c>
      <c r="F159" s="263">
        <v>2.70302</v>
      </c>
      <c r="G159" s="263">
        <v>5.7850989999999998</v>
      </c>
      <c r="H159" s="263">
        <v>0.80809899999999946</v>
      </c>
      <c r="I159" s="263">
        <v>4.9767999999999999</v>
      </c>
      <c r="J159" s="263">
        <v>2.0676999999999999</v>
      </c>
      <c r="K159" s="263">
        <v>2.9091039999999997</v>
      </c>
      <c r="L159" s="263">
        <v>1.9118499999999996</v>
      </c>
      <c r="M159" s="263">
        <v>1</v>
      </c>
      <c r="N159" s="263">
        <v>1</v>
      </c>
      <c r="O159" s="263">
        <v>3.6217487999999998</v>
      </c>
      <c r="P159" s="263">
        <v>0.12670280000000034</v>
      </c>
      <c r="Q159" s="263">
        <v>3.4950459999999994</v>
      </c>
      <c r="R159" s="263">
        <v>0.73119399999999946</v>
      </c>
      <c r="S159" s="263">
        <v>2.763852</v>
      </c>
      <c r="T159" s="263">
        <v>1.7856549999999998</v>
      </c>
      <c r="U159" s="263">
        <v>0.97819700000000009</v>
      </c>
      <c r="V159" s="263">
        <v>0.97819700000000009</v>
      </c>
      <c r="W159" s="263">
        <v>5.1791390000000002</v>
      </c>
      <c r="X159" s="263">
        <v>-0.15044999999999931</v>
      </c>
      <c r="Y159" s="263">
        <v>5.3295889999999995</v>
      </c>
      <c r="Z159" s="263">
        <v>1.4161379999999997</v>
      </c>
      <c r="AA159" s="263">
        <v>3.9134509999999998</v>
      </c>
      <c r="AB159" s="263">
        <v>2.2419479999999998</v>
      </c>
      <c r="AC159" s="263">
        <v>1.671503</v>
      </c>
      <c r="AD159" s="263">
        <v>1.671503</v>
      </c>
      <c r="AE159" s="263">
        <v>5.9205459500000011</v>
      </c>
      <c r="AF159" s="263">
        <v>1.4205459500000011</v>
      </c>
      <c r="AG159" s="263">
        <v>5.9305969999999997</v>
      </c>
      <c r="AH159" s="263">
        <v>2.9305969999999997</v>
      </c>
      <c r="AI159" s="263">
        <v>3.1739730000000002</v>
      </c>
      <c r="AJ159" s="263">
        <v>1.8339730000000001</v>
      </c>
      <c r="AK159" s="263">
        <v>1.34</v>
      </c>
      <c r="AL159" s="263">
        <v>1.34</v>
      </c>
      <c r="AM159" s="263">
        <v>4.2790347500000001</v>
      </c>
      <c r="AN159" s="263">
        <v>1.43</v>
      </c>
      <c r="AO159" s="263">
        <v>3.38</v>
      </c>
      <c r="AP159" s="263">
        <v>1.43</v>
      </c>
      <c r="AQ159" s="263">
        <v>1.9495039999999999</v>
      </c>
      <c r="AR159" s="263"/>
      <c r="AS159" s="294"/>
      <c r="AT159" s="265"/>
      <c r="AU159" s="294"/>
      <c r="AV159" s="265"/>
      <c r="AW159" s="294"/>
      <c r="AX159" s="265"/>
      <c r="AY159" s="294"/>
      <c r="AZ159" s="265"/>
      <c r="BA159" s="294"/>
      <c r="BB159" s="265"/>
    </row>
    <row r="160" spans="1:54">
      <c r="A160" s="252"/>
      <c r="B160" s="297" t="s">
        <v>150</v>
      </c>
      <c r="C160" s="263">
        <v>12.137389000000001</v>
      </c>
      <c r="D160" s="263">
        <v>6.2048890000000005</v>
      </c>
      <c r="E160" s="263">
        <v>5.9324999999999992</v>
      </c>
      <c r="F160" s="263">
        <v>5.9324999999999992</v>
      </c>
      <c r="G160" s="263">
        <v>19.578340000000001</v>
      </c>
      <c r="H160" s="263">
        <v>5.8433400000000013</v>
      </c>
      <c r="I160" s="263">
        <v>13.7354</v>
      </c>
      <c r="J160" s="263">
        <v>6.0016999999999996</v>
      </c>
      <c r="K160" s="263">
        <v>7.7336600000000075</v>
      </c>
      <c r="L160" s="263">
        <v>3.8026670000000076</v>
      </c>
      <c r="M160" s="263">
        <v>4</v>
      </c>
      <c r="N160" s="263">
        <v>4</v>
      </c>
      <c r="O160" s="263">
        <v>15.261431999999999</v>
      </c>
      <c r="P160" s="263">
        <v>6.1594199999999999</v>
      </c>
      <c r="Q160" s="263">
        <v>9.1020119999999984</v>
      </c>
      <c r="R160" s="263">
        <v>2.2946239999999998</v>
      </c>
      <c r="S160" s="263">
        <v>6.8073879999999996</v>
      </c>
      <c r="T160" s="263">
        <v>2.2233329999999998</v>
      </c>
      <c r="U160" s="263">
        <v>4.5840550000000002</v>
      </c>
      <c r="V160" s="263">
        <v>4.5840550000000002</v>
      </c>
      <c r="W160" s="263">
        <v>17.264553000000003</v>
      </c>
      <c r="X160" s="263">
        <v>4.3932770000000003</v>
      </c>
      <c r="Y160" s="263">
        <v>12.871276000000002</v>
      </c>
      <c r="Z160" s="263">
        <v>4.3728879999999997</v>
      </c>
      <c r="AA160" s="263">
        <v>8.4983880000000021</v>
      </c>
      <c r="AB160" s="263">
        <v>4.357888</v>
      </c>
      <c r="AC160" s="263">
        <v>4.140500000000003</v>
      </c>
      <c r="AD160" s="263">
        <v>4.140500000000003</v>
      </c>
      <c r="AE160" s="263">
        <v>17.059778000000001</v>
      </c>
      <c r="AF160" s="263">
        <v>4.1101669999999997</v>
      </c>
      <c r="AG160" s="263">
        <v>12.660722</v>
      </c>
      <c r="AH160" s="263">
        <v>4.1961110000000001</v>
      </c>
      <c r="AI160" s="263">
        <v>8.3062780000000007</v>
      </c>
      <c r="AJ160" s="263">
        <v>4.3544444000000002</v>
      </c>
      <c r="AK160" s="263">
        <v>4.3990559999999999</v>
      </c>
      <c r="AL160" s="263">
        <v>4.3990559999999999</v>
      </c>
      <c r="AM160" s="263">
        <v>13.238778</v>
      </c>
      <c r="AN160" s="263">
        <v>4.4033889999999998</v>
      </c>
      <c r="AO160" s="263">
        <v>8.8353889999999993</v>
      </c>
      <c r="AP160" s="263">
        <v>4.3999449999999998</v>
      </c>
      <c r="AQ160" s="263">
        <v>4.4354440000000004</v>
      </c>
      <c r="AR160" s="263"/>
      <c r="AS160" s="294"/>
      <c r="AT160" s="265"/>
      <c r="AU160" s="294"/>
      <c r="AV160" s="265"/>
      <c r="AW160" s="294"/>
      <c r="AX160" s="265"/>
      <c r="AY160" s="294"/>
      <c r="AZ160" s="265"/>
      <c r="BA160" s="294"/>
      <c r="BB160" s="265"/>
    </row>
    <row r="161" spans="1:54">
      <c r="A161" s="252"/>
      <c r="B161" s="297" t="s">
        <v>197</v>
      </c>
      <c r="C161" s="263">
        <v>937.7947944799995</v>
      </c>
      <c r="D161" s="263">
        <v>507.09404624999979</v>
      </c>
      <c r="E161" s="263">
        <v>430.70078000000012</v>
      </c>
      <c r="F161" s="263">
        <v>430.70078000000012</v>
      </c>
      <c r="G161" s="263">
        <v>1583.120361</v>
      </c>
      <c r="H161" s="263">
        <v>459.6850409999999</v>
      </c>
      <c r="I161" s="263">
        <v>1123.4477999999999</v>
      </c>
      <c r="J161" s="263">
        <v>429.8306</v>
      </c>
      <c r="K161" s="263">
        <v>693.62613706999991</v>
      </c>
      <c r="L161" s="263">
        <v>432.13946813999996</v>
      </c>
      <c r="M161" s="263">
        <v>261</v>
      </c>
      <c r="N161" s="263">
        <v>261</v>
      </c>
      <c r="O161" s="263">
        <v>1909.2832311999998</v>
      </c>
      <c r="P161" s="263">
        <v>285.2006540399999</v>
      </c>
      <c r="Q161" s="263">
        <v>1624.08257716</v>
      </c>
      <c r="R161" s="263">
        <v>406.25860215999984</v>
      </c>
      <c r="S161" s="263">
        <v>1217.8239750000005</v>
      </c>
      <c r="T161" s="263">
        <v>466.81654770000023</v>
      </c>
      <c r="U161" s="263">
        <v>751.00742729999968</v>
      </c>
      <c r="V161" s="263">
        <v>751.00742729999968</v>
      </c>
      <c r="W161" s="263">
        <v>1391.1123010000001</v>
      </c>
      <c r="X161" s="263">
        <v>317.56531115000035</v>
      </c>
      <c r="Y161" s="263">
        <v>1073.5469899999998</v>
      </c>
      <c r="Z161" s="263">
        <v>355.87890800000008</v>
      </c>
      <c r="AA161" s="263">
        <v>717.66808200000014</v>
      </c>
      <c r="AB161" s="263">
        <v>409.55478599999992</v>
      </c>
      <c r="AC161" s="263">
        <v>308.11329599999999</v>
      </c>
      <c r="AD161" s="263">
        <v>308.11329599999999</v>
      </c>
      <c r="AE161" s="263">
        <v>1239.8744360499998</v>
      </c>
      <c r="AF161" s="263">
        <v>331.10013004999962</v>
      </c>
      <c r="AG161" s="263">
        <v>907.20052099999987</v>
      </c>
      <c r="AH161" s="263">
        <v>369.66513200000031</v>
      </c>
      <c r="AI161" s="263">
        <v>536.41669900000022</v>
      </c>
      <c r="AJ161" s="263">
        <v>267.84453260000026</v>
      </c>
      <c r="AK161" s="263">
        <v>268.12494399999991</v>
      </c>
      <c r="AL161" s="263">
        <v>268.12494399999991</v>
      </c>
      <c r="AM161" s="263">
        <v>1082.0616862500001</v>
      </c>
      <c r="AN161" s="263">
        <v>275.65907936999997</v>
      </c>
      <c r="AO161" s="263">
        <v>807.1848853700003</v>
      </c>
      <c r="AP161" s="263">
        <v>417.91125793000003</v>
      </c>
      <c r="AQ161" s="263">
        <v>389.35505199999994</v>
      </c>
      <c r="AR161" s="263"/>
      <c r="AS161" s="294"/>
      <c r="AT161" s="265"/>
      <c r="AU161" s="294"/>
      <c r="AV161" s="265"/>
      <c r="AW161" s="294"/>
      <c r="AX161" s="265"/>
      <c r="AY161" s="294"/>
      <c r="AZ161" s="265"/>
      <c r="BA161" s="294"/>
      <c r="BB161" s="265"/>
    </row>
    <row r="162" spans="1:54">
      <c r="A162" s="322"/>
      <c r="B162" s="306" t="s">
        <v>193</v>
      </c>
      <c r="C162" s="307">
        <v>0.696274605713462</v>
      </c>
      <c r="D162" s="307">
        <v>0.696274605713462</v>
      </c>
      <c r="E162" s="307">
        <v>0.696274605713462</v>
      </c>
      <c r="F162" s="307">
        <v>0.696274605713462</v>
      </c>
      <c r="G162" s="307">
        <v>0.69997791239999996</v>
      </c>
      <c r="H162" s="307">
        <v>0.69997791239999996</v>
      </c>
      <c r="I162" s="307">
        <v>0.70099999999999996</v>
      </c>
      <c r="J162" s="307">
        <v>0.70099999999999996</v>
      </c>
      <c r="K162" s="307">
        <v>0.70099912411646903</v>
      </c>
      <c r="L162" s="307">
        <v>0.70099912411646903</v>
      </c>
      <c r="M162" s="307">
        <v>0.70099999999999996</v>
      </c>
      <c r="N162" s="307">
        <v>0.70099999999999996</v>
      </c>
      <c r="O162" s="307">
        <v>0.70099912415633248</v>
      </c>
      <c r="P162" s="307">
        <v>0.70099912415633248</v>
      </c>
      <c r="Q162" s="307">
        <v>0.69355058599999997</v>
      </c>
      <c r="R162" s="307">
        <v>0.69355058599999997</v>
      </c>
      <c r="S162" s="307">
        <v>0.69355058599999997</v>
      </c>
      <c r="T162" s="307">
        <v>0.69355058599999997</v>
      </c>
      <c r="U162" s="307">
        <v>0.69355058599999997</v>
      </c>
      <c r="V162" s="307">
        <v>0.69355058599999997</v>
      </c>
      <c r="W162" s="307">
        <v>0.69255300847357781</v>
      </c>
      <c r="X162" s="307">
        <v>0.69255300847357781</v>
      </c>
      <c r="Y162" s="307">
        <v>0.67552884523400603</v>
      </c>
      <c r="Z162" s="307">
        <v>0.67552884523400603</v>
      </c>
      <c r="AA162" s="307">
        <v>0.67552884523400603</v>
      </c>
      <c r="AB162" s="291">
        <v>0.67552884523400603</v>
      </c>
      <c r="AC162" s="307">
        <v>0.67552884523400603</v>
      </c>
      <c r="AD162" s="291">
        <v>0.67552884523400603</v>
      </c>
      <c r="AE162" s="308">
        <v>0.67527848656046996</v>
      </c>
      <c r="AF162" s="308">
        <v>0.67527848656046996</v>
      </c>
      <c r="AG162" s="308">
        <v>0.67909544299689906</v>
      </c>
      <c r="AH162" s="308">
        <v>0.67909544299689906</v>
      </c>
      <c r="AI162" s="308">
        <v>0.68019204285072066</v>
      </c>
      <c r="AJ162" s="308">
        <v>0.68019204285072066</v>
      </c>
      <c r="AK162" s="308">
        <v>0.67294279680764146</v>
      </c>
      <c r="AL162" s="308">
        <v>0.67294279680764146</v>
      </c>
      <c r="AM162" s="308">
        <v>0.67300000000000004</v>
      </c>
      <c r="AN162" s="308">
        <v>0.67300000000000004</v>
      </c>
      <c r="AO162" s="308">
        <v>0.67255252798887311</v>
      </c>
      <c r="AP162" s="308">
        <v>0.67255252798887311</v>
      </c>
      <c r="AQ162" s="308">
        <v>0.67255691881993418</v>
      </c>
      <c r="AR162" s="308"/>
      <c r="AS162" s="309" t="str">
        <f>AS152</f>
        <v>-</v>
      </c>
      <c r="AT162" s="309"/>
      <c r="AU162" s="309" t="str">
        <f>AU152</f>
        <v>-</v>
      </c>
      <c r="AV162" s="309"/>
      <c r="AW162" s="309" t="str">
        <f>AW152</f>
        <v>-</v>
      </c>
      <c r="AX162" s="309"/>
      <c r="AY162" s="309" t="str">
        <f>AY152</f>
        <v>-</v>
      </c>
      <c r="AZ162" s="309"/>
      <c r="BA162" s="309" t="str">
        <f>BA152</f>
        <v>-</v>
      </c>
      <c r="BB162" s="309"/>
    </row>
    <row r="163" spans="1:54">
      <c r="A163" s="322"/>
      <c r="B163" s="297" t="s">
        <v>198</v>
      </c>
      <c r="C163" s="263">
        <v>652.96270076669873</v>
      </c>
      <c r="D163" s="263">
        <v>353.07670711236267</v>
      </c>
      <c r="E163" s="263">
        <v>299.88601577498065</v>
      </c>
      <c r="F163" s="263">
        <v>299.88601577498065</v>
      </c>
      <c r="G163" s="263">
        <v>1108.1492853707143</v>
      </c>
      <c r="H163" s="263">
        <v>321.76937536068834</v>
      </c>
      <c r="I163" s="263">
        <v>787.53589999999997</v>
      </c>
      <c r="J163" s="263">
        <v>301.3109</v>
      </c>
      <c r="K163" s="263">
        <v>486.23131455035985</v>
      </c>
      <c r="L163" s="263">
        <v>302.92938866229673</v>
      </c>
      <c r="M163" s="263">
        <v>183</v>
      </c>
      <c r="N163" s="263">
        <v>183</v>
      </c>
      <c r="O163" s="263">
        <v>1338.4058728375724</v>
      </c>
      <c r="P163" s="263">
        <v>199.92540869085312</v>
      </c>
      <c r="Q163" s="263">
        <v>1126.3834231017081</v>
      </c>
      <c r="R163" s="263">
        <v>281.76089159560877</v>
      </c>
      <c r="S163" s="263">
        <v>844.62253150609968</v>
      </c>
      <c r="T163" s="263">
        <v>323.76089021183208</v>
      </c>
      <c r="U163" s="263">
        <v>520.8616412942672</v>
      </c>
      <c r="V163" s="263">
        <v>520.8616412942672</v>
      </c>
      <c r="W163" s="263">
        <v>963.4190091821514</v>
      </c>
      <c r="X163" s="263">
        <v>219.93081162378056</v>
      </c>
      <c r="Y163" s="263">
        <v>725.21195845914292</v>
      </c>
      <c r="Z163" s="263">
        <v>240.40646776437913</v>
      </c>
      <c r="AA163" s="263">
        <v>484.80549069476405</v>
      </c>
      <c r="AB163" s="263">
        <v>276.66607164664043</v>
      </c>
      <c r="AC163" s="263">
        <v>208.13941904812347</v>
      </c>
      <c r="AD163" s="263">
        <v>208.13941904812347</v>
      </c>
      <c r="AE163" s="263">
        <v>837.26053270086004</v>
      </c>
      <c r="AF163" s="263">
        <v>223.58479472013852</v>
      </c>
      <c r="AG163" s="263">
        <v>616.07573969551254</v>
      </c>
      <c r="AH163" s="263">
        <v>251.03790657604739</v>
      </c>
      <c r="AI163" s="263">
        <v>364.86637031205026</v>
      </c>
      <c r="AJ163" s="263">
        <v>182.18571979559061</v>
      </c>
      <c r="AK163" s="263">
        <v>180.43274970925219</v>
      </c>
      <c r="AL163" s="263">
        <v>180.43274970925219</v>
      </c>
      <c r="AM163" s="263">
        <v>728.22751484625007</v>
      </c>
      <c r="AN163" s="263">
        <v>185.51856041600999</v>
      </c>
      <c r="AO163" s="263">
        <v>542.87423521000244</v>
      </c>
      <c r="AP163" s="263">
        <v>281.0672729958315</v>
      </c>
      <c r="AQ163" s="263">
        <v>261.86343410009522</v>
      </c>
      <c r="AR163" s="263"/>
      <c r="AS163" s="294" t="s">
        <v>134</v>
      </c>
      <c r="AT163" s="294"/>
      <c r="AU163" s="294" t="s">
        <v>134</v>
      </c>
      <c r="AV163" s="294"/>
      <c r="AW163" s="294" t="s">
        <v>134</v>
      </c>
      <c r="AX163" s="294"/>
      <c r="AY163" s="294" t="s">
        <v>134</v>
      </c>
      <c r="AZ163" s="294"/>
      <c r="BA163" s="294" t="s">
        <v>134</v>
      </c>
      <c r="BB163" s="294"/>
    </row>
    <row r="164" spans="1:54">
      <c r="A164" s="322"/>
      <c r="B164" s="306" t="s">
        <v>195</v>
      </c>
      <c r="C164" s="262">
        <v>115829789</v>
      </c>
      <c r="D164" s="262">
        <v>115829789</v>
      </c>
      <c r="E164" s="262">
        <v>115829789</v>
      </c>
      <c r="F164" s="262">
        <v>115829789</v>
      </c>
      <c r="G164" s="262">
        <v>115829789</v>
      </c>
      <c r="H164" s="262">
        <v>115829789</v>
      </c>
      <c r="I164" s="262">
        <v>115829789</v>
      </c>
      <c r="J164" s="262">
        <v>115829789</v>
      </c>
      <c r="K164" s="262">
        <v>115829789</v>
      </c>
      <c r="L164" s="262">
        <v>115829789</v>
      </c>
      <c r="M164" s="262">
        <v>115829789</v>
      </c>
      <c r="N164" s="262">
        <v>115829789</v>
      </c>
      <c r="O164" s="262">
        <v>115829789</v>
      </c>
      <c r="P164" s="262">
        <v>115829789</v>
      </c>
      <c r="Q164" s="262">
        <v>115829789</v>
      </c>
      <c r="R164" s="262">
        <v>115829789</v>
      </c>
      <c r="S164" s="262">
        <v>115829789</v>
      </c>
      <c r="T164" s="262">
        <v>115829789</v>
      </c>
      <c r="U164" s="262">
        <v>115829789</v>
      </c>
      <c r="V164" s="262">
        <v>115829789</v>
      </c>
      <c r="W164" s="262">
        <v>115319521</v>
      </c>
      <c r="X164" s="262">
        <v>115319521</v>
      </c>
      <c r="Y164" s="262">
        <v>107179987</v>
      </c>
      <c r="Z164" s="262">
        <v>107179987</v>
      </c>
      <c r="AA164" s="262">
        <v>107179987</v>
      </c>
      <c r="AB164" s="262">
        <v>107179987</v>
      </c>
      <c r="AC164" s="262">
        <v>107179987</v>
      </c>
      <c r="AD164" s="262">
        <v>107179987</v>
      </c>
      <c r="AE164" s="262">
        <v>107179987</v>
      </c>
      <c r="AF164" s="262">
        <v>107179987</v>
      </c>
      <c r="AG164" s="262">
        <v>107179987</v>
      </c>
      <c r="AH164" s="262">
        <v>107179987</v>
      </c>
      <c r="AI164" s="262">
        <v>107179987</v>
      </c>
      <c r="AJ164" s="262">
        <v>107179987</v>
      </c>
      <c r="AK164" s="262">
        <v>106202540</v>
      </c>
      <c r="AL164" s="262">
        <v>106202540</v>
      </c>
      <c r="AM164" s="262">
        <v>106202540</v>
      </c>
      <c r="AN164" s="262">
        <v>106202540</v>
      </c>
      <c r="AO164" s="262">
        <v>106202540</v>
      </c>
      <c r="AP164" s="262">
        <v>106202540</v>
      </c>
      <c r="AQ164" s="262">
        <v>106202540</v>
      </c>
      <c r="AR164" s="262"/>
      <c r="AS164" s="296" t="s">
        <v>134</v>
      </c>
      <c r="AT164" s="296"/>
      <c r="AU164" s="296" t="s">
        <v>134</v>
      </c>
      <c r="AV164" s="296"/>
      <c r="AW164" s="296" t="s">
        <v>134</v>
      </c>
      <c r="AX164" s="296"/>
      <c r="AY164" s="296" t="s">
        <v>134</v>
      </c>
      <c r="AZ164" s="296"/>
      <c r="BA164" s="296" t="s">
        <v>134</v>
      </c>
      <c r="BB164" s="296"/>
    </row>
    <row r="165" spans="1:54" ht="13.5" thickBot="1">
      <c r="A165" s="321" t="s">
        <v>360</v>
      </c>
      <c r="B165" s="373" t="s">
        <v>199</v>
      </c>
      <c r="C165" s="303">
        <v>5.6372605562347928</v>
      </c>
      <c r="D165" s="303">
        <v>3.0482375057452851</v>
      </c>
      <c r="E165" s="303">
        <v>2.5890232414649454</v>
      </c>
      <c r="F165" s="303">
        <v>2.5890232414649454</v>
      </c>
      <c r="G165" s="303">
        <v>9.5670491584053075</v>
      </c>
      <c r="H165" s="303">
        <v>2.7779501123039112</v>
      </c>
      <c r="I165" s="303">
        <v>6.7991000000000001</v>
      </c>
      <c r="J165" s="303">
        <v>2.6013000000000002</v>
      </c>
      <c r="K165" s="303">
        <v>4.1978088602955141</v>
      </c>
      <c r="L165" s="303">
        <v>2.6152977681958545</v>
      </c>
      <c r="M165" s="303">
        <v>1.58</v>
      </c>
      <c r="N165" s="303">
        <v>1.58</v>
      </c>
      <c r="O165" s="303">
        <v>11.554936639292094</v>
      </c>
      <c r="P165" s="303">
        <v>1.7260275652479442</v>
      </c>
      <c r="Q165" s="303">
        <v>9.7244709916695804</v>
      </c>
      <c r="R165" s="303">
        <v>2.4325425611852642</v>
      </c>
      <c r="S165" s="303">
        <v>7.2919284304843179</v>
      </c>
      <c r="T165" s="303">
        <v>2.7951435723657592</v>
      </c>
      <c r="U165" s="303">
        <v>4.4967848581185548</v>
      </c>
      <c r="V165" s="303">
        <v>4.4967848581185548</v>
      </c>
      <c r="W165" s="303">
        <v>8.4580270438536846</v>
      </c>
      <c r="X165" s="303">
        <v>1.9071429513116045</v>
      </c>
      <c r="Y165" s="303">
        <v>6.8474245725753926</v>
      </c>
      <c r="Z165" s="303">
        <v>2.2430163922708739</v>
      </c>
      <c r="AA165" s="303">
        <v>4.5768469530300893</v>
      </c>
      <c r="AB165" s="303">
        <v>2.5813221235662254</v>
      </c>
      <c r="AC165" s="303">
        <v>1.9419616000524751</v>
      </c>
      <c r="AD165" s="303">
        <v>1.9419616000524751</v>
      </c>
      <c r="AE165" s="303">
        <v>7.8117245218630229</v>
      </c>
      <c r="AF165" s="303">
        <v>2.0860685000842416</v>
      </c>
      <c r="AG165" s="303">
        <v>5.7480482778516526</v>
      </c>
      <c r="AH165" s="303">
        <v>2.3422087798540914</v>
      </c>
      <c r="AI165" s="303">
        <v>3.4042397328528344</v>
      </c>
      <c r="AJ165" s="303">
        <v>1.6998109898594278</v>
      </c>
      <c r="AK165" s="303">
        <v>1.698949476248423</v>
      </c>
      <c r="AL165" s="303">
        <v>1.698949476248423</v>
      </c>
      <c r="AM165" s="303">
        <v>6.8569689090887094</v>
      </c>
      <c r="AN165" s="303">
        <v>1.7468373206140833</v>
      </c>
      <c r="AO165" s="303">
        <v>5.1116878674465074</v>
      </c>
      <c r="AP165" s="303">
        <v>2.6465211942749343</v>
      </c>
      <c r="AQ165" s="303">
        <v>2.4656984107922013</v>
      </c>
      <c r="AR165" s="303"/>
      <c r="AS165" s="310" t="s">
        <v>134</v>
      </c>
      <c r="AT165" s="310"/>
      <c r="AU165" s="310" t="s">
        <v>134</v>
      </c>
      <c r="AV165" s="310"/>
      <c r="AW165" s="310" t="s">
        <v>134</v>
      </c>
      <c r="AX165" s="310"/>
      <c r="AY165" s="310" t="s">
        <v>134</v>
      </c>
      <c r="AZ165" s="310"/>
      <c r="BA165" s="310" t="s">
        <v>134</v>
      </c>
      <c r="BB165" s="310"/>
    </row>
    <row r="166" spans="1:54">
      <c r="A166" s="252"/>
      <c r="B166" s="298"/>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9"/>
      <c r="AF166" s="288"/>
      <c r="AG166" s="288"/>
      <c r="AH166" s="288"/>
      <c r="AI166" s="289"/>
      <c r="AJ166" s="288"/>
      <c r="AK166" s="289"/>
      <c r="AL166" s="288"/>
      <c r="AM166" s="289"/>
      <c r="AN166" s="289"/>
      <c r="AO166" s="289"/>
      <c r="AP166" s="288"/>
      <c r="AQ166" s="289"/>
      <c r="AR166" s="289"/>
      <c r="AS166" s="289"/>
      <c r="AT166" s="289"/>
      <c r="AU166" s="289"/>
      <c r="AV166" s="289"/>
      <c r="AW166" s="289"/>
      <c r="AX166" s="289"/>
      <c r="AY166" s="289"/>
      <c r="AZ166" s="289"/>
      <c r="BA166" s="289"/>
      <c r="BB166" s="289"/>
    </row>
    <row r="167" spans="1:54">
      <c r="A167" s="252"/>
      <c r="B167" s="298" t="s">
        <v>200</v>
      </c>
      <c r="C167" s="311">
        <v>11.367956370307731</v>
      </c>
      <c r="D167" s="311"/>
      <c r="E167" s="311">
        <v>10.499927590385612</v>
      </c>
      <c r="F167" s="311"/>
      <c r="G167" s="311">
        <v>9.5670491584053075</v>
      </c>
      <c r="H167" s="311"/>
      <c r="I167" s="311">
        <v>9.0820000000000007</v>
      </c>
      <c r="J167" s="311"/>
      <c r="K167" s="311">
        <v>8.4417474882865839</v>
      </c>
      <c r="L167" s="311"/>
      <c r="M167" s="311">
        <v>6.36</v>
      </c>
      <c r="N167" s="311"/>
      <c r="O167" s="311">
        <v>11.554936639292096</v>
      </c>
      <c r="P167" s="311"/>
      <c r="Q167" s="311">
        <v>13.001582095089365</v>
      </c>
      <c r="R167" s="311"/>
      <c r="S167" s="311">
        <v>14.704717553186608</v>
      </c>
      <c r="T167" s="311"/>
      <c r="U167" s="311">
        <v>18.236960813480806</v>
      </c>
      <c r="V167" s="311"/>
      <c r="W167" s="311">
        <f>W165/W8*$A$1</f>
        <v>8.4580270438536846</v>
      </c>
      <c r="X167" s="311"/>
      <c r="Y167" s="311">
        <f>Y165/Y8*$A$1</f>
        <v>9.1549815713920086</v>
      </c>
      <c r="Z167" s="311"/>
      <c r="AA167" s="311">
        <f>AA165/AA8*$A$1</f>
        <v>9.2295532478231088</v>
      </c>
      <c r="AB167" s="311"/>
      <c r="AC167" s="311">
        <f>AC165/AC8*$A$1</f>
        <v>7.8757331557683719</v>
      </c>
      <c r="AD167" s="311"/>
      <c r="AE167" s="311">
        <f>AE165/AE8*$A$1</f>
        <v>7.8117245218630229</v>
      </c>
      <c r="AF167" s="311"/>
      <c r="AG167" s="311">
        <f>AG165/AG8*$A$1</f>
        <v>7.6851194923657626</v>
      </c>
      <c r="AH167" s="311"/>
      <c r="AI167" s="311">
        <f>AI165/AI8*$A$1</f>
        <v>6.8649033286811303</v>
      </c>
      <c r="AJ167" s="311"/>
      <c r="AK167" s="311">
        <f>AK165/AK8*$A$1</f>
        <v>6.890183987007493</v>
      </c>
      <c r="AL167" s="311"/>
      <c r="AM167" s="311">
        <f>AM165/AM8*$A$1</f>
        <v>6.8382340213589581</v>
      </c>
      <c r="AN167" s="311"/>
      <c r="AO167" s="311">
        <f>AO165/AO8*$A$1</f>
        <v>6.8093652248831207</v>
      </c>
      <c r="AP167" s="311"/>
      <c r="AQ167" s="311">
        <f>AQ165/AQ8*$A$1</f>
        <v>4.9449446150502938</v>
      </c>
      <c r="AR167" s="311"/>
      <c r="AS167" s="294" t="s">
        <v>134</v>
      </c>
      <c r="AT167" s="263"/>
      <c r="AU167" s="294" t="s">
        <v>134</v>
      </c>
      <c r="AV167" s="263"/>
      <c r="AW167" s="294" t="s">
        <v>134</v>
      </c>
      <c r="AX167" s="263"/>
      <c r="AY167" s="294" t="s">
        <v>134</v>
      </c>
      <c r="AZ167" s="263"/>
      <c r="BA167" s="294" t="s">
        <v>134</v>
      </c>
      <c r="BB167" s="263"/>
    </row>
    <row r="168" spans="1:54">
      <c r="A168" s="324"/>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9"/>
      <c r="AJ168" s="288"/>
      <c r="AK168" s="288"/>
      <c r="AL168" s="288"/>
      <c r="AM168" s="288"/>
      <c r="AN168" s="288"/>
      <c r="AO168" s="288"/>
      <c r="AP168" s="288"/>
      <c r="AQ168" s="288"/>
      <c r="AR168" s="288"/>
      <c r="AS168" s="288"/>
      <c r="AT168" s="288"/>
      <c r="AU168" s="288"/>
      <c r="AV168" s="288"/>
      <c r="AW168" s="288"/>
      <c r="AX168" s="288"/>
      <c r="AY168" s="288"/>
      <c r="AZ168" s="288"/>
      <c r="BA168" s="288"/>
      <c r="BB168" s="288"/>
    </row>
    <row r="169" spans="1:54">
      <c r="A169" s="323"/>
      <c r="B169" s="266" t="s">
        <v>201</v>
      </c>
      <c r="C169" s="311">
        <v>119</v>
      </c>
      <c r="D169" s="311"/>
      <c r="E169" s="311">
        <v>111.4</v>
      </c>
      <c r="F169" s="311"/>
      <c r="G169" s="311">
        <v>97.8</v>
      </c>
      <c r="H169" s="311"/>
      <c r="I169" s="311">
        <v>87.7</v>
      </c>
      <c r="J169" s="311"/>
      <c r="K169" s="311">
        <v>87.6</v>
      </c>
      <c r="L169" s="311"/>
      <c r="M169" s="311">
        <v>75</v>
      </c>
      <c r="N169" s="311"/>
      <c r="O169" s="311">
        <v>92.5</v>
      </c>
      <c r="P169" s="311"/>
      <c r="Q169" s="311">
        <v>83.5</v>
      </c>
      <c r="R169" s="311"/>
      <c r="S169" s="311">
        <v>85</v>
      </c>
      <c r="T169" s="311"/>
      <c r="U169" s="311">
        <v>82.4</v>
      </c>
      <c r="V169" s="311"/>
      <c r="W169" s="311">
        <v>83</v>
      </c>
      <c r="X169" s="311"/>
      <c r="Y169" s="311">
        <v>90.2</v>
      </c>
      <c r="Z169" s="311"/>
      <c r="AA169" s="311">
        <v>87</v>
      </c>
      <c r="AB169" s="312"/>
      <c r="AC169" s="311">
        <v>84.2</v>
      </c>
      <c r="AD169" s="312"/>
      <c r="AE169" s="311">
        <v>90.5</v>
      </c>
      <c r="AF169" s="312"/>
      <c r="AG169" s="311">
        <v>85.5</v>
      </c>
      <c r="AH169" s="312"/>
      <c r="AI169" s="311">
        <v>79.25</v>
      </c>
      <c r="AJ169" s="312"/>
      <c r="AK169" s="295" t="s">
        <v>134</v>
      </c>
      <c r="AL169" s="312"/>
      <c r="AM169" s="295" t="s">
        <v>134</v>
      </c>
      <c r="AN169" s="312"/>
      <c r="AO169" s="313" t="s">
        <v>134</v>
      </c>
      <c r="AP169" s="312"/>
      <c r="AQ169" s="295" t="s">
        <v>134</v>
      </c>
      <c r="AR169" s="311"/>
      <c r="AS169" s="295" t="s">
        <v>134</v>
      </c>
      <c r="AT169" s="311"/>
      <c r="AU169" s="295" t="s">
        <v>134</v>
      </c>
      <c r="AV169" s="311"/>
      <c r="AW169" s="295" t="s">
        <v>134</v>
      </c>
      <c r="AX169" s="311"/>
      <c r="AY169" s="295" t="s">
        <v>134</v>
      </c>
      <c r="AZ169" s="311"/>
      <c r="BA169" s="295" t="s">
        <v>134</v>
      </c>
      <c r="BB169" s="311"/>
    </row>
    <row r="170" spans="1:54">
      <c r="A170" s="323"/>
      <c r="B170" s="266" t="s">
        <v>202</v>
      </c>
      <c r="C170" s="311">
        <v>11.367956370307731</v>
      </c>
      <c r="D170" s="311"/>
      <c r="E170" s="311">
        <v>10.499927590385612</v>
      </c>
      <c r="F170" s="311"/>
      <c r="G170" s="311">
        <v>9.5670491584053075</v>
      </c>
      <c r="H170" s="311"/>
      <c r="I170" s="311">
        <v>9.0820000000000007</v>
      </c>
      <c r="J170" s="311"/>
      <c r="K170" s="311">
        <v>8.4417474882865839</v>
      </c>
      <c r="L170" s="311"/>
      <c r="M170" s="311">
        <v>6.36</v>
      </c>
      <c r="N170" s="311"/>
      <c r="O170" s="311">
        <v>11.554936639292096</v>
      </c>
      <c r="P170" s="311"/>
      <c r="Q170" s="311">
        <v>13.001582095089365</v>
      </c>
      <c r="R170" s="311"/>
      <c r="S170" s="311">
        <f>+S167</f>
        <v>14.704717553186608</v>
      </c>
      <c r="T170" s="311"/>
      <c r="U170" s="311">
        <v>18.236960813480806</v>
      </c>
      <c r="V170" s="311"/>
      <c r="W170" s="311">
        <f>+W167</f>
        <v>8.4580270438536846</v>
      </c>
      <c r="X170" s="311"/>
      <c r="Y170" s="311">
        <f>+Y167</f>
        <v>9.1549815713920086</v>
      </c>
      <c r="Z170" s="311"/>
      <c r="AA170" s="311">
        <f>+AA167</f>
        <v>9.2295532478231088</v>
      </c>
      <c r="AB170" s="265"/>
      <c r="AC170" s="311">
        <f>+AC167</f>
        <v>7.8757331557683719</v>
      </c>
      <c r="AD170" s="265"/>
      <c r="AE170" s="311">
        <f>+AE167</f>
        <v>7.8117245218630229</v>
      </c>
      <c r="AF170" s="265"/>
      <c r="AG170" s="311">
        <f>+AG167</f>
        <v>7.6851194923657626</v>
      </c>
      <c r="AH170" s="265"/>
      <c r="AI170" s="311">
        <f>+AI167</f>
        <v>6.8649033286811303</v>
      </c>
      <c r="AJ170" s="265"/>
      <c r="AK170" s="314" t="s">
        <v>134</v>
      </c>
      <c r="AL170" s="265"/>
      <c r="AM170" s="314" t="s">
        <v>134</v>
      </c>
      <c r="AN170" s="265"/>
      <c r="AO170" s="315" t="s">
        <v>134</v>
      </c>
      <c r="AP170" s="265"/>
      <c r="AQ170" s="314" t="s">
        <v>134</v>
      </c>
      <c r="AR170" s="263"/>
      <c r="AS170" s="314" t="s">
        <v>134</v>
      </c>
      <c r="AT170" s="263"/>
      <c r="AU170" s="314" t="s">
        <v>134</v>
      </c>
      <c r="AV170" s="263"/>
      <c r="AW170" s="314" t="s">
        <v>134</v>
      </c>
      <c r="AX170" s="263"/>
      <c r="AY170" s="314" t="s">
        <v>134</v>
      </c>
      <c r="AZ170" s="263"/>
      <c r="BA170" s="314" t="s">
        <v>134</v>
      </c>
      <c r="BB170" s="263"/>
    </row>
    <row r="171" spans="1:54" ht="13.5" thickBot="1">
      <c r="A171" s="321" t="s">
        <v>361</v>
      </c>
      <c r="B171" s="268" t="s">
        <v>203</v>
      </c>
      <c r="C171" s="303">
        <v>10.468020471192103</v>
      </c>
      <c r="D171" s="303"/>
      <c r="E171" s="303">
        <v>10.609596974935789</v>
      </c>
      <c r="F171" s="303"/>
      <c r="G171" s="303">
        <v>10.222587799089126</v>
      </c>
      <c r="H171" s="303"/>
      <c r="I171" s="303">
        <v>9.6564999999999994</v>
      </c>
      <c r="J171" s="303"/>
      <c r="K171" s="303">
        <v>10.376998378777628</v>
      </c>
      <c r="L171" s="303"/>
      <c r="M171" s="303">
        <v>11.78</v>
      </c>
      <c r="N171" s="303"/>
      <c r="O171" s="303">
        <v>8.0052364532625369</v>
      </c>
      <c r="P171" s="303"/>
      <c r="Q171" s="303">
        <v>6.4222953321609646</v>
      </c>
      <c r="R171" s="303"/>
      <c r="S171" s="303">
        <f>S169/S170</f>
        <v>5.7804578491601113</v>
      </c>
      <c r="T171" s="303"/>
      <c r="U171" s="303">
        <f>U169/U170</f>
        <v>4.5182967075901006</v>
      </c>
      <c r="V171" s="303"/>
      <c r="W171" s="303">
        <f>W169/W170</f>
        <v>9.8131632317627542</v>
      </c>
      <c r="X171" s="303"/>
      <c r="Y171" s="303">
        <f>Y169/Y170</f>
        <v>9.8525594286133718</v>
      </c>
      <c r="Z171" s="303"/>
      <c r="AA171" s="303">
        <f>AA169/AA170</f>
        <v>9.4262417328292578</v>
      </c>
      <c r="AB171" s="275"/>
      <c r="AC171" s="303">
        <f>AC169/AC170</f>
        <v>10.691068162756372</v>
      </c>
      <c r="AD171" s="275"/>
      <c r="AE171" s="303">
        <f>AE169/AE170</f>
        <v>11.585149955904564</v>
      </c>
      <c r="AF171" s="275"/>
      <c r="AG171" s="303">
        <f>AG169/AG170</f>
        <v>11.125396304499093</v>
      </c>
      <c r="AH171" s="275"/>
      <c r="AI171" s="303">
        <f>AI169/AI170</f>
        <v>11.544226656316999</v>
      </c>
      <c r="AJ171" s="275"/>
      <c r="AK171" s="310" t="s">
        <v>134</v>
      </c>
      <c r="AL171" s="275"/>
      <c r="AM171" s="310" t="s">
        <v>134</v>
      </c>
      <c r="AN171" s="275"/>
      <c r="AO171" s="316" t="s">
        <v>134</v>
      </c>
      <c r="AP171" s="275"/>
      <c r="AQ171" s="310" t="s">
        <v>134</v>
      </c>
      <c r="AR171" s="274"/>
      <c r="AS171" s="310" t="s">
        <v>134</v>
      </c>
      <c r="AT171" s="274"/>
      <c r="AU171" s="310" t="s">
        <v>134</v>
      </c>
      <c r="AV171" s="274"/>
      <c r="AW171" s="310" t="s">
        <v>134</v>
      </c>
      <c r="AX171" s="274"/>
      <c r="AY171" s="310" t="s">
        <v>134</v>
      </c>
      <c r="AZ171" s="274"/>
      <c r="BA171" s="310" t="s">
        <v>134</v>
      </c>
      <c r="BB171" s="274"/>
    </row>
    <row r="172" spans="1:54">
      <c r="A172" s="252"/>
      <c r="B172" s="30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9"/>
      <c r="AL172" s="288"/>
      <c r="AM172" s="289"/>
      <c r="AN172" s="288"/>
      <c r="AO172" s="288"/>
      <c r="AP172" s="288"/>
      <c r="AQ172" s="289"/>
      <c r="AR172" s="289"/>
      <c r="AS172" s="289"/>
      <c r="AT172" s="289"/>
      <c r="AU172" s="289"/>
      <c r="AV172" s="289"/>
      <c r="AW172" s="289"/>
      <c r="AX172" s="289"/>
      <c r="AY172" s="289"/>
      <c r="AZ172" s="289"/>
      <c r="BA172" s="289"/>
      <c r="BB172" s="289"/>
    </row>
    <row r="173" spans="1:54">
      <c r="A173" s="322"/>
      <c r="B173" s="266" t="s">
        <v>201</v>
      </c>
      <c r="C173" s="311">
        <v>119</v>
      </c>
      <c r="D173" s="311"/>
      <c r="E173" s="311">
        <v>111.4</v>
      </c>
      <c r="F173" s="311"/>
      <c r="G173" s="311">
        <v>97.8</v>
      </c>
      <c r="H173" s="311"/>
      <c r="I173" s="311">
        <v>87.7</v>
      </c>
      <c r="J173" s="311"/>
      <c r="K173" s="311">
        <v>87.6</v>
      </c>
      <c r="L173" s="311"/>
      <c r="M173" s="311">
        <v>75</v>
      </c>
      <c r="N173" s="311"/>
      <c r="O173" s="311">
        <v>92.5</v>
      </c>
      <c r="P173" s="311"/>
      <c r="Q173" s="311">
        <v>83.5</v>
      </c>
      <c r="R173" s="311"/>
      <c r="S173" s="311">
        <f>+S169</f>
        <v>85</v>
      </c>
      <c r="T173" s="311"/>
      <c r="U173" s="311">
        <v>82.4</v>
      </c>
      <c r="V173" s="311"/>
      <c r="W173" s="311">
        <f>+W169</f>
        <v>83</v>
      </c>
      <c r="X173" s="311"/>
      <c r="Y173" s="311">
        <f>+Y169</f>
        <v>90.2</v>
      </c>
      <c r="Z173" s="311"/>
      <c r="AA173" s="311">
        <f>+AA169</f>
        <v>87</v>
      </c>
      <c r="AB173" s="265"/>
      <c r="AC173" s="311">
        <f>+AC169</f>
        <v>84.2</v>
      </c>
      <c r="AD173" s="265"/>
      <c r="AE173" s="311">
        <v>90.5</v>
      </c>
      <c r="AF173" s="265"/>
      <c r="AG173" s="311">
        <v>85.5</v>
      </c>
      <c r="AH173" s="265"/>
      <c r="AI173" s="311">
        <f>+AI169</f>
        <v>79.25</v>
      </c>
      <c r="AJ173" s="313"/>
      <c r="AK173" s="295" t="s">
        <v>134</v>
      </c>
      <c r="AL173" s="313"/>
      <c r="AM173" s="295" t="s">
        <v>134</v>
      </c>
      <c r="AN173" s="313"/>
      <c r="AO173" s="313" t="s">
        <v>134</v>
      </c>
      <c r="AP173" s="313"/>
      <c r="AQ173" s="295" t="s">
        <v>134</v>
      </c>
      <c r="AR173" s="295"/>
      <c r="AS173" s="295" t="s">
        <v>134</v>
      </c>
      <c r="AT173" s="295"/>
      <c r="AU173" s="295" t="s">
        <v>134</v>
      </c>
      <c r="AV173" s="295"/>
      <c r="AW173" s="295" t="s">
        <v>134</v>
      </c>
      <c r="AX173" s="295"/>
      <c r="AY173" s="295" t="s">
        <v>134</v>
      </c>
      <c r="AZ173" s="295"/>
      <c r="BA173" s="295" t="s">
        <v>134</v>
      </c>
      <c r="BB173" s="295"/>
    </row>
    <row r="174" spans="1:54">
      <c r="A174" s="322"/>
      <c r="B174" s="266" t="s">
        <v>204</v>
      </c>
      <c r="C174" s="311">
        <v>102.22083475556431</v>
      </c>
      <c r="D174" s="311"/>
      <c r="E174" s="311">
        <v>99.281663605282702</v>
      </c>
      <c r="F174" s="311"/>
      <c r="G174" s="311">
        <v>98.762733626654182</v>
      </c>
      <c r="H174" s="311"/>
      <c r="I174" s="311">
        <v>95.995699999999999</v>
      </c>
      <c r="J174" s="311"/>
      <c r="K174" s="311">
        <v>93.514317484166824</v>
      </c>
      <c r="L174" s="311"/>
      <c r="M174" s="311">
        <v>91.16</v>
      </c>
      <c r="N174" s="311"/>
      <c r="O174" s="311">
        <v>93.666041555627373</v>
      </c>
      <c r="P174" s="311"/>
      <c r="Q174" s="311">
        <v>91.198081359162671</v>
      </c>
      <c r="R174" s="311"/>
      <c r="S174" s="311">
        <f>+S155</f>
        <v>88.78837682317004</v>
      </c>
      <c r="T174" s="311"/>
      <c r="U174" s="311">
        <v>85.259907879630035</v>
      </c>
      <c r="V174" s="311"/>
      <c r="W174" s="311">
        <f>+W155</f>
        <v>85.830601828459152</v>
      </c>
      <c r="X174" s="311"/>
      <c r="Y174" s="311">
        <f>+Y155</f>
        <v>83.838715392523881</v>
      </c>
      <c r="Z174" s="311"/>
      <c r="AA174" s="311">
        <f>+AA155</f>
        <v>81.57676598479398</v>
      </c>
      <c r="AB174" s="265"/>
      <c r="AC174" s="311">
        <f>+AC155</f>
        <v>78.975906156619274</v>
      </c>
      <c r="AD174" s="265"/>
      <c r="AE174" s="311">
        <f>+AE155</f>
        <v>80.955898100634357</v>
      </c>
      <c r="AF174" s="265"/>
      <c r="AG174" s="311">
        <f>+AG155</f>
        <v>79.29067455946219</v>
      </c>
      <c r="AH174" s="265"/>
      <c r="AI174" s="311">
        <f>+AI155</f>
        <v>76.872704133336455</v>
      </c>
      <c r="AJ174" s="315"/>
      <c r="AK174" s="314" t="s">
        <v>134</v>
      </c>
      <c r="AL174" s="315"/>
      <c r="AM174" s="314" t="s">
        <v>134</v>
      </c>
      <c r="AN174" s="315"/>
      <c r="AO174" s="315" t="s">
        <v>134</v>
      </c>
      <c r="AP174" s="315"/>
      <c r="AQ174" s="314" t="s">
        <v>134</v>
      </c>
      <c r="AR174" s="314"/>
      <c r="AS174" s="314" t="s">
        <v>134</v>
      </c>
      <c r="AT174" s="314"/>
      <c r="AU174" s="314" t="s">
        <v>134</v>
      </c>
      <c r="AV174" s="314"/>
      <c r="AW174" s="314" t="s">
        <v>134</v>
      </c>
      <c r="AX174" s="314"/>
      <c r="AY174" s="314" t="s">
        <v>134</v>
      </c>
      <c r="AZ174" s="314"/>
      <c r="BA174" s="314" t="s">
        <v>134</v>
      </c>
      <c r="BB174" s="314"/>
    </row>
    <row r="175" spans="1:54" ht="13.5" thickBot="1">
      <c r="A175" s="321" t="s">
        <v>362</v>
      </c>
      <c r="B175" s="268" t="s">
        <v>205</v>
      </c>
      <c r="C175" s="303">
        <v>1.1641462357899823</v>
      </c>
      <c r="D175" s="303"/>
      <c r="E175" s="303">
        <v>1.1220601665469323</v>
      </c>
      <c r="F175" s="303"/>
      <c r="G175" s="303">
        <v>0.99025205569649843</v>
      </c>
      <c r="H175" s="303"/>
      <c r="I175" s="303">
        <v>0.91359999999999997</v>
      </c>
      <c r="J175" s="303"/>
      <c r="K175" s="303">
        <v>0.93675495214764093</v>
      </c>
      <c r="L175" s="303"/>
      <c r="M175" s="303">
        <v>0.82</v>
      </c>
      <c r="N175" s="303"/>
      <c r="O175" s="303">
        <v>0.98755107468767245</v>
      </c>
      <c r="P175" s="303"/>
      <c r="Q175" s="303">
        <v>0.91558943736057841</v>
      </c>
      <c r="R175" s="303"/>
      <c r="S175" s="303">
        <f>S173/S174</f>
        <v>0.95733251402134623</v>
      </c>
      <c r="T175" s="303"/>
      <c r="U175" s="303">
        <f>U173/U174</f>
        <v>0.96645659195799682</v>
      </c>
      <c r="V175" s="303"/>
      <c r="W175" s="303">
        <f>W173/W174</f>
        <v>0.96702106511945018</v>
      </c>
      <c r="X175" s="303"/>
      <c r="Y175" s="303">
        <f>Y173/Y174</f>
        <v>1.0758752633278463</v>
      </c>
      <c r="Z175" s="303"/>
      <c r="AA175" s="303">
        <f>AA173/AA174</f>
        <v>1.0664801300926408</v>
      </c>
      <c r="AB175" s="275"/>
      <c r="AC175" s="303">
        <f>AC173/AC174</f>
        <v>1.0661479443239397</v>
      </c>
      <c r="AD175" s="275"/>
      <c r="AE175" s="303">
        <f>AE173/AE174</f>
        <v>1.1178926072502042</v>
      </c>
      <c r="AF175" s="275"/>
      <c r="AG175" s="303">
        <f>AG173/AG174</f>
        <v>1.0783109170786696</v>
      </c>
      <c r="AH175" s="275"/>
      <c r="AI175" s="303">
        <f>AI173/AI174</f>
        <v>1.0309250974512372</v>
      </c>
      <c r="AJ175" s="316"/>
      <c r="AK175" s="310" t="s">
        <v>134</v>
      </c>
      <c r="AL175" s="316"/>
      <c r="AM175" s="310" t="s">
        <v>134</v>
      </c>
      <c r="AN175" s="316"/>
      <c r="AO175" s="316" t="s">
        <v>134</v>
      </c>
      <c r="AP175" s="316"/>
      <c r="AQ175" s="310" t="s">
        <v>134</v>
      </c>
      <c r="AR175" s="310"/>
      <c r="AS175" s="310" t="s">
        <v>134</v>
      </c>
      <c r="AT175" s="310"/>
      <c r="AU175" s="310" t="s">
        <v>134</v>
      </c>
      <c r="AV175" s="310"/>
      <c r="AW175" s="310" t="s">
        <v>134</v>
      </c>
      <c r="AX175" s="310"/>
      <c r="AY175" s="310" t="s">
        <v>134</v>
      </c>
      <c r="AZ175" s="310"/>
      <c r="BA175" s="310" t="s">
        <v>134</v>
      </c>
      <c r="BB175" s="310"/>
    </row>
    <row r="176" spans="1:54">
      <c r="C176" s="378"/>
      <c r="D176" s="378"/>
      <c r="E176" s="378"/>
      <c r="F176" s="378"/>
      <c r="G176" s="378"/>
      <c r="H176" s="378"/>
      <c r="I176" s="378"/>
      <c r="J176" s="378"/>
      <c r="K176" s="378"/>
      <c r="L176" s="378"/>
      <c r="M176" s="378"/>
    </row>
    <row r="177" spans="1:54">
      <c r="C177" s="378"/>
      <c r="D177" s="378"/>
      <c r="E177" s="378"/>
      <c r="F177" s="378"/>
      <c r="G177" s="378"/>
      <c r="H177" s="378"/>
      <c r="I177" s="378"/>
      <c r="J177" s="378"/>
      <c r="K177" s="378"/>
      <c r="L177" s="378"/>
      <c r="M177" s="378"/>
    </row>
    <row r="179" spans="1:54">
      <c r="B179" s="297" t="s">
        <v>335</v>
      </c>
      <c r="C179" s="258">
        <v>937.7947944799995</v>
      </c>
      <c r="D179" s="258">
        <v>507.09404624999979</v>
      </c>
      <c r="E179" s="258">
        <v>430.70078000000012</v>
      </c>
      <c r="F179" s="258">
        <v>430.70078000000012</v>
      </c>
      <c r="G179" s="258">
        <v>1583.120361</v>
      </c>
      <c r="H179" s="258">
        <v>459.6850409999999</v>
      </c>
      <c r="I179" s="258">
        <v>1123.4477999999999</v>
      </c>
      <c r="J179" s="258">
        <v>429.8306</v>
      </c>
      <c r="K179" s="258">
        <v>693.62613706999991</v>
      </c>
      <c r="L179" s="258">
        <v>432.13946813999996</v>
      </c>
      <c r="M179" s="258">
        <v>261</v>
      </c>
      <c r="N179" s="258">
        <v>261</v>
      </c>
      <c r="O179" s="258">
        <v>1909</v>
      </c>
      <c r="P179" s="258">
        <v>285</v>
      </c>
      <c r="Q179" s="258">
        <v>1624</v>
      </c>
      <c r="R179" s="258">
        <v>406</v>
      </c>
      <c r="S179" s="258">
        <v>1218</v>
      </c>
      <c r="T179" s="258">
        <v>467</v>
      </c>
      <c r="U179" s="258">
        <v>751</v>
      </c>
      <c r="V179" s="258">
        <v>751</v>
      </c>
      <c r="W179" s="258">
        <v>1391</v>
      </c>
      <c r="X179" s="258">
        <v>318</v>
      </c>
      <c r="Y179" s="258"/>
      <c r="Z179" s="258"/>
      <c r="AA179" s="258"/>
      <c r="AB179" s="264"/>
      <c r="AC179" s="258"/>
      <c r="AD179" s="264"/>
      <c r="AE179" s="258"/>
      <c r="AF179" s="264"/>
      <c r="AG179" s="258"/>
      <c r="AH179" s="258"/>
      <c r="AI179" s="258"/>
      <c r="AJ179" s="264"/>
      <c r="AK179" s="258"/>
      <c r="AL179" s="264"/>
      <c r="AM179" s="258"/>
      <c r="AN179" s="258"/>
      <c r="AO179" s="258"/>
      <c r="AP179" s="264"/>
      <c r="AQ179" s="258"/>
      <c r="AR179" s="264"/>
      <c r="AS179" s="294"/>
      <c r="AT179" s="264"/>
      <c r="AU179" s="294"/>
      <c r="AV179" s="264"/>
      <c r="AW179" s="294"/>
      <c r="AX179" s="264"/>
      <c r="AY179" s="294"/>
      <c r="AZ179" s="264"/>
      <c r="BA179" s="294"/>
      <c r="BB179" s="264"/>
    </row>
    <row r="180" spans="1:54">
      <c r="B180" s="298" t="s">
        <v>193</v>
      </c>
      <c r="C180" s="299">
        <v>0.696274605713462</v>
      </c>
      <c r="D180" s="299">
        <v>0.696274605713462</v>
      </c>
      <c r="E180" s="299">
        <v>0.696274605713462</v>
      </c>
      <c r="F180" s="299">
        <v>0.696274605713462</v>
      </c>
      <c r="G180" s="299">
        <v>0.69997791239999996</v>
      </c>
      <c r="H180" s="299">
        <v>0.69997791239999996</v>
      </c>
      <c r="I180" s="299">
        <v>0.70099999999999996</v>
      </c>
      <c r="J180" s="299">
        <v>0.70099999999999996</v>
      </c>
      <c r="K180" s="299">
        <v>0.70099912411646903</v>
      </c>
      <c r="L180" s="299">
        <v>0.70099912411646903</v>
      </c>
      <c r="M180" s="299">
        <v>1</v>
      </c>
      <c r="N180" s="299">
        <v>1</v>
      </c>
      <c r="O180" s="299">
        <v>1</v>
      </c>
      <c r="P180" s="299">
        <v>1</v>
      </c>
      <c r="Q180" s="299">
        <v>1</v>
      </c>
      <c r="R180" s="299">
        <v>1</v>
      </c>
      <c r="S180" s="299">
        <v>1</v>
      </c>
      <c r="T180" s="299">
        <v>1</v>
      </c>
      <c r="U180" s="299">
        <v>1</v>
      </c>
      <c r="V180" s="299">
        <v>1</v>
      </c>
      <c r="W180" s="299">
        <v>1</v>
      </c>
      <c r="X180" s="299">
        <v>1</v>
      </c>
      <c r="Y180" s="299"/>
      <c r="Z180" s="299"/>
      <c r="AA180" s="299"/>
      <c r="AB180" s="264"/>
      <c r="AC180" s="299"/>
      <c r="AD180" s="264"/>
      <c r="AE180" s="300"/>
      <c r="AF180" s="300"/>
      <c r="AG180" s="300"/>
      <c r="AH180" s="300"/>
      <c r="AI180" s="300"/>
      <c r="AJ180" s="300"/>
      <c r="AK180" s="300"/>
      <c r="AL180" s="301"/>
      <c r="AM180" s="300"/>
      <c r="AN180" s="300"/>
      <c r="AO180" s="300"/>
      <c r="AP180" s="301"/>
      <c r="AQ180" s="300"/>
      <c r="AR180" s="300"/>
      <c r="AS180" s="294"/>
      <c r="AT180" s="294"/>
      <c r="AU180" s="294"/>
      <c r="AV180" s="302"/>
      <c r="AW180" s="294"/>
      <c r="AX180" s="294"/>
      <c r="AY180" s="294"/>
      <c r="AZ180" s="294"/>
      <c r="BA180" s="294"/>
      <c r="BB180" s="294"/>
    </row>
    <row r="181" spans="1:54">
      <c r="B181" s="297" t="s">
        <v>198</v>
      </c>
      <c r="C181" s="258">
        <v>652.96270076669873</v>
      </c>
      <c r="D181" s="258">
        <v>353.07670711236267</v>
      </c>
      <c r="E181" s="258">
        <v>299.88601577498065</v>
      </c>
      <c r="F181" s="258">
        <v>299.88601577498065</v>
      </c>
      <c r="G181" s="258">
        <v>1108.1492853707143</v>
      </c>
      <c r="H181" s="258">
        <v>321.76937536068834</v>
      </c>
      <c r="I181" s="258">
        <v>787.53589999999997</v>
      </c>
      <c r="J181" s="258">
        <v>301.3109</v>
      </c>
      <c r="K181" s="258">
        <v>486.23131455035985</v>
      </c>
      <c r="L181" s="258">
        <v>302.92938866229673</v>
      </c>
      <c r="M181" s="258">
        <v>183</v>
      </c>
      <c r="N181" s="258">
        <v>183</v>
      </c>
      <c r="O181" s="258">
        <v>1338</v>
      </c>
      <c r="P181" s="258">
        <v>200</v>
      </c>
      <c r="Q181" s="258">
        <v>1126</v>
      </c>
      <c r="R181" s="258">
        <v>282</v>
      </c>
      <c r="S181" s="258">
        <v>845</v>
      </c>
      <c r="T181" s="258">
        <v>324</v>
      </c>
      <c r="U181" s="258">
        <v>521</v>
      </c>
      <c r="V181" s="258">
        <v>521</v>
      </c>
      <c r="W181" s="258">
        <v>963</v>
      </c>
      <c r="X181" s="258">
        <v>220</v>
      </c>
      <c r="Y181" s="258"/>
      <c r="Z181" s="258"/>
      <c r="AA181" s="258"/>
      <c r="AB181" s="264"/>
      <c r="AC181" s="258"/>
      <c r="AD181" s="264"/>
      <c r="AE181" s="258"/>
      <c r="AF181" s="258"/>
      <c r="AG181" s="258"/>
      <c r="AH181" s="258"/>
      <c r="AI181" s="258"/>
      <c r="AJ181" s="258"/>
      <c r="AK181" s="258"/>
      <c r="AL181" s="264"/>
      <c r="AM181" s="258"/>
      <c r="AN181" s="258"/>
      <c r="AO181" s="258"/>
      <c r="AP181" s="264"/>
      <c r="AQ181" s="258"/>
      <c r="AR181" s="258"/>
      <c r="AS181" s="294"/>
      <c r="AT181" s="294"/>
      <c r="AU181" s="294"/>
      <c r="AV181" s="258"/>
      <c r="AW181" s="294"/>
      <c r="AX181" s="294"/>
      <c r="AY181" s="294"/>
      <c r="AZ181" s="294"/>
      <c r="BA181" s="294"/>
      <c r="BB181" s="294"/>
    </row>
    <row r="182" spans="1:54">
      <c r="B182" s="298" t="s">
        <v>195</v>
      </c>
      <c r="C182" s="258">
        <v>115829789</v>
      </c>
      <c r="D182" s="258">
        <v>115829789</v>
      </c>
      <c r="E182" s="258">
        <v>115829789</v>
      </c>
      <c r="F182" s="258">
        <v>115829789</v>
      </c>
      <c r="G182" s="258">
        <v>115829789</v>
      </c>
      <c r="H182" s="258">
        <v>115829789</v>
      </c>
      <c r="I182" s="258">
        <v>115829789</v>
      </c>
      <c r="J182" s="258">
        <v>115829789</v>
      </c>
      <c r="K182" s="258">
        <v>115829789</v>
      </c>
      <c r="L182" s="258">
        <v>115829789</v>
      </c>
      <c r="M182" s="258">
        <v>115829789</v>
      </c>
      <c r="N182" s="258">
        <v>115829789</v>
      </c>
      <c r="O182" s="258">
        <v>115829789</v>
      </c>
      <c r="P182" s="258">
        <v>115829789</v>
      </c>
      <c r="Q182" s="258">
        <v>115829789</v>
      </c>
      <c r="R182" s="258">
        <v>115829789</v>
      </c>
      <c r="S182" s="258">
        <v>115829789</v>
      </c>
      <c r="T182" s="258">
        <v>115829789</v>
      </c>
      <c r="U182" s="258">
        <v>115829789</v>
      </c>
      <c r="V182" s="258">
        <v>115829789</v>
      </c>
      <c r="W182" s="258">
        <v>115829789</v>
      </c>
      <c r="X182" s="258">
        <v>115829789</v>
      </c>
      <c r="Y182" s="258"/>
      <c r="Z182" s="258"/>
      <c r="AA182" s="258"/>
      <c r="AB182" s="264"/>
      <c r="AC182" s="258"/>
      <c r="AD182" s="264"/>
      <c r="AE182" s="258"/>
      <c r="AF182" s="258"/>
      <c r="AG182" s="258"/>
      <c r="AH182" s="258"/>
      <c r="AI182" s="258"/>
      <c r="AJ182" s="258"/>
      <c r="AK182" s="258"/>
      <c r="AL182" s="264"/>
      <c r="AM182" s="258"/>
      <c r="AN182" s="258"/>
      <c r="AO182" s="258"/>
      <c r="AP182" s="264"/>
      <c r="AQ182" s="258"/>
      <c r="AR182" s="258"/>
      <c r="AS182" s="294"/>
      <c r="AT182" s="294"/>
      <c r="AU182" s="294"/>
      <c r="AV182" s="294"/>
      <c r="AW182" s="294"/>
      <c r="AX182" s="294"/>
      <c r="AY182" s="294"/>
      <c r="AZ182" s="294"/>
      <c r="BA182" s="294"/>
      <c r="BB182" s="294"/>
    </row>
    <row r="183" spans="1:54" ht="13.5" thickBot="1">
      <c r="A183" s="321" t="s">
        <v>363</v>
      </c>
      <c r="B183" s="268" t="s">
        <v>336</v>
      </c>
      <c r="C183" s="303">
        <v>5.6372605562347928</v>
      </c>
      <c r="D183" s="303">
        <v>3.0482375057452851</v>
      </c>
      <c r="E183" s="303">
        <v>2.5890232414649454</v>
      </c>
      <c r="F183" s="303">
        <v>2.5890232414649454</v>
      </c>
      <c r="G183" s="303">
        <v>9.5670491584053075</v>
      </c>
      <c r="H183" s="303">
        <v>2.7779501123039112</v>
      </c>
      <c r="I183" s="303">
        <v>6.7991000000000001</v>
      </c>
      <c r="J183" s="303">
        <v>2.6013000000000002</v>
      </c>
      <c r="K183" s="303">
        <v>4.1978088602955141</v>
      </c>
      <c r="L183" s="303">
        <v>2.6152977681958545</v>
      </c>
      <c r="M183" s="303">
        <v>1.58</v>
      </c>
      <c r="N183" s="303">
        <v>1.58</v>
      </c>
      <c r="O183" s="303">
        <v>11.55</v>
      </c>
      <c r="P183" s="303">
        <v>1.73</v>
      </c>
      <c r="Q183" s="303">
        <v>9.7200000000000006</v>
      </c>
      <c r="R183" s="303">
        <v>2.4300000000000002</v>
      </c>
      <c r="S183" s="303">
        <v>7.29</v>
      </c>
      <c r="T183" s="303">
        <v>2.8</v>
      </c>
      <c r="U183" s="303">
        <v>4.5</v>
      </c>
      <c r="V183" s="303">
        <v>4.5</v>
      </c>
      <c r="W183" s="303">
        <v>8.32</v>
      </c>
      <c r="X183" s="303">
        <v>1.9</v>
      </c>
      <c r="Y183" s="303"/>
      <c r="Z183" s="303"/>
      <c r="AA183" s="303"/>
      <c r="AB183" s="275"/>
      <c r="AC183" s="303"/>
      <c r="AD183" s="275"/>
      <c r="AE183" s="303"/>
      <c r="AF183" s="275"/>
      <c r="AG183" s="303"/>
      <c r="AH183" s="274"/>
      <c r="AI183" s="303"/>
      <c r="AJ183" s="275"/>
      <c r="AK183" s="303"/>
      <c r="AL183" s="275"/>
      <c r="AM183" s="303"/>
      <c r="AN183" s="275"/>
      <c r="AO183" s="303"/>
      <c r="AP183" s="275"/>
      <c r="AQ183" s="303"/>
      <c r="AR183" s="275"/>
      <c r="AS183" s="304"/>
      <c r="AT183" s="304"/>
      <c r="AU183" s="304"/>
      <c r="AV183" s="274"/>
      <c r="AW183" s="304"/>
      <c r="AX183" s="304"/>
      <c r="AY183" s="304"/>
      <c r="AZ183" s="304"/>
      <c r="BA183" s="304"/>
      <c r="BB183" s="304"/>
    </row>
    <row r="184" spans="1:54">
      <c r="C184" s="374"/>
      <c r="D184" s="374"/>
      <c r="E184" s="374"/>
      <c r="F184" s="374"/>
      <c r="G184" s="374"/>
      <c r="H184" s="374"/>
      <c r="I184" s="374"/>
      <c r="J184" s="374"/>
      <c r="K184" s="374"/>
      <c r="L184" s="374"/>
      <c r="M184" s="374"/>
      <c r="N184" s="374"/>
    </row>
    <row r="185" spans="1:54">
      <c r="B185" s="298" t="s">
        <v>337</v>
      </c>
      <c r="C185" s="377">
        <v>0</v>
      </c>
      <c r="D185" s="377">
        <v>0</v>
      </c>
      <c r="E185" s="377">
        <v>0</v>
      </c>
      <c r="F185" s="377">
        <v>0</v>
      </c>
      <c r="G185" s="377">
        <v>0</v>
      </c>
      <c r="H185" s="377">
        <v>0</v>
      </c>
      <c r="I185" s="377">
        <v>0</v>
      </c>
      <c r="J185" s="377">
        <v>0</v>
      </c>
      <c r="K185" s="377">
        <v>0</v>
      </c>
      <c r="L185" s="377">
        <v>0</v>
      </c>
      <c r="M185" s="377">
        <v>0</v>
      </c>
      <c r="N185" s="377">
        <v>0</v>
      </c>
      <c r="O185" s="377">
        <v>21</v>
      </c>
      <c r="P185" s="377">
        <v>0</v>
      </c>
      <c r="Q185" s="377">
        <v>21</v>
      </c>
      <c r="R185" s="377">
        <v>0</v>
      </c>
      <c r="S185" s="377">
        <v>21</v>
      </c>
      <c r="T185" s="377">
        <v>0</v>
      </c>
      <c r="U185" s="377">
        <v>21</v>
      </c>
      <c r="V185" s="377">
        <v>21</v>
      </c>
      <c r="W185" s="377">
        <v>333</v>
      </c>
      <c r="X185" s="377">
        <v>60</v>
      </c>
      <c r="Y185" s="377"/>
      <c r="Z185" s="377"/>
      <c r="AA185" s="377"/>
      <c r="AB185" s="376"/>
      <c r="AC185" s="377"/>
      <c r="AD185" s="376"/>
      <c r="AE185" s="267"/>
      <c r="AF185" s="267"/>
      <c r="AG185" s="267"/>
      <c r="AH185" s="267"/>
      <c r="AI185" s="267"/>
      <c r="AJ185" s="267"/>
      <c r="AK185" s="267"/>
      <c r="AL185" s="376"/>
      <c r="AM185" s="267"/>
      <c r="AN185" s="267"/>
      <c r="AO185" s="267"/>
      <c r="AP185" s="376"/>
      <c r="AQ185" s="267"/>
      <c r="AR185" s="267"/>
      <c r="AS185" s="375"/>
      <c r="AT185" s="375"/>
      <c r="AU185" s="375"/>
      <c r="AV185" s="375"/>
      <c r="AW185" s="375"/>
      <c r="AX185" s="375"/>
      <c r="AY185" s="375"/>
      <c r="AZ185" s="375"/>
      <c r="BA185" s="375"/>
      <c r="BB185" s="375"/>
    </row>
    <row r="186" spans="1:54">
      <c r="B186" s="297" t="s">
        <v>338</v>
      </c>
      <c r="C186" s="258">
        <v>181</v>
      </c>
      <c r="D186" s="258">
        <v>91</v>
      </c>
      <c r="E186" s="258">
        <v>90</v>
      </c>
      <c r="F186" s="258">
        <v>90</v>
      </c>
      <c r="G186" s="258">
        <v>366</v>
      </c>
      <c r="H186" s="258">
        <v>92</v>
      </c>
      <c r="I186" s="258">
        <v>274</v>
      </c>
      <c r="J186" s="258">
        <v>92</v>
      </c>
      <c r="K186" s="258">
        <v>182</v>
      </c>
      <c r="L186" s="258">
        <v>91</v>
      </c>
      <c r="M186" s="258">
        <v>91</v>
      </c>
      <c r="N186" s="258">
        <v>91</v>
      </c>
      <c r="O186" s="258">
        <v>344</v>
      </c>
      <c r="P186" s="258">
        <v>92</v>
      </c>
      <c r="Q186" s="258">
        <v>252</v>
      </c>
      <c r="R186" s="258">
        <v>92</v>
      </c>
      <c r="S186" s="258">
        <v>160</v>
      </c>
      <c r="T186" s="258">
        <v>91</v>
      </c>
      <c r="U186" s="258">
        <v>69</v>
      </c>
      <c r="V186" s="258">
        <v>69</v>
      </c>
      <c r="W186" s="258">
        <v>32</v>
      </c>
      <c r="X186" s="258">
        <v>32</v>
      </c>
      <c r="Y186" s="258"/>
      <c r="Z186" s="258"/>
      <c r="AA186" s="258"/>
      <c r="AB186" s="264"/>
      <c r="AC186" s="258"/>
      <c r="AD186" s="264"/>
      <c r="AE186" s="258"/>
      <c r="AF186" s="258"/>
      <c r="AG186" s="258"/>
      <c r="AH186" s="258"/>
      <c r="AI186" s="258"/>
      <c r="AJ186" s="258"/>
      <c r="AK186" s="258"/>
      <c r="AL186" s="264"/>
      <c r="AM186" s="258"/>
      <c r="AN186" s="258"/>
      <c r="AO186" s="258"/>
      <c r="AP186" s="264"/>
      <c r="AQ186" s="258"/>
      <c r="AR186" s="258"/>
      <c r="AS186" s="294"/>
      <c r="AT186" s="294"/>
      <c r="AU186" s="294"/>
      <c r="AV186" s="258"/>
      <c r="AW186" s="294"/>
      <c r="AX186" s="294"/>
      <c r="AY186" s="294"/>
      <c r="AZ186" s="294"/>
      <c r="BA186" s="294"/>
      <c r="BB186" s="294"/>
    </row>
    <row r="187" spans="1:54">
      <c r="B187" s="298" t="s">
        <v>339</v>
      </c>
      <c r="C187" s="258">
        <v>115829789</v>
      </c>
      <c r="D187" s="258">
        <v>115829789</v>
      </c>
      <c r="E187" s="258">
        <v>115829789</v>
      </c>
      <c r="F187" s="258">
        <v>115829789</v>
      </c>
      <c r="G187" s="258">
        <v>115829789</v>
      </c>
      <c r="H187" s="258">
        <v>115829789</v>
      </c>
      <c r="I187" s="258">
        <v>115829789</v>
      </c>
      <c r="J187" s="258">
        <v>115829789</v>
      </c>
      <c r="K187" s="258">
        <v>115829789</v>
      </c>
      <c r="L187" s="258">
        <v>115829789</v>
      </c>
      <c r="M187" s="258">
        <v>115829789</v>
      </c>
      <c r="N187" s="258">
        <v>115829789</v>
      </c>
      <c r="O187" s="258">
        <v>115829789</v>
      </c>
      <c r="P187" s="258">
        <v>115829789</v>
      </c>
      <c r="Q187" s="258">
        <v>115829789</v>
      </c>
      <c r="R187" s="258">
        <v>115829789</v>
      </c>
      <c r="S187" s="258">
        <v>115829789</v>
      </c>
      <c r="T187" s="258">
        <v>115829789</v>
      </c>
      <c r="U187" s="258">
        <v>115829789</v>
      </c>
      <c r="V187" s="258">
        <v>115829789</v>
      </c>
      <c r="W187" s="258">
        <v>115319521</v>
      </c>
      <c r="X187" s="258">
        <v>115319521</v>
      </c>
      <c r="Y187" s="258"/>
      <c r="Z187" s="258"/>
      <c r="AA187" s="258"/>
      <c r="AB187" s="264"/>
      <c r="AC187" s="258"/>
      <c r="AD187" s="264"/>
      <c r="AE187" s="258"/>
      <c r="AF187" s="258"/>
      <c r="AG187" s="258"/>
      <c r="AH187" s="258"/>
      <c r="AI187" s="258"/>
      <c r="AJ187" s="258"/>
      <c r="AK187" s="258"/>
      <c r="AL187" s="264"/>
      <c r="AM187" s="258"/>
      <c r="AN187" s="258"/>
      <c r="AO187" s="258"/>
      <c r="AP187" s="264"/>
      <c r="AQ187" s="258"/>
      <c r="AR187" s="258"/>
      <c r="AS187" s="294"/>
      <c r="AT187" s="294"/>
      <c r="AU187" s="294"/>
      <c r="AV187" s="294"/>
      <c r="AW187" s="294"/>
      <c r="AX187" s="294"/>
      <c r="AY187" s="294"/>
      <c r="AZ187" s="294"/>
      <c r="BA187" s="294"/>
      <c r="BB187" s="294"/>
    </row>
    <row r="188" spans="1:54" ht="13.5" thickBot="1">
      <c r="A188" s="321" t="s">
        <v>364</v>
      </c>
      <c r="B188" s="268" t="s">
        <v>340</v>
      </c>
      <c r="C188" s="303">
        <v>115829789.00000001</v>
      </c>
      <c r="D188" s="303">
        <v>115829789</v>
      </c>
      <c r="E188" s="303">
        <v>115829789</v>
      </c>
      <c r="F188" s="303">
        <v>115829789</v>
      </c>
      <c r="G188" s="303">
        <v>115829789</v>
      </c>
      <c r="H188" s="303">
        <v>115829789</v>
      </c>
      <c r="I188" s="303">
        <v>115829789</v>
      </c>
      <c r="J188" s="303">
        <v>115829789</v>
      </c>
      <c r="K188" s="303">
        <v>115829789</v>
      </c>
      <c r="L188" s="303">
        <v>115829789</v>
      </c>
      <c r="M188" s="303">
        <v>115829789</v>
      </c>
      <c r="N188" s="303">
        <v>115829789</v>
      </c>
      <c r="O188" s="303">
        <v>115800431</v>
      </c>
      <c r="P188" s="303">
        <v>115829789</v>
      </c>
      <c r="Q188" s="303">
        <v>115790538</v>
      </c>
      <c r="R188" s="303">
        <v>115829789</v>
      </c>
      <c r="S188" s="303">
        <v>115770587</v>
      </c>
      <c r="T188" s="303">
        <v>115829789</v>
      </c>
      <c r="U188" s="303">
        <v>115710726</v>
      </c>
      <c r="V188" s="303">
        <v>115710726</v>
      </c>
      <c r="W188" s="303">
        <v>107893590</v>
      </c>
      <c r="X188" s="303">
        <v>110011129</v>
      </c>
      <c r="Y188" s="303"/>
      <c r="Z188" s="303"/>
      <c r="AA188" s="303"/>
      <c r="AB188" s="275"/>
      <c r="AC188" s="303"/>
      <c r="AD188" s="275"/>
      <c r="AE188" s="303"/>
      <c r="AF188" s="275"/>
      <c r="AG188" s="303"/>
      <c r="AH188" s="274"/>
      <c r="AI188" s="303"/>
      <c r="AJ188" s="275"/>
      <c r="AK188" s="303"/>
      <c r="AL188" s="275"/>
      <c r="AM188" s="303"/>
      <c r="AN188" s="275"/>
      <c r="AO188" s="303"/>
      <c r="AP188" s="275"/>
      <c r="AQ188" s="303"/>
      <c r="AR188" s="275"/>
      <c r="AS188" s="304"/>
      <c r="AT188" s="304"/>
      <c r="AU188" s="304"/>
      <c r="AV188" s="274"/>
      <c r="AW188" s="304"/>
      <c r="AX188" s="304"/>
      <c r="AY188" s="304"/>
      <c r="AZ188" s="304"/>
      <c r="BA188" s="304"/>
      <c r="BB188" s="304"/>
    </row>
    <row r="189" spans="1:54">
      <c r="C189" s="378"/>
      <c r="D189" s="378"/>
      <c r="E189" s="378"/>
      <c r="F189" s="378"/>
      <c r="G189" s="378"/>
      <c r="H189" s="378"/>
      <c r="I189" s="378"/>
      <c r="J189" s="378"/>
      <c r="K189" s="378"/>
      <c r="L189" s="378"/>
      <c r="M189" s="378"/>
      <c r="N189" s="378"/>
    </row>
    <row r="190" spans="1:54">
      <c r="B190" s="297" t="s">
        <v>335</v>
      </c>
      <c r="C190" s="258">
        <v>652.96270076669873</v>
      </c>
      <c r="D190" s="258">
        <v>353.07670711236267</v>
      </c>
      <c r="E190" s="258">
        <v>299.88601577498065</v>
      </c>
      <c r="F190" s="258">
        <v>299.88601577498065</v>
      </c>
      <c r="G190" s="258">
        <v>1108.1492853707143</v>
      </c>
      <c r="H190" s="258">
        <v>321.76937536068834</v>
      </c>
      <c r="I190" s="258">
        <v>787.53589999999997</v>
      </c>
      <c r="J190" s="258">
        <v>301.3109</v>
      </c>
      <c r="K190" s="258">
        <v>486.23131455035985</v>
      </c>
      <c r="L190" s="258">
        <v>302.92938866229673</v>
      </c>
      <c r="M190" s="258">
        <v>183</v>
      </c>
      <c r="N190" s="258">
        <v>183</v>
      </c>
      <c r="O190" s="258">
        <v>1338</v>
      </c>
      <c r="P190" s="258">
        <v>200</v>
      </c>
      <c r="Q190" s="258">
        <v>1126</v>
      </c>
      <c r="R190" s="258">
        <v>282</v>
      </c>
      <c r="S190" s="258">
        <v>845</v>
      </c>
      <c r="T190" s="258">
        <v>324</v>
      </c>
      <c r="U190" s="258">
        <v>521</v>
      </c>
      <c r="V190" s="258">
        <v>521</v>
      </c>
      <c r="W190" s="258">
        <v>963</v>
      </c>
      <c r="X190" s="258">
        <v>220</v>
      </c>
      <c r="Y190" s="258"/>
      <c r="Z190" s="258"/>
      <c r="AA190" s="258"/>
      <c r="AB190" s="264"/>
      <c r="AC190" s="258"/>
      <c r="AD190" s="264"/>
      <c r="AE190" s="258"/>
      <c r="AF190" s="258"/>
      <c r="AG190" s="258"/>
      <c r="AH190" s="258"/>
      <c r="AI190" s="258"/>
      <c r="AJ190" s="258"/>
      <c r="AK190" s="258"/>
      <c r="AL190" s="264"/>
      <c r="AM190" s="258"/>
      <c r="AN190" s="258"/>
      <c r="AO190" s="258"/>
      <c r="AP190" s="264"/>
      <c r="AQ190" s="258"/>
      <c r="AR190" s="258"/>
      <c r="AS190" s="294"/>
      <c r="AT190" s="294"/>
      <c r="AU190" s="294"/>
      <c r="AV190" s="258"/>
      <c r="AW190" s="294"/>
      <c r="AX190" s="294"/>
      <c r="AY190" s="294"/>
      <c r="AZ190" s="294"/>
      <c r="BA190" s="294"/>
      <c r="BB190" s="294"/>
    </row>
    <row r="191" spans="1:54">
      <c r="B191" s="298" t="s">
        <v>341</v>
      </c>
      <c r="C191" s="258">
        <v>115829789.00000001</v>
      </c>
      <c r="D191" s="258">
        <v>115829789</v>
      </c>
      <c r="E191" s="258">
        <v>115829789</v>
      </c>
      <c r="F191" s="258">
        <v>115829789</v>
      </c>
      <c r="G191" s="258">
        <v>115829789</v>
      </c>
      <c r="H191" s="258">
        <v>115829789</v>
      </c>
      <c r="I191" s="258">
        <v>115829789</v>
      </c>
      <c r="J191" s="258">
        <v>115829789</v>
      </c>
      <c r="K191" s="258">
        <v>115829789</v>
      </c>
      <c r="L191" s="258">
        <v>115829789</v>
      </c>
      <c r="M191" s="258">
        <v>115829789</v>
      </c>
      <c r="N191" s="258">
        <v>115829789</v>
      </c>
      <c r="O191" s="258">
        <v>115800431</v>
      </c>
      <c r="P191" s="258">
        <v>115829789</v>
      </c>
      <c r="Q191" s="258">
        <v>115790538</v>
      </c>
      <c r="R191" s="258">
        <v>115829789</v>
      </c>
      <c r="S191" s="258">
        <v>115770587</v>
      </c>
      <c r="T191" s="258">
        <v>115829789</v>
      </c>
      <c r="U191" s="258">
        <v>115710726</v>
      </c>
      <c r="V191" s="258">
        <v>115710726</v>
      </c>
      <c r="W191" s="258">
        <v>107893590</v>
      </c>
      <c r="X191" s="258">
        <v>110011129</v>
      </c>
      <c r="Y191" s="258"/>
      <c r="Z191" s="258"/>
      <c r="AA191" s="258"/>
      <c r="AB191" s="264"/>
      <c r="AC191" s="258"/>
      <c r="AD191" s="264"/>
      <c r="AE191" s="258"/>
      <c r="AF191" s="258"/>
      <c r="AG191" s="258"/>
      <c r="AH191" s="258"/>
      <c r="AI191" s="258"/>
      <c r="AJ191" s="258"/>
      <c r="AK191" s="258"/>
      <c r="AL191" s="264"/>
      <c r="AM191" s="258"/>
      <c r="AN191" s="258"/>
      <c r="AO191" s="258"/>
      <c r="AP191" s="264"/>
      <c r="AQ191" s="258"/>
      <c r="AR191" s="258"/>
      <c r="AS191" s="294"/>
      <c r="AT191" s="294"/>
      <c r="AU191" s="294"/>
      <c r="AV191" s="294"/>
      <c r="AW191" s="294"/>
      <c r="AX191" s="294"/>
      <c r="AY191" s="294"/>
      <c r="AZ191" s="294"/>
      <c r="BA191" s="294"/>
      <c r="BB191" s="294"/>
    </row>
    <row r="192" spans="1:54" ht="13.5" thickBot="1">
      <c r="A192" s="321" t="s">
        <v>365</v>
      </c>
      <c r="B192" s="268" t="s">
        <v>342</v>
      </c>
      <c r="C192" s="303">
        <v>5.6372605562347919</v>
      </c>
      <c r="D192" s="303">
        <v>3.0482375057452851</v>
      </c>
      <c r="E192" s="303">
        <v>2.5890232414649454</v>
      </c>
      <c r="F192" s="303">
        <v>2.5890232414649454</v>
      </c>
      <c r="G192" s="303">
        <v>9.5670491584053075</v>
      </c>
      <c r="H192" s="303">
        <v>2.7779501123039112</v>
      </c>
      <c r="I192" s="303">
        <v>6.7991000000000001</v>
      </c>
      <c r="J192" s="303">
        <v>2.6013000000000002</v>
      </c>
      <c r="K192" s="303">
        <v>4.1978088602955141</v>
      </c>
      <c r="L192" s="303">
        <v>2.6152977681958545</v>
      </c>
      <c r="M192" s="303">
        <v>1.58</v>
      </c>
      <c r="N192" s="303">
        <v>1.58</v>
      </c>
      <c r="O192" s="303">
        <v>11.56</v>
      </c>
      <c r="P192" s="303">
        <v>1.73</v>
      </c>
      <c r="Q192" s="303">
        <v>9.73</v>
      </c>
      <c r="R192" s="303">
        <v>2.4300000000000002</v>
      </c>
      <c r="S192" s="303">
        <v>7.3</v>
      </c>
      <c r="T192" s="303">
        <v>2.8</v>
      </c>
      <c r="U192" s="303">
        <v>4.5</v>
      </c>
      <c r="V192" s="303">
        <v>4.5</v>
      </c>
      <c r="W192" s="303">
        <v>8.93</v>
      </c>
      <c r="X192" s="303">
        <v>2</v>
      </c>
      <c r="Y192" s="303"/>
      <c r="Z192" s="303"/>
      <c r="AA192" s="303"/>
      <c r="AB192" s="275"/>
      <c r="AC192" s="303"/>
      <c r="AD192" s="275"/>
      <c r="AE192" s="303"/>
      <c r="AF192" s="275"/>
      <c r="AG192" s="303"/>
      <c r="AH192" s="274"/>
      <c r="AI192" s="303"/>
      <c r="AJ192" s="275"/>
      <c r="AK192" s="303"/>
      <c r="AL192" s="275"/>
      <c r="AM192" s="303"/>
      <c r="AN192" s="275"/>
      <c r="AO192" s="303"/>
      <c r="AP192" s="275"/>
      <c r="AQ192" s="303"/>
      <c r="AR192" s="275"/>
      <c r="AS192" s="304"/>
      <c r="AT192" s="304"/>
      <c r="AU192" s="304"/>
      <c r="AV192" s="274"/>
      <c r="AW192" s="304"/>
      <c r="AX192" s="304"/>
      <c r="AY192" s="304"/>
      <c r="AZ192" s="304"/>
      <c r="BA192" s="304"/>
      <c r="BB192" s="304"/>
    </row>
    <row r="194" spans="1:54">
      <c r="C194" s="378"/>
      <c r="D194" s="378"/>
      <c r="E194" s="378"/>
      <c r="F194" s="378"/>
      <c r="G194" s="378"/>
      <c r="H194" s="378"/>
      <c r="I194" s="378"/>
      <c r="J194" s="378"/>
      <c r="K194" s="378"/>
      <c r="L194" s="378"/>
      <c r="M194" s="378"/>
      <c r="N194" s="378"/>
    </row>
    <row r="195" spans="1:54">
      <c r="B195" s="297" t="s">
        <v>335</v>
      </c>
      <c r="C195" s="258">
        <v>652.96270076669873</v>
      </c>
      <c r="D195" s="258">
        <v>353.07670711236267</v>
      </c>
      <c r="E195" s="258">
        <v>299.88601577498065</v>
      </c>
      <c r="F195" s="258">
        <v>299.88601577498065</v>
      </c>
      <c r="G195" s="258">
        <v>1108.1492853707143</v>
      </c>
      <c r="H195" s="258">
        <v>321.76937536068834</v>
      </c>
      <c r="I195" s="258">
        <v>787.53589999999997</v>
      </c>
      <c r="J195" s="258">
        <v>301.3109</v>
      </c>
      <c r="K195" s="258">
        <v>486.23131455035985</v>
      </c>
      <c r="L195" s="258">
        <v>302.92938866229673</v>
      </c>
      <c r="M195" s="258">
        <v>183</v>
      </c>
      <c r="N195" s="258">
        <v>183</v>
      </c>
      <c r="O195" s="258">
        <v>1338</v>
      </c>
      <c r="P195" s="258">
        <v>200</v>
      </c>
      <c r="Q195" s="258">
        <v>1126</v>
      </c>
      <c r="R195" s="258">
        <v>282</v>
      </c>
      <c r="S195" s="258">
        <v>845</v>
      </c>
      <c r="T195" s="258">
        <v>324</v>
      </c>
      <c r="U195" s="258">
        <v>521</v>
      </c>
      <c r="V195" s="258">
        <v>521</v>
      </c>
      <c r="W195" s="258">
        <v>963</v>
      </c>
      <c r="X195" s="258">
        <v>220</v>
      </c>
      <c r="Y195" s="258"/>
      <c r="Z195" s="258"/>
      <c r="AA195" s="258"/>
      <c r="AB195" s="264"/>
      <c r="AC195" s="258"/>
      <c r="AD195" s="264"/>
      <c r="AE195" s="258"/>
      <c r="AF195" s="258"/>
      <c r="AG195" s="258"/>
      <c r="AH195" s="258"/>
      <c r="AI195" s="258"/>
      <c r="AJ195" s="258"/>
      <c r="AK195" s="258"/>
      <c r="AL195" s="264"/>
      <c r="AM195" s="258"/>
      <c r="AN195" s="258"/>
      <c r="AO195" s="258"/>
      <c r="AP195" s="264"/>
      <c r="AQ195" s="258"/>
      <c r="AR195" s="258"/>
      <c r="AS195" s="294"/>
      <c r="AT195" s="294"/>
      <c r="AU195" s="294"/>
      <c r="AV195" s="258"/>
      <c r="AW195" s="294"/>
      <c r="AX195" s="294"/>
      <c r="AY195" s="294"/>
      <c r="AZ195" s="294"/>
      <c r="BA195" s="294"/>
      <c r="BB195" s="294"/>
    </row>
    <row r="196" spans="1:54">
      <c r="B196" s="298" t="s">
        <v>343</v>
      </c>
      <c r="C196" s="258">
        <v>115829789.00000001</v>
      </c>
      <c r="D196" s="258">
        <v>115829789</v>
      </c>
      <c r="E196" s="258">
        <v>115829789</v>
      </c>
      <c r="F196" s="258">
        <v>115829789</v>
      </c>
      <c r="G196" s="258">
        <v>115829789</v>
      </c>
      <c r="H196" s="258">
        <v>115829789</v>
      </c>
      <c r="I196" s="258">
        <v>115829789</v>
      </c>
      <c r="J196" s="258">
        <v>115829789</v>
      </c>
      <c r="K196" s="258">
        <v>115829789</v>
      </c>
      <c r="L196" s="258">
        <v>115829789</v>
      </c>
      <c r="M196" s="258">
        <v>115829789</v>
      </c>
      <c r="N196" s="258">
        <v>115829789</v>
      </c>
      <c r="O196" s="258">
        <v>115800431</v>
      </c>
      <c r="P196" s="258">
        <v>115829789</v>
      </c>
      <c r="Q196" s="258">
        <v>115790538</v>
      </c>
      <c r="R196" s="258">
        <v>115829789</v>
      </c>
      <c r="S196" s="258">
        <v>115770587</v>
      </c>
      <c r="T196" s="258">
        <v>115829789</v>
      </c>
      <c r="U196" s="258">
        <v>115710726</v>
      </c>
      <c r="V196" s="258">
        <v>115710726</v>
      </c>
      <c r="W196" s="258">
        <v>108403858</v>
      </c>
      <c r="X196" s="258">
        <v>110521397</v>
      </c>
      <c r="Y196" s="258"/>
      <c r="Z196" s="258"/>
      <c r="AA196" s="258"/>
      <c r="AB196" s="264"/>
      <c r="AC196" s="258"/>
      <c r="AD196" s="264"/>
      <c r="AE196" s="258"/>
      <c r="AF196" s="258"/>
      <c r="AG196" s="258"/>
      <c r="AH196" s="258"/>
      <c r="AI196" s="258"/>
      <c r="AJ196" s="258"/>
      <c r="AK196" s="258"/>
      <c r="AL196" s="264"/>
      <c r="AM196" s="258"/>
      <c r="AN196" s="258"/>
      <c r="AO196" s="258"/>
      <c r="AP196" s="264"/>
      <c r="AQ196" s="258"/>
      <c r="AR196" s="258"/>
      <c r="AS196" s="294"/>
      <c r="AT196" s="294"/>
      <c r="AU196" s="294"/>
      <c r="AV196" s="294"/>
      <c r="AW196" s="294"/>
      <c r="AX196" s="294"/>
      <c r="AY196" s="294"/>
      <c r="AZ196" s="294"/>
      <c r="BA196" s="294"/>
      <c r="BB196" s="294"/>
    </row>
    <row r="197" spans="1:54" ht="13.5" thickBot="1">
      <c r="A197" s="321" t="s">
        <v>366</v>
      </c>
      <c r="B197" s="268" t="s">
        <v>344</v>
      </c>
      <c r="C197" s="303">
        <v>5.6372605562347919</v>
      </c>
      <c r="D197" s="303">
        <v>3.0482375057452851</v>
      </c>
      <c r="E197" s="303">
        <v>2.5890232414649454</v>
      </c>
      <c r="F197" s="303">
        <v>2.5890232414649454</v>
      </c>
      <c r="G197" s="303">
        <v>9.5670491584053075</v>
      </c>
      <c r="H197" s="303">
        <v>2.7779501123039112</v>
      </c>
      <c r="I197" s="303">
        <v>6.7991000000000001</v>
      </c>
      <c r="J197" s="303">
        <v>2.6013000000000002</v>
      </c>
      <c r="K197" s="303">
        <v>4.1978088602955141</v>
      </c>
      <c r="L197" s="303">
        <v>2.6152977681958545</v>
      </c>
      <c r="M197" s="303">
        <v>1.58</v>
      </c>
      <c r="N197" s="303">
        <v>1.58</v>
      </c>
      <c r="O197" s="303">
        <v>11.56</v>
      </c>
      <c r="P197" s="303">
        <v>1.73</v>
      </c>
      <c r="Q197" s="303">
        <v>9.73</v>
      </c>
      <c r="R197" s="303">
        <v>2.4300000000000002</v>
      </c>
      <c r="S197" s="303">
        <v>7.3</v>
      </c>
      <c r="T197" s="303">
        <v>2.8</v>
      </c>
      <c r="U197" s="303">
        <v>4.5</v>
      </c>
      <c r="V197" s="303">
        <v>4.5</v>
      </c>
      <c r="W197" s="303">
        <v>8.89</v>
      </c>
      <c r="X197" s="303">
        <v>1.99</v>
      </c>
      <c r="Y197" s="303"/>
      <c r="Z197" s="303"/>
      <c r="AA197" s="303"/>
      <c r="AB197" s="275"/>
      <c r="AC197" s="303"/>
      <c r="AD197" s="275"/>
      <c r="AE197" s="303"/>
      <c r="AF197" s="275"/>
      <c r="AG197" s="303"/>
      <c r="AH197" s="274"/>
      <c r="AI197" s="303"/>
      <c r="AJ197" s="275"/>
      <c r="AK197" s="303"/>
      <c r="AL197" s="275"/>
      <c r="AM197" s="303"/>
      <c r="AN197" s="275"/>
      <c r="AO197" s="303"/>
      <c r="AP197" s="275"/>
      <c r="AQ197" s="303"/>
      <c r="AR197" s="275"/>
      <c r="AS197" s="304"/>
      <c r="AT197" s="304"/>
      <c r="AU197" s="304"/>
      <c r="AV197" s="274"/>
      <c r="AW197" s="304"/>
      <c r="AX197" s="304"/>
      <c r="AY197" s="304"/>
      <c r="AZ197" s="304"/>
      <c r="BA197" s="304"/>
      <c r="BB197" s="304"/>
    </row>
    <row r="198" spans="1:54">
      <c r="C198" s="378"/>
      <c r="D198" s="378"/>
      <c r="E198" s="378"/>
      <c r="F198" s="378"/>
      <c r="G198" s="378"/>
      <c r="H198" s="378"/>
      <c r="I198" s="378"/>
      <c r="J198" s="378"/>
      <c r="K198" s="378"/>
      <c r="L198" s="378"/>
      <c r="M198" s="378"/>
      <c r="N198" s="378"/>
    </row>
    <row r="202" spans="1:54">
      <c r="C202" s="374"/>
      <c r="D202" s="374"/>
      <c r="E202" s="374"/>
      <c r="F202" s="374"/>
      <c r="G202" s="374"/>
      <c r="H202" s="374"/>
      <c r="I202" s="374"/>
      <c r="J202" s="374"/>
      <c r="K202" s="374"/>
      <c r="L202" s="374"/>
      <c r="M202" s="374"/>
      <c r="N202" s="374"/>
    </row>
    <row r="203" spans="1:54">
      <c r="C203" s="378"/>
      <c r="D203" s="378"/>
      <c r="E203" s="378"/>
      <c r="F203" s="378"/>
      <c r="G203" s="378"/>
      <c r="H203" s="378"/>
      <c r="I203" s="378"/>
      <c r="J203" s="378"/>
      <c r="K203" s="378"/>
      <c r="L203" s="378"/>
      <c r="M203" s="378"/>
      <c r="N203" s="378"/>
    </row>
    <row r="204" spans="1:54">
      <c r="C204" s="378"/>
      <c r="D204" s="378"/>
      <c r="E204" s="378"/>
      <c r="F204" s="378"/>
      <c r="G204" s="378"/>
      <c r="H204" s="378"/>
      <c r="I204" s="378"/>
      <c r="J204" s="378"/>
      <c r="K204" s="378"/>
      <c r="L204" s="378"/>
      <c r="M204" s="378"/>
      <c r="N204" s="378"/>
    </row>
    <row r="209" spans="3:14">
      <c r="C209" s="378"/>
      <c r="D209" s="378"/>
      <c r="E209" s="378"/>
      <c r="F209" s="378"/>
      <c r="G209" s="378"/>
      <c r="H209" s="378"/>
      <c r="I209" s="378"/>
      <c r="J209" s="378"/>
      <c r="K209" s="378"/>
      <c r="L209" s="378"/>
      <c r="M209" s="378"/>
      <c r="N209" s="378"/>
    </row>
    <row r="210" spans="3:14">
      <c r="C210" s="378"/>
      <c r="D210" s="378"/>
      <c r="E210" s="378"/>
      <c r="F210" s="378"/>
      <c r="G210" s="378"/>
      <c r="H210" s="378"/>
      <c r="I210" s="378"/>
      <c r="J210" s="378"/>
      <c r="K210" s="378"/>
      <c r="L210" s="378"/>
      <c r="M210" s="378"/>
      <c r="N210" s="378"/>
    </row>
    <row r="213" spans="3:14">
      <c r="C213" s="378"/>
      <c r="D213" s="378"/>
      <c r="E213" s="378"/>
      <c r="F213" s="378"/>
      <c r="G213" s="378"/>
      <c r="H213" s="378"/>
      <c r="I213" s="378"/>
      <c r="J213" s="378"/>
      <c r="K213" s="378"/>
      <c r="L213" s="378"/>
      <c r="M213" s="378"/>
      <c r="N213" s="378"/>
    </row>
    <row r="218" spans="3:14">
      <c r="C218" s="378"/>
      <c r="D218" s="378"/>
      <c r="E218" s="378"/>
      <c r="F218" s="378"/>
      <c r="G218" s="378"/>
      <c r="H218" s="378"/>
      <c r="I218" s="378"/>
      <c r="J218" s="378"/>
      <c r="K218" s="378"/>
      <c r="L218" s="378"/>
      <c r="M218" s="378"/>
      <c r="N218" s="378"/>
    </row>
  </sheetData>
  <pageMargins left="0.7" right="0.7" top="0.75" bottom="0.75" header="0.3" footer="0.3"/>
  <pageSetup paperSize="9" orientation="portrait" verticalDpi="0" r:id="rId1"/>
  <ignoredErrors>
    <ignoredError sqref="AD107 AB28 AB106:AB107 AL107 AE107:AK107 AM107:BB107 Z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M64"/>
  <sheetViews>
    <sheetView showGridLines="0" zoomScale="85" zoomScaleNormal="85" workbookViewId="0">
      <pane ySplit="2" topLeftCell="A3" activePane="bottomLeft" state="frozen"/>
      <selection pane="bottomLeft" activeCell="B100" sqref="B100"/>
    </sheetView>
  </sheetViews>
  <sheetFormatPr baseColWidth="10" defaultColWidth="11.42578125" defaultRowHeight="14.25"/>
  <cols>
    <col min="1" max="1" width="3.85546875" style="19" customWidth="1"/>
    <col min="2" max="2" width="67.140625" style="19" customWidth="1"/>
    <col min="3" max="19" width="14.28515625" style="19" customWidth="1"/>
    <col min="20" max="16384" width="11.42578125" style="19"/>
  </cols>
  <sheetData>
    <row r="1" spans="1:39" ht="18.75" customHeight="1"/>
    <row r="2" spans="1:39" ht="18.75" customHeight="1">
      <c r="A2" s="20" t="s">
        <v>135</v>
      </c>
      <c r="B2" s="21"/>
      <c r="C2" s="22"/>
      <c r="D2" s="22"/>
      <c r="E2" s="22"/>
      <c r="F2" s="22"/>
      <c r="G2" s="22"/>
      <c r="H2" s="22"/>
      <c r="I2" s="22"/>
      <c r="J2" s="22"/>
      <c r="K2" s="22"/>
      <c r="L2" s="22"/>
      <c r="M2" s="22"/>
      <c r="N2" s="22"/>
      <c r="O2" s="22"/>
    </row>
    <row r="3" spans="1:39" ht="14.25" customHeight="1">
      <c r="A3" s="20"/>
      <c r="B3" s="21"/>
      <c r="C3" s="22"/>
      <c r="D3" s="22"/>
      <c r="E3" s="22"/>
      <c r="F3" s="22"/>
      <c r="G3" s="22"/>
      <c r="H3" s="22"/>
      <c r="I3" s="22"/>
      <c r="J3" s="22"/>
      <c r="K3" s="22"/>
      <c r="L3" s="22"/>
      <c r="M3" s="22"/>
      <c r="N3" s="22"/>
      <c r="O3" s="22"/>
    </row>
    <row r="4" spans="1:39" ht="14.25" customHeight="1">
      <c r="A4" s="20"/>
      <c r="B4" s="23"/>
      <c r="C4" s="22"/>
      <c r="D4" s="22"/>
      <c r="E4" s="22"/>
      <c r="F4" s="22"/>
      <c r="G4" s="22"/>
      <c r="H4" s="22"/>
      <c r="I4" s="22"/>
      <c r="J4" s="22"/>
      <c r="K4" s="22"/>
      <c r="L4" s="22"/>
      <c r="M4" s="22"/>
      <c r="N4" s="22"/>
      <c r="O4" s="22"/>
    </row>
    <row r="5" spans="1:39" ht="14.25" customHeight="1">
      <c r="A5" s="20"/>
      <c r="B5" s="21"/>
      <c r="C5" s="22"/>
      <c r="D5" s="22"/>
      <c r="E5" s="22"/>
      <c r="F5" s="22"/>
      <c r="G5" s="22"/>
      <c r="H5" s="22"/>
      <c r="I5" s="22"/>
      <c r="J5" s="22"/>
      <c r="K5" s="22"/>
      <c r="L5" s="22"/>
      <c r="M5" s="22"/>
      <c r="N5" s="22"/>
      <c r="O5" s="22"/>
    </row>
    <row r="6" spans="1:39" ht="14.25" customHeight="1">
      <c r="B6" s="25"/>
      <c r="C6" s="150" t="s">
        <v>289</v>
      </c>
      <c r="D6" s="26" t="s">
        <v>290</v>
      </c>
      <c r="E6" s="26" t="s">
        <v>287</v>
      </c>
      <c r="F6" s="26" t="s">
        <v>288</v>
      </c>
      <c r="G6" s="26" t="s">
        <v>289</v>
      </c>
      <c r="H6" s="26" t="s">
        <v>290</v>
      </c>
      <c r="I6" s="26" t="s">
        <v>287</v>
      </c>
      <c r="J6" s="26" t="s">
        <v>288</v>
      </c>
      <c r="K6" s="26" t="s">
        <v>289</v>
      </c>
      <c r="L6" s="26" t="s">
        <v>290</v>
      </c>
      <c r="M6" s="26" t="s">
        <v>287</v>
      </c>
      <c r="N6" s="26" t="s">
        <v>288</v>
      </c>
      <c r="O6" s="26" t="s">
        <v>289</v>
      </c>
      <c r="P6" s="26" t="s">
        <v>290</v>
      </c>
      <c r="Q6" s="26" t="s">
        <v>287</v>
      </c>
      <c r="R6" s="26" t="s">
        <v>288</v>
      </c>
      <c r="S6" s="26" t="s">
        <v>289</v>
      </c>
      <c r="T6" s="26" t="s">
        <v>290</v>
      </c>
      <c r="U6" s="26" t="s">
        <v>287</v>
      </c>
      <c r="V6" s="26" t="s">
        <v>288</v>
      </c>
      <c r="W6" s="26" t="s">
        <v>289</v>
      </c>
      <c r="X6" s="26" t="s">
        <v>290</v>
      </c>
    </row>
    <row r="7" spans="1:39" ht="14.25" customHeight="1">
      <c r="B7" s="27" t="s">
        <v>139</v>
      </c>
      <c r="C7" s="151">
        <v>2021</v>
      </c>
      <c r="D7" s="28">
        <v>2021</v>
      </c>
      <c r="E7" s="28">
        <v>2020</v>
      </c>
      <c r="F7" s="28">
        <v>2020</v>
      </c>
      <c r="G7" s="28">
        <v>2020</v>
      </c>
      <c r="H7" s="28">
        <v>2020</v>
      </c>
      <c r="I7" s="28">
        <v>2019</v>
      </c>
      <c r="J7" s="28">
        <v>2019</v>
      </c>
      <c r="K7" s="28">
        <v>2019</v>
      </c>
      <c r="L7" s="28">
        <v>2019</v>
      </c>
      <c r="M7" s="28">
        <v>2018</v>
      </c>
      <c r="N7" s="28">
        <v>2018</v>
      </c>
      <c r="O7" s="28">
        <v>2018</v>
      </c>
      <c r="P7" s="28">
        <v>2018</v>
      </c>
      <c r="Q7" s="28">
        <v>2017</v>
      </c>
      <c r="R7" s="28">
        <v>2017</v>
      </c>
      <c r="S7" s="28">
        <v>2017</v>
      </c>
      <c r="T7" s="28">
        <v>2017</v>
      </c>
      <c r="U7" s="28">
        <v>2016</v>
      </c>
      <c r="V7" s="28">
        <v>2016</v>
      </c>
      <c r="W7" s="28">
        <v>2016</v>
      </c>
      <c r="X7" s="28">
        <v>2016</v>
      </c>
    </row>
    <row r="8" spans="1:39">
      <c r="B8" s="29" t="s">
        <v>12</v>
      </c>
      <c r="C8" s="149">
        <v>749.3895617899999</v>
      </c>
      <c r="D8" s="30">
        <v>745.82530000000008</v>
      </c>
      <c r="E8" s="30">
        <v>768.13688999999999</v>
      </c>
      <c r="F8" s="30">
        <v>780.07</v>
      </c>
      <c r="G8" s="30">
        <v>839.32372125999973</v>
      </c>
      <c r="H8" s="30">
        <v>1048.19039481</v>
      </c>
      <c r="I8" s="30">
        <v>1022.7381415399998</v>
      </c>
      <c r="J8" s="30">
        <v>980.96140745999992</v>
      </c>
      <c r="K8" s="30">
        <v>909.94284900000025</v>
      </c>
      <c r="L8" s="30">
        <v>874.72606599999995</v>
      </c>
      <c r="M8" s="30">
        <v>896.1855771500002</v>
      </c>
      <c r="N8" s="30">
        <v>863.88</v>
      </c>
      <c r="O8" s="30">
        <v>843.96</v>
      </c>
      <c r="P8" s="30">
        <v>810.7</v>
      </c>
      <c r="Q8" s="30">
        <v>820</v>
      </c>
      <c r="R8" s="30">
        <v>808.6</v>
      </c>
      <c r="S8" s="30">
        <v>822.9</v>
      </c>
      <c r="T8" s="30">
        <v>786.8</v>
      </c>
      <c r="U8" s="30">
        <v>785.5</v>
      </c>
      <c r="V8" s="30">
        <v>765</v>
      </c>
      <c r="W8" s="30">
        <v>472</v>
      </c>
      <c r="X8" s="30">
        <v>472</v>
      </c>
      <c r="Y8" s="239"/>
      <c r="Z8" s="239"/>
      <c r="AA8" s="239"/>
      <c r="AB8" s="239"/>
      <c r="AC8" s="239"/>
      <c r="AD8" s="239"/>
      <c r="AE8" s="239"/>
      <c r="AF8" s="239"/>
      <c r="AG8" s="239"/>
      <c r="AH8" s="239"/>
      <c r="AI8" s="239"/>
      <c r="AJ8" s="239"/>
      <c r="AK8" s="239"/>
      <c r="AL8" s="239"/>
      <c r="AM8" s="239"/>
    </row>
    <row r="9" spans="1:39" ht="14.25" customHeight="1">
      <c r="B9" s="31" t="s">
        <v>13</v>
      </c>
      <c r="C9" s="152">
        <v>207.49162325000009</v>
      </c>
      <c r="D9" s="32">
        <v>210.93969999999999</v>
      </c>
      <c r="E9" s="32">
        <v>218.99877000000001</v>
      </c>
      <c r="F9" s="32">
        <v>244.28</v>
      </c>
      <c r="G9" s="32">
        <v>341.22664505999995</v>
      </c>
      <c r="H9" s="32">
        <v>453.72187313000001</v>
      </c>
      <c r="I9" s="32">
        <v>438.38305799999989</v>
      </c>
      <c r="J9" s="32">
        <v>426.69256100000007</v>
      </c>
      <c r="K9" s="32">
        <v>390.36875300000003</v>
      </c>
      <c r="L9" s="32">
        <v>366.89113700000001</v>
      </c>
      <c r="M9" s="32">
        <v>351.86614999999995</v>
      </c>
      <c r="N9" s="32">
        <v>340.02</v>
      </c>
      <c r="O9" s="32">
        <v>332.84</v>
      </c>
      <c r="P9" s="32">
        <v>315.7</v>
      </c>
      <c r="Q9" s="32">
        <v>318</v>
      </c>
      <c r="R9" s="32">
        <v>310.2</v>
      </c>
      <c r="S9" s="32">
        <v>331.5</v>
      </c>
      <c r="T9" s="32">
        <v>322.3</v>
      </c>
      <c r="U9" s="32">
        <v>333.2</v>
      </c>
      <c r="V9" s="32">
        <v>323</v>
      </c>
      <c r="W9" s="32">
        <v>171.8</v>
      </c>
      <c r="X9" s="32">
        <v>175.7</v>
      </c>
      <c r="Y9" s="239"/>
      <c r="Z9" s="239"/>
      <c r="AA9" s="239"/>
      <c r="AB9" s="239"/>
      <c r="AC9" s="239"/>
      <c r="AD9" s="239"/>
      <c r="AE9" s="239"/>
      <c r="AF9" s="239"/>
      <c r="AG9" s="239"/>
      <c r="AH9" s="239"/>
      <c r="AI9" s="239"/>
      <c r="AJ9" s="239"/>
      <c r="AK9" s="239"/>
      <c r="AL9" s="239"/>
      <c r="AM9" s="239"/>
    </row>
    <row r="10" spans="1:39" ht="14.25" customHeight="1">
      <c r="B10" s="33" t="s">
        <v>14</v>
      </c>
      <c r="C10" s="153">
        <v>541.89793853999981</v>
      </c>
      <c r="D10" s="34">
        <v>534.88560000000007</v>
      </c>
      <c r="E10" s="34">
        <v>549.13811999999996</v>
      </c>
      <c r="F10" s="34">
        <v>535.79</v>
      </c>
      <c r="G10" s="34">
        <v>498.09707619999978</v>
      </c>
      <c r="H10" s="34">
        <v>594.46852168000009</v>
      </c>
      <c r="I10" s="34">
        <v>584.3550835399999</v>
      </c>
      <c r="J10" s="34">
        <v>554.26884645999985</v>
      </c>
      <c r="K10" s="34">
        <v>519.57409600000028</v>
      </c>
      <c r="L10" s="34">
        <v>507.83492899999993</v>
      </c>
      <c r="M10" s="34">
        <v>544.31942715000025</v>
      </c>
      <c r="N10" s="34">
        <v>523.87</v>
      </c>
      <c r="O10" s="34">
        <v>511.12</v>
      </c>
      <c r="P10" s="34">
        <v>495</v>
      </c>
      <c r="Q10" s="35">
        <v>501</v>
      </c>
      <c r="R10" s="35">
        <v>498.4</v>
      </c>
      <c r="S10" s="35">
        <v>491.4</v>
      </c>
      <c r="T10" s="35">
        <v>464.5</v>
      </c>
      <c r="U10" s="35">
        <v>452.3</v>
      </c>
      <c r="V10" s="35">
        <v>442</v>
      </c>
      <c r="W10" s="35">
        <v>300</v>
      </c>
      <c r="X10" s="35">
        <v>296.60000000000002</v>
      </c>
      <c r="Y10" s="239"/>
      <c r="Z10" s="239"/>
      <c r="AA10" s="239"/>
      <c r="AB10" s="239"/>
      <c r="AC10" s="239"/>
      <c r="AD10" s="239"/>
      <c r="AE10" s="239"/>
      <c r="AF10" s="239"/>
      <c r="AG10" s="239"/>
      <c r="AH10" s="239"/>
      <c r="AI10" s="239"/>
      <c r="AJ10" s="239"/>
      <c r="AK10" s="239"/>
      <c r="AL10" s="239"/>
      <c r="AM10" s="239"/>
    </row>
    <row r="11" spans="1:39" ht="14.25" customHeight="1">
      <c r="B11" s="36" t="s">
        <v>15</v>
      </c>
      <c r="C11" s="149">
        <v>387.38283934999998</v>
      </c>
      <c r="D11" s="30">
        <v>351.20049999999998</v>
      </c>
      <c r="E11" s="30">
        <v>389.38073000000003</v>
      </c>
      <c r="F11" s="30">
        <v>379.8</v>
      </c>
      <c r="G11" s="30">
        <v>276.54899083000004</v>
      </c>
      <c r="H11" s="30">
        <v>313.64757242000002</v>
      </c>
      <c r="I11" s="30">
        <v>332.16453217000003</v>
      </c>
      <c r="J11" s="30">
        <v>336.14364882999996</v>
      </c>
      <c r="K11" s="30">
        <v>323.14792800000004</v>
      </c>
      <c r="L11" s="30">
        <v>303.825131</v>
      </c>
      <c r="M11" s="30">
        <v>296.58041600000001</v>
      </c>
      <c r="N11" s="30">
        <v>298.82</v>
      </c>
      <c r="O11" s="30">
        <v>309.98</v>
      </c>
      <c r="P11" s="30">
        <v>304.39999999999998</v>
      </c>
      <c r="Q11" s="30">
        <v>312</v>
      </c>
      <c r="R11" s="30">
        <v>310.7</v>
      </c>
      <c r="S11" s="30">
        <v>297.39999999999998</v>
      </c>
      <c r="T11" s="30">
        <v>276.89999999999998</v>
      </c>
      <c r="U11" s="30">
        <v>275</v>
      </c>
      <c r="V11" s="30">
        <v>295</v>
      </c>
      <c r="W11" s="30">
        <v>137</v>
      </c>
      <c r="X11" s="30">
        <v>122.9</v>
      </c>
      <c r="Y11" s="239"/>
      <c r="Z11" s="239"/>
      <c r="AA11" s="239"/>
      <c r="AB11" s="239"/>
      <c r="AC11" s="239"/>
      <c r="AD11" s="239"/>
      <c r="AE11" s="239"/>
      <c r="AF11" s="239"/>
      <c r="AG11" s="239"/>
      <c r="AH11" s="239"/>
      <c r="AI11" s="239"/>
      <c r="AJ11" s="239"/>
      <c r="AK11" s="239"/>
      <c r="AL11" s="239"/>
      <c r="AM11" s="239"/>
    </row>
    <row r="12" spans="1:39" ht="14.25" customHeight="1">
      <c r="B12" s="36" t="s">
        <v>16</v>
      </c>
      <c r="C12" s="149">
        <v>33.705322860000003</v>
      </c>
      <c r="D12" s="30">
        <v>34.807653980000005</v>
      </c>
      <c r="E12" s="30">
        <v>40.263579999999997</v>
      </c>
      <c r="F12" s="30">
        <v>36.47</v>
      </c>
      <c r="G12" s="30">
        <v>32.015447589999994</v>
      </c>
      <c r="H12" s="30">
        <v>35.364367000000001</v>
      </c>
      <c r="I12" s="30">
        <v>36.705858140000004</v>
      </c>
      <c r="J12" s="30">
        <v>39.90749885999999</v>
      </c>
      <c r="K12" s="30">
        <v>36.346273000000004</v>
      </c>
      <c r="L12" s="30">
        <v>30.424996</v>
      </c>
      <c r="M12" s="30">
        <v>31.770508000000007</v>
      </c>
      <c r="N12" s="30">
        <v>22.85</v>
      </c>
      <c r="O12" s="30">
        <v>27.31</v>
      </c>
      <c r="P12" s="30">
        <v>22.5</v>
      </c>
      <c r="Q12" s="30">
        <v>27</v>
      </c>
      <c r="R12" s="30">
        <v>27.5</v>
      </c>
      <c r="S12" s="30">
        <v>26.1</v>
      </c>
      <c r="T12" s="30">
        <v>22.3</v>
      </c>
      <c r="U12" s="30">
        <v>22.6</v>
      </c>
      <c r="V12" s="30">
        <v>23</v>
      </c>
      <c r="W12" s="30">
        <v>12.9</v>
      </c>
      <c r="X12" s="30">
        <v>12.5</v>
      </c>
      <c r="Y12" s="239"/>
      <c r="Z12" s="239"/>
      <c r="AA12" s="239"/>
      <c r="AB12" s="239"/>
      <c r="AC12" s="239"/>
      <c r="AD12" s="239"/>
      <c r="AE12" s="239"/>
      <c r="AF12" s="239"/>
      <c r="AG12" s="239"/>
      <c r="AH12" s="239"/>
      <c r="AI12" s="239"/>
      <c r="AJ12" s="239"/>
      <c r="AK12" s="239"/>
      <c r="AL12" s="239"/>
      <c r="AM12" s="239"/>
    </row>
    <row r="13" spans="1:39" ht="14.25" customHeight="1">
      <c r="B13" s="31" t="s">
        <v>17</v>
      </c>
      <c r="C13" s="152">
        <v>61.93931911</v>
      </c>
      <c r="D13" s="32">
        <v>62.195753980000006</v>
      </c>
      <c r="E13" s="32">
        <v>56.945509999999999</v>
      </c>
      <c r="F13" s="32">
        <v>48.81</v>
      </c>
      <c r="G13" s="32">
        <v>55.757520069999998</v>
      </c>
      <c r="H13" s="32">
        <v>64.449541409999995</v>
      </c>
      <c r="I13" s="32">
        <v>37.136278129999994</v>
      </c>
      <c r="J13" s="32">
        <v>54.031640870000018</v>
      </c>
      <c r="K13" s="32">
        <v>77.601349999999996</v>
      </c>
      <c r="L13" s="32">
        <v>67.150913000000003</v>
      </c>
      <c r="M13" s="32">
        <v>48.350609999999989</v>
      </c>
      <c r="N13" s="32">
        <v>39.67</v>
      </c>
      <c r="O13" s="32">
        <v>51.12</v>
      </c>
      <c r="P13" s="32">
        <v>41.5</v>
      </c>
      <c r="Q13" s="32">
        <v>29</v>
      </c>
      <c r="R13" s="32">
        <v>41.6</v>
      </c>
      <c r="S13" s="32">
        <v>44.8</v>
      </c>
      <c r="T13" s="32">
        <v>53.2</v>
      </c>
      <c r="U13" s="32">
        <v>42.8</v>
      </c>
      <c r="V13" s="32">
        <v>37</v>
      </c>
      <c r="W13" s="32">
        <v>50.5</v>
      </c>
      <c r="X13" s="32">
        <v>49.7</v>
      </c>
      <c r="Y13" s="239"/>
      <c r="Z13" s="239"/>
      <c r="AA13" s="239"/>
      <c r="AB13" s="239"/>
      <c r="AC13" s="239"/>
      <c r="AD13" s="239"/>
      <c r="AE13" s="239"/>
      <c r="AF13" s="239"/>
      <c r="AG13" s="239"/>
      <c r="AH13" s="239"/>
      <c r="AI13" s="239"/>
      <c r="AJ13" s="239"/>
      <c r="AK13" s="239"/>
      <c r="AL13" s="239"/>
      <c r="AM13" s="239"/>
    </row>
    <row r="14" spans="1:39" ht="14.25" customHeight="1">
      <c r="B14" s="33" t="s">
        <v>18</v>
      </c>
      <c r="C14" s="154">
        <v>415.61683559999994</v>
      </c>
      <c r="D14" s="35">
        <v>378.58859999999999</v>
      </c>
      <c r="E14" s="35">
        <v>406.06266000000005</v>
      </c>
      <c r="F14" s="35">
        <v>392.14</v>
      </c>
      <c r="G14" s="35">
        <v>300.29106331000003</v>
      </c>
      <c r="H14" s="35">
        <v>342.73274683</v>
      </c>
      <c r="I14" s="35">
        <v>332.59495215999999</v>
      </c>
      <c r="J14" s="35">
        <v>350.26779083999998</v>
      </c>
      <c r="K14" s="35">
        <v>364.40300500000001</v>
      </c>
      <c r="L14" s="35">
        <v>340.55104799999998</v>
      </c>
      <c r="M14" s="35">
        <v>313.16051800000002</v>
      </c>
      <c r="N14" s="35">
        <v>315.64</v>
      </c>
      <c r="O14" s="35">
        <v>333.79</v>
      </c>
      <c r="P14" s="35">
        <v>323.39999999999998</v>
      </c>
      <c r="Q14" s="35">
        <v>315</v>
      </c>
      <c r="R14" s="35">
        <v>324.89999999999998</v>
      </c>
      <c r="S14" s="35">
        <v>316</v>
      </c>
      <c r="T14" s="35">
        <v>307.8</v>
      </c>
      <c r="U14" s="35">
        <v>295.2</v>
      </c>
      <c r="V14" s="35">
        <v>310</v>
      </c>
      <c r="W14" s="35">
        <v>174.6</v>
      </c>
      <c r="X14" s="35">
        <v>160.1</v>
      </c>
      <c r="Y14" s="239"/>
      <c r="Z14" s="239"/>
      <c r="AA14" s="239"/>
      <c r="AB14" s="239"/>
      <c r="AC14" s="239"/>
      <c r="AD14" s="239"/>
      <c r="AE14" s="239"/>
      <c r="AF14" s="239"/>
      <c r="AG14" s="239"/>
      <c r="AH14" s="239"/>
      <c r="AI14" s="239"/>
      <c r="AJ14" s="239"/>
      <c r="AK14" s="239"/>
      <c r="AL14" s="239"/>
      <c r="AM14" s="239"/>
    </row>
    <row r="15" spans="1:39" ht="14.25" customHeight="1">
      <c r="B15" s="37" t="s">
        <v>19</v>
      </c>
      <c r="C15" s="149">
        <v>9.261057619999999</v>
      </c>
      <c r="D15" s="30">
        <v>11.0588</v>
      </c>
      <c r="E15" s="30">
        <v>28.599769999999999</v>
      </c>
      <c r="F15" s="30">
        <v>0.52</v>
      </c>
      <c r="G15" s="30">
        <v>0.20983958999999963</v>
      </c>
      <c r="H15" s="30">
        <v>12.16452488</v>
      </c>
      <c r="I15" s="30">
        <v>0.27407664000000054</v>
      </c>
      <c r="J15" s="30">
        <v>0.21271836000000022</v>
      </c>
      <c r="K15" s="30">
        <v>6.0267499999999998</v>
      </c>
      <c r="L15" s="30">
        <v>12.376602999999999</v>
      </c>
      <c r="M15" s="30">
        <v>0.15571800000000025</v>
      </c>
      <c r="N15" s="30">
        <v>0.13</v>
      </c>
      <c r="O15" s="30">
        <v>0.43</v>
      </c>
      <c r="P15" s="30">
        <v>12.1</v>
      </c>
      <c r="Q15" s="30">
        <v>0</v>
      </c>
      <c r="R15" s="30">
        <v>-0.2</v>
      </c>
      <c r="S15" s="30">
        <v>1.8</v>
      </c>
      <c r="T15" s="30">
        <v>8.6999999999999993</v>
      </c>
      <c r="U15" s="30">
        <v>0.3</v>
      </c>
      <c r="V15" s="30">
        <v>1</v>
      </c>
      <c r="W15" s="30">
        <v>45</v>
      </c>
      <c r="X15" s="30">
        <v>0</v>
      </c>
      <c r="Y15" s="239"/>
      <c r="Z15" s="239"/>
      <c r="AA15" s="239"/>
      <c r="AB15" s="239"/>
      <c r="AC15" s="239"/>
      <c r="AD15" s="239"/>
      <c r="AE15" s="239"/>
      <c r="AF15" s="239"/>
      <c r="AG15" s="239"/>
      <c r="AH15" s="239"/>
      <c r="AI15" s="239"/>
      <c r="AJ15" s="239"/>
      <c r="AK15" s="239"/>
      <c r="AL15" s="239"/>
      <c r="AM15" s="239"/>
    </row>
    <row r="16" spans="1:39" ht="14.25" customHeight="1">
      <c r="B16" s="36" t="s">
        <v>20</v>
      </c>
      <c r="C16" s="149">
        <v>110.53405205</v>
      </c>
      <c r="D16" s="30">
        <v>58.729100000000003</v>
      </c>
      <c r="E16" s="30">
        <v>63.380850000000002</v>
      </c>
      <c r="F16" s="30">
        <v>87.894999999999996</v>
      </c>
      <c r="G16" s="30">
        <v>128.18699436</v>
      </c>
      <c r="H16" s="30">
        <v>114.91462013</v>
      </c>
      <c r="I16" s="30">
        <v>-0.99333745000012641</v>
      </c>
      <c r="J16" s="30">
        <v>43.530613450000089</v>
      </c>
      <c r="K16" s="30">
        <v>131.22960399999999</v>
      </c>
      <c r="L16" s="30">
        <v>345.58386999999999</v>
      </c>
      <c r="M16" s="30">
        <v>57.247618999999986</v>
      </c>
      <c r="N16" s="30">
        <v>57.58</v>
      </c>
      <c r="O16" s="30">
        <v>53.78</v>
      </c>
      <c r="P16" s="30">
        <v>29.7</v>
      </c>
      <c r="Q16" s="30">
        <v>77</v>
      </c>
      <c r="R16" s="30">
        <v>81.8</v>
      </c>
      <c r="S16" s="30">
        <v>30.3</v>
      </c>
      <c r="T16" s="30">
        <v>6</v>
      </c>
      <c r="U16" s="30">
        <v>48.6</v>
      </c>
      <c r="V16" s="30">
        <v>21</v>
      </c>
      <c r="W16" s="30">
        <v>96</v>
      </c>
      <c r="X16" s="30">
        <v>70</v>
      </c>
      <c r="Y16" s="239"/>
      <c r="Z16" s="239"/>
      <c r="AA16" s="239"/>
      <c r="AB16" s="239"/>
      <c r="AC16" s="239"/>
      <c r="AD16" s="239"/>
      <c r="AE16" s="239"/>
      <c r="AF16" s="239"/>
      <c r="AG16" s="239"/>
      <c r="AH16" s="239"/>
      <c r="AI16" s="239"/>
      <c r="AJ16" s="239"/>
      <c r="AK16" s="239"/>
      <c r="AL16" s="239"/>
      <c r="AM16" s="239"/>
    </row>
    <row r="17" spans="2:39" ht="14.25" customHeight="1">
      <c r="B17" s="31" t="s">
        <v>21</v>
      </c>
      <c r="C17" s="152">
        <v>61.638719260000038</v>
      </c>
      <c r="D17" s="32">
        <v>37.816299999999998</v>
      </c>
      <c r="E17" s="32">
        <v>54.517829999999996</v>
      </c>
      <c r="F17" s="32">
        <v>44.825000000000003</v>
      </c>
      <c r="G17" s="32">
        <v>185.32720802</v>
      </c>
      <c r="H17" s="32">
        <v>-175.49097287000001</v>
      </c>
      <c r="I17" s="32">
        <v>12.155208039999991</v>
      </c>
      <c r="J17" s="32">
        <v>59.181588960000013</v>
      </c>
      <c r="K17" s="32">
        <v>60.766892999999996</v>
      </c>
      <c r="L17" s="32">
        <v>64.691337000000004</v>
      </c>
      <c r="M17" s="32">
        <v>-50.752992000000006</v>
      </c>
      <c r="N17" s="32">
        <v>32.340000000000003</v>
      </c>
      <c r="O17" s="32">
        <v>94.6</v>
      </c>
      <c r="P17" s="32">
        <v>3.6</v>
      </c>
      <c r="Q17" s="32">
        <v>67</v>
      </c>
      <c r="R17" s="32">
        <v>18.600000000000001</v>
      </c>
      <c r="S17" s="32">
        <v>1.7</v>
      </c>
      <c r="T17" s="32">
        <v>-14.5</v>
      </c>
      <c r="U17" s="32">
        <v>17.100000000000001</v>
      </c>
      <c r="V17" s="32">
        <v>30</v>
      </c>
      <c r="W17" s="32">
        <v>-47</v>
      </c>
      <c r="X17" s="32">
        <v>-62.7</v>
      </c>
      <c r="Y17" s="239"/>
      <c r="Z17" s="239"/>
      <c r="AA17" s="239"/>
      <c r="AB17" s="239"/>
      <c r="AC17" s="239"/>
      <c r="AD17" s="239"/>
      <c r="AE17" s="239"/>
      <c r="AF17" s="239"/>
      <c r="AG17" s="239"/>
      <c r="AH17" s="239"/>
      <c r="AI17" s="239"/>
      <c r="AJ17" s="239"/>
      <c r="AK17" s="239"/>
      <c r="AL17" s="239"/>
      <c r="AM17" s="239"/>
    </row>
    <row r="18" spans="2:39" ht="14.25" customHeight="1">
      <c r="B18" s="33" t="s">
        <v>22</v>
      </c>
      <c r="C18" s="154">
        <v>181.43382893000003</v>
      </c>
      <c r="D18" s="38">
        <v>107.60420000000001</v>
      </c>
      <c r="E18" s="38">
        <v>146.49844999999999</v>
      </c>
      <c r="F18" s="38">
        <v>133.24</v>
      </c>
      <c r="G18" s="38">
        <v>313.72404197000003</v>
      </c>
      <c r="H18" s="38">
        <v>-48.411827860000002</v>
      </c>
      <c r="I18" s="38">
        <v>11.435947229999865</v>
      </c>
      <c r="J18" s="38">
        <v>102.9249207700001</v>
      </c>
      <c r="K18" s="38">
        <v>198.02324699999997</v>
      </c>
      <c r="L18" s="38">
        <v>422.65180999999995</v>
      </c>
      <c r="M18" s="38">
        <v>6.6503449999999802</v>
      </c>
      <c r="N18" s="38">
        <v>90.05</v>
      </c>
      <c r="O18" s="38">
        <v>148.81</v>
      </c>
      <c r="P18" s="38">
        <v>45.4</v>
      </c>
      <c r="Q18" s="35">
        <v>143</v>
      </c>
      <c r="R18" s="35">
        <v>100.1</v>
      </c>
      <c r="S18" s="35">
        <v>33.799999999999997</v>
      </c>
      <c r="T18" s="35">
        <v>0.3</v>
      </c>
      <c r="U18" s="35">
        <v>66</v>
      </c>
      <c r="V18" s="35">
        <v>53</v>
      </c>
      <c r="W18" s="35">
        <v>94</v>
      </c>
      <c r="X18" s="35">
        <v>7.3</v>
      </c>
      <c r="Y18" s="239"/>
      <c r="Z18" s="239"/>
      <c r="AA18" s="239"/>
      <c r="AB18" s="239"/>
      <c r="AC18" s="239"/>
      <c r="AD18" s="239"/>
      <c r="AE18" s="239"/>
      <c r="AF18" s="239"/>
      <c r="AG18" s="239"/>
      <c r="AH18" s="239"/>
      <c r="AI18" s="239"/>
      <c r="AJ18" s="239"/>
      <c r="AK18" s="239"/>
      <c r="AL18" s="239"/>
      <c r="AM18" s="239"/>
    </row>
    <row r="19" spans="2:39" ht="14.25" customHeight="1">
      <c r="B19" s="39" t="s">
        <v>23</v>
      </c>
      <c r="C19" s="155">
        <v>1138.9486030699998</v>
      </c>
      <c r="D19" s="30">
        <v>1021.0784000000001</v>
      </c>
      <c r="E19" s="30">
        <v>1101.6992299999999</v>
      </c>
      <c r="F19" s="30">
        <v>1061.17</v>
      </c>
      <c r="G19" s="30">
        <v>1112.1121814799999</v>
      </c>
      <c r="H19" s="30">
        <v>888.78944065000007</v>
      </c>
      <c r="I19" s="30">
        <v>928.38598292999984</v>
      </c>
      <c r="J19" s="30">
        <v>1007.4615580699999</v>
      </c>
      <c r="K19" s="30">
        <v>1082.0003480000003</v>
      </c>
      <c r="L19" s="30">
        <v>1271.0377869999998</v>
      </c>
      <c r="M19" s="30">
        <v>864.13029015000029</v>
      </c>
      <c r="N19" s="30">
        <v>929.56</v>
      </c>
      <c r="O19" s="30">
        <v>993.72</v>
      </c>
      <c r="P19" s="30">
        <v>863.8</v>
      </c>
      <c r="Q19" s="38">
        <v>959</v>
      </c>
      <c r="R19" s="38">
        <v>923.4</v>
      </c>
      <c r="S19" s="38">
        <v>841.3</v>
      </c>
      <c r="T19" s="38">
        <v>772.6</v>
      </c>
      <c r="U19" s="38">
        <v>813.5</v>
      </c>
      <c r="V19" s="38">
        <v>805</v>
      </c>
      <c r="W19" s="38">
        <v>568.6</v>
      </c>
      <c r="X19" s="38">
        <v>464</v>
      </c>
      <c r="Y19" s="239"/>
      <c r="Z19" s="239"/>
      <c r="AA19" s="239"/>
      <c r="AB19" s="239"/>
      <c r="AC19" s="239"/>
      <c r="AD19" s="239"/>
      <c r="AE19" s="239"/>
      <c r="AF19" s="239"/>
      <c r="AG19" s="239"/>
      <c r="AH19" s="239"/>
      <c r="AI19" s="239"/>
      <c r="AJ19" s="239"/>
      <c r="AK19" s="239"/>
      <c r="AL19" s="239"/>
      <c r="AM19" s="239"/>
    </row>
    <row r="20" spans="2:39" ht="14.25" customHeight="1">
      <c r="B20" s="36" t="s">
        <v>24</v>
      </c>
      <c r="C20" s="149">
        <v>283.02917558000001</v>
      </c>
      <c r="D20" s="30">
        <v>284.39120000000003</v>
      </c>
      <c r="E20" s="30">
        <v>284.82839999999999</v>
      </c>
      <c r="F20" s="30">
        <v>269.26</v>
      </c>
      <c r="G20" s="30">
        <v>254.70243776999996</v>
      </c>
      <c r="H20" s="30">
        <v>274.48972700000002</v>
      </c>
      <c r="I20" s="30">
        <v>274.18151510999996</v>
      </c>
      <c r="J20" s="30">
        <v>266.54262888999995</v>
      </c>
      <c r="K20" s="30">
        <v>267.35213229999999</v>
      </c>
      <c r="L20" s="30">
        <v>289.6442237</v>
      </c>
      <c r="M20" s="30">
        <v>286.04699999999991</v>
      </c>
      <c r="N20" s="30">
        <v>259.49</v>
      </c>
      <c r="O20" s="30">
        <v>246.94</v>
      </c>
      <c r="P20" s="30">
        <v>257.8</v>
      </c>
      <c r="Q20" s="30">
        <v>308</v>
      </c>
      <c r="R20" s="30">
        <v>233.2</v>
      </c>
      <c r="S20" s="30">
        <v>236.6</v>
      </c>
      <c r="T20" s="30">
        <v>232.5</v>
      </c>
      <c r="U20" s="30">
        <v>253.5</v>
      </c>
      <c r="V20" s="30">
        <v>27</v>
      </c>
      <c r="W20" s="30">
        <v>145</v>
      </c>
      <c r="X20" s="30">
        <v>148.1</v>
      </c>
      <c r="Y20" s="239"/>
      <c r="Z20" s="239"/>
      <c r="AA20" s="239"/>
      <c r="AB20" s="239"/>
      <c r="AC20" s="239"/>
      <c r="AD20" s="239"/>
      <c r="AE20" s="239"/>
      <c r="AF20" s="239"/>
      <c r="AG20" s="239"/>
      <c r="AH20" s="239"/>
      <c r="AI20" s="239"/>
      <c r="AJ20" s="239"/>
      <c r="AK20" s="239"/>
      <c r="AL20" s="239"/>
      <c r="AM20" s="239"/>
    </row>
    <row r="21" spans="2:39" ht="14.25" customHeight="1">
      <c r="B21" s="37" t="s">
        <v>25</v>
      </c>
      <c r="C21" s="149">
        <v>30.262111280000003</v>
      </c>
      <c r="D21" s="30">
        <v>30.808</v>
      </c>
      <c r="E21" s="30">
        <v>32.717759999999998</v>
      </c>
      <c r="F21" s="30">
        <v>32.700000000000003</v>
      </c>
      <c r="G21" s="30">
        <v>31.770954060000001</v>
      </c>
      <c r="H21" s="30">
        <v>34.499590939999997</v>
      </c>
      <c r="I21" s="30">
        <v>32.223097900000013</v>
      </c>
      <c r="J21" s="30">
        <v>29.826711099999983</v>
      </c>
      <c r="K21" s="30">
        <v>33.348470000000006</v>
      </c>
      <c r="L21" s="30">
        <v>35.541224</v>
      </c>
      <c r="M21" s="30">
        <v>23.057108999999997</v>
      </c>
      <c r="N21" s="30">
        <v>24.36</v>
      </c>
      <c r="O21" s="30">
        <v>31.89</v>
      </c>
      <c r="P21" s="30">
        <v>23.2</v>
      </c>
      <c r="Q21" s="30">
        <v>22</v>
      </c>
      <c r="R21" s="30">
        <v>20.7</v>
      </c>
      <c r="S21" s="30">
        <v>20.8</v>
      </c>
      <c r="T21" s="30">
        <v>20.5</v>
      </c>
      <c r="U21" s="30">
        <v>21.9</v>
      </c>
      <c r="V21" s="30">
        <v>19</v>
      </c>
      <c r="W21" s="30">
        <v>12</v>
      </c>
      <c r="X21" s="30">
        <v>11</v>
      </c>
      <c r="Y21" s="239"/>
      <c r="Z21" s="239"/>
      <c r="AA21" s="239"/>
      <c r="AB21" s="239"/>
      <c r="AC21" s="239"/>
      <c r="AD21" s="239"/>
      <c r="AE21" s="239"/>
      <c r="AF21" s="239"/>
      <c r="AG21" s="239"/>
      <c r="AH21" s="239"/>
      <c r="AI21" s="239"/>
      <c r="AJ21" s="239"/>
      <c r="AK21" s="239"/>
      <c r="AL21" s="239"/>
      <c r="AM21" s="239"/>
    </row>
    <row r="22" spans="2:39" ht="14.25" customHeight="1">
      <c r="B22" s="31" t="s">
        <v>26</v>
      </c>
      <c r="C22" s="152">
        <v>178.26430668</v>
      </c>
      <c r="D22" s="32">
        <v>169.65539999999999</v>
      </c>
      <c r="E22" s="32">
        <v>185.98228</v>
      </c>
      <c r="F22" s="32">
        <v>163.34</v>
      </c>
      <c r="G22" s="32">
        <v>160.40393280999999</v>
      </c>
      <c r="H22" s="32">
        <v>177.54022799999998</v>
      </c>
      <c r="I22" s="32">
        <v>183.28411119999998</v>
      </c>
      <c r="J22" s="32">
        <v>161.08322880000003</v>
      </c>
      <c r="K22" s="32">
        <v>188.64923399999995</v>
      </c>
      <c r="L22" s="32">
        <v>168.521896</v>
      </c>
      <c r="M22" s="32">
        <v>196.91610200000002</v>
      </c>
      <c r="N22" s="32">
        <v>173.12</v>
      </c>
      <c r="O22" s="32">
        <v>189.56</v>
      </c>
      <c r="P22" s="32">
        <v>168.5</v>
      </c>
      <c r="Q22" s="32">
        <v>220</v>
      </c>
      <c r="R22" s="32">
        <v>178.9</v>
      </c>
      <c r="S22" s="32">
        <v>220.8</v>
      </c>
      <c r="T22" s="32">
        <v>184.3</v>
      </c>
      <c r="U22" s="32">
        <v>201.2</v>
      </c>
      <c r="V22" s="32">
        <v>168</v>
      </c>
      <c r="W22" s="32">
        <v>102</v>
      </c>
      <c r="X22" s="32">
        <v>93.7</v>
      </c>
      <c r="Y22" s="239"/>
      <c r="Z22" s="239"/>
      <c r="AA22" s="239"/>
      <c r="AB22" s="239"/>
      <c r="AC22" s="239"/>
      <c r="AD22" s="239"/>
      <c r="AE22" s="239"/>
      <c r="AF22" s="239"/>
      <c r="AG22" s="239"/>
      <c r="AH22" s="239"/>
      <c r="AI22" s="239"/>
      <c r="AJ22" s="239"/>
      <c r="AK22" s="239"/>
      <c r="AL22" s="239"/>
      <c r="AM22" s="239"/>
    </row>
    <row r="23" spans="2:39" ht="14.25" customHeight="1">
      <c r="B23" s="33" t="s">
        <v>27</v>
      </c>
      <c r="C23" s="154">
        <v>491.55559354000002</v>
      </c>
      <c r="D23" s="38">
        <v>484.8546</v>
      </c>
      <c r="E23" s="38">
        <v>503.52843999999999</v>
      </c>
      <c r="F23" s="38">
        <v>465.3</v>
      </c>
      <c r="G23" s="38">
        <v>446.87732463999998</v>
      </c>
      <c r="H23" s="38">
        <v>486.52954594000005</v>
      </c>
      <c r="I23" s="38">
        <v>489.68872420999998</v>
      </c>
      <c r="J23" s="38">
        <v>457.45256878999999</v>
      </c>
      <c r="K23" s="38">
        <v>489.34983629999999</v>
      </c>
      <c r="L23" s="38">
        <v>493.70734370000002</v>
      </c>
      <c r="M23" s="38">
        <v>506.0202109999999</v>
      </c>
      <c r="N23" s="38">
        <v>456.98</v>
      </c>
      <c r="O23" s="38">
        <v>468.39</v>
      </c>
      <c r="P23" s="38">
        <v>449.5</v>
      </c>
      <c r="Q23" s="35">
        <v>550</v>
      </c>
      <c r="R23" s="35">
        <v>432.8</v>
      </c>
      <c r="S23" s="35">
        <v>478.1</v>
      </c>
      <c r="T23" s="35">
        <v>437.3</v>
      </c>
      <c r="U23" s="35">
        <v>476.5</v>
      </c>
      <c r="V23" s="35">
        <v>214</v>
      </c>
      <c r="W23" s="35">
        <v>259</v>
      </c>
      <c r="X23" s="35">
        <v>252.8</v>
      </c>
      <c r="Y23" s="239"/>
      <c r="Z23" s="239"/>
      <c r="AA23" s="239"/>
      <c r="AB23" s="239"/>
      <c r="AC23" s="239"/>
      <c r="AD23" s="239"/>
      <c r="AE23" s="239"/>
      <c r="AF23" s="239"/>
      <c r="AG23" s="239"/>
      <c r="AH23" s="239"/>
      <c r="AI23" s="239"/>
      <c r="AJ23" s="239"/>
      <c r="AK23" s="239"/>
      <c r="AL23" s="239"/>
      <c r="AM23" s="239"/>
    </row>
    <row r="24" spans="2:39" ht="14.25" customHeight="1">
      <c r="B24" s="40" t="s">
        <v>28</v>
      </c>
      <c r="C24" s="155">
        <v>647.39300952999974</v>
      </c>
      <c r="D24" s="30">
        <v>536.2238000000001</v>
      </c>
      <c r="E24" s="30">
        <v>598.1707899999999</v>
      </c>
      <c r="F24" s="30">
        <v>595.87</v>
      </c>
      <c r="G24" s="30">
        <v>665.23485683999991</v>
      </c>
      <c r="H24" s="30">
        <v>402.25989471000003</v>
      </c>
      <c r="I24" s="30">
        <v>438.69725871999987</v>
      </c>
      <c r="J24" s="30">
        <v>550.00898927999992</v>
      </c>
      <c r="K24" s="30">
        <v>592.65051170000027</v>
      </c>
      <c r="L24" s="30">
        <v>777.33044329999973</v>
      </c>
      <c r="M24" s="30">
        <v>358.11007915000039</v>
      </c>
      <c r="N24" s="30">
        <v>472.58</v>
      </c>
      <c r="O24" s="30">
        <v>525.33000000000004</v>
      </c>
      <c r="P24" s="30">
        <v>414.3</v>
      </c>
      <c r="Q24" s="38">
        <v>409</v>
      </c>
      <c r="R24" s="38">
        <v>490.5</v>
      </c>
      <c r="S24" s="38">
        <v>363.1</v>
      </c>
      <c r="T24" s="38">
        <v>335.3</v>
      </c>
      <c r="U24" s="38">
        <v>336.9</v>
      </c>
      <c r="V24" s="38">
        <v>590</v>
      </c>
      <c r="W24" s="38">
        <v>309.60000000000002</v>
      </c>
      <c r="X24" s="38">
        <v>210.9</v>
      </c>
      <c r="Y24" s="239"/>
      <c r="Z24" s="239"/>
      <c r="AA24" s="239"/>
      <c r="AB24" s="239"/>
      <c r="AC24" s="239"/>
      <c r="AD24" s="239"/>
      <c r="AE24" s="239"/>
      <c r="AF24" s="239"/>
      <c r="AG24" s="239"/>
      <c r="AH24" s="239"/>
      <c r="AI24" s="239"/>
      <c r="AJ24" s="239"/>
      <c r="AK24" s="239"/>
      <c r="AL24" s="239"/>
      <c r="AM24" s="239"/>
    </row>
    <row r="25" spans="2:39" ht="14.25" customHeight="1">
      <c r="B25" s="31" t="s">
        <v>29</v>
      </c>
      <c r="C25" s="152">
        <v>10.752738110000003</v>
      </c>
      <c r="D25" s="32">
        <v>-17.5688</v>
      </c>
      <c r="E25" s="32">
        <v>1.16577</v>
      </c>
      <c r="F25" s="32">
        <v>46.61</v>
      </c>
      <c r="G25" s="32">
        <v>130.44631705999998</v>
      </c>
      <c r="H25" s="32">
        <v>151.43107330000001</v>
      </c>
      <c r="I25" s="32">
        <v>32.809047120000002</v>
      </c>
      <c r="J25" s="32">
        <v>24.456724880000003</v>
      </c>
      <c r="K25" s="32">
        <v>8.1164850000000008</v>
      </c>
      <c r="L25" s="32">
        <v>-32.898592000000001</v>
      </c>
      <c r="M25" s="32">
        <v>11.441641000000001</v>
      </c>
      <c r="N25" s="32">
        <v>11.93</v>
      </c>
      <c r="O25" s="32">
        <v>7.13</v>
      </c>
      <c r="P25" s="32">
        <v>4.8</v>
      </c>
      <c r="Q25" s="32">
        <v>-13</v>
      </c>
      <c r="R25" s="32">
        <v>14.5</v>
      </c>
      <c r="S25" s="32">
        <v>5.2</v>
      </c>
      <c r="T25" s="32">
        <v>-26.2</v>
      </c>
      <c r="U25" s="32">
        <v>42.6</v>
      </c>
      <c r="V25" s="32">
        <v>3</v>
      </c>
      <c r="W25" s="32">
        <v>20.2</v>
      </c>
      <c r="X25" s="32">
        <v>8.9</v>
      </c>
      <c r="Y25" s="239"/>
      <c r="Z25" s="239"/>
      <c r="AA25" s="239"/>
      <c r="AB25" s="239"/>
      <c r="AC25" s="239"/>
      <c r="AD25" s="239"/>
      <c r="AE25" s="239"/>
      <c r="AF25" s="239"/>
      <c r="AG25" s="239"/>
      <c r="AH25" s="239"/>
      <c r="AI25" s="239"/>
      <c r="AJ25" s="239"/>
      <c r="AK25" s="239"/>
      <c r="AL25" s="239"/>
      <c r="AM25" s="239"/>
    </row>
    <row r="26" spans="2:39" ht="14.25" customHeight="1">
      <c r="B26" s="33" t="s">
        <v>30</v>
      </c>
      <c r="C26" s="154">
        <v>636.64027141999975</v>
      </c>
      <c r="D26" s="38">
        <v>553.79260000000011</v>
      </c>
      <c r="E26" s="38">
        <v>597.00501999999994</v>
      </c>
      <c r="F26" s="38">
        <v>549.26</v>
      </c>
      <c r="G26" s="38">
        <v>534.78853977999995</v>
      </c>
      <c r="H26" s="38">
        <v>250.82882141000002</v>
      </c>
      <c r="I26" s="38">
        <v>405.88821159999986</v>
      </c>
      <c r="J26" s="38">
        <v>525.5522643999999</v>
      </c>
      <c r="K26" s="38">
        <v>584.53402670000025</v>
      </c>
      <c r="L26" s="38">
        <v>810.22903529999974</v>
      </c>
      <c r="M26" s="38">
        <v>346.66843815000038</v>
      </c>
      <c r="N26" s="38">
        <v>460.65</v>
      </c>
      <c r="O26" s="38">
        <v>518.20000000000005</v>
      </c>
      <c r="P26" s="38">
        <v>409.5</v>
      </c>
      <c r="Q26" s="35">
        <v>422</v>
      </c>
      <c r="R26" s="35">
        <v>476</v>
      </c>
      <c r="S26" s="35">
        <v>357.9</v>
      </c>
      <c r="T26" s="35">
        <v>361.4</v>
      </c>
      <c r="U26" s="35">
        <v>294.39999999999998</v>
      </c>
      <c r="V26" s="35">
        <v>587</v>
      </c>
      <c r="W26" s="35">
        <v>289.39999999999998</v>
      </c>
      <c r="X26" s="35">
        <v>202</v>
      </c>
      <c r="Y26" s="239"/>
      <c r="Z26" s="239"/>
      <c r="AA26" s="239"/>
      <c r="AB26" s="239"/>
      <c r="AC26" s="239"/>
      <c r="AD26" s="239"/>
      <c r="AE26" s="239"/>
      <c r="AF26" s="239"/>
      <c r="AG26" s="239"/>
      <c r="AH26" s="239"/>
      <c r="AI26" s="239"/>
      <c r="AJ26" s="239"/>
      <c r="AK26" s="239"/>
      <c r="AL26" s="239"/>
      <c r="AM26" s="239"/>
    </row>
    <row r="27" spans="2:39" ht="14.25" customHeight="1">
      <c r="B27" s="31" t="s">
        <v>31</v>
      </c>
      <c r="C27" s="156">
        <v>120.68237317000001</v>
      </c>
      <c r="D27" s="32">
        <v>114.4563</v>
      </c>
      <c r="E27" s="32">
        <v>130.66854000000001</v>
      </c>
      <c r="F27" s="32">
        <v>111.36</v>
      </c>
      <c r="G27" s="32">
        <v>96.934554640000002</v>
      </c>
      <c r="H27" s="32">
        <v>-15.58609452</v>
      </c>
      <c r="I27" s="32">
        <v>114.40143475999997</v>
      </c>
      <c r="J27" s="32">
        <v>116.26784424000002</v>
      </c>
      <c r="K27" s="32">
        <v>113.70849100000001</v>
      </c>
      <c r="L27" s="32">
        <v>53.659356000000002</v>
      </c>
      <c r="M27" s="32">
        <v>24.860299999999995</v>
      </c>
      <c r="N27" s="32">
        <v>98.98</v>
      </c>
      <c r="O27" s="32">
        <v>102.05</v>
      </c>
      <c r="P27" s="32">
        <v>95.6</v>
      </c>
      <c r="Q27" s="41">
        <v>85</v>
      </c>
      <c r="R27" s="41">
        <v>99.2</v>
      </c>
      <c r="S27" s="41">
        <v>83.9</v>
      </c>
      <c r="T27" s="41">
        <v>87.6</v>
      </c>
      <c r="U27" s="41">
        <v>13.5</v>
      </c>
      <c r="V27" s="41">
        <v>163</v>
      </c>
      <c r="W27" s="41">
        <v>62.2</v>
      </c>
      <c r="X27" s="41">
        <v>33</v>
      </c>
      <c r="Y27" s="239"/>
      <c r="Z27" s="239"/>
      <c r="AA27" s="239"/>
      <c r="AB27" s="239"/>
      <c r="AC27" s="239"/>
      <c r="AD27" s="239"/>
      <c r="AE27" s="239"/>
      <c r="AF27" s="239"/>
      <c r="AG27" s="239"/>
      <c r="AH27" s="239"/>
      <c r="AI27" s="239"/>
      <c r="AJ27" s="239"/>
      <c r="AK27" s="239"/>
      <c r="AL27" s="239"/>
      <c r="AM27" s="239"/>
    </row>
    <row r="28" spans="2:39" ht="14.25" customHeight="1">
      <c r="B28" s="42" t="s">
        <v>32</v>
      </c>
      <c r="C28" s="157">
        <v>515.95789824999974</v>
      </c>
      <c r="D28" s="43">
        <v>439.33630000000011</v>
      </c>
      <c r="E28" s="43">
        <v>466.33647999999994</v>
      </c>
      <c r="F28" s="43">
        <v>437.9</v>
      </c>
      <c r="G28" s="43">
        <v>437.85398513999996</v>
      </c>
      <c r="H28" s="43">
        <v>266.41491593000001</v>
      </c>
      <c r="I28" s="43">
        <v>291.48677683999989</v>
      </c>
      <c r="J28" s="43">
        <v>409.28442015999985</v>
      </c>
      <c r="K28" s="43">
        <v>470.82553570000027</v>
      </c>
      <c r="L28" s="43">
        <v>756.56967929999973</v>
      </c>
      <c r="M28" s="43">
        <v>321.80813815000039</v>
      </c>
      <c r="N28" s="43">
        <v>361.67</v>
      </c>
      <c r="O28" s="43">
        <v>416.15</v>
      </c>
      <c r="P28" s="43">
        <v>313.89999999999998</v>
      </c>
      <c r="Q28" s="44">
        <v>337</v>
      </c>
      <c r="R28" s="44">
        <v>376.8</v>
      </c>
      <c r="S28" s="44">
        <v>274</v>
      </c>
      <c r="T28" s="44">
        <v>273.89999999999998</v>
      </c>
      <c r="U28" s="44">
        <v>280.8</v>
      </c>
      <c r="V28" s="44">
        <v>424</v>
      </c>
      <c r="W28" s="44">
        <v>227.2</v>
      </c>
      <c r="X28" s="44">
        <v>169</v>
      </c>
      <c r="Y28" s="239"/>
      <c r="Z28" s="239"/>
      <c r="AA28" s="239"/>
      <c r="AB28" s="239"/>
      <c r="AC28" s="239"/>
      <c r="AD28" s="239"/>
      <c r="AE28" s="239"/>
      <c r="AF28" s="239"/>
      <c r="AG28" s="239"/>
      <c r="AH28" s="239"/>
      <c r="AI28" s="239"/>
      <c r="AJ28" s="239"/>
      <c r="AK28" s="239"/>
      <c r="AL28" s="239"/>
      <c r="AM28" s="239"/>
    </row>
    <row r="29" spans="2:39" ht="14.25" customHeight="1">
      <c r="B29" s="45"/>
      <c r="C29" s="158"/>
      <c r="D29" s="46"/>
      <c r="E29" s="46"/>
      <c r="F29" s="46"/>
      <c r="G29" s="46"/>
      <c r="H29" s="46"/>
      <c r="I29" s="46"/>
      <c r="J29" s="46"/>
      <c r="K29" s="46"/>
      <c r="L29" s="46"/>
      <c r="M29" s="46"/>
      <c r="N29" s="46"/>
      <c r="O29" s="46"/>
      <c r="P29" s="46"/>
      <c r="Q29" s="46"/>
      <c r="R29" s="46"/>
      <c r="S29" s="46"/>
      <c r="T29" s="46"/>
      <c r="U29" s="47"/>
      <c r="V29" s="47"/>
      <c r="W29" s="47"/>
      <c r="X29" s="47"/>
      <c r="Y29" s="239"/>
      <c r="Z29" s="239"/>
    </row>
    <row r="30" spans="2:39" ht="14.25" customHeight="1">
      <c r="B30" s="45"/>
      <c r="C30" s="150" t="str">
        <f t="shared" ref="C30:E31" si="0">C6</f>
        <v>2Q</v>
      </c>
      <c r="D30" s="26" t="str">
        <f t="shared" si="0"/>
        <v>1Q</v>
      </c>
      <c r="E30" s="26" t="str">
        <f t="shared" si="0"/>
        <v>4Q</v>
      </c>
      <c r="F30" s="26" t="s">
        <v>288</v>
      </c>
      <c r="G30" s="26" t="str">
        <f>G6</f>
        <v>2Q</v>
      </c>
      <c r="H30" s="26" t="s">
        <v>290</v>
      </c>
      <c r="I30" s="26" t="s">
        <v>287</v>
      </c>
      <c r="J30" s="26" t="s">
        <v>288</v>
      </c>
      <c r="K30" s="26" t="s">
        <v>289</v>
      </c>
      <c r="L30" s="26" t="s">
        <v>290</v>
      </c>
      <c r="M30" s="26" t="s">
        <v>287</v>
      </c>
      <c r="N30" s="26" t="s">
        <v>288</v>
      </c>
      <c r="O30" s="26" t="s">
        <v>289</v>
      </c>
      <c r="P30" s="26" t="s">
        <v>290</v>
      </c>
      <c r="Q30" s="26" t="s">
        <v>287</v>
      </c>
      <c r="R30" s="26" t="s">
        <v>288</v>
      </c>
      <c r="S30" s="26" t="s">
        <v>289</v>
      </c>
      <c r="T30" s="26" t="s">
        <v>290</v>
      </c>
      <c r="U30" s="26" t="s">
        <v>287</v>
      </c>
      <c r="V30" s="26" t="s">
        <v>288</v>
      </c>
      <c r="W30" s="26" t="s">
        <v>289</v>
      </c>
      <c r="X30" s="26" t="s">
        <v>290</v>
      </c>
      <c r="Y30" s="239"/>
      <c r="Z30" s="239"/>
    </row>
    <row r="31" spans="2:39" ht="14.25" customHeight="1">
      <c r="B31" s="48"/>
      <c r="C31" s="404">
        <f t="shared" si="0"/>
        <v>2021</v>
      </c>
      <c r="D31" s="28">
        <f t="shared" si="0"/>
        <v>2021</v>
      </c>
      <c r="E31" s="28">
        <f t="shared" si="0"/>
        <v>2020</v>
      </c>
      <c r="F31" s="28">
        <v>2020</v>
      </c>
      <c r="G31" s="28">
        <f>G7</f>
        <v>2020</v>
      </c>
      <c r="H31" s="28">
        <v>2020</v>
      </c>
      <c r="I31" s="28">
        <v>2019</v>
      </c>
      <c r="J31" s="28">
        <v>2019</v>
      </c>
      <c r="K31" s="28">
        <v>2019</v>
      </c>
      <c r="L31" s="28">
        <v>2019</v>
      </c>
      <c r="M31" s="28">
        <v>2018</v>
      </c>
      <c r="N31" s="28">
        <v>2018</v>
      </c>
      <c r="O31" s="28">
        <v>2018</v>
      </c>
      <c r="P31" s="28">
        <v>2018</v>
      </c>
      <c r="Q31" s="28">
        <v>2017</v>
      </c>
      <c r="R31" s="28">
        <v>2017</v>
      </c>
      <c r="S31" s="28">
        <v>2017</v>
      </c>
      <c r="T31" s="28">
        <v>2017</v>
      </c>
      <c r="U31" s="28">
        <v>2016</v>
      </c>
      <c r="V31" s="28">
        <v>2016</v>
      </c>
      <c r="W31" s="28">
        <v>2016</v>
      </c>
      <c r="X31" s="28">
        <v>2016</v>
      </c>
      <c r="Y31" s="239"/>
      <c r="Z31" s="239"/>
    </row>
    <row r="32" spans="2:39" ht="14.25" customHeight="1">
      <c r="B32" s="49" t="s">
        <v>33</v>
      </c>
      <c r="C32" s="355"/>
      <c r="D32" s="50"/>
      <c r="E32" s="50"/>
      <c r="F32" s="50"/>
      <c r="G32" s="50"/>
      <c r="H32" s="50"/>
      <c r="I32" s="50"/>
      <c r="J32" s="50"/>
      <c r="K32" s="50"/>
      <c r="L32" s="50"/>
      <c r="M32" s="50"/>
      <c r="N32" s="50"/>
      <c r="O32" s="50"/>
      <c r="P32" s="50"/>
      <c r="Q32" s="50"/>
      <c r="R32" s="50"/>
      <c r="S32" s="50"/>
      <c r="T32" s="50"/>
      <c r="U32" s="50"/>
      <c r="V32" s="50"/>
      <c r="W32" s="50"/>
      <c r="X32" s="50"/>
      <c r="Y32" s="239"/>
      <c r="Z32" s="239"/>
    </row>
    <row r="33" spans="2:34" ht="14.25" customHeight="1">
      <c r="B33" s="51" t="s">
        <v>44</v>
      </c>
      <c r="C33" s="159">
        <v>0.12099796987572883</v>
      </c>
      <c r="D33" s="52">
        <v>0.10607723734774743</v>
      </c>
      <c r="E33" s="52">
        <v>0.11276961958403126</v>
      </c>
      <c r="F33" s="52">
        <v>0.1087</v>
      </c>
      <c r="G33" s="52">
        <v>0.11336661784950267</v>
      </c>
      <c r="H33" s="52">
        <v>6.8537182889276307E-2</v>
      </c>
      <c r="I33" s="52">
        <v>7.3290211125240062E-2</v>
      </c>
      <c r="J33" s="52">
        <v>0.10703313978547846</v>
      </c>
      <c r="K33" s="52">
        <v>0.12832723401509039</v>
      </c>
      <c r="L33" s="52">
        <v>0.21203709711880703</v>
      </c>
      <c r="M33" s="52">
        <v>9.0811885264778805E-2</v>
      </c>
      <c r="N33" s="52">
        <v>0.10774679608251708</v>
      </c>
      <c r="O33" s="52">
        <v>0.1292459749133735</v>
      </c>
      <c r="P33" s="52">
        <v>9.9000000000000005E-2</v>
      </c>
      <c r="Q33" s="52">
        <v>0.104</v>
      </c>
      <c r="R33" s="52">
        <v>0.11963768594542483</v>
      </c>
      <c r="S33" s="52">
        <v>8.9898277387968142E-2</v>
      </c>
      <c r="T33" s="52">
        <v>9.2999999999999999E-2</v>
      </c>
      <c r="U33" s="52">
        <v>9.6000000000000002E-2</v>
      </c>
      <c r="V33" s="52">
        <v>0.153</v>
      </c>
      <c r="W33" s="52">
        <v>9.1999999999999998E-2</v>
      </c>
      <c r="X33" s="52">
        <v>7.6999999999999999E-2</v>
      </c>
      <c r="Y33" s="239"/>
      <c r="Z33" s="239"/>
    </row>
    <row r="34" spans="2:34" ht="14.25" customHeight="1">
      <c r="B34" s="51" t="s">
        <v>45</v>
      </c>
      <c r="C34" s="160">
        <v>1.4426992635779914E-2</v>
      </c>
      <c r="D34" s="53">
        <v>1.4647652042419529E-2</v>
      </c>
      <c r="E34" s="53">
        <v>1.4812355949210472E-2</v>
      </c>
      <c r="F34" s="53">
        <v>1.44E-2</v>
      </c>
      <c r="G34" s="53">
        <v>1.3778899257049173E-2</v>
      </c>
      <c r="H34" s="53">
        <v>1.7178223871760628E-2</v>
      </c>
      <c r="I34" s="53">
        <v>1.7087571255849886E-2</v>
      </c>
      <c r="J34" s="53">
        <v>1.6445913599537627E-2</v>
      </c>
      <c r="K34" s="53">
        <v>1.6208759270006506E-2</v>
      </c>
      <c r="L34" s="53">
        <v>1.649204876408205E-2</v>
      </c>
      <c r="M34" s="53">
        <v>1.7643891844965856E-2</v>
      </c>
      <c r="N34" s="53">
        <v>1.725437806675021E-2</v>
      </c>
      <c r="O34" s="53">
        <v>1.7546095743363091E-2</v>
      </c>
      <c r="P34" s="53">
        <v>1.8100000000000002E-2</v>
      </c>
      <c r="Q34" s="53">
        <v>1.8499999999999999E-2</v>
      </c>
      <c r="R34" s="53">
        <v>1.8482305724621995E-2</v>
      </c>
      <c r="S34" s="53">
        <v>1.8816458079217023E-2</v>
      </c>
      <c r="T34" s="53">
        <v>1.8514002321617137E-2</v>
      </c>
      <c r="U34" s="53">
        <v>1.7871202954242278E-2</v>
      </c>
      <c r="V34" s="53">
        <v>1.7531074385281023E-2</v>
      </c>
      <c r="W34" s="53">
        <v>1.5269661810367211E-2</v>
      </c>
      <c r="X34" s="53">
        <v>2.085552428517521E-2</v>
      </c>
      <c r="Y34" s="239"/>
      <c r="Z34" s="239"/>
    </row>
    <row r="35" spans="2:34" ht="14.25" customHeight="1">
      <c r="B35" s="51" t="s">
        <v>46</v>
      </c>
      <c r="C35" s="159">
        <v>0.43158716048733675</v>
      </c>
      <c r="D35" s="52">
        <v>0.47484561420553012</v>
      </c>
      <c r="E35" s="52">
        <v>0.45704710168491269</v>
      </c>
      <c r="F35" s="52">
        <v>0.4385</v>
      </c>
      <c r="G35" s="52">
        <v>0.40182756027840216</v>
      </c>
      <c r="H35" s="52">
        <v>0.54740698267543042</v>
      </c>
      <c r="I35" s="52">
        <v>0.52746242749651939</v>
      </c>
      <c r="J35" s="52">
        <v>0.45406453985831935</v>
      </c>
      <c r="K35" s="52">
        <v>0.4522640285694251</v>
      </c>
      <c r="L35" s="52">
        <v>0.38842853355704376</v>
      </c>
      <c r="M35" s="52">
        <v>0.58558323526902667</v>
      </c>
      <c r="N35" s="52">
        <v>0.49160560668880687</v>
      </c>
      <c r="O35" s="52">
        <v>0.4764039777931286</v>
      </c>
      <c r="P35" s="52">
        <v>0.51967592592592593</v>
      </c>
      <c r="Q35" s="52">
        <v>0.57399999999999995</v>
      </c>
      <c r="R35" s="52">
        <v>0.46874258094775179</v>
      </c>
      <c r="S35" s="52">
        <v>0.56834671267374404</v>
      </c>
      <c r="T35" s="52">
        <v>0.56606069235100342</v>
      </c>
      <c r="U35" s="52">
        <v>0.58578992165698129</v>
      </c>
      <c r="V35" s="52">
        <v>0.26583850931677017</v>
      </c>
      <c r="W35" s="52">
        <v>0.45550474850510025</v>
      </c>
      <c r="X35" s="52">
        <v>0.5448158444861102</v>
      </c>
      <c r="Y35" s="239"/>
      <c r="Z35" s="239"/>
    </row>
    <row r="36" spans="2:34" ht="14.25" customHeight="1">
      <c r="B36" s="54" t="s">
        <v>319</v>
      </c>
      <c r="C36" s="161"/>
      <c r="D36" s="55"/>
      <c r="E36" s="55"/>
      <c r="F36" s="55"/>
      <c r="G36" s="55"/>
      <c r="H36" s="55"/>
      <c r="I36" s="55"/>
      <c r="J36" s="55"/>
      <c r="K36" s="55"/>
      <c r="L36" s="55"/>
      <c r="M36" s="55"/>
      <c r="N36" s="55"/>
      <c r="O36" s="55"/>
      <c r="P36" s="55"/>
      <c r="Q36" s="55"/>
      <c r="R36" s="55"/>
      <c r="S36" s="55"/>
      <c r="T36" s="55"/>
      <c r="U36" s="55"/>
      <c r="V36" s="55"/>
      <c r="W36" s="55"/>
      <c r="X36" s="55"/>
      <c r="Y36" s="239"/>
      <c r="Z36" s="239"/>
    </row>
    <row r="37" spans="2:34" ht="14.25" customHeight="1">
      <c r="B37" s="29" t="s">
        <v>34</v>
      </c>
      <c r="C37" s="149">
        <v>118131.69884341676</v>
      </c>
      <c r="D37" s="30">
        <v>114037.49212344014</v>
      </c>
      <c r="E37" s="30">
        <v>113368.40780000002</v>
      </c>
      <c r="F37" s="30">
        <v>113623.98480000001</v>
      </c>
      <c r="G37" s="30">
        <v>112381.12907763624</v>
      </c>
      <c r="H37" s="30">
        <v>108810.93195658</v>
      </c>
      <c r="I37" s="30">
        <v>107035.45492119202</v>
      </c>
      <c r="J37" s="30">
        <v>104037.30788707999</v>
      </c>
      <c r="K37" s="30">
        <v>101668.24776078029</v>
      </c>
      <c r="L37" s="30">
        <v>98744.151407699988</v>
      </c>
      <c r="M37" s="30">
        <v>98940.269777329799</v>
      </c>
      <c r="N37" s="30">
        <v>98258.985487460028</v>
      </c>
      <c r="O37" s="30">
        <v>96039.576516000001</v>
      </c>
      <c r="P37" s="30">
        <v>92817.744119980198</v>
      </c>
      <c r="Q37" s="30">
        <v>90460</v>
      </c>
      <c r="R37" s="56">
        <v>88945.039514610005</v>
      </c>
      <c r="S37" s="56">
        <v>87527.837190519887</v>
      </c>
      <c r="T37" s="56">
        <v>84901.425799999997</v>
      </c>
      <c r="U37" s="56">
        <v>82944.802144999994</v>
      </c>
      <c r="V37" s="56">
        <v>81336</v>
      </c>
      <c r="W37" s="56">
        <v>79286</v>
      </c>
      <c r="X37" s="56">
        <v>44308</v>
      </c>
      <c r="Y37" s="239"/>
      <c r="Z37" s="239"/>
      <c r="AA37" s="239"/>
      <c r="AB37" s="239"/>
      <c r="AC37" s="239"/>
      <c r="AD37" s="239"/>
      <c r="AE37" s="239"/>
      <c r="AF37" s="239"/>
      <c r="AG37" s="239"/>
      <c r="AH37" s="239"/>
    </row>
    <row r="38" spans="2:34" ht="14.25" customHeight="1">
      <c r="B38" s="29" t="s">
        <v>47</v>
      </c>
      <c r="C38" s="149">
        <v>167290.09909082673</v>
      </c>
      <c r="D38" s="30">
        <v>162567.03839951014</v>
      </c>
      <c r="E38" s="30">
        <v>161258.65030000001</v>
      </c>
      <c r="F38" s="30">
        <v>160992.7836</v>
      </c>
      <c r="G38" s="30">
        <v>157956.06740085623</v>
      </c>
      <c r="H38" s="30">
        <v>153845.74316593996</v>
      </c>
      <c r="I38" s="30">
        <v>150688.15955793203</v>
      </c>
      <c r="J38" s="30">
        <v>147309.94290146002</v>
      </c>
      <c r="K38" s="30">
        <v>144336.62376078026</v>
      </c>
      <c r="L38" s="30">
        <v>141078.62044130999</v>
      </c>
      <c r="M38" s="30">
        <v>140165.15885532982</v>
      </c>
      <c r="N38" s="30">
        <v>138152.57848746004</v>
      </c>
      <c r="O38" s="30">
        <v>135494.81651599999</v>
      </c>
      <c r="P38" s="30">
        <v>132432.8281199802</v>
      </c>
      <c r="Q38" s="30">
        <v>129535</v>
      </c>
      <c r="R38" s="56">
        <v>126919.03735160999</v>
      </c>
      <c r="S38" s="56">
        <v>124393.18279451989</v>
      </c>
      <c r="T38" s="56">
        <v>121701.41232999999</v>
      </c>
      <c r="U38" s="56">
        <v>119450.07671999998</v>
      </c>
      <c r="V38" s="56">
        <v>117625</v>
      </c>
      <c r="W38" s="56">
        <v>115224</v>
      </c>
      <c r="X38" s="56">
        <v>62156</v>
      </c>
      <c r="Y38" s="239"/>
      <c r="Z38" s="239"/>
      <c r="AA38" s="239"/>
      <c r="AB38" s="239"/>
      <c r="AC38" s="239"/>
      <c r="AD38" s="239"/>
      <c r="AE38" s="239"/>
      <c r="AF38" s="239"/>
      <c r="AG38" s="239"/>
      <c r="AH38" s="239"/>
    </row>
    <row r="39" spans="2:34" ht="14.25" customHeight="1">
      <c r="B39" s="29" t="s">
        <v>48</v>
      </c>
      <c r="C39" s="162">
        <v>5.1170243732004586E-2</v>
      </c>
      <c r="D39" s="57">
        <v>4.8033410548728284E-2</v>
      </c>
      <c r="E39" s="57">
        <v>5.9170952007556843E-2</v>
      </c>
      <c r="F39" s="57">
        <v>9.2100000000000001E-2</v>
      </c>
      <c r="G39" s="57">
        <v>0.10536960144140514</v>
      </c>
      <c r="H39" s="57">
        <v>0.10194811951257508</v>
      </c>
      <c r="I39" s="57">
        <v>8.1818911168130615E-2</v>
      </c>
      <c r="J39" s="57">
        <v>5.8807063506241937E-2</v>
      </c>
      <c r="K39" s="57">
        <v>5.860819240917424E-2</v>
      </c>
      <c r="L39" s="57">
        <v>6.3849938865774003E-2</v>
      </c>
      <c r="M39" s="57">
        <v>9.3744280600519717E-2</v>
      </c>
      <c r="N39" s="57">
        <v>0.10471574383099942</v>
      </c>
      <c r="O39" s="57">
        <v>9.7246083059870439E-2</v>
      </c>
      <c r="P39" s="57">
        <v>9.2999999999999999E-2</v>
      </c>
      <c r="Q39" s="57">
        <v>9.0999999999999998E-2</v>
      </c>
      <c r="R39" s="58">
        <v>9.3550697287916859E-2</v>
      </c>
      <c r="S39" s="58">
        <v>0.10395072510304325</v>
      </c>
      <c r="T39" s="58">
        <v>0.91618632962816671</v>
      </c>
      <c r="U39" s="58">
        <v>0.8946184016550337</v>
      </c>
      <c r="V39" s="58">
        <v>0.90100000000000002</v>
      </c>
      <c r="W39" s="58">
        <v>0.88400000000000001</v>
      </c>
      <c r="X39" s="58">
        <v>9.4E-2</v>
      </c>
      <c r="Y39" s="239"/>
      <c r="Z39" s="239"/>
      <c r="AA39" s="239"/>
      <c r="AB39" s="239"/>
      <c r="AC39" s="239"/>
      <c r="AD39" s="239"/>
      <c r="AE39" s="239"/>
      <c r="AF39" s="239"/>
      <c r="AG39" s="239"/>
      <c r="AH39" s="239"/>
    </row>
    <row r="40" spans="2:34" ht="14.25" customHeight="1">
      <c r="B40" s="29" t="s">
        <v>49</v>
      </c>
      <c r="C40" s="162">
        <v>5.9092580890120941E-2</v>
      </c>
      <c r="D40" s="57">
        <v>5.668857034388846E-2</v>
      </c>
      <c r="E40" s="57">
        <v>7.0151051489420926E-2</v>
      </c>
      <c r="F40" s="57">
        <v>9.2899999999999996E-2</v>
      </c>
      <c r="G40" s="57">
        <v>9.4357938691501733E-2</v>
      </c>
      <c r="H40" s="57">
        <v>9.0496509568161035E-2</v>
      </c>
      <c r="I40" s="57">
        <v>7.5075723443251863E-2</v>
      </c>
      <c r="J40" s="57">
        <v>6.6284426351341574E-2</v>
      </c>
      <c r="K40" s="57">
        <v>6.5279530717618911E-2</v>
      </c>
      <c r="L40" s="57">
        <v>6.5284359203572701E-2</v>
      </c>
      <c r="M40" s="57">
        <v>8.206336534118619E-2</v>
      </c>
      <c r="N40" s="57">
        <v>8.850818467763745E-2</v>
      </c>
      <c r="O40" s="57">
        <v>8.9246319388888426E-2</v>
      </c>
      <c r="P40" s="57">
        <v>8.7999999999999995E-2</v>
      </c>
      <c r="Q40" s="57">
        <v>8.4000000000000005E-2</v>
      </c>
      <c r="R40" s="58">
        <v>7.9014132638554668E-2</v>
      </c>
      <c r="S40" s="58">
        <v>7.9577022100603079E-2</v>
      </c>
      <c r="T40" s="58">
        <v>0.95798997575466982</v>
      </c>
      <c r="U40" s="58">
        <v>0.95371404514229607</v>
      </c>
      <c r="V40" s="58">
        <v>0.999</v>
      </c>
      <c r="W40" s="58">
        <v>0.98699999999999999</v>
      </c>
      <c r="X40" s="58">
        <v>9.8000000000000004E-2</v>
      </c>
      <c r="Y40" s="239"/>
      <c r="Z40" s="239"/>
      <c r="AA40" s="239"/>
      <c r="AB40" s="239"/>
      <c r="AC40" s="239"/>
      <c r="AD40" s="239"/>
      <c r="AE40" s="239"/>
      <c r="AF40" s="239"/>
      <c r="AG40" s="239"/>
      <c r="AH40" s="239"/>
    </row>
    <row r="41" spans="2:34" ht="14.25" customHeight="1">
      <c r="B41" s="29" t="s">
        <v>320</v>
      </c>
      <c r="C41" s="162">
        <v>3.5902286552784268E-2</v>
      </c>
      <c r="D41" s="57">
        <v>5.9018586961236963E-3</v>
      </c>
      <c r="E41" s="57">
        <v>-2.2493226271711464E-3</v>
      </c>
      <c r="F41" s="57">
        <v>1.11E-2</v>
      </c>
      <c r="G41" s="57">
        <v>3.2811015004272859E-2</v>
      </c>
      <c r="H41" s="57">
        <v>1.6587746898401257E-2</v>
      </c>
      <c r="I41" s="57">
        <v>2.8817998994804528E-2</v>
      </c>
      <c r="J41" s="57">
        <v>2.330186836576531E-2</v>
      </c>
      <c r="K41" s="57">
        <v>2.9612856168130364E-2</v>
      </c>
      <c r="L41" s="57">
        <v>-1.9821895581160209E-3</v>
      </c>
      <c r="M41" s="57">
        <v>6.9335571346471614E-3</v>
      </c>
      <c r="N41" s="57">
        <v>2.31093165127636E-2</v>
      </c>
      <c r="O41" s="57">
        <v>3.4711384407868362E-2</v>
      </c>
      <c r="P41" s="57">
        <v>2.6063941189257145E-2</v>
      </c>
      <c r="Q41" s="57">
        <v>1.7032546094278178E-2</v>
      </c>
      <c r="R41" s="58">
        <v>1.6191446853705882E-2</v>
      </c>
      <c r="S41" s="58">
        <v>3.0934832551656521E-2</v>
      </c>
      <c r="T41" s="58">
        <v>2.3589466782734991E-2</v>
      </c>
      <c r="U41" s="58">
        <v>1.9779705726861385E-2</v>
      </c>
      <c r="V41" s="58">
        <v>2.5855762681936234E-2</v>
      </c>
      <c r="W41" s="58">
        <v>0.78942854563509979</v>
      </c>
      <c r="X41" s="58"/>
      <c r="Y41" s="239"/>
      <c r="Z41" s="239"/>
      <c r="AA41" s="239"/>
      <c r="AB41" s="239"/>
      <c r="AC41" s="239"/>
      <c r="AD41" s="239"/>
      <c r="AE41" s="239"/>
      <c r="AF41" s="239"/>
      <c r="AG41" s="239"/>
      <c r="AH41" s="239"/>
    </row>
    <row r="42" spans="2:34" ht="14.25" customHeight="1">
      <c r="B42" s="29" t="s">
        <v>321</v>
      </c>
      <c r="C42" s="162">
        <v>2.9053003227564655E-2</v>
      </c>
      <c r="D42" s="57">
        <v>8.1135994693992686E-3</v>
      </c>
      <c r="E42" s="57">
        <v>1.6514199832742271E-3</v>
      </c>
      <c r="F42" s="57">
        <v>1.9199999999999998E-2</v>
      </c>
      <c r="G42" s="57">
        <v>2.6717178846364487E-2</v>
      </c>
      <c r="H42" s="57">
        <v>2.0954424138374339E-2</v>
      </c>
      <c r="I42" s="57">
        <v>2.293271309413103E-2</v>
      </c>
      <c r="J42" s="57">
        <v>2.059989393688233E-2</v>
      </c>
      <c r="K42" s="57">
        <v>2.309352975864698E-2</v>
      </c>
      <c r="L42" s="57">
        <v>6.5170374252776497E-3</v>
      </c>
      <c r="M42" s="57">
        <v>1.4567808939248028E-2</v>
      </c>
      <c r="N42" s="57">
        <v>1.9615229864872408E-2</v>
      </c>
      <c r="O42" s="57">
        <v>2.3121067785743632E-2</v>
      </c>
      <c r="P42" s="57">
        <v>2.2371004901997171E-2</v>
      </c>
      <c r="Q42" s="57">
        <v>2.0611270798902126E-2</v>
      </c>
      <c r="R42" s="58">
        <v>2.0305409833129451E-2</v>
      </c>
      <c r="S42" s="58">
        <v>2.2117824378414142E-2</v>
      </c>
      <c r="T42" s="58">
        <v>1.8847502419586659E-2</v>
      </c>
      <c r="U42" s="58">
        <v>1.551606138150885E-2</v>
      </c>
      <c r="V42" s="58">
        <v>2.0837672707074928E-2</v>
      </c>
      <c r="W42" s="58">
        <v>0.85378724499646053</v>
      </c>
      <c r="X42" s="58"/>
      <c r="Y42" s="239"/>
      <c r="Z42" s="239"/>
      <c r="AA42" s="239"/>
      <c r="AB42" s="239"/>
      <c r="AC42" s="239"/>
      <c r="AD42" s="239"/>
      <c r="AE42" s="239"/>
      <c r="AF42" s="239"/>
      <c r="AG42" s="239"/>
      <c r="AH42" s="239"/>
    </row>
    <row r="43" spans="2:34" ht="14.25" customHeight="1">
      <c r="B43" s="29" t="s">
        <v>35</v>
      </c>
      <c r="C43" s="149">
        <v>92550.731135340044</v>
      </c>
      <c r="D43" s="30">
        <v>87476.178799999994</v>
      </c>
      <c r="E43" s="30">
        <v>85613.011799999993</v>
      </c>
      <c r="F43" s="30">
        <v>85495.609500000006</v>
      </c>
      <c r="G43" s="30">
        <v>85481.013749749996</v>
      </c>
      <c r="H43" s="30">
        <v>79901.205413660005</v>
      </c>
      <c r="I43" s="30">
        <v>78493.732629149992</v>
      </c>
      <c r="J43" s="30">
        <v>76866.417997609999</v>
      </c>
      <c r="K43" s="30">
        <v>77352.269637999998</v>
      </c>
      <c r="L43" s="30">
        <v>72377.261180020068</v>
      </c>
      <c r="M43" s="30">
        <v>71496.705265899989</v>
      </c>
      <c r="N43" s="30">
        <v>70251.127166959704</v>
      </c>
      <c r="O43" s="30">
        <v>70644.658796999996</v>
      </c>
      <c r="P43" s="30">
        <v>66109.582498999996</v>
      </c>
      <c r="Q43" s="30">
        <v>65985</v>
      </c>
      <c r="R43" s="56">
        <v>65267.820076999997</v>
      </c>
      <c r="S43" s="56">
        <v>66652.514345999996</v>
      </c>
      <c r="T43" s="56">
        <v>62781.777000000002</v>
      </c>
      <c r="U43" s="56">
        <v>63070.315360000001</v>
      </c>
      <c r="V43" s="56">
        <v>62107</v>
      </c>
      <c r="W43" s="56">
        <v>62637</v>
      </c>
      <c r="X43" s="56">
        <v>33675</v>
      </c>
      <c r="Y43" s="239"/>
      <c r="Z43" s="239"/>
      <c r="AA43" s="239"/>
      <c r="AB43" s="239"/>
      <c r="AC43" s="239"/>
      <c r="AD43" s="239"/>
      <c r="AE43" s="239"/>
      <c r="AF43" s="239"/>
      <c r="AG43" s="239"/>
      <c r="AH43" s="239"/>
    </row>
    <row r="44" spans="2:34" ht="14.25" customHeight="1">
      <c r="B44" s="29" t="s">
        <v>50</v>
      </c>
      <c r="C44" s="162">
        <v>0.78345382349927761</v>
      </c>
      <c r="D44" s="57">
        <v>0.76708262494330559</v>
      </c>
      <c r="E44" s="57">
        <v>0.75517521557712108</v>
      </c>
      <c r="F44" s="57">
        <v>0.75239999999999996</v>
      </c>
      <c r="G44" s="57">
        <v>0.76063494335154047</v>
      </c>
      <c r="H44" s="57">
        <v>0.73431229727490843</v>
      </c>
      <c r="I44" s="57">
        <v>0.7333432897252905</v>
      </c>
      <c r="J44" s="57">
        <v>0.73883513096128228</v>
      </c>
      <c r="K44" s="57">
        <v>0.76083016420235328</v>
      </c>
      <c r="L44" s="57">
        <v>0.73297770195203837</v>
      </c>
      <c r="M44" s="57">
        <v>0.72262492741132633</v>
      </c>
      <c r="N44" s="57">
        <v>0.71495880828044234</v>
      </c>
      <c r="O44" s="57">
        <v>0.71225155411603103</v>
      </c>
      <c r="P44" s="57">
        <v>0.71225155411603103</v>
      </c>
      <c r="Q44" s="57">
        <v>0.72899999999999998</v>
      </c>
      <c r="R44" s="58">
        <v>0.73379943876779308</v>
      </c>
      <c r="S44" s="58">
        <v>0.76150075776371529</v>
      </c>
      <c r="T44" s="58">
        <v>0.73946669809637056</v>
      </c>
      <c r="U44" s="58">
        <v>0.7603890024325286</v>
      </c>
      <c r="V44" s="58">
        <v>0.76400000000000001</v>
      </c>
      <c r="W44" s="58">
        <v>0.79</v>
      </c>
      <c r="X44" s="58">
        <v>0.76</v>
      </c>
      <c r="Y44" s="239"/>
      <c r="Z44" s="239"/>
      <c r="AA44" s="239"/>
      <c r="AB44" s="239"/>
      <c r="AC44" s="239"/>
      <c r="AD44" s="239"/>
      <c r="AE44" s="239"/>
      <c r="AF44" s="239"/>
      <c r="AG44" s="239"/>
      <c r="AH44" s="239"/>
    </row>
    <row r="45" spans="2:34" ht="14.25" customHeight="1">
      <c r="B45" s="29" t="s">
        <v>143</v>
      </c>
      <c r="C45" s="162">
        <v>0.5532349591417931</v>
      </c>
      <c r="D45" s="57">
        <v>0.53809295944130076</v>
      </c>
      <c r="E45" s="57">
        <v>0.53090492597283001</v>
      </c>
      <c r="F45" s="57">
        <v>0.53110000000000002</v>
      </c>
      <c r="G45" s="57">
        <v>0.54116954895324665</v>
      </c>
      <c r="H45" s="57">
        <v>0.51935922157740533</v>
      </c>
      <c r="I45" s="57">
        <v>0.52090179387301561</v>
      </c>
      <c r="J45" s="57">
        <v>0.52180060954221008</v>
      </c>
      <c r="K45" s="57">
        <v>0.53591574766361183</v>
      </c>
      <c r="L45" s="57">
        <v>0.51302784896546161</v>
      </c>
      <c r="M45" s="57">
        <v>0.51008899679338038</v>
      </c>
      <c r="N45" s="57">
        <v>0.50850391600426281</v>
      </c>
      <c r="O45" s="57">
        <v>0.52138274078298685</v>
      </c>
      <c r="P45" s="57">
        <v>0.49919331511297699</v>
      </c>
      <c r="Q45" s="57">
        <v>0.50939900413015782</v>
      </c>
      <c r="R45" s="58">
        <v>0.51424767662068993</v>
      </c>
      <c r="S45" s="58">
        <v>0.53582127933892176</v>
      </c>
      <c r="T45" s="58">
        <v>0.51586728369070856</v>
      </c>
      <c r="U45" s="58">
        <v>0.52800564965597796</v>
      </c>
      <c r="V45" s="58">
        <v>0.52800850159404888</v>
      </c>
      <c r="W45" s="58">
        <v>0.54361070610289519</v>
      </c>
      <c r="X45" s="58">
        <v>0.5417819679516056</v>
      </c>
      <c r="Y45" s="239"/>
      <c r="Z45" s="239"/>
      <c r="AA45" s="239"/>
      <c r="AB45" s="239"/>
      <c r="AC45" s="239"/>
      <c r="AD45" s="239"/>
      <c r="AE45" s="239"/>
      <c r="AF45" s="239"/>
      <c r="AG45" s="239"/>
      <c r="AH45" s="239"/>
    </row>
    <row r="46" spans="2:34" ht="14.25" customHeight="1">
      <c r="B46" s="29" t="s">
        <v>36</v>
      </c>
      <c r="C46" s="162">
        <v>8.2705118662806262E-2</v>
      </c>
      <c r="D46" s="57">
        <v>9.4804244155307346E-2</v>
      </c>
      <c r="E46" s="57">
        <v>9.0698695709702237E-2</v>
      </c>
      <c r="F46" s="57">
        <v>0.1123</v>
      </c>
      <c r="G46" s="57">
        <v>0.10508733809352479</v>
      </c>
      <c r="H46" s="57">
        <v>0.10395453089784698</v>
      </c>
      <c r="I46" s="57">
        <v>9.7865032202920282E-2</v>
      </c>
      <c r="J46" s="57">
        <v>9.4166330099278148E-2</v>
      </c>
      <c r="K46" s="57">
        <v>9.4949105780718204E-2</v>
      </c>
      <c r="L46" s="57">
        <v>9.4807415870685308E-2</v>
      </c>
      <c r="M46" s="57">
        <v>8.352268377296107E-2</v>
      </c>
      <c r="N46" s="57">
        <v>7.6348086683503888E-2</v>
      </c>
      <c r="O46" s="57">
        <v>5.9894881538547391E-2</v>
      </c>
      <c r="P46" s="57">
        <v>5.2999999999999999E-2</v>
      </c>
      <c r="Q46" s="57">
        <v>4.5999999999999999E-2</v>
      </c>
      <c r="R46" s="58">
        <v>5.0893137279211631E-2</v>
      </c>
      <c r="S46" s="58">
        <v>6.4107705445663049E-2</v>
      </c>
      <c r="T46" s="58">
        <v>0.86437146802476661</v>
      </c>
      <c r="U46" s="58">
        <v>0.8850480707270566</v>
      </c>
      <c r="V46" s="58">
        <v>0.879</v>
      </c>
      <c r="W46" s="58">
        <v>0.88600000000000001</v>
      </c>
      <c r="X46" s="58">
        <v>8.4000000000000005E-2</v>
      </c>
      <c r="Y46" s="239"/>
      <c r="Z46" s="239"/>
      <c r="AA46" s="239"/>
      <c r="AB46" s="239"/>
      <c r="AC46" s="239"/>
      <c r="AD46" s="239"/>
      <c r="AE46" s="239"/>
      <c r="AF46" s="239"/>
      <c r="AG46" s="239"/>
      <c r="AH46" s="239"/>
    </row>
    <row r="47" spans="2:34" ht="14.25" customHeight="1">
      <c r="B47" s="29" t="s">
        <v>322</v>
      </c>
      <c r="C47" s="162">
        <v>5.8010676791703242E-2</v>
      </c>
      <c r="D47" s="57">
        <v>2.1762661549070694E-2</v>
      </c>
      <c r="E47" s="57">
        <v>1.3731963621483878E-3</v>
      </c>
      <c r="F47" s="57">
        <v>2.0000000000000001E-4</v>
      </c>
      <c r="G47" s="57">
        <v>6.9833844273093471E-2</v>
      </c>
      <c r="H47" s="57">
        <v>1.7931021208530629E-2</v>
      </c>
      <c r="I47" s="57">
        <v>2.1170683816573721E-2</v>
      </c>
      <c r="J47" s="57">
        <v>-6.2810263055463889E-3</v>
      </c>
      <c r="K47" s="57">
        <v>6.8737174864987649E-2</v>
      </c>
      <c r="L47" s="57">
        <v>1.2316034855665681E-2</v>
      </c>
      <c r="M47" s="57">
        <v>1.773036461009414E-2</v>
      </c>
      <c r="N47" s="57">
        <v>-5.5705786784407962E-3</v>
      </c>
      <c r="O47" s="57">
        <v>6.8599378888356988E-2</v>
      </c>
      <c r="P47" s="57">
        <v>1.8880427218306295E-3</v>
      </c>
      <c r="Q47" s="57">
        <v>1.098826224246352E-2</v>
      </c>
      <c r="R47" s="58">
        <v>-2.0774824214611187E-2</v>
      </c>
      <c r="S47" s="58">
        <v>6.1653835411507929E-2</v>
      </c>
      <c r="T47" s="58">
        <v>-4.5748678812377319E-3</v>
      </c>
      <c r="U47" s="58">
        <v>1.5510576263545239E-2</v>
      </c>
      <c r="V47" s="58">
        <v>-8.4614524961285076E-3</v>
      </c>
      <c r="W47" s="58">
        <v>0.86004454342984404</v>
      </c>
      <c r="X47" s="58"/>
      <c r="Y47" s="239"/>
      <c r="Z47" s="239"/>
      <c r="AA47" s="239"/>
      <c r="AB47" s="239"/>
      <c r="AC47" s="239"/>
      <c r="AD47" s="239"/>
      <c r="AE47" s="239"/>
      <c r="AF47" s="239"/>
      <c r="AG47" s="239"/>
      <c r="AH47" s="239"/>
    </row>
    <row r="48" spans="2:34" ht="14.25" customHeight="1">
      <c r="B48" s="29" t="s">
        <v>37</v>
      </c>
      <c r="C48" s="149">
        <v>150658.33409875009</v>
      </c>
      <c r="D48" s="30">
        <v>148095.97199499997</v>
      </c>
      <c r="E48" s="30">
        <v>147485.97064999997</v>
      </c>
      <c r="F48" s="30">
        <v>148047.77230000001</v>
      </c>
      <c r="G48" s="30">
        <v>145391.54804133001</v>
      </c>
      <c r="H48" s="30">
        <v>139184.31537530507</v>
      </c>
      <c r="I48" s="30">
        <v>135675.52944625507</v>
      </c>
      <c r="J48" s="30">
        <v>133711.11239318002</v>
      </c>
      <c r="K48" s="30">
        <v>128572.82625616502</v>
      </c>
      <c r="L48" s="30">
        <v>124881.55941526202</v>
      </c>
      <c r="M48" s="30">
        <v>122395.22782376701</v>
      </c>
      <c r="N48" s="30">
        <v>120455.378623</v>
      </c>
      <c r="O48" s="30">
        <v>116840.040167</v>
      </c>
      <c r="P48" s="30">
        <v>111204.767137</v>
      </c>
      <c r="Q48" s="30">
        <v>107316</v>
      </c>
      <c r="R48" s="56">
        <v>106981.69634299999</v>
      </c>
      <c r="S48" s="56">
        <v>104756.56682800001</v>
      </c>
      <c r="T48" s="56">
        <v>101749</v>
      </c>
      <c r="U48" s="56">
        <v>100678.74</v>
      </c>
      <c r="V48" s="56">
        <v>100301.4</v>
      </c>
      <c r="W48" s="56">
        <v>79019</v>
      </c>
      <c r="X48" s="56">
        <v>56577.440000000002</v>
      </c>
      <c r="Y48" s="239"/>
      <c r="Z48" s="239"/>
      <c r="AA48" s="239"/>
      <c r="AB48" s="239"/>
      <c r="AC48" s="239"/>
      <c r="AD48" s="239"/>
      <c r="AE48" s="239"/>
      <c r="AF48" s="239"/>
      <c r="AG48" s="239"/>
      <c r="AH48" s="239"/>
    </row>
    <row r="49" spans="1:34" ht="14.25" customHeight="1">
      <c r="B49" s="29" t="s">
        <v>1</v>
      </c>
      <c r="C49" s="149">
        <v>155242.86618750019</v>
      </c>
      <c r="D49" s="30">
        <v>150118.14197999999</v>
      </c>
      <c r="E49" s="30">
        <v>146073.80200999998</v>
      </c>
      <c r="F49" s="30">
        <v>148898.13930000001</v>
      </c>
      <c r="G49" s="30">
        <v>147197.40538354</v>
      </c>
      <c r="H49" s="30">
        <v>143585.69069911999</v>
      </c>
      <c r="I49" s="30">
        <v>134782.94005149015</v>
      </c>
      <c r="J49" s="30">
        <v>136568.11884102001</v>
      </c>
      <c r="K49" s="30">
        <v>130854.10594534002</v>
      </c>
      <c r="L49" s="30">
        <v>126291.54656699001</v>
      </c>
      <c r="M49" s="30">
        <v>123471.57226353404</v>
      </c>
      <c r="N49" s="30">
        <v>121318.88338399999</v>
      </c>
      <c r="O49" s="30">
        <v>119591.872598</v>
      </c>
      <c r="P49" s="30">
        <v>114088.20773600001</v>
      </c>
      <c r="Q49" s="30">
        <v>108321</v>
      </c>
      <c r="R49" s="56">
        <v>106311.634504</v>
      </c>
      <c r="S49" s="56">
        <v>107652.02759400001</v>
      </c>
      <c r="T49" s="56">
        <v>101861.10500000003</v>
      </c>
      <c r="U49" s="56">
        <v>101639.928</v>
      </c>
      <c r="V49" s="56">
        <v>99720</v>
      </c>
      <c r="W49" s="56">
        <v>100883</v>
      </c>
      <c r="X49" s="56">
        <v>57185</v>
      </c>
      <c r="Y49" s="239"/>
      <c r="Z49" s="239"/>
      <c r="AA49" s="239"/>
      <c r="AB49" s="239"/>
      <c r="AC49" s="239"/>
      <c r="AD49" s="239"/>
      <c r="AE49" s="239"/>
      <c r="AF49" s="239"/>
      <c r="AG49" s="239"/>
      <c r="AH49" s="239"/>
    </row>
    <row r="50" spans="1:34" ht="14.25" customHeight="1">
      <c r="B50" s="59" t="s">
        <v>51</v>
      </c>
      <c r="C50" s="149">
        <v>204401.26643491015</v>
      </c>
      <c r="D50" s="30">
        <v>198647.68825606999</v>
      </c>
      <c r="E50" s="30">
        <v>193964.04450999998</v>
      </c>
      <c r="F50" s="30">
        <v>196266.9381</v>
      </c>
      <c r="G50" s="30">
        <v>192772.34370675997</v>
      </c>
      <c r="H50" s="30">
        <v>188620.50190847999</v>
      </c>
      <c r="I50" s="30">
        <v>178435.64468823015</v>
      </c>
      <c r="J50" s="30">
        <v>179840.75385540002</v>
      </c>
      <c r="K50" s="30">
        <v>173522.48194534</v>
      </c>
      <c r="L50" s="30">
        <v>168626.01560060002</v>
      </c>
      <c r="M50" s="30">
        <v>164696.46134153404</v>
      </c>
      <c r="N50" s="30">
        <v>161212.47638400001</v>
      </c>
      <c r="O50" s="30">
        <v>159047.11259800001</v>
      </c>
      <c r="P50" s="30">
        <v>153703</v>
      </c>
      <c r="Q50" s="30">
        <v>147396</v>
      </c>
      <c r="R50" s="56">
        <v>144285.63234099999</v>
      </c>
      <c r="S50" s="56">
        <v>144517.37319800002</v>
      </c>
      <c r="T50" s="56">
        <v>138661.09153000003</v>
      </c>
      <c r="U50" s="56">
        <v>138145.202575</v>
      </c>
      <c r="V50" s="56">
        <v>136009</v>
      </c>
      <c r="W50" s="56">
        <v>136821</v>
      </c>
      <c r="X50" s="56">
        <v>75033</v>
      </c>
      <c r="Y50" s="239"/>
      <c r="Z50" s="239"/>
      <c r="AA50" s="239"/>
      <c r="AB50" s="239"/>
      <c r="AC50" s="239"/>
      <c r="AD50" s="239"/>
      <c r="AE50" s="239"/>
      <c r="AF50" s="239"/>
      <c r="AG50" s="239"/>
      <c r="AH50" s="239"/>
    </row>
    <row r="51" spans="1:34" ht="14.25" customHeight="1">
      <c r="B51" s="54" t="s">
        <v>38</v>
      </c>
      <c r="C51" s="161"/>
      <c r="D51" s="55"/>
      <c r="E51" s="55"/>
      <c r="F51" s="55"/>
      <c r="G51" s="55"/>
      <c r="H51" s="55"/>
      <c r="I51" s="55"/>
      <c r="J51" s="55"/>
      <c r="K51" s="55"/>
      <c r="L51" s="55"/>
      <c r="M51" s="55"/>
      <c r="N51" s="55"/>
      <c r="O51" s="55"/>
      <c r="P51" s="55"/>
      <c r="Q51" s="55"/>
      <c r="R51" s="55"/>
      <c r="S51" s="55"/>
      <c r="T51" s="55"/>
      <c r="U51" s="55"/>
      <c r="V51" s="55"/>
      <c r="W51" s="55"/>
      <c r="X51" s="55"/>
      <c r="Y51" s="239"/>
      <c r="Z51" s="239"/>
    </row>
    <row r="52" spans="1:34" ht="16.5" customHeight="1">
      <c r="B52" s="60" t="s">
        <v>52</v>
      </c>
      <c r="C52" s="163">
        <v>3.6509349158196972E-4</v>
      </c>
      <c r="D52" s="61">
        <v>-6.2480543124640423E-4</v>
      </c>
      <c r="E52" s="61">
        <v>4.0908549955952037E-5</v>
      </c>
      <c r="F52" s="61">
        <v>1.6000000000000001E-3</v>
      </c>
      <c r="G52" s="61">
        <v>4.6685081789919654E-3</v>
      </c>
      <c r="H52" s="61">
        <v>5.597346228518982E-3</v>
      </c>
      <c r="I52" s="61">
        <v>1.2161047789600637E-3</v>
      </c>
      <c r="J52" s="61">
        <v>9.326404113325663E-4</v>
      </c>
      <c r="K52" s="61">
        <v>3.2020943470430961E-4</v>
      </c>
      <c r="L52" s="61">
        <v>-6.7186221750459459E-4</v>
      </c>
      <c r="M52" s="61">
        <v>4.5879667715713644E-4</v>
      </c>
      <c r="N52" s="61">
        <v>4.8168568507325727E-4</v>
      </c>
      <c r="O52" s="61">
        <v>9.5789346750926868E-5</v>
      </c>
      <c r="P52" s="61">
        <v>2.184687633817716E-4</v>
      </c>
      <c r="Q52" s="61">
        <v>-1E-3</v>
      </c>
      <c r="R52" s="62">
        <v>6.4676460584925388E-4</v>
      </c>
      <c r="S52" s="62">
        <v>2.4003537282928076E-4</v>
      </c>
      <c r="T52" s="62">
        <v>-1.249558258629124E-3</v>
      </c>
      <c r="U52" s="62">
        <v>2.0428415177094279E-3</v>
      </c>
      <c r="V52" s="62">
        <v>1.4673431947348839E-4</v>
      </c>
      <c r="W52" s="62">
        <v>1.0246948521044831E-3</v>
      </c>
      <c r="X52" s="62">
        <v>8.0788129447513751E-4</v>
      </c>
      <c r="Y52" s="239"/>
      <c r="Z52" s="239"/>
    </row>
    <row r="53" spans="1:34" ht="16.5" hidden="1" customHeight="1">
      <c r="B53" s="63" t="s">
        <v>53</v>
      </c>
      <c r="C53" s="163">
        <v>3.3350235699412803E-3</v>
      </c>
      <c r="D53" s="61">
        <v>2.8967490765442723E-3</v>
      </c>
      <c r="E53" s="61">
        <v>2.8830342274596184E-3</v>
      </c>
      <c r="F53" s="61">
        <v>3.5000000000000001E-3</v>
      </c>
      <c r="G53" s="61">
        <v>3.4776636274049823E-3</v>
      </c>
      <c r="H53" s="61">
        <v>4.3789717763848849E-3</v>
      </c>
      <c r="I53" s="61">
        <v>3.801424147723598E-3</v>
      </c>
      <c r="J53" s="61">
        <v>2.9439780807518972E-3</v>
      </c>
      <c r="K53" s="61">
        <v>3.3592002175899297E-3</v>
      </c>
      <c r="L53" s="61">
        <v>3.117075751951812E-3</v>
      </c>
      <c r="M53" s="61">
        <v>3.175549376478356E-3</v>
      </c>
      <c r="N53" s="61">
        <v>3.570966993596528E-3</v>
      </c>
      <c r="O53" s="61">
        <v>3.2658333405681636E-3</v>
      </c>
      <c r="P53" s="61">
        <v>2E-3</v>
      </c>
      <c r="Q53" s="61">
        <v>3.0000000000000001E-3</v>
      </c>
      <c r="R53" s="62">
        <v>3.193265093590142E-3</v>
      </c>
      <c r="S53" s="62">
        <v>2.9952836477535592E-3</v>
      </c>
      <c r="T53" s="62">
        <v>2.6147970768236497E-3</v>
      </c>
      <c r="U53" s="62">
        <v>2.6764787456109739E-3</v>
      </c>
      <c r="V53" s="62">
        <v>4.1310120979640014E-3</v>
      </c>
      <c r="W53" s="62">
        <v>6.3842303626377578E-2</v>
      </c>
      <c r="X53" s="62">
        <v>5.8680148054527396E-3</v>
      </c>
      <c r="Y53" s="239"/>
      <c r="Z53" s="239"/>
    </row>
    <row r="54" spans="1:34" ht="16.5" hidden="1" customHeight="1">
      <c r="B54" s="63" t="s">
        <v>54</v>
      </c>
      <c r="C54" s="162">
        <v>2.9474346463223122E-3</v>
      </c>
      <c r="D54" s="57">
        <v>3.4515315329272803E-3</v>
      </c>
      <c r="E54" s="57">
        <v>1.6560698314755725E-3</v>
      </c>
      <c r="F54" s="57">
        <v>4.3E-3</v>
      </c>
      <c r="G54" s="57">
        <v>3.3446415789285637E-3</v>
      </c>
      <c r="H54" s="57">
        <v>1.5905295543379697E-3</v>
      </c>
      <c r="I54" s="57">
        <v>7.8301499313202178E-4</v>
      </c>
      <c r="J54" s="57">
        <v>9.4893067693709704E-4</v>
      </c>
      <c r="K54" s="57">
        <v>1.0424001823004041E-3</v>
      </c>
      <c r="L54" s="57">
        <v>1.1255046341036622E-3</v>
      </c>
      <c r="M54" s="57">
        <v>1.3541549997946232E-3</v>
      </c>
      <c r="N54" s="57">
        <v>1.5393923542931752E-3</v>
      </c>
      <c r="O54" s="57">
        <v>2.2705061174824307E-3</v>
      </c>
      <c r="P54" s="57">
        <v>3.0000000000000001E-3</v>
      </c>
      <c r="Q54" s="57">
        <v>3.0000000000000001E-3</v>
      </c>
      <c r="R54" s="58">
        <v>2.8134463870679999E-3</v>
      </c>
      <c r="S54" s="58">
        <v>2.9986383123885461E-3</v>
      </c>
      <c r="T54" s="58">
        <v>2.9917047635730047E-3</v>
      </c>
      <c r="U54" s="58">
        <v>3.0622774837170603E-3</v>
      </c>
      <c r="V54" s="58">
        <v>2.7417133864463461E-3</v>
      </c>
      <c r="W54" s="58">
        <v>4.6112280775743083E-3</v>
      </c>
      <c r="X54" s="58">
        <v>4.9426740092082698E-3</v>
      </c>
      <c r="Y54" s="239"/>
      <c r="Z54" s="239"/>
    </row>
    <row r="55" spans="1:34" ht="16.5" hidden="1" customHeight="1">
      <c r="B55" s="63" t="s">
        <v>55</v>
      </c>
      <c r="C55" s="162">
        <v>5.259828378694536E-3</v>
      </c>
      <c r="D55" s="57">
        <v>5.3059479714358589E-3</v>
      </c>
      <c r="E55" s="57">
        <v>3.4309293704308337E-3</v>
      </c>
      <c r="F55" s="57">
        <v>5.8999999999999999E-3</v>
      </c>
      <c r="G55" s="57">
        <v>5.2509562578992733E-3</v>
      </c>
      <c r="H55" s="57">
        <v>5.1279038784692475E-3</v>
      </c>
      <c r="I55" s="57">
        <v>3.3749227698987292E-3</v>
      </c>
      <c r="J55" s="57">
        <v>3.1193417206857765E-3</v>
      </c>
      <c r="K55" s="57">
        <v>3.5471153279688652E-3</v>
      </c>
      <c r="L55" s="57">
        <v>3.4852190746880417E-3</v>
      </c>
      <c r="M55" s="57">
        <v>3.5910574005874603E-3</v>
      </c>
      <c r="N55" s="57">
        <v>3.8042782260122722E-3</v>
      </c>
      <c r="O55" s="57">
        <v>4.0297598660852477E-3</v>
      </c>
      <c r="P55" s="57">
        <v>4.0000000000000001E-3</v>
      </c>
      <c r="Q55" s="57">
        <v>4.0000000000000001E-3</v>
      </c>
      <c r="R55" s="58">
        <v>4.305206108847711E-3</v>
      </c>
      <c r="S55" s="58">
        <v>4.3304276173872251E-3</v>
      </c>
      <c r="T55" s="58">
        <v>3.8279686935481362E-3</v>
      </c>
      <c r="U55" s="58">
        <v>4.219673698035319E-3</v>
      </c>
      <c r="V55" s="58">
        <v>5.1883544801809775E-3</v>
      </c>
      <c r="W55" s="58" t="e">
        <v>#REF!</v>
      </c>
      <c r="X55" s="58">
        <v>7.402726369955764E-3</v>
      </c>
      <c r="Y55" s="239"/>
      <c r="Z55" s="239"/>
    </row>
    <row r="56" spans="1:34" ht="16.5" customHeight="1">
      <c r="B56" s="64" t="s">
        <v>39</v>
      </c>
      <c r="C56" s="164"/>
      <c r="D56" s="65"/>
      <c r="E56" s="65"/>
      <c r="F56" s="65"/>
      <c r="G56" s="65"/>
      <c r="H56" s="65"/>
      <c r="I56" s="65"/>
      <c r="J56" s="65"/>
      <c r="K56" s="65"/>
      <c r="L56" s="65"/>
      <c r="M56" s="65"/>
      <c r="N56" s="65"/>
      <c r="O56" s="65"/>
      <c r="P56" s="65"/>
      <c r="Q56" s="65"/>
      <c r="R56" s="65"/>
      <c r="S56" s="65"/>
      <c r="T56" s="65"/>
      <c r="U56" s="65"/>
      <c r="V56" s="65"/>
      <c r="W56" s="65"/>
      <c r="X56" s="65"/>
      <c r="Y56" s="239"/>
      <c r="Z56" s="239"/>
    </row>
    <row r="57" spans="1:34" ht="14.25" customHeight="1">
      <c r="B57" s="51" t="s">
        <v>40</v>
      </c>
      <c r="C57" s="163">
        <v>0.17810117935842029</v>
      </c>
      <c r="D57" s="61">
        <v>0.17799999999999999</v>
      </c>
      <c r="E57" s="61">
        <v>0.17799999999999999</v>
      </c>
      <c r="F57" s="61">
        <v>0.17299999999999999</v>
      </c>
      <c r="G57" s="61">
        <v>0.17139809270732162</v>
      </c>
      <c r="H57" s="61">
        <v>0.17040437419872376</v>
      </c>
      <c r="I57" s="61">
        <v>0.17245604062068776</v>
      </c>
      <c r="J57" s="61">
        <v>0.16745151867093996</v>
      </c>
      <c r="K57" s="61">
        <v>0.16683419365963417</v>
      </c>
      <c r="L57" s="61">
        <v>0.16903123341467879</v>
      </c>
      <c r="M57" s="61">
        <v>0.16755392786221213</v>
      </c>
      <c r="N57" s="61">
        <v>0.15853129392997001</v>
      </c>
      <c r="O57" s="61">
        <v>0.16073137456060585</v>
      </c>
      <c r="P57" s="61">
        <v>0.16174675708985606</v>
      </c>
      <c r="Q57" s="61">
        <v>0.16800000000000001</v>
      </c>
      <c r="R57" s="62">
        <v>0.16904691016046353</v>
      </c>
      <c r="S57" s="62">
        <v>0.16728993952436366</v>
      </c>
      <c r="T57" s="62">
        <v>0.1671850404112834</v>
      </c>
      <c r="U57" s="62">
        <v>0.16912237515982342</v>
      </c>
      <c r="V57" s="62">
        <v>0.17499999999999999</v>
      </c>
      <c r="W57" s="62">
        <v>0.16</v>
      </c>
      <c r="X57" s="62">
        <v>0.16900000000000001</v>
      </c>
      <c r="Y57" s="239"/>
      <c r="Z57" s="239"/>
    </row>
    <row r="58" spans="1:34" ht="14.25" customHeight="1">
      <c r="B58" s="51" t="s">
        <v>41</v>
      </c>
      <c r="C58" s="163">
        <v>0.18791794083977356</v>
      </c>
      <c r="D58" s="61">
        <v>0.188</v>
      </c>
      <c r="E58" s="61">
        <v>0.188</v>
      </c>
      <c r="F58" s="61">
        <v>0.183</v>
      </c>
      <c r="G58" s="61">
        <v>0.18172422207339059</v>
      </c>
      <c r="H58" s="61">
        <v>0.17656301131568714</v>
      </c>
      <c r="I58" s="61">
        <v>0.17860755466420439</v>
      </c>
      <c r="J58" s="61">
        <v>0.17721126030525525</v>
      </c>
      <c r="K58" s="61">
        <v>0.17315969229951719</v>
      </c>
      <c r="L58" s="61">
        <v>0.17488388213557288</v>
      </c>
      <c r="M58" s="61">
        <v>0.17614814863582226</v>
      </c>
      <c r="N58" s="61">
        <v>0.16730043809209208</v>
      </c>
      <c r="O58" s="61">
        <v>0.16920918599169135</v>
      </c>
      <c r="P58" s="61">
        <v>0.17027611418028196</v>
      </c>
      <c r="Q58" s="61">
        <v>0.17699999999999999</v>
      </c>
      <c r="R58" s="62">
        <v>0.17823123747045869</v>
      </c>
      <c r="S58" s="62">
        <v>0.17645196408748351</v>
      </c>
      <c r="T58" s="62">
        <v>0.17577394801537041</v>
      </c>
      <c r="U58" s="62">
        <v>0.17905896998433671</v>
      </c>
      <c r="V58" s="62">
        <v>0.183</v>
      </c>
      <c r="W58" s="62">
        <v>0.16700000000000001</v>
      </c>
      <c r="X58" s="62">
        <v>0.17299999999999999</v>
      </c>
      <c r="Y58" s="239"/>
      <c r="Z58" s="239"/>
    </row>
    <row r="59" spans="1:34" ht="14.25" customHeight="1">
      <c r="A59" s="68"/>
      <c r="B59" s="51" t="s">
        <v>42</v>
      </c>
      <c r="C59" s="163">
        <v>0.20670895600869113</v>
      </c>
      <c r="D59" s="61">
        <v>0.20699999999999999</v>
      </c>
      <c r="E59" s="61">
        <v>0.20799999999999999</v>
      </c>
      <c r="F59" s="61">
        <v>0.20200000000000001</v>
      </c>
      <c r="G59" s="61">
        <v>0.20078948111999259</v>
      </c>
      <c r="H59" s="61">
        <v>0.19586465825367622</v>
      </c>
      <c r="I59" s="61">
        <v>0.19832292584471245</v>
      </c>
      <c r="J59" s="61">
        <v>0.19704139804878543</v>
      </c>
      <c r="K59" s="61">
        <v>0.19099224797868575</v>
      </c>
      <c r="L59" s="61">
        <v>0.19378931454724868</v>
      </c>
      <c r="M59" s="61">
        <v>0.19563394435957501</v>
      </c>
      <c r="N59" s="61">
        <v>0.18718469017240807</v>
      </c>
      <c r="O59" s="61">
        <v>0.19320302052973704</v>
      </c>
      <c r="P59" s="61">
        <v>0.1943736619626909</v>
      </c>
      <c r="Q59" s="61">
        <v>0.20499999999999999</v>
      </c>
      <c r="R59" s="62">
        <v>0.19922772977857001</v>
      </c>
      <c r="S59" s="62">
        <v>0.19899450243251088</v>
      </c>
      <c r="T59" s="62">
        <v>0.192948041099678</v>
      </c>
      <c r="U59" s="62">
        <v>0.20325903515439406</v>
      </c>
      <c r="V59" s="62">
        <v>0.20200000000000001</v>
      </c>
      <c r="W59" s="62">
        <v>0.186</v>
      </c>
      <c r="X59" s="62">
        <v>0.188</v>
      </c>
      <c r="Y59" s="239"/>
      <c r="Z59" s="239"/>
    </row>
    <row r="60" spans="1:34" ht="14.25" customHeight="1">
      <c r="A60" s="68"/>
      <c r="B60" s="66" t="s">
        <v>43</v>
      </c>
      <c r="C60" s="156">
        <v>17241.829771525772</v>
      </c>
      <c r="D60" s="41">
        <v>16793</v>
      </c>
      <c r="E60" s="41">
        <v>16704</v>
      </c>
      <c r="F60" s="41">
        <v>16502</v>
      </c>
      <c r="G60" s="41">
        <v>16418.062238133607</v>
      </c>
      <c r="H60" s="41">
        <v>15882.638526012159</v>
      </c>
      <c r="I60" s="41">
        <v>15444.079992212821</v>
      </c>
      <c r="J60" s="41">
        <v>15685.437575662983</v>
      </c>
      <c r="K60" s="41">
        <v>14981.635857309137</v>
      </c>
      <c r="L60" s="41">
        <v>14676.088655760017</v>
      </c>
      <c r="M60" s="41">
        <v>14672.323747520619</v>
      </c>
      <c r="N60" s="41">
        <v>14076.975417950534</v>
      </c>
      <c r="O60" s="41">
        <v>14288.335436423937</v>
      </c>
      <c r="P60" s="41">
        <v>14028</v>
      </c>
      <c r="Q60" s="41">
        <v>14138</v>
      </c>
      <c r="R60" s="67">
        <v>13423.270844741101</v>
      </c>
      <c r="S60" s="67">
        <v>13440.194272883036</v>
      </c>
      <c r="T60" s="67">
        <v>12648.510290755101</v>
      </c>
      <c r="U60" s="67">
        <v>12655.881342749999</v>
      </c>
      <c r="V60" s="67">
        <v>9608</v>
      </c>
      <c r="W60" s="67">
        <v>9305</v>
      </c>
      <c r="X60" s="67">
        <v>7229</v>
      </c>
      <c r="Y60" s="239"/>
      <c r="Z60" s="239"/>
    </row>
    <row r="61" spans="1:34" s="68" customFormat="1" ht="14.25" customHeight="1">
      <c r="B61" s="69"/>
      <c r="C61" s="70"/>
      <c r="D61" s="70"/>
      <c r="E61" s="70"/>
      <c r="F61" s="70"/>
      <c r="G61" s="70"/>
      <c r="H61" s="70"/>
      <c r="I61" s="70"/>
      <c r="J61" s="70"/>
      <c r="K61" s="70"/>
      <c r="L61" s="70"/>
      <c r="M61" s="70"/>
      <c r="N61" s="70"/>
      <c r="O61" s="70"/>
      <c r="P61" s="70"/>
      <c r="Q61" s="70"/>
      <c r="R61" s="70"/>
      <c r="S61" s="70"/>
    </row>
    <row r="62" spans="1:34" s="68" customFormat="1" ht="14.25" customHeight="1">
      <c r="B62" s="248" t="s">
        <v>140</v>
      </c>
      <c r="C62" s="71"/>
      <c r="D62" s="71"/>
      <c r="E62" s="71"/>
      <c r="F62" s="71"/>
      <c r="G62" s="71"/>
      <c r="H62" s="71"/>
      <c r="I62" s="71"/>
      <c r="J62" s="71"/>
      <c r="K62" s="71"/>
      <c r="L62" s="71"/>
      <c r="M62" s="71"/>
      <c r="N62" s="71"/>
      <c r="O62" s="71"/>
      <c r="P62" s="71"/>
      <c r="Q62" s="71"/>
      <c r="R62" s="71"/>
      <c r="S62" s="71"/>
    </row>
    <row r="63" spans="1:34" s="68" customFormat="1" ht="14.25" customHeight="1">
      <c r="B63" s="248" t="s">
        <v>141</v>
      </c>
      <c r="C63" s="71"/>
      <c r="D63" s="71"/>
      <c r="E63" s="71"/>
      <c r="F63" s="71"/>
      <c r="G63" s="71"/>
      <c r="H63" s="71"/>
      <c r="I63" s="71"/>
      <c r="J63" s="71"/>
      <c r="K63" s="71"/>
      <c r="L63" s="71"/>
      <c r="M63" s="71"/>
      <c r="N63" s="71"/>
      <c r="O63" s="71"/>
      <c r="P63" s="71"/>
      <c r="Q63" s="71"/>
      <c r="R63" s="71"/>
      <c r="S63" s="71"/>
    </row>
    <row r="64" spans="1:34" s="68" customFormat="1" ht="14.25" customHeight="1">
      <c r="B64" s="248" t="s">
        <v>142</v>
      </c>
      <c r="C64" s="70"/>
      <c r="D64" s="70"/>
      <c r="E64" s="70"/>
      <c r="F64" s="70"/>
      <c r="G64" s="70"/>
      <c r="H64" s="70"/>
      <c r="I64" s="70"/>
      <c r="J64" s="70"/>
      <c r="K64" s="70"/>
      <c r="L64" s="70"/>
      <c r="M64" s="70"/>
      <c r="N64" s="70"/>
      <c r="O64" s="70"/>
      <c r="P64" s="70"/>
      <c r="Q64" s="70"/>
      <c r="R64" s="70"/>
      <c r="S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V55"/>
  <sheetViews>
    <sheetView showGridLines="0" zoomScale="90" zoomScaleNormal="90" workbookViewId="0">
      <pane ySplit="2" topLeftCell="A3" activePane="bottomLeft" state="frozen"/>
      <selection pane="bottomLeft" activeCell="A83" sqref="A83"/>
    </sheetView>
  </sheetViews>
  <sheetFormatPr baseColWidth="10" defaultColWidth="11.42578125" defaultRowHeight="12.75"/>
  <cols>
    <col min="1" max="1" width="5" customWidth="1"/>
    <col min="2" max="2" width="48.85546875" bestFit="1" customWidth="1"/>
    <col min="3" max="3" width="10.28515625" bestFit="1" customWidth="1"/>
    <col min="4" max="4" width="12.140625" bestFit="1" customWidth="1"/>
    <col min="5" max="5" width="12" bestFit="1" customWidth="1"/>
  </cols>
  <sheetData>
    <row r="2" spans="1:22" ht="15">
      <c r="A2" s="20" t="s">
        <v>491</v>
      </c>
      <c r="B2" s="21"/>
    </row>
    <row r="5" spans="1:22" ht="15">
      <c r="B5" s="457"/>
      <c r="C5" s="452" t="s">
        <v>289</v>
      </c>
      <c r="D5" s="453" t="s">
        <v>290</v>
      </c>
      <c r="E5" s="453" t="s">
        <v>287</v>
      </c>
      <c r="F5" s="406" t="s">
        <v>288</v>
      </c>
      <c r="G5" s="406" t="s">
        <v>289</v>
      </c>
      <c r="H5" s="406" t="s">
        <v>290</v>
      </c>
      <c r="I5" s="406" t="s">
        <v>287</v>
      </c>
      <c r="J5" s="406" t="s">
        <v>288</v>
      </c>
      <c r="K5" s="406" t="s">
        <v>289</v>
      </c>
      <c r="L5" s="406" t="s">
        <v>290</v>
      </c>
      <c r="M5" s="406" t="s">
        <v>287</v>
      </c>
      <c r="N5" s="406" t="s">
        <v>288</v>
      </c>
      <c r="O5" s="406" t="s">
        <v>289</v>
      </c>
      <c r="P5" s="406" t="s">
        <v>290</v>
      </c>
    </row>
    <row r="6" spans="1:22" ht="15">
      <c r="B6" s="443" t="s">
        <v>97</v>
      </c>
      <c r="C6" s="454">
        <v>2021</v>
      </c>
      <c r="D6" s="455">
        <v>2021</v>
      </c>
      <c r="E6" s="455">
        <v>2020</v>
      </c>
      <c r="F6" s="407">
        <v>2020</v>
      </c>
      <c r="G6" s="407">
        <v>2020</v>
      </c>
      <c r="H6" s="407">
        <v>2020</v>
      </c>
      <c r="I6" s="407">
        <v>2019</v>
      </c>
      <c r="J6" s="407">
        <v>2019</v>
      </c>
      <c r="K6" s="407">
        <v>2019</v>
      </c>
      <c r="L6" s="407">
        <v>2019</v>
      </c>
      <c r="M6" s="407">
        <v>2018</v>
      </c>
      <c r="N6" s="407">
        <v>2018</v>
      </c>
      <c r="O6" s="407">
        <v>2018</v>
      </c>
      <c r="P6" s="407">
        <v>2018</v>
      </c>
    </row>
    <row r="7" spans="1:22" ht="15">
      <c r="B7" s="451"/>
      <c r="C7" s="446"/>
      <c r="D7" s="440"/>
      <c r="E7" s="440"/>
      <c r="F7" s="440"/>
      <c r="G7" s="440"/>
      <c r="H7" s="440"/>
      <c r="I7" s="440"/>
      <c r="J7" s="440"/>
      <c r="K7" s="440"/>
      <c r="L7" s="440"/>
      <c r="M7" s="440"/>
      <c r="N7" s="440"/>
      <c r="O7" s="440"/>
      <c r="P7" s="440"/>
    </row>
    <row r="8" spans="1:22" ht="15">
      <c r="B8" s="456" t="s">
        <v>514</v>
      </c>
      <c r="C8" s="446"/>
      <c r="D8" s="440"/>
      <c r="E8" s="440"/>
      <c r="F8" s="440"/>
      <c r="G8" s="440"/>
      <c r="H8" s="440"/>
      <c r="I8" s="440"/>
      <c r="J8" s="440"/>
      <c r="K8" s="440"/>
      <c r="L8" s="440"/>
      <c r="M8" s="440"/>
      <c r="N8" s="440"/>
      <c r="O8" s="440"/>
      <c r="P8" s="440"/>
    </row>
    <row r="9" spans="1:22">
      <c r="B9" s="458" t="s">
        <v>416</v>
      </c>
      <c r="C9" s="459">
        <v>248.96066387999991</v>
      </c>
      <c r="D9" s="460">
        <v>587.72658000000001</v>
      </c>
      <c r="E9" s="460">
        <v>682.74738000000002</v>
      </c>
      <c r="F9" s="460">
        <v>673.44931999999994</v>
      </c>
      <c r="G9" s="460">
        <v>375.37632889999998</v>
      </c>
      <c r="H9" s="460">
        <v>1697.8275003900001</v>
      </c>
      <c r="I9" s="460">
        <v>1324.7398635</v>
      </c>
      <c r="J9" s="460">
        <v>1279.0373320000001</v>
      </c>
      <c r="K9" s="460">
        <v>778.82646299999999</v>
      </c>
      <c r="L9" s="460">
        <v>359.99559900000003</v>
      </c>
      <c r="M9" s="460">
        <v>1878.3081159999999</v>
      </c>
      <c r="N9" s="460">
        <v>288.48948899999999</v>
      </c>
      <c r="O9" s="460">
        <v>639.42028400000004</v>
      </c>
      <c r="P9" s="460">
        <v>663.98488199999997</v>
      </c>
      <c r="Q9" s="395"/>
      <c r="R9" s="395"/>
      <c r="S9" s="395"/>
      <c r="T9" s="395"/>
      <c r="U9" s="395"/>
      <c r="V9" s="395"/>
    </row>
    <row r="10" spans="1:22">
      <c r="B10" s="458" t="s">
        <v>417</v>
      </c>
      <c r="C10" s="459">
        <v>3120.6357694499998</v>
      </c>
      <c r="D10" s="460">
        <v>3507.87014</v>
      </c>
      <c r="E10" s="460">
        <v>1576.16661</v>
      </c>
      <c r="F10" s="460">
        <v>3320.9339100000002</v>
      </c>
      <c r="G10" s="460">
        <v>2061.2227146700002</v>
      </c>
      <c r="H10" s="460">
        <v>4170.6037621100004</v>
      </c>
      <c r="I10" s="460">
        <v>1199.06413275</v>
      </c>
      <c r="J10" s="460">
        <v>4728.5451089999997</v>
      </c>
      <c r="K10" s="460">
        <v>2886.9467970000001</v>
      </c>
      <c r="L10" s="460">
        <v>1020.299053</v>
      </c>
      <c r="M10" s="460">
        <v>1022.7689820000001</v>
      </c>
      <c r="N10" s="460">
        <v>2057.0973829999998</v>
      </c>
      <c r="O10" s="460">
        <v>4300.791886</v>
      </c>
      <c r="P10" s="460">
        <v>2447.8061389999998</v>
      </c>
      <c r="Q10" s="395"/>
      <c r="R10" s="395"/>
      <c r="S10" s="395"/>
      <c r="T10" s="395"/>
      <c r="U10" s="395"/>
      <c r="V10" s="395"/>
    </row>
    <row r="11" spans="1:22">
      <c r="B11" s="458" t="s">
        <v>418</v>
      </c>
      <c r="C11" s="459">
        <v>117685.73577325998</v>
      </c>
      <c r="D11" s="460">
        <v>113581.26602</v>
      </c>
      <c r="E11" s="460">
        <v>112884.74255</v>
      </c>
      <c r="F11" s="460">
        <v>113048.86279</v>
      </c>
      <c r="G11" s="460">
        <v>111828.26380571</v>
      </c>
      <c r="H11" s="460">
        <v>108363.80187286</v>
      </c>
      <c r="I11" s="460">
        <v>106718.07852533</v>
      </c>
      <c r="J11" s="460">
        <v>103744.13766399999</v>
      </c>
      <c r="K11" s="460">
        <v>101377.882492</v>
      </c>
      <c r="L11" s="460">
        <v>98451.214464000004</v>
      </c>
      <c r="M11" s="460">
        <v>98605.716025999995</v>
      </c>
      <c r="N11" s="460">
        <v>97896.155442000003</v>
      </c>
      <c r="O11" s="460">
        <v>95680.740309000001</v>
      </c>
      <c r="P11" s="460">
        <v>92449.979246000003</v>
      </c>
      <c r="Q11" s="395"/>
      <c r="R11" s="395"/>
      <c r="S11" s="395"/>
      <c r="T11" s="395"/>
      <c r="U11" s="395"/>
      <c r="V11" s="395"/>
    </row>
    <row r="12" spans="1:22">
      <c r="B12" s="458" t="s">
        <v>419</v>
      </c>
      <c r="C12" s="459">
        <v>24946.220340430009</v>
      </c>
      <c r="D12" s="460">
        <v>23424.765340000002</v>
      </c>
      <c r="E12" s="460">
        <v>20999.177110000001</v>
      </c>
      <c r="F12" s="460">
        <v>20786.05458</v>
      </c>
      <c r="G12" s="460">
        <v>21170.802316739999</v>
      </c>
      <c r="H12" s="460">
        <v>17874.283924110001</v>
      </c>
      <c r="I12" s="460">
        <v>17252.349264619999</v>
      </c>
      <c r="J12" s="460">
        <v>18050.495138999999</v>
      </c>
      <c r="K12" s="460">
        <v>17589.802342999999</v>
      </c>
      <c r="L12" s="460">
        <v>17689.053485</v>
      </c>
      <c r="M12" s="460">
        <v>14445.539526</v>
      </c>
      <c r="N12" s="460">
        <v>14242.267663000001</v>
      </c>
      <c r="O12" s="460">
        <v>11912.862777</v>
      </c>
      <c r="P12" s="460">
        <v>11658.575022000001</v>
      </c>
      <c r="Q12" s="395"/>
      <c r="R12" s="395"/>
      <c r="S12" s="395"/>
      <c r="T12" s="395"/>
      <c r="U12" s="395"/>
      <c r="V12" s="395"/>
    </row>
    <row r="13" spans="1:22">
      <c r="B13" s="458" t="s">
        <v>420</v>
      </c>
      <c r="C13" s="459">
        <v>1398.1160280100012</v>
      </c>
      <c r="D13" s="460">
        <v>1237.1099999999999</v>
      </c>
      <c r="E13" s="460">
        <v>2212.31691</v>
      </c>
      <c r="F13" s="460">
        <v>3316.3608300000001</v>
      </c>
      <c r="G13" s="460">
        <v>3074.5962567900001</v>
      </c>
      <c r="H13" s="460">
        <v>3946.3133910000001</v>
      </c>
      <c r="I13" s="460">
        <v>878.28834528999005</v>
      </c>
      <c r="J13" s="460">
        <v>1200.6310129999999</v>
      </c>
      <c r="K13" s="460">
        <v>781.96812</v>
      </c>
      <c r="L13" s="460">
        <v>645.60446100000001</v>
      </c>
      <c r="M13" s="460">
        <f>819.055226-0.1</f>
        <v>818.95522599999993</v>
      </c>
      <c r="N13" s="460">
        <v>376.79364500000003</v>
      </c>
      <c r="O13" s="460">
        <v>436.098163</v>
      </c>
      <c r="P13" s="460">
        <v>454.59990399999998</v>
      </c>
      <c r="Q13" s="395"/>
      <c r="R13" s="395"/>
      <c r="S13" s="395"/>
      <c r="T13" s="395"/>
      <c r="U13" s="395"/>
      <c r="V13" s="395"/>
    </row>
    <row r="14" spans="1:22">
      <c r="B14" s="458" t="s">
        <v>488</v>
      </c>
      <c r="C14" s="459">
        <v>686.4992229500001</v>
      </c>
      <c r="D14" s="460">
        <v>635.65778999999998</v>
      </c>
      <c r="E14" s="460">
        <v>616.37981000000002</v>
      </c>
      <c r="F14" s="460">
        <v>654.93573000000004</v>
      </c>
      <c r="G14" s="460">
        <v>690.30167682000001</v>
      </c>
      <c r="H14" s="460">
        <v>660.42835894999996</v>
      </c>
      <c r="I14" s="460">
        <v>674.76843206000001</v>
      </c>
      <c r="J14" s="460">
        <v>643.03755799999999</v>
      </c>
      <c r="K14" s="460">
        <v>625.12832400000002</v>
      </c>
      <c r="L14" s="460">
        <v>616.07110599999999</v>
      </c>
      <c r="M14" s="460">
        <v>593.61375299999997</v>
      </c>
      <c r="N14" s="460">
        <v>606.26696800000002</v>
      </c>
      <c r="O14" s="460">
        <v>554.11826399999995</v>
      </c>
      <c r="P14" s="460">
        <v>486.660977</v>
      </c>
      <c r="Q14" s="395"/>
      <c r="R14" s="395"/>
      <c r="S14" s="395"/>
      <c r="T14" s="395"/>
      <c r="U14" s="395"/>
      <c r="V14" s="395"/>
    </row>
    <row r="15" spans="1:22">
      <c r="B15" s="458" t="s">
        <v>421</v>
      </c>
      <c r="C15" s="459">
        <v>5329.7149719000008</v>
      </c>
      <c r="D15" s="460">
        <v>5345.0649299999995</v>
      </c>
      <c r="E15" s="460">
        <v>5325.4157699999996</v>
      </c>
      <c r="F15" s="460">
        <v>5229.4253900000003</v>
      </c>
      <c r="G15" s="460">
        <v>5087.21391227</v>
      </c>
      <c r="H15" s="460">
        <v>4963.5195766099996</v>
      </c>
      <c r="I15" s="460">
        <v>4870.3173606</v>
      </c>
      <c r="J15" s="460">
        <v>4832.9879629999996</v>
      </c>
      <c r="K15" s="460">
        <v>4793.8684910000002</v>
      </c>
      <c r="L15" s="460">
        <v>4326.8841089999996</v>
      </c>
      <c r="M15" s="460">
        <v>4123.5721299999996</v>
      </c>
      <c r="N15" s="460">
        <v>3998.4704230000002</v>
      </c>
      <c r="O15" s="460">
        <v>3912.1149999999998</v>
      </c>
      <c r="P15" s="460">
        <v>3957.1392110000002</v>
      </c>
      <c r="Q15" s="395"/>
      <c r="R15" s="395"/>
      <c r="S15" s="395"/>
      <c r="T15" s="395"/>
      <c r="U15" s="395"/>
      <c r="V15" s="395"/>
    </row>
    <row r="16" spans="1:22">
      <c r="B16" s="458" t="s">
        <v>422</v>
      </c>
      <c r="C16" s="459">
        <v>0</v>
      </c>
      <c r="D16" s="460">
        <v>0</v>
      </c>
      <c r="E16" s="460">
        <v>0</v>
      </c>
      <c r="F16" s="460">
        <v>0</v>
      </c>
      <c r="G16" s="460">
        <v>0</v>
      </c>
      <c r="H16" s="460">
        <v>0</v>
      </c>
      <c r="I16" s="460">
        <v>0</v>
      </c>
      <c r="J16" s="460">
        <v>0</v>
      </c>
      <c r="K16" s="460">
        <v>0</v>
      </c>
      <c r="L16" s="460">
        <v>0</v>
      </c>
      <c r="M16" s="460">
        <v>0</v>
      </c>
      <c r="N16" s="460">
        <v>0</v>
      </c>
      <c r="O16" s="460">
        <v>0</v>
      </c>
      <c r="P16" s="460">
        <v>0</v>
      </c>
      <c r="Q16" s="395"/>
      <c r="R16" s="395"/>
      <c r="S16" s="395"/>
      <c r="T16" s="395"/>
      <c r="U16" s="395"/>
      <c r="V16" s="395"/>
    </row>
    <row r="17" spans="2:22">
      <c r="B17" s="458" t="s">
        <v>423</v>
      </c>
      <c r="C17" s="459">
        <v>414.40283357000004</v>
      </c>
      <c r="D17" s="460">
        <v>410.80718000000002</v>
      </c>
      <c r="E17" s="460">
        <v>410.13628999999997</v>
      </c>
      <c r="F17" s="460">
        <v>407.98964999999998</v>
      </c>
      <c r="G17" s="460">
        <v>409.60346866999998</v>
      </c>
      <c r="H17" s="460">
        <v>405.64959035999999</v>
      </c>
      <c r="I17" s="460">
        <v>406</v>
      </c>
      <c r="J17" s="460">
        <v>405.31681099999997</v>
      </c>
      <c r="K17" s="460">
        <v>409.44604733999995</v>
      </c>
      <c r="L17" s="460">
        <v>412</v>
      </c>
      <c r="M17" s="460">
        <v>399.57269600000001</v>
      </c>
      <c r="N17" s="460">
        <v>402.280035</v>
      </c>
      <c r="O17" s="460">
        <v>406.37406099999998</v>
      </c>
      <c r="P17" s="460">
        <v>366.96337999999997</v>
      </c>
      <c r="Q17" s="395"/>
      <c r="R17" s="395"/>
      <c r="S17" s="395"/>
      <c r="T17" s="395"/>
      <c r="U17" s="395"/>
      <c r="V17" s="395"/>
    </row>
    <row r="18" spans="2:22">
      <c r="B18" s="458" t="s">
        <v>424</v>
      </c>
      <c r="C18" s="459">
        <v>602.22279178000008</v>
      </c>
      <c r="D18" s="460">
        <v>606.55493000000001</v>
      </c>
      <c r="E18" s="460">
        <v>620.43528000000003</v>
      </c>
      <c r="F18" s="460">
        <f>468.15401+155</f>
        <v>623.15400999999997</v>
      </c>
      <c r="G18" s="460">
        <f>480.99595277+159</f>
        <v>639.99595277000003</v>
      </c>
      <c r="H18" s="460">
        <v>664.00329307000004</v>
      </c>
      <c r="I18" s="460">
        <f>503+169</f>
        <v>672</v>
      </c>
      <c r="J18" s="460">
        <f>520.75414475+156</f>
        <v>676.75414475000002</v>
      </c>
      <c r="K18" s="460">
        <f>525.45781065+161</f>
        <v>686.45781065000006</v>
      </c>
      <c r="L18" s="460">
        <v>686.44888800000001</v>
      </c>
      <c r="M18" s="460">
        <v>543.07394399999998</v>
      </c>
      <c r="N18" s="460">
        <v>544.13642800000002</v>
      </c>
      <c r="O18" s="460">
        <v>553.48247800000001</v>
      </c>
      <c r="P18" s="460">
        <v>564.32797700000003</v>
      </c>
      <c r="Q18" s="395"/>
      <c r="R18" s="395"/>
      <c r="S18" s="395"/>
      <c r="T18" s="395"/>
      <c r="U18" s="395"/>
      <c r="V18" s="395"/>
    </row>
    <row r="19" spans="2:22">
      <c r="B19" s="461" t="s">
        <v>425</v>
      </c>
      <c r="C19" s="462">
        <v>810.3577922701819</v>
      </c>
      <c r="D19" s="463">
        <v>781.31907000000001</v>
      </c>
      <c r="E19" s="463">
        <v>746.28430000000003</v>
      </c>
      <c r="F19" s="463">
        <v>836.95840999999996</v>
      </c>
      <c r="G19" s="463">
        <v>1859.5769371699998</v>
      </c>
      <c r="H19" s="463">
        <v>839.25942966000002</v>
      </c>
      <c r="I19" s="463">
        <v>787.47939578018998</v>
      </c>
      <c r="J19" s="463">
        <v>1007.176503</v>
      </c>
      <c r="K19" s="463">
        <v>924.09148200000004</v>
      </c>
      <c r="L19" s="463">
        <v>2084.4004660000001</v>
      </c>
      <c r="M19" s="463">
        <v>1041.1232949999999</v>
      </c>
      <c r="N19" s="463">
        <v>906.807051</v>
      </c>
      <c r="O19" s="463">
        <v>1195.8692679999999</v>
      </c>
      <c r="P19" s="463">
        <v>1038.1709980000001</v>
      </c>
      <c r="Q19" s="395"/>
      <c r="R19" s="395"/>
      <c r="S19" s="395"/>
      <c r="T19" s="395"/>
      <c r="U19" s="395"/>
      <c r="V19" s="395"/>
    </row>
    <row r="20" spans="2:22" ht="15">
      <c r="B20" s="444" t="s">
        <v>1</v>
      </c>
      <c r="C20" s="447">
        <f>SUM(C9:C19)</f>
        <v>155242.86618750019</v>
      </c>
      <c r="D20" s="441">
        <f>SUM(D9:D19)</f>
        <v>150118.14197999999</v>
      </c>
      <c r="E20" s="441">
        <f t="shared" ref="E20:P20" si="0">SUM(E9:E19)</f>
        <v>146073.80200999998</v>
      </c>
      <c r="F20" s="441">
        <f t="shared" si="0"/>
        <v>148898.12461999999</v>
      </c>
      <c r="G20" s="441">
        <f t="shared" si="0"/>
        <v>147196.95337050999</v>
      </c>
      <c r="H20" s="441">
        <f t="shared" si="0"/>
        <v>143585.69069912005</v>
      </c>
      <c r="I20" s="441">
        <f t="shared" si="0"/>
        <v>134783.08531993016</v>
      </c>
      <c r="J20" s="441">
        <f t="shared" si="0"/>
        <v>136568.11923675</v>
      </c>
      <c r="K20" s="441">
        <f t="shared" si="0"/>
        <v>130854.41836999002</v>
      </c>
      <c r="L20" s="441">
        <f t="shared" si="0"/>
        <v>126291.97163100001</v>
      </c>
      <c r="M20" s="441">
        <f t="shared" si="0"/>
        <v>123472.243694</v>
      </c>
      <c r="N20" s="441">
        <f t="shared" si="0"/>
        <v>121318.76452700001</v>
      </c>
      <c r="O20" s="441">
        <f t="shared" si="0"/>
        <v>119591.87249000001</v>
      </c>
      <c r="P20" s="441">
        <f t="shared" si="0"/>
        <v>114088.20773600001</v>
      </c>
      <c r="Q20" s="395"/>
      <c r="R20" s="395"/>
      <c r="S20" s="395"/>
      <c r="T20" s="395"/>
      <c r="U20" s="395"/>
      <c r="V20" s="395"/>
    </row>
    <row r="21" spans="2:22">
      <c r="B21" s="458"/>
      <c r="C21" s="459"/>
      <c r="D21" s="460"/>
      <c r="E21" s="460"/>
      <c r="F21" s="460"/>
      <c r="G21" s="460"/>
      <c r="H21" s="460"/>
      <c r="I21" s="460"/>
      <c r="J21" s="460"/>
      <c r="K21" s="460"/>
      <c r="L21" s="460"/>
      <c r="M21" s="460"/>
      <c r="N21" s="460"/>
      <c r="O21" s="460"/>
      <c r="P21" s="460"/>
      <c r="Q21" s="395"/>
      <c r="R21" s="395"/>
      <c r="S21" s="395"/>
      <c r="T21" s="395"/>
      <c r="U21" s="395"/>
      <c r="V21" s="395"/>
    </row>
    <row r="22" spans="2:22">
      <c r="B22" s="464" t="s">
        <v>515</v>
      </c>
      <c r="C22" s="459"/>
      <c r="D22" s="460"/>
      <c r="E22" s="460"/>
      <c r="F22" s="460"/>
      <c r="G22" s="460"/>
      <c r="H22" s="460"/>
      <c r="I22" s="460"/>
      <c r="J22" s="460"/>
      <c r="K22" s="460"/>
      <c r="L22" s="460"/>
      <c r="M22" s="460"/>
      <c r="N22" s="460"/>
      <c r="O22" s="460"/>
      <c r="P22" s="460"/>
      <c r="Q22" s="395"/>
      <c r="R22" s="395"/>
      <c r="S22" s="395"/>
      <c r="T22" s="395"/>
      <c r="U22" s="395"/>
      <c r="V22" s="395"/>
    </row>
    <row r="23" spans="2:22">
      <c r="B23" s="458" t="s">
        <v>426</v>
      </c>
      <c r="C23" s="459">
        <v>4068.6670678599999</v>
      </c>
      <c r="D23" s="460">
        <v>4952.7369699999999</v>
      </c>
      <c r="E23" s="460">
        <v>5090.2755100000004</v>
      </c>
      <c r="F23" s="460">
        <v>5505.7842099999998</v>
      </c>
      <c r="G23" s="460">
        <v>5745.9181593100002</v>
      </c>
      <c r="H23" s="460">
        <v>6429.07227943</v>
      </c>
      <c r="I23" s="460">
        <v>3650.2140058600003</v>
      </c>
      <c r="J23" s="460">
        <v>3897.2793259999999</v>
      </c>
      <c r="K23" s="460">
        <v>3656.1168360000001</v>
      </c>
      <c r="L23" s="460">
        <v>3624.9766749999999</v>
      </c>
      <c r="M23" s="460">
        <v>2635.6622080000002</v>
      </c>
      <c r="N23" s="460">
        <v>2190.558258</v>
      </c>
      <c r="O23" s="460">
        <v>2517.3967539999999</v>
      </c>
      <c r="P23" s="460">
        <v>2170.9614139999999</v>
      </c>
      <c r="Q23" s="395"/>
      <c r="R23" s="395"/>
      <c r="S23" s="395"/>
      <c r="T23" s="395"/>
      <c r="U23" s="395"/>
      <c r="V23" s="395"/>
    </row>
    <row r="24" spans="2:22">
      <c r="B24" s="458" t="s">
        <v>148</v>
      </c>
      <c r="C24" s="459">
        <v>92550.731135340044</v>
      </c>
      <c r="D24" s="460">
        <v>87476.178799999994</v>
      </c>
      <c r="E24" s="460">
        <v>85613.011799999993</v>
      </c>
      <c r="F24" s="460">
        <v>85495.609540000005</v>
      </c>
      <c r="G24" s="460">
        <v>85481.013749749996</v>
      </c>
      <c r="H24" s="460">
        <v>79901.205413660005</v>
      </c>
      <c r="I24" s="460">
        <v>78493.732629149992</v>
      </c>
      <c r="J24" s="460">
        <v>76866.417998000004</v>
      </c>
      <c r="K24" s="460">
        <v>77352.269637999998</v>
      </c>
      <c r="L24" s="460">
        <v>72377.261538000006</v>
      </c>
      <c r="M24" s="460">
        <f>71496.704425+0.4</f>
        <v>71497.104424999998</v>
      </c>
      <c r="N24" s="460">
        <v>70251.127166999999</v>
      </c>
      <c r="O24" s="460">
        <v>70644.658796999996</v>
      </c>
      <c r="P24" s="460">
        <v>66109.582498999996</v>
      </c>
      <c r="Q24" s="395"/>
      <c r="R24" s="395"/>
      <c r="S24" s="395"/>
      <c r="T24" s="395"/>
      <c r="U24" s="395"/>
      <c r="V24" s="395"/>
    </row>
    <row r="25" spans="2:22">
      <c r="B25" s="458" t="s">
        <v>427</v>
      </c>
      <c r="C25" s="459">
        <v>37359.128945609998</v>
      </c>
      <c r="D25" s="460">
        <v>36849.211660000001</v>
      </c>
      <c r="E25" s="460">
        <v>34952.186280000002</v>
      </c>
      <c r="F25" s="460">
        <v>37872.034460000003</v>
      </c>
      <c r="G25" s="460">
        <v>36373.49416591</v>
      </c>
      <c r="H25" s="460">
        <v>37624.847766879997</v>
      </c>
      <c r="I25" s="460">
        <v>33732.489345189999</v>
      </c>
      <c r="J25" s="460">
        <v>35460.326316999999</v>
      </c>
      <c r="K25" s="460">
        <v>31638.376914</v>
      </c>
      <c r="L25" s="460">
        <v>32128.172106000002</v>
      </c>
      <c r="M25" s="460">
        <v>31984.282126999999</v>
      </c>
      <c r="N25" s="460">
        <v>32357.857035000001</v>
      </c>
      <c r="O25" s="460">
        <v>29956.974822</v>
      </c>
      <c r="P25" s="460">
        <v>29273.633760000001</v>
      </c>
      <c r="Q25" s="395"/>
      <c r="R25" s="395"/>
      <c r="S25" s="395"/>
      <c r="T25" s="395"/>
      <c r="U25" s="395"/>
      <c r="V25" s="395"/>
    </row>
    <row r="26" spans="2:22">
      <c r="B26" s="458" t="s">
        <v>420</v>
      </c>
      <c r="C26" s="459">
        <v>615.60026498000002</v>
      </c>
      <c r="D26" s="460">
        <v>695.09617000000003</v>
      </c>
      <c r="E26" s="460">
        <v>697.08542</v>
      </c>
      <c r="F26" s="460">
        <v>826.69574999999998</v>
      </c>
      <c r="G26" s="460">
        <v>799.58827765000001</v>
      </c>
      <c r="H26" s="460">
        <v>804.41813215000002</v>
      </c>
      <c r="I26" s="460">
        <v>372.70519100000001</v>
      </c>
      <c r="J26" s="460">
        <v>352.91125199999999</v>
      </c>
      <c r="K26" s="460">
        <v>278.15249</v>
      </c>
      <c r="L26" s="460">
        <v>303.39644900000002</v>
      </c>
      <c r="M26" s="460">
        <v>353.83291300000002</v>
      </c>
      <c r="N26" s="460">
        <v>442.48053900000002</v>
      </c>
      <c r="O26" s="460">
        <v>362.07805999999999</v>
      </c>
      <c r="P26" s="460">
        <v>328.908953</v>
      </c>
      <c r="Q26" s="395"/>
      <c r="R26" s="395"/>
      <c r="S26" s="395"/>
      <c r="T26" s="395"/>
      <c r="U26" s="395"/>
      <c r="V26" s="395"/>
    </row>
    <row r="27" spans="2:22">
      <c r="B27" s="458" t="s">
        <v>428</v>
      </c>
      <c r="C27" s="459">
        <v>226.69516025999999</v>
      </c>
      <c r="D27" s="460">
        <v>126.38663</v>
      </c>
      <c r="E27" s="460">
        <v>127.90208000000001</v>
      </c>
      <c r="F27" s="460">
        <v>179.02213</v>
      </c>
      <c r="G27" s="460">
        <v>74.076929300000018</v>
      </c>
      <c r="H27" s="460">
        <v>167.77968430000001</v>
      </c>
      <c r="I27" s="460">
        <v>376.41946200000001</v>
      </c>
      <c r="J27" s="460">
        <v>274.30494199999998</v>
      </c>
      <c r="K27" s="460">
        <v>163.15605521000001</v>
      </c>
      <c r="L27" s="460">
        <v>74.294236999999995</v>
      </c>
      <c r="M27" s="460">
        <v>248.25874899999999</v>
      </c>
      <c r="N27" s="460">
        <v>395.85076500000002</v>
      </c>
      <c r="O27" s="460">
        <v>294.87136200000003</v>
      </c>
      <c r="P27" s="460">
        <v>245.82747999999998</v>
      </c>
      <c r="Q27" s="395"/>
      <c r="R27" s="395"/>
      <c r="S27" s="395"/>
      <c r="T27" s="395"/>
      <c r="U27" s="395"/>
      <c r="V27" s="395"/>
    </row>
    <row r="28" spans="2:22">
      <c r="B28" s="458" t="s">
        <v>429</v>
      </c>
      <c r="C28" s="459">
        <v>415.90034695000003</v>
      </c>
      <c r="D28" s="460">
        <v>417.88866000000002</v>
      </c>
      <c r="E28" s="460">
        <v>417.17140000000001</v>
      </c>
      <c r="F28" s="460">
        <v>212.74708999999999</v>
      </c>
      <c r="G28" s="460">
        <v>206.71124674999999</v>
      </c>
      <c r="H28" s="460">
        <v>184.70904582</v>
      </c>
      <c r="I28" s="460">
        <v>212.24971600000001</v>
      </c>
      <c r="J28" s="460">
        <v>210.11859699999999</v>
      </c>
      <c r="K28" s="460">
        <v>205.58998</v>
      </c>
      <c r="L28" s="460">
        <v>194.456053</v>
      </c>
      <c r="M28" s="460">
        <v>201.742031</v>
      </c>
      <c r="N28" s="460">
        <v>136.36432400000001</v>
      </c>
      <c r="O28" s="460">
        <v>137.08743799999999</v>
      </c>
      <c r="P28" s="460">
        <v>129.56702100000001</v>
      </c>
      <c r="Q28" s="395"/>
      <c r="R28" s="395"/>
      <c r="S28" s="395"/>
      <c r="T28" s="395"/>
      <c r="U28" s="395"/>
      <c r="V28" s="395"/>
    </row>
    <row r="29" spans="2:22">
      <c r="B29" s="458" t="s">
        <v>430</v>
      </c>
      <c r="C29" s="459">
        <v>913.15664681002409</v>
      </c>
      <c r="D29" s="460">
        <v>994.44187999999997</v>
      </c>
      <c r="E29" s="460">
        <v>739.34384</v>
      </c>
      <c r="F29" s="460">
        <v>849.76189999999997</v>
      </c>
      <c r="G29" s="460">
        <v>970.71121672999993</v>
      </c>
      <c r="H29" s="460">
        <v>1666.66190977</v>
      </c>
      <c r="I29" s="460">
        <v>739.32284000000004</v>
      </c>
      <c r="J29" s="460">
        <v>2297.0734750000001</v>
      </c>
      <c r="K29" s="460">
        <v>1369.066593</v>
      </c>
      <c r="L29" s="460">
        <v>1882.3458179999998</v>
      </c>
      <c r="M29" s="460">
        <v>687.15079999999989</v>
      </c>
      <c r="N29" s="460">
        <v>669.55545600000005</v>
      </c>
      <c r="O29" s="460">
        <v>856.31318399999998</v>
      </c>
      <c r="P29" s="460">
        <v>1319.8271360000001</v>
      </c>
      <c r="Q29" s="395"/>
      <c r="R29" s="395"/>
      <c r="S29" s="395"/>
      <c r="T29" s="395"/>
      <c r="U29" s="395"/>
      <c r="V29" s="395"/>
    </row>
    <row r="30" spans="2:22">
      <c r="B30" s="461" t="s">
        <v>431</v>
      </c>
      <c r="C30" s="462">
        <v>1301.5666111099999</v>
      </c>
      <c r="D30" s="463">
        <v>1301.78611</v>
      </c>
      <c r="E30" s="463">
        <v>1301.8157200000001</v>
      </c>
      <c r="F30" s="463">
        <v>1301.6005299999999</v>
      </c>
      <c r="G30" s="463">
        <v>1301.5819444399999</v>
      </c>
      <c r="H30" s="463">
        <v>1303.02688889</v>
      </c>
      <c r="I30" s="463">
        <v>1303.2181109999999</v>
      </c>
      <c r="J30" s="463">
        <v>1428.063709</v>
      </c>
      <c r="K30" s="463">
        <v>1102.5319999999999</v>
      </c>
      <c r="L30" s="463">
        <v>1102.2795000000001</v>
      </c>
      <c r="M30" s="463">
        <v>1102.3983880000001</v>
      </c>
      <c r="N30" s="463">
        <v>1102.177944</v>
      </c>
      <c r="O30" s="463">
        <v>1402.6669999999999</v>
      </c>
      <c r="P30" s="463">
        <v>1502.8569230000001</v>
      </c>
      <c r="Q30" s="395"/>
      <c r="R30" s="395"/>
      <c r="S30" s="395"/>
      <c r="T30" s="395"/>
      <c r="U30" s="395"/>
      <c r="V30" s="395"/>
    </row>
    <row r="31" spans="2:22" ht="15">
      <c r="B31" s="445" t="s">
        <v>432</v>
      </c>
      <c r="C31" s="448">
        <f>SUM(C23:C30)</f>
        <v>137451.44617892004</v>
      </c>
      <c r="D31" s="442">
        <f>SUM(D23:D30)</f>
        <v>132813.72687999997</v>
      </c>
      <c r="E31" s="442">
        <f t="shared" ref="E31:P31" si="1">SUM(E23:E30)</f>
        <v>128938.79205000002</v>
      </c>
      <c r="F31" s="442">
        <f t="shared" si="1"/>
        <v>132243.25561000002</v>
      </c>
      <c r="G31" s="442">
        <f t="shared" si="1"/>
        <v>130953.09568983997</v>
      </c>
      <c r="H31" s="442">
        <f t="shared" si="1"/>
        <v>128081.72112089999</v>
      </c>
      <c r="I31" s="442">
        <f t="shared" si="1"/>
        <v>118880.3513002</v>
      </c>
      <c r="J31" s="442">
        <f t="shared" si="1"/>
        <v>120786.495616</v>
      </c>
      <c r="K31" s="442">
        <f t="shared" si="1"/>
        <v>115765.26050620999</v>
      </c>
      <c r="L31" s="442">
        <f t="shared" si="1"/>
        <v>111687.18237600001</v>
      </c>
      <c r="M31" s="442">
        <f t="shared" si="1"/>
        <v>108710.431641</v>
      </c>
      <c r="N31" s="442">
        <f t="shared" si="1"/>
        <v>107545.97148799998</v>
      </c>
      <c r="O31" s="442">
        <f t="shared" si="1"/>
        <v>106172.04741700001</v>
      </c>
      <c r="P31" s="442">
        <f t="shared" si="1"/>
        <v>101081.16518600001</v>
      </c>
      <c r="Q31" s="395"/>
      <c r="R31" s="395"/>
      <c r="S31" s="395"/>
      <c r="T31" s="395"/>
      <c r="U31" s="395"/>
      <c r="V31" s="395"/>
    </row>
    <row r="32" spans="2:22">
      <c r="B32" s="458"/>
      <c r="C32" s="459"/>
      <c r="D32" s="460"/>
      <c r="E32" s="460"/>
      <c r="F32" s="460"/>
      <c r="G32" s="460"/>
      <c r="H32" s="460"/>
      <c r="I32" s="460"/>
      <c r="J32" s="460"/>
      <c r="K32" s="460"/>
      <c r="L32" s="460"/>
      <c r="M32" s="460"/>
      <c r="N32" s="460"/>
      <c r="O32" s="460"/>
      <c r="P32" s="460"/>
      <c r="Q32" s="395"/>
      <c r="R32" s="395"/>
      <c r="S32" s="395"/>
      <c r="T32" s="395"/>
      <c r="U32" s="395"/>
      <c r="V32" s="395"/>
    </row>
    <row r="33" spans="2:22">
      <c r="B33" s="464" t="s">
        <v>516</v>
      </c>
      <c r="C33" s="459"/>
      <c r="D33" s="460"/>
      <c r="E33" s="460"/>
      <c r="F33" s="460"/>
      <c r="G33" s="460"/>
      <c r="H33" s="460"/>
      <c r="I33" s="460"/>
      <c r="J33" s="460"/>
      <c r="K33" s="460"/>
      <c r="L33" s="460"/>
      <c r="M33" s="460"/>
      <c r="N33" s="460"/>
      <c r="O33" s="460"/>
      <c r="P33" s="460"/>
      <c r="Q33" s="395"/>
      <c r="R33" s="395"/>
      <c r="S33" s="395"/>
      <c r="T33" s="395"/>
      <c r="U33" s="395"/>
      <c r="V33" s="395"/>
    </row>
    <row r="34" spans="2:22">
      <c r="B34" s="458" t="s">
        <v>433</v>
      </c>
      <c r="C34" s="459">
        <v>5791.4894927699997</v>
      </c>
      <c r="D34" s="460">
        <v>5791.4894899999999</v>
      </c>
      <c r="E34" s="460">
        <v>5791.4894899999999</v>
      </c>
      <c r="F34" s="460">
        <v>5791.4894899999999</v>
      </c>
      <c r="G34" s="460">
        <v>5791.4894927900004</v>
      </c>
      <c r="H34" s="460">
        <v>5791.4894927900004</v>
      </c>
      <c r="I34" s="460">
        <v>5791.489493</v>
      </c>
      <c r="J34" s="460">
        <v>5791.489493</v>
      </c>
      <c r="K34" s="460">
        <v>5791.4894927900004</v>
      </c>
      <c r="L34" s="460">
        <v>5791.4894927900004</v>
      </c>
      <c r="M34" s="460">
        <f>5765.976093+0.3</f>
        <v>5766.2760930000004</v>
      </c>
      <c r="N34" s="460">
        <v>5358.9993489999997</v>
      </c>
      <c r="O34" s="460">
        <v>5358.9993489999997</v>
      </c>
      <c r="P34" s="460">
        <v>5358.9993489999997</v>
      </c>
      <c r="Q34" s="395"/>
      <c r="R34" s="395"/>
      <c r="S34" s="395"/>
      <c r="T34" s="395"/>
      <c r="U34" s="395"/>
      <c r="V34" s="395"/>
    </row>
    <row r="35" spans="2:22">
      <c r="B35" s="458" t="s">
        <v>434</v>
      </c>
      <c r="C35" s="459">
        <v>847.76921630999993</v>
      </c>
      <c r="D35" s="460">
        <v>847.76922000000002</v>
      </c>
      <c r="E35" s="460">
        <v>847.76922000000002</v>
      </c>
      <c r="F35" s="465">
        <v>847.76922000000002</v>
      </c>
      <c r="G35" s="465">
        <v>847.76921631000005</v>
      </c>
      <c r="H35" s="465">
        <v>847.76921631000005</v>
      </c>
      <c r="I35" s="465">
        <v>847.76921700000003</v>
      </c>
      <c r="J35" s="460">
        <v>847.76921600000003</v>
      </c>
      <c r="K35" s="460">
        <v>847.76921631000005</v>
      </c>
      <c r="L35" s="460">
        <v>847.76921631000005</v>
      </c>
      <c r="M35" s="460">
        <v>830.10758899999996</v>
      </c>
      <c r="N35" s="460">
        <v>547.05940699999996</v>
      </c>
      <c r="O35" s="460">
        <v>547.05940699999996</v>
      </c>
      <c r="P35" s="460">
        <v>547.05940699999996</v>
      </c>
      <c r="Q35" s="395"/>
      <c r="R35" s="395"/>
      <c r="S35" s="395"/>
      <c r="T35" s="395"/>
      <c r="U35" s="395"/>
      <c r="V35" s="395"/>
    </row>
    <row r="36" spans="2:22">
      <c r="B36" s="458" t="s">
        <v>435</v>
      </c>
      <c r="C36" s="459">
        <v>3950.1396138299992</v>
      </c>
      <c r="D36" s="460">
        <v>3574.131652</v>
      </c>
      <c r="E36" s="460">
        <v>3269.398365</v>
      </c>
      <c r="F36" s="465">
        <v>3535.1155699999999</v>
      </c>
      <c r="G36" s="465">
        <f>3373.7488184-36.9</f>
        <v>3336.8488183999998</v>
      </c>
      <c r="H36" s="465">
        <v>3124.4054245212151</v>
      </c>
      <c r="I36" s="465">
        <v>2740.2512000000002</v>
      </c>
      <c r="J36" s="460">
        <v>3192.1535140000001</v>
      </c>
      <c r="K36" s="460">
        <v>3008.8889770000001</v>
      </c>
      <c r="L36" s="460">
        <v>2584.87628</v>
      </c>
      <c r="M36" s="460">
        <v>2112.09610737711</v>
      </c>
      <c r="N36" s="460">
        <v>2406.2656139999999</v>
      </c>
      <c r="O36" s="460">
        <v>2216.1226350000002</v>
      </c>
      <c r="P36" s="460">
        <v>1896.6767090000001</v>
      </c>
      <c r="Q36" s="395"/>
      <c r="R36" s="395"/>
      <c r="S36" s="395"/>
      <c r="T36" s="395"/>
      <c r="U36" s="395"/>
      <c r="V36" s="395"/>
    </row>
    <row r="37" spans="2:22">
      <c r="B37" s="458" t="s">
        <v>489</v>
      </c>
      <c r="C37" s="459">
        <v>352.12255855999996</v>
      </c>
      <c r="D37" s="460">
        <v>352.12255800000003</v>
      </c>
      <c r="E37" s="460">
        <v>554.82468900000003</v>
      </c>
      <c r="F37" s="465">
        <v>0</v>
      </c>
      <c r="G37" s="465">
        <v>0</v>
      </c>
      <c r="H37" s="465">
        <v>0</v>
      </c>
      <c r="I37" s="465">
        <v>662.54639299999997</v>
      </c>
      <c r="J37" s="460">
        <v>0</v>
      </c>
      <c r="K37" s="460">
        <v>0</v>
      </c>
      <c r="L37" s="460">
        <v>0</v>
      </c>
      <c r="M37" s="460">
        <v>477.21873068000002</v>
      </c>
      <c r="N37" s="460">
        <v>0</v>
      </c>
      <c r="O37" s="460">
        <v>0</v>
      </c>
      <c r="P37" s="460">
        <v>0</v>
      </c>
      <c r="Q37" s="395"/>
      <c r="R37" s="395"/>
      <c r="S37" s="395"/>
      <c r="T37" s="395"/>
      <c r="U37" s="395"/>
      <c r="V37" s="395"/>
    </row>
    <row r="38" spans="2:22">
      <c r="B38" s="458" t="s">
        <v>436</v>
      </c>
      <c r="C38" s="459">
        <v>4344.43258135</v>
      </c>
      <c r="D38" s="460">
        <v>4183.2640419999998</v>
      </c>
      <c r="E38" s="460">
        <v>4052.6503259999999</v>
      </c>
      <c r="F38" s="465">
        <v>4165.9900000000007</v>
      </c>
      <c r="G38" s="465">
        <f>4097.15947868-15.8</f>
        <v>4081.3594786799995</v>
      </c>
      <c r="H38" s="465">
        <v>3991.0910252887852</v>
      </c>
      <c r="I38" s="465">
        <v>3824.9973</v>
      </c>
      <c r="J38" s="460">
        <v>4078.7316319999995</v>
      </c>
      <c r="K38" s="460">
        <v>3997.4077990000001</v>
      </c>
      <c r="L38" s="460">
        <v>3892.5457820000001</v>
      </c>
      <c r="M38" s="460">
        <v>3689.6450758767501</v>
      </c>
      <c r="N38" s="460">
        <v>3825.9076570000002</v>
      </c>
      <c r="O38" s="460">
        <v>3734.5778610000002</v>
      </c>
      <c r="P38" s="460">
        <v>3581.1410550000001</v>
      </c>
      <c r="Q38" s="395"/>
      <c r="R38" s="395"/>
      <c r="S38" s="395"/>
      <c r="T38" s="395"/>
      <c r="U38" s="395"/>
      <c r="V38" s="395"/>
    </row>
    <row r="39" spans="2:22">
      <c r="B39" s="458" t="s">
        <v>439</v>
      </c>
      <c r="C39" s="459">
        <v>230.65231861000001</v>
      </c>
      <c r="D39" s="460">
        <v>230.65231800000001</v>
      </c>
      <c r="E39" s="460">
        <v>236.65231900000001</v>
      </c>
      <c r="F39" s="465">
        <v>0</v>
      </c>
      <c r="G39" s="465">
        <v>0</v>
      </c>
      <c r="H39" s="465">
        <v>0</v>
      </c>
      <c r="I39" s="465">
        <v>292.07714499999997</v>
      </c>
      <c r="J39" s="460">
        <v>0</v>
      </c>
      <c r="K39" s="460">
        <v>0</v>
      </c>
      <c r="L39" s="460">
        <v>0</v>
      </c>
      <c r="M39" s="460">
        <v>221.901596600169</v>
      </c>
      <c r="N39" s="460">
        <v>0</v>
      </c>
      <c r="O39" s="460">
        <v>0</v>
      </c>
      <c r="P39" s="460">
        <v>0</v>
      </c>
      <c r="Q39" s="395"/>
      <c r="R39" s="395"/>
      <c r="S39" s="395"/>
      <c r="T39" s="395"/>
      <c r="U39" s="395"/>
      <c r="V39" s="395"/>
    </row>
    <row r="40" spans="2:22">
      <c r="B40" s="458" t="s">
        <v>438</v>
      </c>
      <c r="C40" s="459">
        <v>23.892459890000001</v>
      </c>
      <c r="D40" s="460">
        <v>28.696660000000001</v>
      </c>
      <c r="E40" s="460">
        <v>29.296659999999999</v>
      </c>
      <c r="F40" s="465">
        <v>30.43666</v>
      </c>
      <c r="G40" s="465">
        <v>31.936659890000001</v>
      </c>
      <c r="H40" s="465">
        <v>31.93666</v>
      </c>
      <c r="I40" s="465">
        <v>12.411659999999998</v>
      </c>
      <c r="J40" s="460">
        <v>12.96166</v>
      </c>
      <c r="K40" s="460">
        <v>14.46165989</v>
      </c>
      <c r="L40" s="460">
        <v>14.56165989</v>
      </c>
      <c r="M40" s="460">
        <v>14.661659999999999</v>
      </c>
      <c r="N40" s="460">
        <v>16.509160000000001</v>
      </c>
      <c r="O40" s="460">
        <v>19.009160000000001</v>
      </c>
      <c r="P40" s="460">
        <v>19.237159999999999</v>
      </c>
      <c r="Q40" s="395"/>
      <c r="R40" s="395"/>
      <c r="S40" s="395"/>
      <c r="T40" s="395"/>
      <c r="U40" s="395"/>
      <c r="V40" s="395"/>
    </row>
    <row r="41" spans="2:22">
      <c r="B41" s="458" t="s">
        <v>437</v>
      </c>
      <c r="C41" s="459">
        <v>166.22169815999999</v>
      </c>
      <c r="D41" s="460">
        <v>166.2217</v>
      </c>
      <c r="E41" s="460">
        <v>166.2217</v>
      </c>
      <c r="F41" s="465">
        <v>166.2217</v>
      </c>
      <c r="G41" s="465">
        <v>166.22169815999999</v>
      </c>
      <c r="H41" s="465">
        <v>166.22169815999999</v>
      </c>
      <c r="I41" s="465">
        <v>166.15294900000001</v>
      </c>
      <c r="J41" s="460">
        <v>166.221698</v>
      </c>
      <c r="K41" s="460">
        <v>166.22169815999999</v>
      </c>
      <c r="L41" s="460">
        <v>166.221698</v>
      </c>
      <c r="M41" s="460">
        <v>166.15377000000001</v>
      </c>
      <c r="N41" s="460">
        <v>166.22251800000001</v>
      </c>
      <c r="O41" s="460">
        <v>166.22251800000001</v>
      </c>
      <c r="P41" s="460">
        <v>166.15294900000001</v>
      </c>
      <c r="Q41" s="395"/>
      <c r="R41" s="395"/>
      <c r="S41" s="395"/>
      <c r="T41" s="395"/>
      <c r="U41" s="395"/>
      <c r="V41" s="395"/>
    </row>
    <row r="42" spans="2:22">
      <c r="B42" s="458" t="s">
        <v>440</v>
      </c>
      <c r="C42" s="459">
        <v>408.22992199999993</v>
      </c>
      <c r="D42" s="460">
        <v>360.53138000000001</v>
      </c>
      <c r="E42" s="460">
        <v>319.890423</v>
      </c>
      <c r="F42" s="465">
        <v>359.61671999999999</v>
      </c>
      <c r="G42" s="465">
        <v>351.37818499999997</v>
      </c>
      <c r="H42" s="465">
        <v>321.75502799999998</v>
      </c>
      <c r="I42" s="465">
        <v>334.45811600000002</v>
      </c>
      <c r="J42" s="460">
        <v>303.28629599999999</v>
      </c>
      <c r="K42" s="460">
        <v>284.78418599999998</v>
      </c>
      <c r="L42" s="460">
        <v>273.54773499999999</v>
      </c>
      <c r="M42" s="460">
        <v>253</v>
      </c>
      <c r="N42" s="460">
        <v>263</v>
      </c>
      <c r="O42" s="460">
        <v>279.25554</v>
      </c>
      <c r="P42" s="460">
        <v>274.35565800000001</v>
      </c>
      <c r="Q42" s="395"/>
      <c r="R42" s="395"/>
      <c r="S42" s="395"/>
      <c r="T42" s="395"/>
      <c r="U42" s="395"/>
      <c r="V42" s="395"/>
    </row>
    <row r="43" spans="2:22">
      <c r="B43" s="458" t="s">
        <v>441</v>
      </c>
      <c r="C43" s="459">
        <v>650</v>
      </c>
      <c r="D43" s="460">
        <v>650</v>
      </c>
      <c r="E43" s="460">
        <v>650</v>
      </c>
      <c r="F43" s="465">
        <v>650</v>
      </c>
      <c r="G43" s="465">
        <v>650</v>
      </c>
      <c r="H43" s="465">
        <v>300</v>
      </c>
      <c r="I43" s="465">
        <v>300.00475699999998</v>
      </c>
      <c r="J43" s="460">
        <v>493.44836600000002</v>
      </c>
      <c r="K43" s="460">
        <v>200</v>
      </c>
      <c r="L43" s="460">
        <v>200</v>
      </c>
      <c r="M43" s="460">
        <v>400</v>
      </c>
      <c r="N43" s="460">
        <v>400</v>
      </c>
      <c r="O43" s="460">
        <v>400</v>
      </c>
      <c r="P43" s="460">
        <v>400</v>
      </c>
      <c r="Q43" s="395"/>
      <c r="R43" s="395"/>
      <c r="S43" s="395"/>
      <c r="T43" s="395"/>
      <c r="U43" s="395"/>
      <c r="V43" s="395"/>
    </row>
    <row r="44" spans="2:22">
      <c r="B44" s="458" t="s">
        <v>442</v>
      </c>
      <c r="C44" s="459">
        <v>914.04033425</v>
      </c>
      <c r="D44" s="460">
        <v>1009.9652240199999</v>
      </c>
      <c r="E44" s="460">
        <v>1104</v>
      </c>
      <c r="F44" s="465">
        <v>995.66836999999998</v>
      </c>
      <c r="G44" s="465">
        <f>894.63843945-17.8</f>
        <v>876.83843945000001</v>
      </c>
      <c r="H44" s="465">
        <v>820.40357730000005</v>
      </c>
      <c r="I44" s="465">
        <f>835-18</f>
        <v>817</v>
      </c>
      <c r="J44" s="460">
        <v>794.58731</v>
      </c>
      <c r="K44" s="460">
        <f>731.973363-54</f>
        <v>677.97336299999995</v>
      </c>
      <c r="L44" s="460">
        <f>787-52</f>
        <v>735</v>
      </c>
      <c r="M44" s="460">
        <f>775.866806-48</f>
        <v>727.866806</v>
      </c>
      <c r="N44" s="460">
        <f>734.4680735-40</f>
        <v>694.46807349999995</v>
      </c>
      <c r="O44" s="460">
        <f>642.636374-37</f>
        <v>605.63637400000005</v>
      </c>
      <c r="P44" s="460">
        <f>740-34</f>
        <v>706</v>
      </c>
      <c r="Q44" s="395"/>
      <c r="R44" s="395"/>
      <c r="S44" s="395"/>
      <c r="T44" s="395"/>
      <c r="U44" s="395"/>
      <c r="V44" s="395"/>
    </row>
    <row r="45" spans="2:22">
      <c r="B45" s="461" t="s">
        <v>443</v>
      </c>
      <c r="C45" s="462">
        <v>112.42981</v>
      </c>
      <c r="D45" s="463">
        <v>109.570846</v>
      </c>
      <c r="E45" s="463">
        <v>113.26664</v>
      </c>
      <c r="F45" s="463">
        <v>112.57595999999999</v>
      </c>
      <c r="G45" s="463">
        <v>110.50827200000001</v>
      </c>
      <c r="H45" s="463">
        <v>108.83542270000001</v>
      </c>
      <c r="I45" s="463">
        <v>113.514532</v>
      </c>
      <c r="J45" s="463">
        <v>100.881528</v>
      </c>
      <c r="K45" s="463">
        <v>100.21979899999999</v>
      </c>
      <c r="L45" s="463">
        <v>98.409527999999995</v>
      </c>
      <c r="M45" s="463">
        <v>102.476</v>
      </c>
      <c r="N45" s="463">
        <v>94.432304000000002</v>
      </c>
      <c r="O45" s="463">
        <v>92.616168999999999</v>
      </c>
      <c r="P45" s="463">
        <v>57.376956999999997</v>
      </c>
      <c r="Q45" s="395"/>
      <c r="R45" s="395"/>
      <c r="S45" s="395"/>
      <c r="T45" s="395"/>
      <c r="U45" s="395"/>
      <c r="V45" s="395"/>
    </row>
    <row r="46" spans="2:22" ht="15">
      <c r="B46" s="445" t="s">
        <v>186</v>
      </c>
      <c r="C46" s="448">
        <f>SUM(C34:C45)</f>
        <v>17791.42000573</v>
      </c>
      <c r="D46" s="442">
        <f>SUM(D34:D45)</f>
        <v>17304.41509002</v>
      </c>
      <c r="E46" s="442">
        <f t="shared" ref="E46:P46" si="2">SUM(E34:E45)</f>
        <v>17135.459832</v>
      </c>
      <c r="F46" s="442">
        <f t="shared" si="2"/>
        <v>16654.883689999999</v>
      </c>
      <c r="G46" s="442">
        <f t="shared" si="2"/>
        <v>16244.350260679998</v>
      </c>
      <c r="H46" s="442">
        <f t="shared" si="2"/>
        <v>15503.907545069998</v>
      </c>
      <c r="I46" s="442">
        <f t="shared" si="2"/>
        <v>15902.672761999998</v>
      </c>
      <c r="J46" s="442">
        <f t="shared" si="2"/>
        <v>15781.530713</v>
      </c>
      <c r="K46" s="442">
        <f t="shared" si="2"/>
        <v>15089.216191150001</v>
      </c>
      <c r="L46" s="442">
        <f t="shared" si="2"/>
        <v>14604.421391989999</v>
      </c>
      <c r="M46" s="442">
        <f t="shared" si="2"/>
        <v>14761.403428534031</v>
      </c>
      <c r="N46" s="442">
        <f t="shared" si="2"/>
        <v>13772.864082499998</v>
      </c>
      <c r="O46" s="442">
        <f t="shared" si="2"/>
        <v>13419.499013000001</v>
      </c>
      <c r="P46" s="442">
        <f t="shared" si="2"/>
        <v>13006.999244000001</v>
      </c>
      <c r="Q46" s="395"/>
      <c r="R46" s="395"/>
      <c r="S46" s="395"/>
      <c r="T46" s="395"/>
      <c r="U46" s="395"/>
      <c r="V46" s="395"/>
    </row>
    <row r="47" spans="2:22">
      <c r="B47" s="461"/>
      <c r="C47" s="462"/>
      <c r="D47" s="463"/>
      <c r="E47" s="463"/>
      <c r="F47" s="463"/>
      <c r="G47" s="463"/>
      <c r="H47" s="463"/>
      <c r="I47" s="463"/>
      <c r="J47" s="463"/>
      <c r="K47" s="463"/>
      <c r="L47" s="463"/>
      <c r="M47" s="463"/>
      <c r="N47" s="463"/>
      <c r="O47" s="463"/>
      <c r="P47" s="463"/>
      <c r="Q47" s="395"/>
      <c r="R47" s="395"/>
      <c r="S47" s="395"/>
      <c r="T47" s="395"/>
      <c r="U47" s="395"/>
      <c r="V47" s="395"/>
    </row>
    <row r="48" spans="2:22" ht="15">
      <c r="B48" s="445" t="s">
        <v>444</v>
      </c>
      <c r="C48" s="448">
        <f>C46+C31</f>
        <v>155242.86618465005</v>
      </c>
      <c r="D48" s="442">
        <f>D46+D31</f>
        <v>150118.14197001996</v>
      </c>
      <c r="E48" s="442">
        <f t="shared" ref="E48:P48" si="3">E46+E31</f>
        <v>146074.25188200001</v>
      </c>
      <c r="F48" s="442">
        <f t="shared" si="3"/>
        <v>148898.13930000001</v>
      </c>
      <c r="G48" s="442">
        <f t="shared" si="3"/>
        <v>147197.44595051996</v>
      </c>
      <c r="H48" s="442">
        <f t="shared" si="3"/>
        <v>143585.62866597</v>
      </c>
      <c r="I48" s="442">
        <f t="shared" si="3"/>
        <v>134783.02406219998</v>
      </c>
      <c r="J48" s="442">
        <f t="shared" si="3"/>
        <v>136568.02632900001</v>
      </c>
      <c r="K48" s="442">
        <f t="shared" si="3"/>
        <v>130854.47669735999</v>
      </c>
      <c r="L48" s="442">
        <f t="shared" si="3"/>
        <v>126291.60376799002</v>
      </c>
      <c r="M48" s="442">
        <f t="shared" si="3"/>
        <v>123471.83506953403</v>
      </c>
      <c r="N48" s="442">
        <f t="shared" si="3"/>
        <v>121318.83557049998</v>
      </c>
      <c r="O48" s="442">
        <f t="shared" si="3"/>
        <v>119591.54643000002</v>
      </c>
      <c r="P48" s="442">
        <f t="shared" si="3"/>
        <v>114088.16443000002</v>
      </c>
      <c r="Q48" s="395"/>
      <c r="R48" s="395"/>
      <c r="S48" s="395"/>
      <c r="T48" s="395"/>
      <c r="U48" s="395"/>
      <c r="V48" s="395"/>
    </row>
    <row r="49" spans="3:21">
      <c r="C49" s="395"/>
      <c r="D49" s="395"/>
      <c r="E49" s="395"/>
      <c r="F49" s="395"/>
      <c r="G49" s="395"/>
      <c r="H49" s="395"/>
      <c r="I49" s="395"/>
      <c r="J49" s="395"/>
      <c r="K49" s="395"/>
      <c r="L49" s="395"/>
      <c r="M49" s="395"/>
      <c r="N49" s="395"/>
      <c r="O49" s="395"/>
      <c r="P49" s="395"/>
      <c r="Q49" s="395"/>
      <c r="R49" s="395"/>
      <c r="S49" s="395"/>
      <c r="T49" s="395"/>
      <c r="U49" s="395"/>
    </row>
    <row r="51" spans="3:21">
      <c r="C51" s="449"/>
      <c r="D51" s="449"/>
      <c r="E51" s="449"/>
      <c r="F51" s="449"/>
      <c r="G51" s="449"/>
      <c r="H51" s="449"/>
      <c r="I51" s="449"/>
      <c r="J51" s="449"/>
      <c r="K51" s="449"/>
      <c r="L51" s="449"/>
      <c r="M51" s="449"/>
      <c r="N51" s="449"/>
      <c r="O51" s="449"/>
    </row>
    <row r="53" spans="3:21">
      <c r="C53" s="449"/>
      <c r="D53" s="449"/>
      <c r="E53" s="449"/>
      <c r="F53" s="449"/>
      <c r="G53" s="449"/>
      <c r="H53" s="449"/>
      <c r="I53" s="449"/>
      <c r="J53" s="449"/>
      <c r="K53" s="449"/>
      <c r="L53" s="449"/>
      <c r="M53" s="449"/>
      <c r="N53" s="449"/>
      <c r="O53" s="449"/>
    </row>
    <row r="54" spans="3:21">
      <c r="C54" s="449"/>
      <c r="D54" s="449"/>
      <c r="E54" s="449"/>
      <c r="F54" s="449"/>
      <c r="G54" s="449"/>
      <c r="H54" s="449"/>
      <c r="I54" s="449"/>
      <c r="J54" s="449"/>
      <c r="K54" s="449"/>
      <c r="L54" s="449"/>
      <c r="M54" s="449"/>
      <c r="N54" s="449"/>
      <c r="O54" s="449"/>
    </row>
    <row r="55" spans="3:21">
      <c r="C55" s="449"/>
      <c r="D55" s="449"/>
      <c r="E55" s="449"/>
      <c r="F55" s="449"/>
      <c r="G55" s="449"/>
      <c r="H55" s="449"/>
      <c r="I55" s="449"/>
      <c r="J55" s="449"/>
      <c r="K55" s="449"/>
      <c r="L55" s="449"/>
      <c r="M55" s="449"/>
      <c r="N55" s="449"/>
      <c r="O55" s="449"/>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P67"/>
  <sheetViews>
    <sheetView showGridLines="0" zoomScale="90" zoomScaleNormal="90" workbookViewId="0">
      <pane ySplit="7" topLeftCell="A8" activePane="bottomLeft" state="frozen"/>
      <selection pane="bottomLeft" activeCell="A87" sqref="A87"/>
    </sheetView>
  </sheetViews>
  <sheetFormatPr baseColWidth="10" defaultColWidth="11.42578125" defaultRowHeight="12.75"/>
  <cols>
    <col min="1" max="1" width="5" customWidth="1"/>
    <col min="2" max="2" width="83.85546875" customWidth="1"/>
  </cols>
  <sheetData>
    <row r="2" spans="1:16" ht="15">
      <c r="A2" s="20" t="s">
        <v>492</v>
      </c>
      <c r="B2" s="21"/>
    </row>
    <row r="5" spans="1:16">
      <c r="B5" s="406"/>
      <c r="C5" s="150" t="s">
        <v>289</v>
      </c>
      <c r="D5" s="406" t="s">
        <v>290</v>
      </c>
      <c r="E5" s="406" t="s">
        <v>287</v>
      </c>
      <c r="F5" s="406" t="s">
        <v>288</v>
      </c>
      <c r="G5" s="406" t="s">
        <v>289</v>
      </c>
      <c r="H5" s="406" t="s">
        <v>290</v>
      </c>
      <c r="I5" s="406" t="s">
        <v>287</v>
      </c>
      <c r="J5" s="406" t="s">
        <v>288</v>
      </c>
      <c r="K5" s="406" t="s">
        <v>289</v>
      </c>
      <c r="L5" s="406" t="s">
        <v>290</v>
      </c>
      <c r="M5" s="406" t="s">
        <v>287</v>
      </c>
      <c r="N5" s="406" t="s">
        <v>288</v>
      </c>
      <c r="O5" s="406" t="s">
        <v>289</v>
      </c>
      <c r="P5" s="406" t="s">
        <v>290</v>
      </c>
    </row>
    <row r="6" spans="1:16">
      <c r="B6" s="407"/>
      <c r="C6" s="151">
        <v>2021</v>
      </c>
      <c r="D6" s="407">
        <v>2021</v>
      </c>
      <c r="E6" s="407">
        <v>2020</v>
      </c>
      <c r="F6" s="407">
        <v>2020</v>
      </c>
      <c r="G6" s="407">
        <v>2020</v>
      </c>
      <c r="H6" s="407">
        <v>2020</v>
      </c>
      <c r="I6" s="407">
        <v>2019</v>
      </c>
      <c r="J6" s="407">
        <v>2019</v>
      </c>
      <c r="K6" s="407">
        <v>2019</v>
      </c>
      <c r="L6" s="407">
        <v>2019</v>
      </c>
      <c r="M6" s="407">
        <v>2018</v>
      </c>
      <c r="N6" s="407">
        <v>2018</v>
      </c>
      <c r="O6" s="407">
        <v>2018</v>
      </c>
      <c r="P6" s="407">
        <v>2018</v>
      </c>
    </row>
    <row r="7" spans="1:16">
      <c r="B7" s="408" t="s">
        <v>445</v>
      </c>
      <c r="C7" s="426">
        <v>17791.42000573</v>
      </c>
      <c r="D7" s="409">
        <v>17304</v>
      </c>
      <c r="E7" s="409">
        <v>17135</v>
      </c>
      <c r="F7" s="409">
        <v>16655</v>
      </c>
      <c r="G7" s="409">
        <v>16244.309692139999</v>
      </c>
      <c r="H7" s="409">
        <v>15503.969579549999</v>
      </c>
      <c r="I7" s="409">
        <v>15903</v>
      </c>
      <c r="J7" s="409">
        <v>15782</v>
      </c>
      <c r="K7" s="409">
        <v>15088.84546773</v>
      </c>
      <c r="L7" s="409">
        <v>14604.361196650001</v>
      </c>
      <c r="M7" s="409">
        <v>14762.313418040003</v>
      </c>
      <c r="N7" s="409">
        <v>13772.794400500001</v>
      </c>
      <c r="O7" s="409">
        <v>13419.826436819998</v>
      </c>
      <c r="P7" s="409">
        <v>13006.901985659999</v>
      </c>
    </row>
    <row r="8" spans="1:16">
      <c r="B8" s="410"/>
      <c r="C8" s="427"/>
      <c r="D8" s="411"/>
      <c r="E8" s="411"/>
      <c r="F8" s="411"/>
      <c r="G8" s="411"/>
      <c r="H8" s="411"/>
      <c r="I8" s="411"/>
      <c r="J8" s="411"/>
      <c r="K8" s="411"/>
      <c r="L8" s="411"/>
      <c r="M8" s="411"/>
      <c r="N8" s="411"/>
      <c r="O8" s="411"/>
      <c r="P8" s="411"/>
    </row>
    <row r="9" spans="1:16">
      <c r="B9" s="410" t="s">
        <v>446</v>
      </c>
      <c r="C9" s="427"/>
      <c r="D9" s="412"/>
      <c r="E9" s="412"/>
      <c r="F9" s="412"/>
      <c r="G9" s="412"/>
      <c r="H9" s="412"/>
      <c r="I9" s="412"/>
      <c r="J9" s="412"/>
      <c r="K9" s="412"/>
      <c r="L9" s="412"/>
      <c r="M9" s="412"/>
      <c r="N9" s="412"/>
      <c r="O9" s="412"/>
      <c r="P9" s="412"/>
    </row>
    <row r="10" spans="1:16">
      <c r="B10" s="413" t="s">
        <v>447</v>
      </c>
      <c r="C10" s="428">
        <v>-468.89739742000108</v>
      </c>
      <c r="D10" s="412">
        <v>-215</v>
      </c>
      <c r="E10" s="412">
        <v>-791</v>
      </c>
      <c r="F10" s="412">
        <v>-562</v>
      </c>
      <c r="G10" s="412">
        <v>-346.81306887999995</v>
      </c>
      <c r="H10" s="412">
        <v>-99.339878520000013</v>
      </c>
      <c r="I10" s="412">
        <v>-955</v>
      </c>
      <c r="J10" s="412">
        <v>-817</v>
      </c>
      <c r="K10" s="412">
        <v>-612.31566773000009</v>
      </c>
      <c r="L10" s="412">
        <v>-377.78693430999994</v>
      </c>
      <c r="M10" s="412">
        <v>-705.09759835999989</v>
      </c>
      <c r="N10" s="412">
        <v>-545.8739275800001</v>
      </c>
      <c r="O10" s="412">
        <v>-364.99105109000004</v>
      </c>
      <c r="P10" s="412">
        <v>-156.96264959000001</v>
      </c>
    </row>
    <row r="11" spans="1:16">
      <c r="B11" s="413" t="s">
        <v>448</v>
      </c>
      <c r="C11" s="428">
        <v>-650</v>
      </c>
      <c r="D11" s="412">
        <v>-650</v>
      </c>
      <c r="E11" s="412">
        <v>-650</v>
      </c>
      <c r="F11" s="412">
        <v>-650</v>
      </c>
      <c r="G11" s="412">
        <v>-650</v>
      </c>
      <c r="H11" s="412">
        <v>-300</v>
      </c>
      <c r="I11" s="412">
        <v>-300</v>
      </c>
      <c r="J11" s="412">
        <v>-493</v>
      </c>
      <c r="K11" s="412">
        <v>-200</v>
      </c>
      <c r="L11" s="412">
        <v>-200</v>
      </c>
      <c r="M11" s="412">
        <v>-400</v>
      </c>
      <c r="N11" s="412">
        <v>-400</v>
      </c>
      <c r="O11" s="412">
        <v>-400</v>
      </c>
      <c r="P11" s="412">
        <v>-400</v>
      </c>
    </row>
    <row r="12" spans="1:16">
      <c r="B12" s="414" t="s">
        <v>449</v>
      </c>
      <c r="C12" s="428">
        <v>-73.32800566001967</v>
      </c>
      <c r="D12" s="412">
        <v>-70</v>
      </c>
      <c r="E12" s="412">
        <v>-74</v>
      </c>
      <c r="F12" s="412">
        <v>-74</v>
      </c>
      <c r="G12" s="412">
        <v>-71.01619253276337</v>
      </c>
      <c r="H12" s="412">
        <v>-68.106350418620735</v>
      </c>
      <c r="I12" s="412">
        <v>-60</v>
      </c>
      <c r="J12" s="412">
        <v>-59</v>
      </c>
      <c r="K12" s="412">
        <v>-58.800967733456865</v>
      </c>
      <c r="L12" s="412">
        <v>-53.93528445618724</v>
      </c>
      <c r="M12" s="412">
        <v>-57.704292789962267</v>
      </c>
      <c r="N12" s="412">
        <v>-8.4905819499999993</v>
      </c>
      <c r="O12" s="412">
        <v>-9.1685087000000038</v>
      </c>
      <c r="P12" s="412">
        <v>-17.260120712677079</v>
      </c>
    </row>
    <row r="13" spans="1:16">
      <c r="B13" s="414" t="s">
        <v>450</v>
      </c>
      <c r="C13" s="428">
        <v>14.758065999999999</v>
      </c>
      <c r="D13" s="412">
        <v>17</v>
      </c>
      <c r="E13" s="412">
        <v>17</v>
      </c>
      <c r="F13" s="412">
        <v>18</v>
      </c>
      <c r="G13" s="412">
        <v>14.697101</v>
      </c>
      <c r="H13" s="412">
        <v>-29.172188999999999</v>
      </c>
      <c r="I13" s="412">
        <v>25</v>
      </c>
      <c r="J13" s="412">
        <v>38</v>
      </c>
      <c r="K13" s="412">
        <v>35.617061999999997</v>
      </c>
      <c r="L13" s="412">
        <v>33.789335000000001</v>
      </c>
      <c r="M13" s="412">
        <v>20.469172</v>
      </c>
      <c r="N13" s="412">
        <v>40.293514999999999</v>
      </c>
      <c r="O13" s="412">
        <v>43.590032000000001</v>
      </c>
      <c r="P13" s="412">
        <v>46.8091725695067</v>
      </c>
    </row>
    <row r="14" spans="1:16">
      <c r="B14" s="414" t="s">
        <v>423</v>
      </c>
      <c r="C14" s="428">
        <v>-480.03266998000004</v>
      </c>
      <c r="D14" s="412">
        <v>-482</v>
      </c>
      <c r="E14" s="412">
        <v>-461</v>
      </c>
      <c r="F14" s="412">
        <v>-452</v>
      </c>
      <c r="G14" s="412">
        <v>-460.53923550999997</v>
      </c>
      <c r="H14" s="412">
        <v>-471.11373408000003</v>
      </c>
      <c r="I14" s="412">
        <v>-420</v>
      </c>
      <c r="J14" s="412">
        <v>-401</v>
      </c>
      <c r="K14" s="412">
        <v>-403.70694225</v>
      </c>
      <c r="L14" s="412">
        <v>-405.67993274999998</v>
      </c>
      <c r="M14" s="412">
        <v>-395.25335174999998</v>
      </c>
      <c r="N14" s="412">
        <v>-415.75892599999997</v>
      </c>
      <c r="O14" s="412">
        <v>-406.37406099999998</v>
      </c>
      <c r="P14" s="412">
        <v>-366.96337979000003</v>
      </c>
    </row>
    <row r="15" spans="1:16">
      <c r="B15" s="413" t="s">
        <v>451</v>
      </c>
      <c r="C15" s="428">
        <v>-298.71344599999998</v>
      </c>
      <c r="D15" s="412">
        <v>-338</v>
      </c>
      <c r="E15" s="412">
        <v>-278</v>
      </c>
      <c r="F15" s="412">
        <v>-288</v>
      </c>
      <c r="G15" s="412">
        <v>-254.54170199999999</v>
      </c>
      <c r="H15" s="412">
        <v>-329.716184</v>
      </c>
      <c r="I15" s="412">
        <v>-441</v>
      </c>
      <c r="J15" s="412">
        <v>-408</v>
      </c>
      <c r="K15" s="412">
        <v>-392.19646899999998</v>
      </c>
      <c r="L15" s="412">
        <v>-369.43411800000001</v>
      </c>
      <c r="M15" s="412">
        <v>-311.07254499999999</v>
      </c>
      <c r="N15" s="412">
        <v>-191.22640799999999</v>
      </c>
      <c r="O15" s="412">
        <v>-174.12935400000001</v>
      </c>
      <c r="P15" s="412">
        <v>-208.0407772392</v>
      </c>
    </row>
    <row r="16" spans="1:16">
      <c r="B16" s="413" t="s">
        <v>452</v>
      </c>
      <c r="C16" s="428">
        <v>-222.10686999999999</v>
      </c>
      <c r="D16" s="412">
        <v>-387</v>
      </c>
      <c r="E16" s="412">
        <v>-539</v>
      </c>
      <c r="F16" s="412">
        <v>-481</v>
      </c>
      <c r="G16" s="412">
        <v>-439.89979899999997</v>
      </c>
      <c r="H16" s="412">
        <v>-367.92282399999999</v>
      </c>
      <c r="I16" s="412">
        <v>-292</v>
      </c>
      <c r="J16" s="412">
        <v>-292</v>
      </c>
      <c r="K16" s="412">
        <v>-350.11274100000003</v>
      </c>
      <c r="L16" s="412">
        <v>-409.40793100000002</v>
      </c>
      <c r="M16" s="412">
        <v>-325.93778700000001</v>
      </c>
      <c r="N16" s="412">
        <v>-298.83286700000002</v>
      </c>
      <c r="O16" s="412">
        <v>-193.46922499999999</v>
      </c>
      <c r="P16" s="412">
        <v>-202.21417611344995</v>
      </c>
    </row>
    <row r="17" spans="2:16">
      <c r="B17" s="413" t="s">
        <v>453</v>
      </c>
      <c r="C17" s="428">
        <v>-40.767139072435597</v>
      </c>
      <c r="D17" s="412">
        <v>-40</v>
      </c>
      <c r="E17" s="412">
        <v>-36</v>
      </c>
      <c r="F17" s="412">
        <v>-39</v>
      </c>
      <c r="G17" s="412">
        <v>-37.462444664419294</v>
      </c>
      <c r="H17" s="412">
        <v>-35.303351582362005</v>
      </c>
      <c r="I17" s="412">
        <v>-33</v>
      </c>
      <c r="J17" s="412">
        <v>-25</v>
      </c>
      <c r="K17" s="412">
        <v>-27.054808325750002</v>
      </c>
      <c r="L17" s="412">
        <v>-26.982502582000002</v>
      </c>
      <c r="M17" s="412">
        <v>-26.950457590630005</v>
      </c>
      <c r="N17" s="412">
        <v>-32.817639019463634</v>
      </c>
      <c r="O17" s="412">
        <v>-32.690712606060231</v>
      </c>
      <c r="P17" s="412">
        <v>-32.079589487150002</v>
      </c>
    </row>
    <row r="18" spans="2:16">
      <c r="B18" s="415" t="s">
        <v>454</v>
      </c>
      <c r="C18" s="156">
        <v>-716.71004954000011</v>
      </c>
      <c r="D18" s="41">
        <v>-719</v>
      </c>
      <c r="E18" s="41">
        <v>12</v>
      </c>
      <c r="F18" s="41">
        <v>15</v>
      </c>
      <c r="G18" s="41">
        <v>16.066314649999999</v>
      </c>
      <c r="H18" s="41">
        <v>14.77248329</v>
      </c>
      <c r="I18" s="41">
        <v>3</v>
      </c>
      <c r="J18" s="41">
        <v>6</v>
      </c>
      <c r="K18" s="41">
        <v>6.3773488424999991</v>
      </c>
      <c r="L18" s="41">
        <v>6.1811910000000001</v>
      </c>
      <c r="M18" s="41">
        <v>5.5878284999999996</v>
      </c>
      <c r="N18" s="41">
        <v>2.0473349999999999</v>
      </c>
      <c r="O18" s="41">
        <v>4.3002849999999997</v>
      </c>
      <c r="P18" s="41">
        <v>2.9683141050000001</v>
      </c>
    </row>
    <row r="19" spans="2:16">
      <c r="B19" s="410" t="s">
        <v>446</v>
      </c>
      <c r="C19" s="429">
        <v>14855.622494057541</v>
      </c>
      <c r="D19" s="416">
        <v>14421</v>
      </c>
      <c r="E19" s="416">
        <v>14335</v>
      </c>
      <c r="F19" s="416">
        <v>14142</v>
      </c>
      <c r="G19" s="416">
        <v>14014.800665202816</v>
      </c>
      <c r="H19" s="416">
        <v>13818.067551239015</v>
      </c>
      <c r="I19" s="416">
        <v>13430</v>
      </c>
      <c r="J19" s="416">
        <v>13330</v>
      </c>
      <c r="K19" s="416">
        <v>13086.652282533289</v>
      </c>
      <c r="L19" s="416">
        <v>12801.105019551816</v>
      </c>
      <c r="M19" s="416">
        <v>12566.35438604941</v>
      </c>
      <c r="N19" s="416">
        <v>11922.134900950536</v>
      </c>
      <c r="O19" s="416">
        <v>11886.893841423935</v>
      </c>
      <c r="P19" s="416">
        <v>11673.158779402031</v>
      </c>
    </row>
    <row r="20" spans="2:16">
      <c r="B20" s="417"/>
      <c r="C20" s="430"/>
      <c r="D20" s="412"/>
      <c r="E20" s="412"/>
      <c r="F20" s="412"/>
      <c r="G20" s="412"/>
      <c r="H20" s="412"/>
      <c r="I20" s="412"/>
      <c r="J20" s="412"/>
      <c r="K20" s="412"/>
      <c r="L20" s="412"/>
      <c r="M20" s="412"/>
      <c r="N20" s="412"/>
      <c r="O20" s="412"/>
      <c r="P20" s="412"/>
    </row>
    <row r="21" spans="2:16">
      <c r="B21" s="410" t="s">
        <v>455</v>
      </c>
      <c r="C21" s="427"/>
      <c r="D21" s="412"/>
      <c r="E21" s="412"/>
      <c r="F21" s="412"/>
      <c r="G21" s="412"/>
      <c r="H21" s="412"/>
      <c r="I21" s="412"/>
      <c r="J21" s="412"/>
      <c r="K21" s="412"/>
      <c r="L21" s="412"/>
      <c r="M21" s="412"/>
      <c r="N21" s="412"/>
      <c r="O21" s="412"/>
      <c r="P21" s="412"/>
    </row>
    <row r="22" spans="2:16">
      <c r="B22" s="413" t="s">
        <v>441</v>
      </c>
      <c r="C22" s="431">
        <v>650</v>
      </c>
      <c r="D22" s="46">
        <v>650</v>
      </c>
      <c r="E22" s="46">
        <v>650</v>
      </c>
      <c r="F22" s="46">
        <v>650</v>
      </c>
      <c r="G22" s="46">
        <v>650</v>
      </c>
      <c r="H22" s="46">
        <v>300</v>
      </c>
      <c r="I22" s="46">
        <v>300</v>
      </c>
      <c r="J22" s="46">
        <v>493</v>
      </c>
      <c r="K22" s="46">
        <v>200</v>
      </c>
      <c r="L22" s="46">
        <v>200</v>
      </c>
      <c r="M22" s="46">
        <v>400</v>
      </c>
      <c r="N22" s="46">
        <v>400</v>
      </c>
      <c r="O22" s="46">
        <v>400</v>
      </c>
      <c r="P22" s="46">
        <v>400</v>
      </c>
    </row>
    <row r="23" spans="2:16">
      <c r="B23" s="415" t="s">
        <v>456</v>
      </c>
      <c r="C23" s="432">
        <v>168.82727114178718</v>
      </c>
      <c r="D23" s="41">
        <v>160</v>
      </c>
      <c r="E23" s="41">
        <v>162</v>
      </c>
      <c r="F23" s="41">
        <v>153</v>
      </c>
      <c r="G23" s="41">
        <v>194.34221188023471</v>
      </c>
      <c r="H23" s="41">
        <v>199.40304705162333</v>
      </c>
      <c r="I23" s="41">
        <v>179</v>
      </c>
      <c r="J23" s="41">
        <v>283</v>
      </c>
      <c r="K23" s="41">
        <v>296.17886716118147</v>
      </c>
      <c r="L23" s="41">
        <v>243.23388882166611</v>
      </c>
      <c r="M23" s="41">
        <v>244.55680204611326</v>
      </c>
      <c r="N23" s="41">
        <v>259</v>
      </c>
      <c r="O23" s="41">
        <v>227</v>
      </c>
      <c r="P23" s="41">
        <v>216</v>
      </c>
    </row>
    <row r="24" spans="2:16">
      <c r="B24" s="410" t="s">
        <v>457</v>
      </c>
      <c r="C24" s="429">
        <v>818.82727114178715</v>
      </c>
      <c r="D24" s="416">
        <v>810</v>
      </c>
      <c r="E24" s="416">
        <v>812</v>
      </c>
      <c r="F24" s="416">
        <v>803</v>
      </c>
      <c r="G24" s="416">
        <v>844.34221188023469</v>
      </c>
      <c r="H24" s="416">
        <v>499.40304705162333</v>
      </c>
      <c r="I24" s="416">
        <v>479</v>
      </c>
      <c r="J24" s="416">
        <v>777</v>
      </c>
      <c r="K24" s="416">
        <v>496.17886716118147</v>
      </c>
      <c r="L24" s="416">
        <v>443.23388882166614</v>
      </c>
      <c r="M24" s="416">
        <v>644.55680204611326</v>
      </c>
      <c r="N24" s="416">
        <v>659.471812</v>
      </c>
      <c r="O24" s="416">
        <v>626.97681</v>
      </c>
      <c r="P24" s="416">
        <v>615.55818116</v>
      </c>
    </row>
    <row r="25" spans="2:16">
      <c r="B25" s="410"/>
      <c r="C25" s="427"/>
      <c r="D25" s="411"/>
      <c r="E25" s="411"/>
      <c r="F25" s="411"/>
      <c r="G25" s="411"/>
      <c r="H25" s="411"/>
      <c r="I25" s="411"/>
      <c r="J25" s="411"/>
      <c r="K25" s="411"/>
      <c r="L25" s="411"/>
      <c r="M25" s="411"/>
      <c r="N25" s="411"/>
      <c r="O25" s="411"/>
      <c r="P25" s="411"/>
    </row>
    <row r="26" spans="2:16">
      <c r="B26" s="410" t="s">
        <v>458</v>
      </c>
      <c r="C26" s="427">
        <v>0</v>
      </c>
      <c r="D26" s="411"/>
      <c r="E26" s="411"/>
      <c r="F26" s="411"/>
      <c r="G26" s="411"/>
      <c r="H26" s="411"/>
      <c r="I26" s="411"/>
      <c r="J26" s="411"/>
      <c r="K26" s="411"/>
      <c r="L26" s="411"/>
      <c r="M26" s="411"/>
      <c r="N26" s="411"/>
      <c r="O26" s="411"/>
      <c r="P26" s="411"/>
    </row>
    <row r="27" spans="2:16">
      <c r="B27" s="413" t="s">
        <v>431</v>
      </c>
      <c r="C27" s="433">
        <v>1300</v>
      </c>
      <c r="D27" s="412">
        <v>1300</v>
      </c>
      <c r="E27" s="412">
        <v>1300</v>
      </c>
      <c r="F27" s="412">
        <v>1300</v>
      </c>
      <c r="G27" s="412">
        <v>1300</v>
      </c>
      <c r="H27" s="412">
        <v>1300</v>
      </c>
      <c r="I27" s="412">
        <v>1300</v>
      </c>
      <c r="J27" s="412">
        <v>1425</v>
      </c>
      <c r="K27" s="412">
        <v>1100</v>
      </c>
      <c r="L27" s="412">
        <v>1100</v>
      </c>
      <c r="M27" s="412">
        <v>1100</v>
      </c>
      <c r="N27" s="412">
        <v>1100</v>
      </c>
      <c r="O27" s="412">
        <v>1400</v>
      </c>
      <c r="P27" s="412">
        <v>1499.9341456700001</v>
      </c>
    </row>
    <row r="28" spans="2:16">
      <c r="B28" s="413" t="s">
        <v>459</v>
      </c>
      <c r="C28" s="433">
        <v>267.38000632644628</v>
      </c>
      <c r="D28" s="412">
        <v>262</v>
      </c>
      <c r="E28" s="412">
        <v>257</v>
      </c>
      <c r="F28" s="412">
        <v>257</v>
      </c>
      <c r="G28" s="412">
        <v>258.91936105055379</v>
      </c>
      <c r="H28" s="412">
        <v>265.16792772152093</v>
      </c>
      <c r="I28" s="412">
        <v>235</v>
      </c>
      <c r="J28" s="412">
        <v>154</v>
      </c>
      <c r="K28" s="412">
        <v>298.8047076146662</v>
      </c>
      <c r="L28" s="412">
        <v>331.74974738653447</v>
      </c>
      <c r="M28" s="412">
        <v>361.41255942509412</v>
      </c>
      <c r="N28" s="412">
        <v>395.36870500000009</v>
      </c>
      <c r="O28" s="412">
        <v>374.46478499999989</v>
      </c>
      <c r="P28" s="412">
        <v>369.1144201300001</v>
      </c>
    </row>
    <row r="29" spans="2:16">
      <c r="B29" s="415" t="s">
        <v>490</v>
      </c>
      <c r="C29" s="432">
        <v>0</v>
      </c>
      <c r="D29" s="418">
        <v>0</v>
      </c>
      <c r="E29" s="418">
        <v>0</v>
      </c>
      <c r="F29" s="418">
        <v>0</v>
      </c>
      <c r="G29" s="418">
        <v>0</v>
      </c>
      <c r="H29" s="418">
        <v>0</v>
      </c>
      <c r="I29" s="418">
        <v>0</v>
      </c>
      <c r="J29" s="418">
        <v>0</v>
      </c>
      <c r="K29" s="418">
        <v>0</v>
      </c>
      <c r="L29" s="418">
        <v>0</v>
      </c>
      <c r="M29" s="418">
        <v>0</v>
      </c>
      <c r="N29" s="418">
        <v>0</v>
      </c>
      <c r="O29" s="418">
        <v>0</v>
      </c>
      <c r="P29" s="418">
        <v>-129.94413786999999</v>
      </c>
    </row>
    <row r="30" spans="2:16">
      <c r="B30" s="410" t="s">
        <v>460</v>
      </c>
      <c r="C30" s="429">
        <v>1567.3800063264462</v>
      </c>
      <c r="D30" s="419">
        <v>1562</v>
      </c>
      <c r="E30" s="419">
        <v>1557</v>
      </c>
      <c r="F30" s="419">
        <v>1557</v>
      </c>
      <c r="G30" s="419">
        <v>1558.9193610505538</v>
      </c>
      <c r="H30" s="419">
        <v>1565.167927721521</v>
      </c>
      <c r="I30" s="419">
        <v>1535</v>
      </c>
      <c r="J30" s="419">
        <v>1579</v>
      </c>
      <c r="K30" s="419">
        <v>1398.8047076146663</v>
      </c>
      <c r="L30" s="419">
        <v>1431.7497473865344</v>
      </c>
      <c r="M30" s="419">
        <v>1461.4125594250941</v>
      </c>
      <c r="N30" s="419">
        <v>1495.3687050000001</v>
      </c>
      <c r="O30" s="419">
        <v>1774.4647849999999</v>
      </c>
      <c r="P30" s="419">
        <v>1739.1044279300002</v>
      </c>
    </row>
    <row r="31" spans="2:16">
      <c r="B31" s="415"/>
      <c r="C31" s="434"/>
      <c r="D31" s="41"/>
      <c r="E31" s="41"/>
      <c r="F31" s="41"/>
      <c r="G31" s="41"/>
      <c r="H31" s="41"/>
      <c r="I31" s="41"/>
      <c r="J31" s="41"/>
      <c r="K31" s="41"/>
      <c r="L31" s="41"/>
      <c r="M31" s="41"/>
      <c r="N31" s="41"/>
      <c r="O31" s="41"/>
      <c r="P31" s="41"/>
    </row>
    <row r="32" spans="2:16">
      <c r="B32" s="408" t="s">
        <v>461</v>
      </c>
      <c r="C32" s="426">
        <v>17241.829771525772</v>
      </c>
      <c r="D32" s="409">
        <v>16793</v>
      </c>
      <c r="E32" s="409">
        <v>16704</v>
      </c>
      <c r="F32" s="409">
        <v>16502</v>
      </c>
      <c r="G32" s="409">
        <v>16418.062238133607</v>
      </c>
      <c r="H32" s="409">
        <v>15882.638526012159</v>
      </c>
      <c r="I32" s="409">
        <v>15444</v>
      </c>
      <c r="J32" s="409">
        <v>15685</v>
      </c>
      <c r="K32" s="409">
        <v>14981.635857309137</v>
      </c>
      <c r="L32" s="409">
        <v>14676.088655760017</v>
      </c>
      <c r="M32" s="409">
        <v>14672.323747520619</v>
      </c>
      <c r="N32" s="409">
        <v>14076.975417950536</v>
      </c>
      <c r="O32" s="409">
        <v>14288.335436423935</v>
      </c>
      <c r="P32" s="409">
        <v>14027.821388492031</v>
      </c>
    </row>
    <row r="33" spans="2:16">
      <c r="B33" s="413"/>
      <c r="C33" s="430"/>
      <c r="D33" s="412"/>
      <c r="E33" s="412"/>
      <c r="F33" s="412"/>
      <c r="G33" s="412"/>
      <c r="H33" s="412"/>
      <c r="I33" s="412"/>
      <c r="J33" s="412"/>
      <c r="K33" s="412"/>
      <c r="L33" s="412"/>
      <c r="M33" s="412"/>
      <c r="N33" s="412"/>
      <c r="O33" s="412"/>
      <c r="P33" s="412"/>
    </row>
    <row r="34" spans="2:16">
      <c r="B34" s="413" t="s">
        <v>462</v>
      </c>
      <c r="C34" s="428">
        <v>5292.3370169999998</v>
      </c>
      <c r="D34" s="412">
        <v>5173</v>
      </c>
      <c r="E34" s="412">
        <v>4775</v>
      </c>
      <c r="F34" s="412">
        <v>4712</v>
      </c>
      <c r="G34" s="412">
        <v>4794.5865119999999</v>
      </c>
      <c r="H34" s="412">
        <v>4796.5726459999996</v>
      </c>
      <c r="I34" s="412">
        <v>4819</v>
      </c>
      <c r="J34" s="412">
        <v>4782</v>
      </c>
      <c r="K34" s="412">
        <v>5128.4148880000002</v>
      </c>
      <c r="L34" s="412">
        <v>5203.8071069999996</v>
      </c>
      <c r="M34" s="412">
        <v>4781.244976</v>
      </c>
      <c r="N34" s="412">
        <v>5538.4748900000004</v>
      </c>
      <c r="O34" s="412">
        <v>5347.1102810000002</v>
      </c>
      <c r="P34" s="412">
        <v>5410.1873019499999</v>
      </c>
    </row>
    <row r="35" spans="2:16">
      <c r="B35" s="413" t="s">
        <v>463</v>
      </c>
      <c r="C35" s="428">
        <v>16809.617212000001</v>
      </c>
      <c r="D35" s="412">
        <v>15536</v>
      </c>
      <c r="E35" s="412">
        <v>14428</v>
      </c>
      <c r="F35" s="412">
        <v>15367</v>
      </c>
      <c r="G35" s="412">
        <v>14554.750641000001</v>
      </c>
      <c r="H35" s="412">
        <v>15103.473314000001</v>
      </c>
      <c r="I35" s="412">
        <v>14980</v>
      </c>
      <c r="J35" s="412">
        <v>14546</v>
      </c>
      <c r="K35" s="412">
        <v>13950.653437999999</v>
      </c>
      <c r="L35" s="412">
        <v>12968.051084000001</v>
      </c>
      <c r="M35" s="412">
        <v>11034.329040000001</v>
      </c>
      <c r="N35" s="412">
        <v>10528.845767000001</v>
      </c>
      <c r="O35" s="412">
        <v>10171.756998999999</v>
      </c>
      <c r="P35" s="412">
        <v>10526.407762229999</v>
      </c>
    </row>
    <row r="36" spans="2:16">
      <c r="B36" s="413" t="s">
        <v>464</v>
      </c>
      <c r="C36" s="428">
        <v>1143.429005</v>
      </c>
      <c r="D36" s="412">
        <v>1327</v>
      </c>
      <c r="E36" s="412">
        <v>1986</v>
      </c>
      <c r="F36" s="412">
        <v>2457</v>
      </c>
      <c r="G36" s="412">
        <v>3163.199169</v>
      </c>
      <c r="H36" s="412">
        <v>2814.0348650000001</v>
      </c>
      <c r="I36" s="412">
        <v>1815</v>
      </c>
      <c r="J36" s="412">
        <v>2021</v>
      </c>
      <c r="K36" s="412">
        <v>1557.077499</v>
      </c>
      <c r="L36" s="412">
        <v>1501.6866379999999</v>
      </c>
      <c r="M36" s="412">
        <v>1410.6694279999999</v>
      </c>
      <c r="N36" s="412">
        <v>944.78887199999997</v>
      </c>
      <c r="O36" s="412">
        <v>657.95309899999995</v>
      </c>
      <c r="P36" s="412">
        <v>589.08075298000006</v>
      </c>
    </row>
    <row r="37" spans="2:16">
      <c r="B37" s="413" t="s">
        <v>465</v>
      </c>
      <c r="C37" s="428">
        <v>1466.1487629999999</v>
      </c>
      <c r="D37" s="412">
        <v>1435</v>
      </c>
      <c r="E37" s="412">
        <v>1530</v>
      </c>
      <c r="F37" s="412">
        <v>1507</v>
      </c>
      <c r="G37" s="412">
        <v>1436.1537820000001</v>
      </c>
      <c r="H37" s="412">
        <v>1530.7514659999999</v>
      </c>
      <c r="I37" s="412">
        <v>1381</v>
      </c>
      <c r="J37" s="412">
        <v>1420</v>
      </c>
      <c r="K37" s="412">
        <v>1376.640885</v>
      </c>
      <c r="L37" s="412">
        <v>1338.481168</v>
      </c>
      <c r="M37" s="412">
        <v>1424.0888669999999</v>
      </c>
      <c r="N37" s="412">
        <v>1308.9687449999999</v>
      </c>
      <c r="O37" s="412">
        <v>1245.284987</v>
      </c>
      <c r="P37" s="412">
        <v>1208.9255964189879</v>
      </c>
    </row>
    <row r="38" spans="2:16">
      <c r="B38" s="413" t="s">
        <v>466</v>
      </c>
      <c r="C38" s="428">
        <v>27825.551872</v>
      </c>
      <c r="D38" s="412">
        <v>28242</v>
      </c>
      <c r="E38" s="412">
        <v>28485</v>
      </c>
      <c r="F38" s="412">
        <v>27820</v>
      </c>
      <c r="G38" s="412">
        <v>27573.646814</v>
      </c>
      <c r="H38" s="412">
        <v>27618.661767000001</v>
      </c>
      <c r="I38" s="412">
        <v>27293</v>
      </c>
      <c r="J38" s="412">
        <v>24912</v>
      </c>
      <c r="K38" s="412">
        <v>24611.071200999999</v>
      </c>
      <c r="L38" s="412">
        <v>24500.906522000001</v>
      </c>
      <c r="M38" s="412">
        <v>24235.144795</v>
      </c>
      <c r="N38" s="412">
        <v>23640.501744000001</v>
      </c>
      <c r="O38" s="412">
        <v>23081.603894</v>
      </c>
      <c r="P38" s="412">
        <v>22495.766742667325</v>
      </c>
    </row>
    <row r="39" spans="2:16">
      <c r="B39" s="413" t="s">
        <v>467</v>
      </c>
      <c r="C39" s="428">
        <v>850.33087</v>
      </c>
      <c r="D39" s="412">
        <v>842</v>
      </c>
      <c r="E39" s="412">
        <v>907</v>
      </c>
      <c r="F39" s="412">
        <v>1028</v>
      </c>
      <c r="G39" s="412">
        <v>1077.0105349999999</v>
      </c>
      <c r="H39" s="412">
        <v>1081.805378</v>
      </c>
      <c r="I39" s="412">
        <v>1071</v>
      </c>
      <c r="J39" s="412">
        <v>1166</v>
      </c>
      <c r="K39" s="412">
        <v>1195.326988</v>
      </c>
      <c r="L39" s="412">
        <v>1184.4344520000002</v>
      </c>
      <c r="M39" s="412">
        <v>1259.44281</v>
      </c>
      <c r="N39" s="412">
        <v>1352.932988</v>
      </c>
      <c r="O39" s="412">
        <v>1444.7846569999999</v>
      </c>
      <c r="P39" s="412">
        <v>1590.014714462784</v>
      </c>
    </row>
    <row r="40" spans="2:16">
      <c r="B40" s="413" t="s">
        <v>468</v>
      </c>
      <c r="C40" s="428">
        <v>0</v>
      </c>
      <c r="D40" s="412">
        <v>0</v>
      </c>
      <c r="E40" s="412">
        <v>0</v>
      </c>
      <c r="F40" s="412">
        <v>0</v>
      </c>
      <c r="G40" s="412">
        <v>2.53107580059</v>
      </c>
      <c r="H40" s="412">
        <v>2.53107580059</v>
      </c>
      <c r="I40" s="412">
        <v>3</v>
      </c>
      <c r="J40" s="412">
        <v>0</v>
      </c>
      <c r="K40" s="412">
        <v>0</v>
      </c>
      <c r="L40" s="412">
        <v>0</v>
      </c>
      <c r="M40" s="412">
        <v>0</v>
      </c>
      <c r="N40" s="412">
        <v>0</v>
      </c>
      <c r="O40" s="412">
        <v>0</v>
      </c>
      <c r="P40" s="412">
        <v>0</v>
      </c>
    </row>
    <row r="41" spans="2:16">
      <c r="B41" s="408" t="s">
        <v>469</v>
      </c>
      <c r="C41" s="426">
        <v>53387.414739</v>
      </c>
      <c r="D41" s="409">
        <v>52554</v>
      </c>
      <c r="E41" s="409">
        <v>52110</v>
      </c>
      <c r="F41" s="409">
        <v>52891</v>
      </c>
      <c r="G41" s="409">
        <v>52601.878528800589</v>
      </c>
      <c r="H41" s="409">
        <v>52947.830511800588</v>
      </c>
      <c r="I41" s="409">
        <v>51361</v>
      </c>
      <c r="J41" s="409">
        <v>48848</v>
      </c>
      <c r="K41" s="409">
        <v>47819.184899</v>
      </c>
      <c r="L41" s="409">
        <v>46697.366970999996</v>
      </c>
      <c r="M41" s="409">
        <v>44144.919915999999</v>
      </c>
      <c r="N41" s="409">
        <v>43314.513006000001</v>
      </c>
      <c r="O41" s="409">
        <v>41948.493917</v>
      </c>
      <c r="P41" s="409">
        <v>41820.382870709094</v>
      </c>
    </row>
    <row r="42" spans="2:16">
      <c r="B42" s="413"/>
      <c r="C42" s="428"/>
      <c r="D42" s="412"/>
      <c r="E42" s="412"/>
      <c r="F42" s="412"/>
      <c r="G42" s="412"/>
      <c r="H42" s="412"/>
      <c r="I42" s="412"/>
      <c r="J42" s="412"/>
      <c r="K42" s="412"/>
      <c r="L42" s="412"/>
      <c r="M42" s="412"/>
      <c r="N42" s="412"/>
      <c r="O42" s="412"/>
      <c r="P42" s="412"/>
    </row>
    <row r="43" spans="2:16">
      <c r="B43" s="413" t="s">
        <v>470</v>
      </c>
      <c r="C43" s="428">
        <v>20624.956847000001</v>
      </c>
      <c r="D43" s="412">
        <v>19770</v>
      </c>
      <c r="E43" s="412">
        <v>19705</v>
      </c>
      <c r="F43" s="412">
        <v>19324</v>
      </c>
      <c r="G43" s="412">
        <v>19419.33699</v>
      </c>
      <c r="H43" s="412">
        <v>18536.346997000001</v>
      </c>
      <c r="I43" s="412">
        <v>17972</v>
      </c>
      <c r="J43" s="412">
        <v>19918</v>
      </c>
      <c r="K43" s="412">
        <v>19596.794559000002</v>
      </c>
      <c r="L43" s="412">
        <v>17998.023391999999</v>
      </c>
      <c r="M43" s="412">
        <v>16405.282044</v>
      </c>
      <c r="N43" s="412">
        <v>16717.040118000001</v>
      </c>
      <c r="O43" s="412">
        <v>16600.437551999999</v>
      </c>
      <c r="P43" s="412">
        <v>16674.558599065898</v>
      </c>
    </row>
    <row r="44" spans="2:16">
      <c r="B44" s="413" t="s">
        <v>471</v>
      </c>
      <c r="C44" s="428">
        <v>2734.9640724999999</v>
      </c>
      <c r="D44" s="412">
        <v>2239</v>
      </c>
      <c r="E44" s="412">
        <v>1966</v>
      </c>
      <c r="F44" s="412">
        <v>2869</v>
      </c>
      <c r="G44" s="412">
        <v>3087.7946455000001</v>
      </c>
      <c r="H44" s="412">
        <v>2947.155248</v>
      </c>
      <c r="I44" s="412">
        <v>1881</v>
      </c>
      <c r="J44" s="412">
        <v>2024</v>
      </c>
      <c r="K44" s="412">
        <v>1959.741522</v>
      </c>
      <c r="L44" s="412">
        <v>1812.9278959999999</v>
      </c>
      <c r="M44" s="412">
        <v>1732.1153605</v>
      </c>
      <c r="N44" s="412">
        <v>1125.0209600000001</v>
      </c>
      <c r="O44" s="412">
        <v>1462.1319105</v>
      </c>
      <c r="P44" s="412">
        <v>1568.4010952633466</v>
      </c>
    </row>
    <row r="45" spans="2:16">
      <c r="B45" s="413" t="s">
        <v>472</v>
      </c>
      <c r="C45" s="428">
        <v>0</v>
      </c>
      <c r="D45" s="412">
        <v>0</v>
      </c>
      <c r="E45" s="412">
        <v>0</v>
      </c>
      <c r="F45" s="412">
        <v>0</v>
      </c>
      <c r="G45" s="412">
        <v>0</v>
      </c>
      <c r="H45" s="412">
        <v>0</v>
      </c>
      <c r="I45" s="412">
        <v>0</v>
      </c>
      <c r="J45" s="412">
        <v>0</v>
      </c>
      <c r="K45" s="412">
        <v>0</v>
      </c>
      <c r="L45" s="412">
        <v>0</v>
      </c>
      <c r="M45" s="412">
        <v>0</v>
      </c>
      <c r="N45" s="412">
        <v>0</v>
      </c>
      <c r="O45" s="412">
        <v>0</v>
      </c>
      <c r="P45" s="412">
        <v>0</v>
      </c>
    </row>
    <row r="46" spans="2:16">
      <c r="B46" s="413" t="s">
        <v>473</v>
      </c>
      <c r="C46" s="428">
        <v>6663.804838</v>
      </c>
      <c r="D46" s="412">
        <v>6664</v>
      </c>
      <c r="E46" s="412">
        <v>6664</v>
      </c>
      <c r="F46" s="412">
        <v>6659</v>
      </c>
      <c r="G46" s="412">
        <v>6658.5313749999996</v>
      </c>
      <c r="H46" s="412">
        <v>6658.5313749999996</v>
      </c>
      <c r="I46" s="412">
        <v>6659</v>
      </c>
      <c r="J46" s="412">
        <v>5869</v>
      </c>
      <c r="K46" s="412">
        <v>5868.9960629999996</v>
      </c>
      <c r="L46" s="412">
        <v>5868.9960629999996</v>
      </c>
      <c r="M46" s="412">
        <v>5222.0207879999998</v>
      </c>
      <c r="N46" s="412">
        <v>5222.0207879999998</v>
      </c>
      <c r="O46" s="412">
        <v>5222.0207879999998</v>
      </c>
      <c r="P46" s="412">
        <v>5222.020794012501</v>
      </c>
    </row>
    <row r="47" spans="2:16">
      <c r="B47" s="413" t="s">
        <v>487</v>
      </c>
      <c r="C47" s="428">
        <v>0</v>
      </c>
      <c r="D47" s="412">
        <v>0</v>
      </c>
      <c r="E47" s="412">
        <v>0</v>
      </c>
      <c r="F47" s="412">
        <v>0</v>
      </c>
      <c r="G47" s="412">
        <v>0</v>
      </c>
      <c r="H47" s="412">
        <v>0</v>
      </c>
      <c r="I47" s="412">
        <v>0</v>
      </c>
      <c r="J47" s="412">
        <v>2946</v>
      </c>
      <c r="K47" s="412">
        <v>3196.3506750000001</v>
      </c>
      <c r="L47" s="412">
        <v>3354.8729250000001</v>
      </c>
      <c r="M47" s="412">
        <v>7494.5267130000002</v>
      </c>
      <c r="N47" s="412">
        <v>8825.0737879999997</v>
      </c>
      <c r="O47" s="412">
        <v>8721.9471630000007</v>
      </c>
      <c r="P47" s="412">
        <v>6883.9894578169324</v>
      </c>
    </row>
    <row r="48" spans="2:16">
      <c r="B48" s="408" t="s">
        <v>474</v>
      </c>
      <c r="C48" s="426">
        <v>83411.140496499997</v>
      </c>
      <c r="D48" s="409">
        <v>81227</v>
      </c>
      <c r="E48" s="409">
        <v>80445</v>
      </c>
      <c r="F48" s="409">
        <v>81743</v>
      </c>
      <c r="G48" s="409">
        <v>81767.541539300597</v>
      </c>
      <c r="H48" s="409">
        <v>81089.864131800583</v>
      </c>
      <c r="I48" s="409">
        <v>77873</v>
      </c>
      <c r="J48" s="409">
        <v>79605</v>
      </c>
      <c r="K48" s="409">
        <v>78441.067717999991</v>
      </c>
      <c r="L48" s="409">
        <v>75732.187246999994</v>
      </c>
      <c r="M48" s="409">
        <v>74998.864821499999</v>
      </c>
      <c r="N48" s="409">
        <v>75203.668659999996</v>
      </c>
      <c r="O48" s="409">
        <v>73955.031330500002</v>
      </c>
      <c r="P48" s="409">
        <v>72169.352816867773</v>
      </c>
    </row>
    <row r="49" spans="2:16">
      <c r="B49" s="408" t="s">
        <v>475</v>
      </c>
      <c r="C49" s="426">
        <v>6672.8912397200002</v>
      </c>
      <c r="D49" s="409">
        <v>6498</v>
      </c>
      <c r="E49" s="409">
        <v>6436</v>
      </c>
      <c r="F49" s="409">
        <v>6539</v>
      </c>
      <c r="G49" s="409">
        <v>6541.403323144048</v>
      </c>
      <c r="H49" s="409">
        <v>6487.1891305440467</v>
      </c>
      <c r="I49" s="409">
        <v>6230</v>
      </c>
      <c r="J49" s="409">
        <v>6368</v>
      </c>
      <c r="K49" s="409">
        <v>6275.285417439999</v>
      </c>
      <c r="L49" s="409">
        <v>6058.5749797599992</v>
      </c>
      <c r="M49" s="409">
        <v>5999.9091857200001</v>
      </c>
      <c r="N49" s="409">
        <v>6016.2934927999995</v>
      </c>
      <c r="O49" s="409">
        <v>5916.4025064400003</v>
      </c>
      <c r="P49" s="409">
        <v>5773.548225349422</v>
      </c>
    </row>
    <row r="50" spans="2:16">
      <c r="B50" s="413"/>
      <c r="C50" s="430"/>
      <c r="D50" s="46"/>
      <c r="E50" s="46"/>
      <c r="F50" s="46"/>
      <c r="G50" s="46"/>
      <c r="H50" s="46"/>
      <c r="I50" s="46"/>
      <c r="J50" s="46"/>
      <c r="K50" s="46"/>
      <c r="L50" s="46"/>
      <c r="M50" s="46"/>
      <c r="N50" s="46"/>
      <c r="O50" s="46"/>
      <c r="P50" s="46"/>
    </row>
    <row r="51" spans="2:16">
      <c r="B51" s="408" t="s">
        <v>476</v>
      </c>
      <c r="C51" s="435">
        <v>1501.4005289369998</v>
      </c>
      <c r="D51" s="409">
        <v>1462</v>
      </c>
      <c r="E51" s="409">
        <v>1448</v>
      </c>
      <c r="F51" s="409">
        <v>1471</v>
      </c>
      <c r="G51" s="409">
        <v>1471.8157477074105</v>
      </c>
      <c r="H51" s="409">
        <v>1459.6175543724105</v>
      </c>
      <c r="I51" s="409">
        <v>1402</v>
      </c>
      <c r="J51" s="409">
        <v>1433</v>
      </c>
      <c r="K51" s="409">
        <v>1411.9392189239998</v>
      </c>
      <c r="L51" s="409">
        <v>1363.1793704459999</v>
      </c>
      <c r="M51" s="409">
        <v>1349.9795667869998</v>
      </c>
      <c r="N51" s="409">
        <v>1353.6660358799998</v>
      </c>
      <c r="O51" s="409">
        <v>1331.1905639489999</v>
      </c>
      <c r="P51" s="409">
        <v>1299.0483507036201</v>
      </c>
    </row>
    <row r="52" spans="2:16">
      <c r="B52" s="413"/>
      <c r="C52" s="433"/>
      <c r="D52" s="412"/>
      <c r="E52" s="412"/>
      <c r="F52" s="412"/>
      <c r="G52" s="412"/>
      <c r="H52" s="412"/>
      <c r="I52" s="412"/>
      <c r="J52" s="412"/>
      <c r="K52" s="412"/>
      <c r="L52" s="412"/>
      <c r="M52" s="412"/>
      <c r="N52" s="412"/>
      <c r="O52" s="412"/>
      <c r="P52" s="412"/>
    </row>
    <row r="53" spans="2:16">
      <c r="B53" s="410" t="s">
        <v>477</v>
      </c>
      <c r="C53" s="430"/>
      <c r="D53" s="412"/>
      <c r="E53" s="412"/>
      <c r="F53" s="412"/>
      <c r="G53" s="412"/>
      <c r="H53" s="412"/>
      <c r="I53" s="412"/>
      <c r="J53" s="412"/>
      <c r="K53" s="412"/>
      <c r="L53" s="412"/>
      <c r="M53" s="412"/>
      <c r="N53" s="412"/>
      <c r="O53" s="412"/>
      <c r="P53" s="412"/>
    </row>
    <row r="54" spans="2:16">
      <c r="B54" s="413" t="s">
        <v>509</v>
      </c>
      <c r="C54" s="428">
        <v>2085.2785124124998</v>
      </c>
      <c r="D54" s="412">
        <v>2031</v>
      </c>
      <c r="E54" s="412">
        <v>2011</v>
      </c>
      <c r="F54" s="412">
        <v>2044</v>
      </c>
      <c r="G54" s="412">
        <v>2044.188538482515</v>
      </c>
      <c r="H54" s="412">
        <v>2027.2466032950147</v>
      </c>
      <c r="I54" s="412">
        <v>1947</v>
      </c>
      <c r="J54" s="412">
        <v>1990</v>
      </c>
      <c r="K54" s="412">
        <v>1961.0266929499999</v>
      </c>
      <c r="L54" s="412">
        <v>1893.304681175</v>
      </c>
      <c r="M54" s="412">
        <v>1874.9716205375</v>
      </c>
      <c r="N54" s="412">
        <v>1880.0917165000001</v>
      </c>
      <c r="O54" s="412">
        <v>1848.8757832625001</v>
      </c>
      <c r="P54" s="412">
        <v>1804.2338204216944</v>
      </c>
    </row>
    <row r="55" spans="2:16">
      <c r="B55" s="466" t="s">
        <v>510</v>
      </c>
      <c r="C55" s="158">
        <v>834.11140496500002</v>
      </c>
      <c r="D55" s="46">
        <v>812</v>
      </c>
      <c r="E55" s="46">
        <v>804</v>
      </c>
      <c r="F55" s="46">
        <v>817</v>
      </c>
      <c r="G55" s="46">
        <v>817.67541539300601</v>
      </c>
      <c r="H55" s="46">
        <v>810.89864131800584</v>
      </c>
      <c r="I55" s="46">
        <v>1947</v>
      </c>
      <c r="J55" s="46">
        <v>1592</v>
      </c>
      <c r="K55" s="46">
        <v>1568.8213543599998</v>
      </c>
      <c r="L55" s="46">
        <v>1514.6437449399998</v>
      </c>
      <c r="M55" s="46">
        <v>1499.97729643</v>
      </c>
      <c r="N55" s="46">
        <v>1504.0733731999999</v>
      </c>
      <c r="O55" s="46">
        <v>1479.1006266100001</v>
      </c>
      <c r="P55" s="46">
        <v>1443.3870563373555</v>
      </c>
    </row>
    <row r="56" spans="2:16">
      <c r="B56" s="466" t="s">
        <v>511</v>
      </c>
      <c r="C56" s="158">
        <v>3670.0901818459997</v>
      </c>
      <c r="D56" s="46">
        <v>3655</v>
      </c>
      <c r="E56" s="46">
        <v>3459</v>
      </c>
      <c r="F56" s="46">
        <v>2452</v>
      </c>
      <c r="G56" s="46">
        <v>2453.026246179018</v>
      </c>
      <c r="H56" s="46">
        <v>2432.6959239540174</v>
      </c>
      <c r="I56" s="46">
        <v>2336</v>
      </c>
      <c r="J56" s="46">
        <v>2388</v>
      </c>
      <c r="K56" s="46">
        <v>2353.2320315399998</v>
      </c>
      <c r="L56" s="46">
        <v>2271.9656174099996</v>
      </c>
      <c r="M56" s="46">
        <v>2249.965944645</v>
      </c>
      <c r="N56" s="46">
        <v>2256.1100597999998</v>
      </c>
      <c r="O56" s="46">
        <v>2218.650939915</v>
      </c>
      <c r="P56" s="46">
        <v>2165.0805845060331</v>
      </c>
    </row>
    <row r="57" spans="2:16">
      <c r="B57" s="413" t="s">
        <v>519</v>
      </c>
      <c r="C57" s="163">
        <v>4.3999999999999997E-2</v>
      </c>
      <c r="D57" s="61">
        <v>4.4999999999999998E-2</v>
      </c>
      <c r="E57" s="61">
        <v>4.2999999999999997E-2</v>
      </c>
      <c r="F57" s="61">
        <v>0.03</v>
      </c>
      <c r="G57" s="61">
        <v>0.03</v>
      </c>
      <c r="H57" s="61">
        <v>0.03</v>
      </c>
      <c r="I57" s="61">
        <v>0.03</v>
      </c>
      <c r="J57" s="61">
        <v>0.03</v>
      </c>
      <c r="K57" s="61">
        <v>0.03</v>
      </c>
      <c r="L57" s="61">
        <v>0.03</v>
      </c>
      <c r="M57" s="61">
        <v>0.03</v>
      </c>
      <c r="N57" s="61">
        <v>0.03</v>
      </c>
      <c r="O57" s="61">
        <v>0.03</v>
      </c>
      <c r="P57" s="61">
        <v>0.03</v>
      </c>
    </row>
    <row r="58" spans="2:16">
      <c r="B58" s="408" t="s">
        <v>512</v>
      </c>
      <c r="C58" s="426">
        <v>6589.4800992234996</v>
      </c>
      <c r="D58" s="409">
        <v>6498</v>
      </c>
      <c r="E58" s="409">
        <v>6275</v>
      </c>
      <c r="F58" s="409">
        <v>5313</v>
      </c>
      <c r="G58" s="409">
        <v>5314.8902000545386</v>
      </c>
      <c r="H58" s="409">
        <v>5270.841168567038</v>
      </c>
      <c r="I58" s="409">
        <v>6230</v>
      </c>
      <c r="J58" s="409">
        <v>5970</v>
      </c>
      <c r="K58" s="409">
        <v>5883.0800788500001</v>
      </c>
      <c r="L58" s="409">
        <v>5679.9140435249992</v>
      </c>
      <c r="M58" s="409">
        <v>5624.9148616125003</v>
      </c>
      <c r="N58" s="409">
        <v>5640.2751494999993</v>
      </c>
      <c r="O58" s="409">
        <v>5546.6273497875</v>
      </c>
      <c r="P58" s="409">
        <v>5412.7014612650828</v>
      </c>
    </row>
    <row r="59" spans="2:16">
      <c r="B59" s="467"/>
      <c r="C59" s="468"/>
      <c r="D59" s="47"/>
      <c r="E59" s="47"/>
      <c r="F59" s="47"/>
      <c r="G59" s="47"/>
      <c r="H59" s="47"/>
      <c r="I59" s="47"/>
      <c r="J59" s="47"/>
      <c r="K59" s="47"/>
      <c r="L59" s="47"/>
      <c r="M59" s="47"/>
      <c r="N59" s="47"/>
      <c r="O59" s="47"/>
      <c r="P59" s="47"/>
    </row>
    <row r="60" spans="2:16">
      <c r="B60" s="410" t="s">
        <v>520</v>
      </c>
      <c r="C60" s="469">
        <v>0.14200000000000002</v>
      </c>
      <c r="D60" s="470">
        <v>0.14299999999999999</v>
      </c>
      <c r="E60" s="470">
        <v>0.14099999999999999</v>
      </c>
      <c r="F60" s="470">
        <v>0.128</v>
      </c>
      <c r="G60" s="470">
        <v>0.128</v>
      </c>
      <c r="H60" s="470">
        <v>0.128</v>
      </c>
      <c r="I60" s="470">
        <v>0.14299999999999999</v>
      </c>
      <c r="J60" s="470">
        <v>0.13800000000000001</v>
      </c>
      <c r="K60" s="470">
        <v>0.13800000000000001</v>
      </c>
      <c r="L60" s="470">
        <v>0.13800000000000001</v>
      </c>
      <c r="M60" s="470">
        <v>0.13800000000000001</v>
      </c>
      <c r="N60" s="470">
        <v>0.13800000000000001</v>
      </c>
      <c r="O60" s="470">
        <v>0.13800000000000001</v>
      </c>
      <c r="P60" s="470">
        <v>0.13800000000000001</v>
      </c>
    </row>
    <row r="61" spans="2:16">
      <c r="B61" s="420" t="s">
        <v>513</v>
      </c>
      <c r="C61" s="426">
        <v>3011.2405435545406</v>
      </c>
      <c r="D61" s="409">
        <v>2806</v>
      </c>
      <c r="E61" s="409">
        <v>2992</v>
      </c>
      <c r="F61" s="409">
        <v>3679</v>
      </c>
      <c r="G61" s="409">
        <v>3548.55534817234</v>
      </c>
      <c r="H61" s="409">
        <v>3438.5649423685409</v>
      </c>
      <c r="I61" s="409">
        <v>2294</v>
      </c>
      <c r="J61" s="409">
        <v>2344</v>
      </c>
      <c r="K61" s="409">
        <v>2261.7849374492889</v>
      </c>
      <c r="L61" s="409">
        <v>2350.0631794658166</v>
      </c>
      <c r="M61" s="409">
        <v>2216.5110406824097</v>
      </c>
      <c r="N61" s="409">
        <v>1544.0286258705346</v>
      </c>
      <c r="O61" s="409">
        <v>1681.0995178149333</v>
      </c>
      <c r="P61" s="409">
        <v>1714</v>
      </c>
    </row>
    <row r="62" spans="2:16">
      <c r="B62" s="413"/>
      <c r="C62" s="436"/>
      <c r="D62" s="421"/>
      <c r="E62" s="421"/>
      <c r="F62" s="421"/>
      <c r="G62" s="421"/>
      <c r="H62" s="421"/>
      <c r="I62" s="421"/>
      <c r="J62" s="421"/>
      <c r="K62" s="421"/>
      <c r="L62" s="421"/>
      <c r="M62" s="421"/>
      <c r="N62" s="421"/>
      <c r="O62" s="421"/>
      <c r="P62" s="421"/>
    </row>
    <row r="63" spans="2:16">
      <c r="B63" s="410" t="s">
        <v>478</v>
      </c>
      <c r="C63" s="437"/>
      <c r="D63" s="421"/>
      <c r="E63" s="421"/>
      <c r="F63" s="421"/>
      <c r="G63" s="421"/>
      <c r="H63" s="421"/>
      <c r="I63" s="421"/>
      <c r="J63" s="421"/>
      <c r="K63" s="421"/>
      <c r="L63" s="421"/>
      <c r="M63" s="421"/>
      <c r="N63" s="421"/>
      <c r="O63" s="421"/>
      <c r="P63" s="421"/>
    </row>
    <row r="64" spans="2:16">
      <c r="B64" s="422" t="s">
        <v>479</v>
      </c>
      <c r="C64" s="438">
        <v>0.17810117935842029</v>
      </c>
      <c r="D64" s="423">
        <v>0.17799999999999999</v>
      </c>
      <c r="E64" s="423">
        <v>0.17799999999999999</v>
      </c>
      <c r="F64" s="423">
        <v>0.17299999999999999</v>
      </c>
      <c r="G64" s="423">
        <v>0.17139809270732162</v>
      </c>
      <c r="H64" s="423">
        <v>0.17040437419872376</v>
      </c>
      <c r="I64" s="423">
        <v>0.17199999999999999</v>
      </c>
      <c r="J64" s="423">
        <v>0.16700000000000001</v>
      </c>
      <c r="K64" s="423">
        <v>0.16683419365963417</v>
      </c>
      <c r="L64" s="423">
        <v>0.16903123341467879</v>
      </c>
      <c r="M64" s="423">
        <v>0.16755392786221213</v>
      </c>
      <c r="N64" s="423">
        <v>0.15853129392997004</v>
      </c>
      <c r="O64" s="423">
        <v>0.16073137456060582</v>
      </c>
      <c r="P64" s="423">
        <v>0.16174675708985606</v>
      </c>
    </row>
    <row r="65" spans="2:16">
      <c r="B65" s="422" t="s">
        <v>480</v>
      </c>
      <c r="C65" s="439">
        <v>0.18791794083977356</v>
      </c>
      <c r="D65" s="424">
        <v>0.188</v>
      </c>
      <c r="E65" s="424">
        <v>0.188</v>
      </c>
      <c r="F65" s="424">
        <v>0.183</v>
      </c>
      <c r="G65" s="424">
        <v>0.18172422207339059</v>
      </c>
      <c r="H65" s="424">
        <v>0.17656301131568714</v>
      </c>
      <c r="I65" s="424">
        <v>0.17899999999999999</v>
      </c>
      <c r="J65" s="424">
        <v>0.17699999999999999</v>
      </c>
      <c r="K65" s="424">
        <v>0.17315969229951719</v>
      </c>
      <c r="L65" s="424">
        <v>0.17488388213557288</v>
      </c>
      <c r="M65" s="424">
        <v>0.17614814863582226</v>
      </c>
      <c r="N65" s="424">
        <v>0.16730043809209208</v>
      </c>
      <c r="O65" s="424">
        <v>0.16920918599169132</v>
      </c>
      <c r="P65" s="424">
        <v>0.17027611418028196</v>
      </c>
    </row>
    <row r="66" spans="2:16">
      <c r="B66" s="422" t="s">
        <v>481</v>
      </c>
      <c r="C66" s="439">
        <v>0.20670895600869113</v>
      </c>
      <c r="D66" s="424">
        <v>0.20699999999999999</v>
      </c>
      <c r="E66" s="424">
        <v>0.20799999999999999</v>
      </c>
      <c r="F66" s="424">
        <v>0.20200000000000001</v>
      </c>
      <c r="G66" s="424">
        <v>0.20078948111999259</v>
      </c>
      <c r="H66" s="424">
        <v>0.19586465825367622</v>
      </c>
      <c r="I66" s="424">
        <v>0.19800000000000001</v>
      </c>
      <c r="J66" s="424">
        <v>0.19700000000000001</v>
      </c>
      <c r="K66" s="424">
        <v>0.19099224797868575</v>
      </c>
      <c r="L66" s="424">
        <v>0.19378931454724868</v>
      </c>
      <c r="M66" s="424">
        <v>0.19563394435957501</v>
      </c>
      <c r="N66" s="424">
        <v>0.1871846901724081</v>
      </c>
      <c r="O66" s="424">
        <v>0.19320302052973701</v>
      </c>
      <c r="P66" s="424">
        <v>0.1943736619626909</v>
      </c>
    </row>
    <row r="67" spans="2:16">
      <c r="B67" s="425" t="s">
        <v>482</v>
      </c>
      <c r="C67" s="439">
        <v>7.0799013988265977E-2</v>
      </c>
      <c r="D67" s="424">
        <v>7.0999999999999994E-2</v>
      </c>
      <c r="E67" s="424">
        <v>7.1999999999999995E-2</v>
      </c>
      <c r="F67" s="424">
        <v>7.0999999999999994E-2</v>
      </c>
      <c r="G67" s="424">
        <v>7.068385915709062E-2</v>
      </c>
      <c r="H67" s="424">
        <v>7.0352404801812804E-2</v>
      </c>
      <c r="I67" s="424">
        <v>7.1999999999999995E-2</v>
      </c>
      <c r="J67" s="424">
        <v>7.3999999999999996E-2</v>
      </c>
      <c r="K67" s="424">
        <v>7.2944745677482672E-2</v>
      </c>
      <c r="L67" s="424">
        <v>7.3651490467500288E-2</v>
      </c>
      <c r="M67" s="424">
        <v>7.5119866566402738E-2</v>
      </c>
      <c r="N67" s="424">
        <v>7.2492699823943921E-2</v>
      </c>
      <c r="O67" s="424">
        <v>7.2903356386416956E-2</v>
      </c>
      <c r="P67" s="424">
        <v>7.3288442137376925E-2</v>
      </c>
    </row>
  </sheetData>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5"/>
  <sheetViews>
    <sheetView showGridLines="0" zoomScale="85" zoomScaleNormal="85" workbookViewId="0">
      <selection activeCell="A164" sqref="A164"/>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493</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75</v>
      </c>
      <c r="D4" s="234" t="s">
        <v>521</v>
      </c>
      <c r="E4" s="235" t="s">
        <v>484</v>
      </c>
      <c r="F4" s="235" t="s">
        <v>409</v>
      </c>
      <c r="G4" s="235" t="s">
        <v>396</v>
      </c>
      <c r="H4" s="235" t="s">
        <v>383</v>
      </c>
    </row>
    <row r="5" spans="1:16" ht="14.25" customHeight="1">
      <c r="A5" s="20"/>
      <c r="B5" s="104"/>
      <c r="C5" s="104" t="s">
        <v>14</v>
      </c>
      <c r="D5" s="165">
        <v>541.89793853999947</v>
      </c>
      <c r="E5" s="105">
        <v>534.88565628000003</v>
      </c>
      <c r="F5" s="105">
        <v>549.13812258000019</v>
      </c>
      <c r="G5" s="105">
        <v>535.78626426999972</v>
      </c>
      <c r="H5" s="105">
        <v>498.0970762</v>
      </c>
    </row>
    <row r="6" spans="1:16" ht="14.25" customHeight="1">
      <c r="B6" s="104"/>
      <c r="C6" s="109" t="s">
        <v>70</v>
      </c>
      <c r="D6" s="166">
        <v>113.28816130000001</v>
      </c>
      <c r="E6" s="182">
        <v>107.95459314999997</v>
      </c>
      <c r="F6" s="182">
        <v>131.01541984000002</v>
      </c>
      <c r="G6" s="182">
        <v>116.03408038000002</v>
      </c>
      <c r="H6" s="112">
        <v>41.550429529999995</v>
      </c>
    </row>
    <row r="7" spans="1:16" ht="14.25" customHeight="1">
      <c r="B7" s="104"/>
      <c r="C7" s="110" t="s">
        <v>71</v>
      </c>
      <c r="D7" s="167">
        <f>SUM(D5:D6)</f>
        <v>655.18609983999954</v>
      </c>
      <c r="E7" s="183">
        <f>SUM(E5:E6)</f>
        <v>642.84024942999997</v>
      </c>
      <c r="F7" s="183">
        <f>SUM(F5:F6)</f>
        <v>680.15354242000024</v>
      </c>
      <c r="G7" s="183">
        <f>SUM(G5:G6)</f>
        <v>651.8203446499997</v>
      </c>
      <c r="H7" s="111">
        <v>673.45152168000004</v>
      </c>
    </row>
    <row r="8" spans="1:16" ht="15">
      <c r="B8" s="106"/>
      <c r="C8" s="106" t="s">
        <v>72</v>
      </c>
      <c r="D8" s="168">
        <v>1.44E-2</v>
      </c>
      <c r="E8" s="184">
        <v>1.46E-2</v>
      </c>
      <c r="F8" s="184">
        <v>1.4800000000000001E-2</v>
      </c>
      <c r="G8" s="184">
        <v>1.44E-2</v>
      </c>
      <c r="H8" s="107">
        <v>1.38E-2</v>
      </c>
    </row>
    <row r="9" spans="1:16" ht="15">
      <c r="B9" s="106"/>
      <c r="C9" s="185"/>
      <c r="D9" s="186">
        <f>H8</f>
        <v>1.38E-2</v>
      </c>
      <c r="E9" s="186">
        <f>G8</f>
        <v>1.44E-2</v>
      </c>
      <c r="F9" s="186">
        <f>F8</f>
        <v>1.4800000000000001E-2</v>
      </c>
      <c r="G9" s="186">
        <f>E8</f>
        <v>1.46E-2</v>
      </c>
      <c r="H9" s="186">
        <f>D8</f>
        <v>1.44E-2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494</v>
      </c>
    </row>
    <row r="44" spans="1:10">
      <c r="D44" s="190"/>
      <c r="E44" s="190"/>
      <c r="F44" s="190"/>
      <c r="G44" s="190"/>
      <c r="H44" s="190"/>
    </row>
    <row r="45" spans="1:10">
      <c r="C45" s="108" t="s">
        <v>76</v>
      </c>
      <c r="D45" s="234" t="s">
        <v>521</v>
      </c>
      <c r="E45" s="170" t="s">
        <v>484</v>
      </c>
      <c r="F45" s="170" t="s">
        <v>409</v>
      </c>
      <c r="G45" s="170" t="s">
        <v>396</v>
      </c>
      <c r="H45" s="170" t="s">
        <v>383</v>
      </c>
    </row>
    <row r="46" spans="1:10" ht="15">
      <c r="C46" s="144" t="s">
        <v>70</v>
      </c>
      <c r="D46" s="366">
        <f>D6</f>
        <v>113.28816130000001</v>
      </c>
      <c r="E46" s="368">
        <v>107.95459314999997</v>
      </c>
      <c r="F46" s="368">
        <f>F6</f>
        <v>131.01541984000002</v>
      </c>
      <c r="G46" s="369">
        <v>116.03408038000002</v>
      </c>
      <c r="H46" s="369">
        <v>41.550429529999995</v>
      </c>
      <c r="I46" s="190"/>
      <c r="J46" s="190"/>
    </row>
    <row r="47" spans="1:10" ht="15">
      <c r="C47" s="144" t="s">
        <v>86</v>
      </c>
      <c r="D47" s="366">
        <v>11.051273999999999</v>
      </c>
      <c r="E47" s="370">
        <v>15.25033047</v>
      </c>
      <c r="F47" s="370">
        <v>13.687484</v>
      </c>
      <c r="G47" s="370">
        <v>14.295226000000001</v>
      </c>
      <c r="H47" s="370">
        <v>14.097383799999999</v>
      </c>
      <c r="I47" s="190"/>
      <c r="J47" s="190"/>
    </row>
    <row r="48" spans="1:10">
      <c r="C48" s="144" t="s">
        <v>87</v>
      </c>
      <c r="D48" s="367">
        <v>32.38791719000001</v>
      </c>
      <c r="E48" s="145">
        <v>23.942271430000016</v>
      </c>
      <c r="F48" s="145">
        <v>38.872279470000009</v>
      </c>
      <c r="G48" s="145">
        <v>27.183375469999991</v>
      </c>
      <c r="H48" s="145">
        <v>23.26165228</v>
      </c>
      <c r="I48" s="190"/>
      <c r="J48" s="190"/>
    </row>
    <row r="49" spans="3:10">
      <c r="C49" s="144" t="s">
        <v>88</v>
      </c>
      <c r="D49" s="171">
        <v>64.605286939999999</v>
      </c>
      <c r="E49" s="145">
        <v>65.463808380000017</v>
      </c>
      <c r="F49" s="145">
        <v>64.050199190000015</v>
      </c>
      <c r="G49" s="145">
        <v>57.627777260000023</v>
      </c>
      <c r="H49" s="145">
        <v>55.386316669999992</v>
      </c>
      <c r="I49" s="190"/>
      <c r="J49" s="190"/>
    </row>
    <row r="50" spans="3:10">
      <c r="C50" s="144" t="s">
        <v>89</v>
      </c>
      <c r="D50" s="171">
        <v>106.23761298000001</v>
      </c>
      <c r="E50" s="145">
        <v>80.888476979999993</v>
      </c>
      <c r="F50" s="145">
        <v>77.588826149999989</v>
      </c>
      <c r="G50" s="145">
        <v>101.95162042999999</v>
      </c>
      <c r="H50" s="145">
        <v>84.016227420000007</v>
      </c>
      <c r="I50" s="190"/>
      <c r="J50" s="190"/>
    </row>
    <row r="51" spans="3:10">
      <c r="C51" s="144" t="s">
        <v>90</v>
      </c>
      <c r="D51" s="171">
        <v>50.875800630000008</v>
      </c>
      <c r="E51" s="145">
        <v>52.215935049999999</v>
      </c>
      <c r="F51" s="145">
        <v>43.623899200000011</v>
      </c>
      <c r="G51" s="145">
        <v>39.804018680000006</v>
      </c>
      <c r="H51" s="145">
        <v>49.477726210000007</v>
      </c>
      <c r="I51" s="190"/>
      <c r="J51" s="190"/>
    </row>
    <row r="52" spans="3:10">
      <c r="C52" s="146" t="s">
        <v>91</v>
      </c>
      <c r="D52" s="172">
        <v>37.170782560000013</v>
      </c>
      <c r="E52" s="178">
        <v>32.873121000000026</v>
      </c>
      <c r="F52" s="178">
        <v>37.224553380000003</v>
      </c>
      <c r="G52" s="147">
        <v>35.241983420000004</v>
      </c>
      <c r="H52" s="147">
        <v>32.501328249999979</v>
      </c>
      <c r="I52" s="190"/>
      <c r="J52" s="190"/>
    </row>
    <row r="53" spans="3:10">
      <c r="C53" s="142" t="s">
        <v>92</v>
      </c>
      <c r="D53" s="173">
        <f>SUM(D46:D52)</f>
        <v>415.61683560000006</v>
      </c>
      <c r="E53" s="181">
        <f>SUM(E46:E52)</f>
        <v>378.58853646</v>
      </c>
      <c r="F53" s="181">
        <f t="shared" ref="F53:H53" si="0">SUM(F46:F52)</f>
        <v>406.06266123</v>
      </c>
      <c r="G53" s="148">
        <f t="shared" si="0"/>
        <v>392.13808164</v>
      </c>
      <c r="H53" s="148">
        <f t="shared" si="0"/>
        <v>300.29106415999996</v>
      </c>
    </row>
    <row r="54" spans="3:10">
      <c r="C54" s="236"/>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495</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97</v>
      </c>
      <c r="D93" s="234" t="s">
        <v>521</v>
      </c>
      <c r="E93" s="170" t="s">
        <v>484</v>
      </c>
      <c r="F93" s="170" t="s">
        <v>409</v>
      </c>
      <c r="G93" s="170" t="s">
        <v>396</v>
      </c>
      <c r="H93" s="170" t="s">
        <v>383</v>
      </c>
      <c r="K93" s="190"/>
      <c r="L93" s="190"/>
      <c r="M93" s="190"/>
      <c r="N93" s="190"/>
      <c r="O93" s="190"/>
      <c r="P93" s="190"/>
    </row>
    <row r="94" spans="1:16">
      <c r="C94" s="144" t="s">
        <v>19</v>
      </c>
      <c r="D94" s="171">
        <v>9.261057619999999</v>
      </c>
      <c r="E94" s="180">
        <v>11.05883128</v>
      </c>
      <c r="F94" s="180">
        <v>28.599771950000001</v>
      </c>
      <c r="G94" s="180">
        <v>0.52473499000000001</v>
      </c>
      <c r="H94" s="180">
        <v>0.20983959000000141</v>
      </c>
      <c r="I94" s="190"/>
      <c r="J94" s="190"/>
      <c r="K94" s="190"/>
      <c r="L94" s="190"/>
    </row>
    <row r="95" spans="1:16">
      <c r="C95" s="144" t="s">
        <v>20</v>
      </c>
      <c r="D95" s="171">
        <v>110.53405205</v>
      </c>
      <c r="E95" s="180">
        <v>58.729093169999999</v>
      </c>
      <c r="F95" s="180">
        <v>63.380853089999974</v>
      </c>
      <c r="G95" s="180">
        <v>87.893367530000006</v>
      </c>
      <c r="H95" s="180">
        <v>128.18699436000003</v>
      </c>
      <c r="J95" s="190"/>
      <c r="K95" s="190"/>
      <c r="L95" s="190"/>
    </row>
    <row r="96" spans="1:16">
      <c r="C96" s="146" t="s">
        <v>21</v>
      </c>
      <c r="D96" s="172">
        <v>61.638719260000038</v>
      </c>
      <c r="E96" s="178">
        <v>37.816308909999968</v>
      </c>
      <c r="F96" s="178">
        <v>54.517827030000063</v>
      </c>
      <c r="G96" s="178">
        <v>44.820131629999821</v>
      </c>
      <c r="H96" s="178">
        <v>185.3272080200002</v>
      </c>
      <c r="J96" s="190"/>
      <c r="K96" s="190"/>
      <c r="L96" s="190"/>
    </row>
    <row r="97" spans="1:16">
      <c r="C97" s="142" t="s">
        <v>18</v>
      </c>
      <c r="D97" s="173">
        <f>SUM(D94:D96)</f>
        <v>181.43382893000003</v>
      </c>
      <c r="E97" s="181">
        <f>SUM(E94:E96)</f>
        <v>107.60423335999997</v>
      </c>
      <c r="F97" s="181">
        <f>SUM(F94:F96)</f>
        <v>146.49845207000004</v>
      </c>
      <c r="G97" s="181">
        <f t="shared" ref="G97:H97" si="1">SUM(G94:G96)</f>
        <v>133.23823414999981</v>
      </c>
      <c r="H97" s="181">
        <f t="shared" si="1"/>
        <v>313.72404197000026</v>
      </c>
    </row>
    <row r="98" spans="1:16">
      <c r="D98" s="190"/>
      <c r="E98" s="190"/>
      <c r="F98" s="190"/>
      <c r="G98" s="190"/>
      <c r="H98" s="190"/>
    </row>
    <row r="99" spans="1:16">
      <c r="E99" s="190"/>
      <c r="G99" s="190"/>
    </row>
    <row r="103" spans="1:16" ht="15">
      <c r="A103" s="20" t="s">
        <v>496</v>
      </c>
    </row>
    <row r="104" spans="1:16">
      <c r="A104" s="237"/>
    </row>
    <row r="106" spans="1:16">
      <c r="C106" s="108" t="s">
        <v>98</v>
      </c>
      <c r="D106" s="234" t="s">
        <v>521</v>
      </c>
      <c r="E106" s="170" t="s">
        <v>484</v>
      </c>
      <c r="F106" s="170" t="s">
        <v>409</v>
      </c>
      <c r="G106" s="170" t="s">
        <v>396</v>
      </c>
      <c r="H106" s="170" t="s">
        <v>383</v>
      </c>
    </row>
    <row r="107" spans="1:16">
      <c r="C107" s="144" t="s">
        <v>99</v>
      </c>
      <c r="D107" s="171">
        <v>595.35200000000009</v>
      </c>
      <c r="E107" s="180">
        <v>495.78199999999998</v>
      </c>
      <c r="F107" s="180">
        <v>377.06299999999999</v>
      </c>
      <c r="G107" s="180">
        <v>299.14499999999998</v>
      </c>
      <c r="H107" s="180">
        <v>386.12430000000001</v>
      </c>
      <c r="I107" s="190"/>
      <c r="J107" s="190"/>
      <c r="K107" s="190"/>
      <c r="M107" s="190"/>
      <c r="N107" s="190"/>
      <c r="O107" s="190"/>
      <c r="P107" s="190"/>
    </row>
    <row r="108" spans="1:16">
      <c r="C108" s="144" t="s">
        <v>100</v>
      </c>
      <c r="D108" s="171">
        <v>-253.09400000000002</v>
      </c>
      <c r="E108" s="180">
        <v>-167.345</v>
      </c>
      <c r="F108" s="180">
        <v>0</v>
      </c>
      <c r="G108" s="180">
        <v>-7</v>
      </c>
      <c r="H108" s="180">
        <v>-124.20780000000002</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101</v>
      </c>
      <c r="D110" s="171"/>
      <c r="E110" s="188"/>
      <c r="F110" s="188"/>
      <c r="G110" s="188"/>
      <c r="H110" s="191"/>
      <c r="I110" s="190"/>
      <c r="K110" s="190"/>
      <c r="M110" s="190"/>
      <c r="N110" s="190"/>
      <c r="O110" s="190"/>
      <c r="P110" s="190"/>
    </row>
    <row r="111" spans="1:16">
      <c r="C111" s="249" t="s">
        <v>373</v>
      </c>
      <c r="D111" s="171">
        <v>93.146999999999991</v>
      </c>
      <c r="E111" s="191">
        <v>42.673000000000002</v>
      </c>
      <c r="F111" s="191">
        <v>54.836999999999989</v>
      </c>
      <c r="G111" s="191">
        <v>72.428999999999974</v>
      </c>
      <c r="H111" s="191">
        <v>69.004400000000004</v>
      </c>
      <c r="I111" s="190"/>
      <c r="J111" s="190"/>
      <c r="K111" s="190"/>
      <c r="M111" s="190"/>
      <c r="N111" s="190"/>
      <c r="O111" s="190"/>
      <c r="P111" s="190"/>
    </row>
    <row r="112" spans="1:16">
      <c r="C112" s="249" t="s">
        <v>7</v>
      </c>
      <c r="D112" s="171">
        <v>3.2119999999999997</v>
      </c>
      <c r="E112" s="191">
        <v>3.7610000000000001</v>
      </c>
      <c r="F112" s="191">
        <v>-3.8569999999999993</v>
      </c>
      <c r="G112" s="191">
        <v>12.15</v>
      </c>
      <c r="H112" s="191">
        <v>43.968600000000002</v>
      </c>
      <c r="I112" s="190"/>
      <c r="J112" s="190"/>
      <c r="K112" s="190"/>
      <c r="M112" s="190"/>
      <c r="N112" s="190"/>
      <c r="O112" s="190"/>
      <c r="P112" s="190"/>
    </row>
    <row r="113" spans="3:16">
      <c r="C113" s="249" t="s">
        <v>8</v>
      </c>
      <c r="D113" s="171">
        <v>1.5009999999999999</v>
      </c>
      <c r="E113" s="191">
        <v>1.343</v>
      </c>
      <c r="F113" s="191">
        <v>1.883</v>
      </c>
      <c r="G113" s="191">
        <v>1.9049999999999998</v>
      </c>
      <c r="H113" s="191">
        <v>2.762</v>
      </c>
      <c r="I113" s="190"/>
      <c r="J113" s="190"/>
      <c r="K113" s="190"/>
      <c r="M113" s="190"/>
      <c r="N113" s="190"/>
      <c r="O113" s="190"/>
      <c r="P113" s="190"/>
    </row>
    <row r="114" spans="3:16">
      <c r="C114" s="249" t="s">
        <v>371</v>
      </c>
      <c r="D114" s="171">
        <v>6.0589999999999993</v>
      </c>
      <c r="E114" s="191">
        <v>-1.363</v>
      </c>
      <c r="F114" s="191">
        <v>-6.9710000000000019</v>
      </c>
      <c r="G114" s="191">
        <v>5.5250000000000021</v>
      </c>
      <c r="H114" s="191">
        <v>10.671799999999999</v>
      </c>
      <c r="I114" s="190"/>
      <c r="J114" s="190"/>
      <c r="K114" s="190"/>
      <c r="M114" s="190"/>
      <c r="N114" s="190"/>
      <c r="O114" s="190"/>
      <c r="P114" s="190"/>
    </row>
    <row r="115" spans="3:16">
      <c r="C115" s="249" t="s">
        <v>372</v>
      </c>
      <c r="D115" s="171">
        <v>8.1579999999999995</v>
      </c>
      <c r="E115" s="192">
        <v>3.3239999999999998</v>
      </c>
      <c r="F115" s="192">
        <v>1.1590000000000007</v>
      </c>
      <c r="G115" s="192">
        <v>6.2149999999999999</v>
      </c>
      <c r="H115" s="192">
        <v>5.1326000000000001</v>
      </c>
      <c r="I115" s="190"/>
      <c r="J115" s="190"/>
      <c r="K115" s="190"/>
      <c r="M115" s="190"/>
      <c r="N115" s="190"/>
      <c r="O115" s="190"/>
      <c r="P115" s="190"/>
    </row>
    <row r="116" spans="3:16">
      <c r="C116" s="249" t="s">
        <v>6</v>
      </c>
      <c r="D116" s="171">
        <v>46.837000000000003</v>
      </c>
      <c r="E116" s="191">
        <v>47.984999999999999</v>
      </c>
      <c r="F116" s="191">
        <v>31.489999999999995</v>
      </c>
      <c r="G116" s="191">
        <v>37.332999999999998</v>
      </c>
      <c r="H116" s="191">
        <v>28.431699999999999</v>
      </c>
      <c r="I116" s="190"/>
      <c r="J116" s="190"/>
      <c r="K116" s="190"/>
      <c r="M116" s="190"/>
      <c r="N116" s="190"/>
      <c r="O116" s="190"/>
      <c r="P116" s="190"/>
    </row>
    <row r="117" spans="3:16">
      <c r="C117" s="251" t="s">
        <v>517</v>
      </c>
      <c r="D117" s="171">
        <v>1.9540000000000002</v>
      </c>
      <c r="E117" s="191">
        <v>0.54500000000000004</v>
      </c>
      <c r="F117" s="191">
        <v>-2.423</v>
      </c>
      <c r="G117" s="191">
        <v>0.87640000000000007</v>
      </c>
      <c r="H117" s="191">
        <v>1.8623999999999998</v>
      </c>
      <c r="I117" s="190"/>
      <c r="J117" s="190"/>
      <c r="K117" s="190"/>
      <c r="M117" s="190"/>
      <c r="N117" s="190"/>
      <c r="O117" s="190"/>
      <c r="P117" s="190"/>
    </row>
    <row r="118" spans="3:16">
      <c r="C118" s="251" t="s">
        <v>397</v>
      </c>
      <c r="D118" s="171">
        <v>0.89900000000000002</v>
      </c>
      <c r="E118" s="191">
        <v>0.29099999999999998</v>
      </c>
      <c r="F118" s="191">
        <v>0.58800000000000008</v>
      </c>
      <c r="G118" s="191">
        <v>-0.40100000000000025</v>
      </c>
      <c r="H118" s="191">
        <v>1.8238000000000003</v>
      </c>
      <c r="I118" s="190"/>
      <c r="J118" s="190"/>
      <c r="K118" s="190"/>
      <c r="M118" s="190"/>
      <c r="N118" s="190"/>
      <c r="O118" s="190"/>
      <c r="P118" s="190"/>
    </row>
    <row r="119" spans="3:16">
      <c r="C119" s="144" t="s">
        <v>10</v>
      </c>
      <c r="D119" s="171">
        <v>-4.1849999999999996</v>
      </c>
      <c r="E119" s="180">
        <v>-0.72599999999999998</v>
      </c>
      <c r="F119" s="180">
        <v>1.0269999999999999</v>
      </c>
      <c r="G119" s="180">
        <v>-0.93799999999999994</v>
      </c>
      <c r="H119" s="180">
        <v>0.34409999999999985</v>
      </c>
      <c r="I119" s="190"/>
      <c r="J119" s="190"/>
      <c r="K119" s="190"/>
      <c r="M119" s="190"/>
      <c r="N119" s="190"/>
      <c r="O119" s="190"/>
      <c r="P119" s="190"/>
    </row>
    <row r="120" spans="3:16">
      <c r="C120" s="144" t="s">
        <v>522</v>
      </c>
      <c r="D120" s="171">
        <v>4.0439999999999996</v>
      </c>
      <c r="E120" s="180">
        <v>0</v>
      </c>
      <c r="F120" s="180">
        <v>0</v>
      </c>
      <c r="G120" s="180">
        <v>0</v>
      </c>
      <c r="H120" s="180">
        <v>0</v>
      </c>
      <c r="I120" s="190"/>
      <c r="J120" s="190"/>
      <c r="K120" s="190"/>
      <c r="M120" s="190"/>
      <c r="N120" s="190"/>
      <c r="O120" s="190"/>
      <c r="P120" s="190"/>
    </row>
    <row r="121" spans="3:16">
      <c r="C121" s="144" t="s">
        <v>374</v>
      </c>
      <c r="D121" s="171">
        <v>11.893000000000002</v>
      </c>
      <c r="E121" s="180">
        <v>11.465999999999999</v>
      </c>
      <c r="F121" s="180">
        <v>10.193999999999999</v>
      </c>
      <c r="G121" s="180">
        <v>9.702</v>
      </c>
      <c r="H121" s="180">
        <v>7.8342999999999998</v>
      </c>
      <c r="I121" s="190"/>
      <c r="J121" s="190"/>
      <c r="K121" s="190"/>
      <c r="M121" s="190"/>
      <c r="N121" s="190"/>
      <c r="O121" s="190"/>
      <c r="P121" s="190"/>
    </row>
    <row r="122" spans="3:16">
      <c r="C122" s="144" t="s">
        <v>375</v>
      </c>
      <c r="D122" s="171">
        <v>1.147</v>
      </c>
      <c r="E122" s="180">
        <v>1.1279999999999999</v>
      </c>
      <c r="F122" s="180">
        <v>1.0449999999999999</v>
      </c>
      <c r="G122" s="180">
        <v>1.0150000000000001</v>
      </c>
      <c r="H122" s="180">
        <v>1.1323999999999999</v>
      </c>
      <c r="I122" s="190"/>
      <c r="J122" s="190"/>
      <c r="M122" s="190"/>
      <c r="N122" s="190"/>
      <c r="O122" s="190"/>
      <c r="P122" s="190"/>
    </row>
    <row r="123" spans="3:16">
      <c r="C123" s="146" t="s">
        <v>102</v>
      </c>
      <c r="D123" s="172">
        <v>-0.96899999999999986</v>
      </c>
      <c r="E123" s="178">
        <v>0.47500000000000003</v>
      </c>
      <c r="F123" s="178">
        <v>0.29899999999999971</v>
      </c>
      <c r="G123" s="178">
        <v>-7.4999999999999983E-2</v>
      </c>
      <c r="H123" s="178">
        <v>2.9699999999999998</v>
      </c>
      <c r="I123" s="190"/>
      <c r="J123" s="181"/>
      <c r="K123" s="190"/>
      <c r="M123" s="190"/>
      <c r="N123" s="190"/>
      <c r="O123" s="190"/>
      <c r="P123" s="190"/>
    </row>
    <row r="124" spans="3:16">
      <c r="C124" s="142" t="s">
        <v>103</v>
      </c>
      <c r="D124" s="173">
        <f>SUM(D107:D123)</f>
        <v>515.95500000000004</v>
      </c>
      <c r="E124" s="181">
        <f>SUM(E107:E123)</f>
        <v>439.33900000000011</v>
      </c>
      <c r="F124" s="181">
        <f>SUM(F107:F123)</f>
        <v>466.334</v>
      </c>
      <c r="G124" s="181">
        <f>SUM(G107:G123)</f>
        <v>437.88139999999987</v>
      </c>
      <c r="H124" s="181">
        <f>SUM(H107:H123)</f>
        <v>437.8546</v>
      </c>
      <c r="I124" s="181"/>
      <c r="K124" s="190"/>
      <c r="M124" s="190"/>
      <c r="N124" s="190"/>
      <c r="O124" s="190"/>
      <c r="P124" s="190"/>
    </row>
    <row r="125" spans="3:16">
      <c r="C125" s="356"/>
      <c r="D125"/>
      <c r="H125" s="193"/>
      <c r="K125" s="190"/>
      <c r="L125" s="190"/>
      <c r="M125" s="190"/>
      <c r="N125" s="190"/>
      <c r="O125" s="190"/>
      <c r="P125" s="190"/>
    </row>
    <row r="126" spans="3:16">
      <c r="C126"/>
      <c r="D126"/>
      <c r="H126" s="193"/>
      <c r="K126" s="190"/>
      <c r="L126" s="190"/>
      <c r="M126" s="190"/>
      <c r="N126" s="190"/>
      <c r="O126" s="190"/>
      <c r="P126" s="190"/>
    </row>
    <row r="127" spans="3:16">
      <c r="C127" s="108" t="s">
        <v>104</v>
      </c>
      <c r="D127" s="234" t="s">
        <v>521</v>
      </c>
      <c r="E127" s="170" t="s">
        <v>484</v>
      </c>
      <c r="F127" s="170" t="s">
        <v>409</v>
      </c>
      <c r="G127" s="170" t="s">
        <v>396</v>
      </c>
      <c r="H127" s="170" t="s">
        <v>383</v>
      </c>
      <c r="K127" s="190"/>
      <c r="L127" s="190"/>
      <c r="M127" s="190"/>
      <c r="N127" s="190"/>
      <c r="O127" s="190"/>
      <c r="P127" s="190"/>
    </row>
    <row r="128" spans="3:16">
      <c r="C128" s="144" t="s">
        <v>9</v>
      </c>
      <c r="D128" s="171">
        <f>D111</f>
        <v>93.146999999999991</v>
      </c>
      <c r="E128" s="180">
        <f t="shared" ref="E128:H128" si="2">E111</f>
        <v>42.673000000000002</v>
      </c>
      <c r="F128" s="180">
        <f t="shared" si="2"/>
        <v>54.836999999999989</v>
      </c>
      <c r="G128" s="180">
        <f t="shared" si="2"/>
        <v>72.428999999999974</v>
      </c>
      <c r="H128" s="180">
        <f t="shared" si="2"/>
        <v>69.004400000000004</v>
      </c>
      <c r="I128" s="190"/>
      <c r="J128" s="190"/>
      <c r="K128" s="190"/>
      <c r="M128" s="190"/>
      <c r="N128" s="190"/>
      <c r="O128" s="190"/>
      <c r="P128" s="190"/>
    </row>
    <row r="129" spans="3:16">
      <c r="C129" s="144" t="s">
        <v>7</v>
      </c>
      <c r="D129" s="171">
        <f>D112</f>
        <v>3.2119999999999997</v>
      </c>
      <c r="E129" s="180">
        <f t="shared" ref="E129:H129" si="3">E112</f>
        <v>3.7610000000000001</v>
      </c>
      <c r="F129" s="180">
        <f t="shared" si="3"/>
        <v>-3.8569999999999993</v>
      </c>
      <c r="G129" s="180">
        <f t="shared" si="3"/>
        <v>12.15</v>
      </c>
      <c r="H129" s="180">
        <f t="shared" si="3"/>
        <v>43.968600000000002</v>
      </c>
      <c r="I129" s="190"/>
      <c r="J129" s="190"/>
      <c r="K129" s="190"/>
      <c r="M129" s="190"/>
      <c r="N129" s="190"/>
      <c r="O129" s="190"/>
      <c r="P129" s="190"/>
    </row>
    <row r="130" spans="3:16">
      <c r="C130" s="189" t="s">
        <v>8</v>
      </c>
      <c r="D130" s="171">
        <f>D113</f>
        <v>1.5009999999999999</v>
      </c>
      <c r="E130" s="191">
        <f t="shared" ref="E130:H130" si="4">E113</f>
        <v>1.343</v>
      </c>
      <c r="F130" s="191">
        <f t="shared" si="4"/>
        <v>1.883</v>
      </c>
      <c r="G130" s="191">
        <f t="shared" si="4"/>
        <v>1.9049999999999998</v>
      </c>
      <c r="H130" s="191">
        <f t="shared" si="4"/>
        <v>2.762</v>
      </c>
      <c r="I130" s="190"/>
      <c r="J130" s="190"/>
      <c r="K130" s="190"/>
      <c r="M130" s="190"/>
      <c r="N130" s="190"/>
      <c r="O130" s="190"/>
      <c r="P130" s="190"/>
    </row>
    <row r="131" spans="3:16">
      <c r="C131" s="189" t="s">
        <v>397</v>
      </c>
      <c r="D131" s="171">
        <f>D118</f>
        <v>0.89900000000000002</v>
      </c>
      <c r="E131" s="191">
        <f t="shared" ref="E131:H131" si="5">E118</f>
        <v>0.29099999999999998</v>
      </c>
      <c r="F131" s="191">
        <f t="shared" si="5"/>
        <v>0.58800000000000008</v>
      </c>
      <c r="G131" s="191">
        <f t="shared" si="5"/>
        <v>-0.40100000000000025</v>
      </c>
      <c r="H131" s="191">
        <f t="shared" si="5"/>
        <v>1.8238000000000003</v>
      </c>
      <c r="I131" s="190"/>
      <c r="J131" s="190"/>
      <c r="K131" s="190"/>
      <c r="M131" s="190"/>
      <c r="N131" s="190"/>
      <c r="O131" s="190"/>
      <c r="P131" s="190"/>
    </row>
    <row r="132" spans="3:16">
      <c r="C132" s="144" t="s">
        <v>10</v>
      </c>
      <c r="D132" s="171">
        <f>D119</f>
        <v>-4.1849999999999996</v>
      </c>
      <c r="E132" s="180">
        <f t="shared" ref="E132:H132" si="6">E119</f>
        <v>-0.72599999999999998</v>
      </c>
      <c r="F132" s="180">
        <f t="shared" si="6"/>
        <v>1.0269999999999999</v>
      </c>
      <c r="G132" s="180">
        <f t="shared" si="6"/>
        <v>-0.93799999999999994</v>
      </c>
      <c r="H132" s="180">
        <f t="shared" si="6"/>
        <v>0.34409999999999985</v>
      </c>
      <c r="I132" s="190"/>
      <c r="J132" s="190"/>
      <c r="K132" s="190"/>
      <c r="M132" s="190"/>
      <c r="N132" s="190"/>
      <c r="O132" s="190"/>
      <c r="P132" s="190"/>
    </row>
    <row r="133" spans="3:16">
      <c r="C133" s="144" t="s">
        <v>315</v>
      </c>
      <c r="D133" s="171">
        <f>D121</f>
        <v>11.893000000000002</v>
      </c>
      <c r="E133" s="180">
        <f t="shared" ref="E133:H133" si="7">E121</f>
        <v>11.465999999999999</v>
      </c>
      <c r="F133" s="180">
        <f t="shared" si="7"/>
        <v>10.193999999999999</v>
      </c>
      <c r="G133" s="180">
        <f t="shared" si="7"/>
        <v>9.702</v>
      </c>
      <c r="H133" s="180">
        <f t="shared" si="7"/>
        <v>7.8342999999999998</v>
      </c>
      <c r="I133" s="190"/>
      <c r="J133" s="190"/>
      <c r="K133" s="190"/>
      <c r="M133" s="190"/>
      <c r="N133" s="190"/>
      <c r="O133" s="190"/>
      <c r="P133" s="190"/>
    </row>
    <row r="134" spans="3:16">
      <c r="C134" s="146" t="s">
        <v>102</v>
      </c>
      <c r="D134" s="172">
        <f>SUM(D111:D123)-SUM(D128:D133)</f>
        <v>67.23</v>
      </c>
      <c r="E134" s="178">
        <f t="shared" ref="E134:H134" si="8">SUM(E111:E123)-SUM(E128:E133)</f>
        <v>52.093999999999987</v>
      </c>
      <c r="F134" s="178">
        <f t="shared" si="8"/>
        <v>24.59899999999999</v>
      </c>
      <c r="G134" s="178">
        <f t="shared" si="8"/>
        <v>50.889399999999995</v>
      </c>
      <c r="H134" s="178">
        <f t="shared" si="8"/>
        <v>50.200900000000033</v>
      </c>
      <c r="I134" s="190"/>
      <c r="J134" s="190"/>
      <c r="K134" s="190"/>
      <c r="M134" s="190"/>
      <c r="N134" s="190"/>
      <c r="O134" s="190"/>
      <c r="P134" s="190"/>
    </row>
    <row r="135" spans="3:16">
      <c r="C135" s="142" t="s">
        <v>20</v>
      </c>
      <c r="D135" s="173">
        <f>SUM(D128:D134)</f>
        <v>173.697</v>
      </c>
      <c r="E135" s="181">
        <f t="shared" ref="E135:H135" si="9">SUM(E128:E134)</f>
        <v>110.90199999999999</v>
      </c>
      <c r="F135" s="181">
        <f t="shared" si="9"/>
        <v>89.270999999999987</v>
      </c>
      <c r="G135" s="181">
        <f t="shared" si="9"/>
        <v>145.73639999999997</v>
      </c>
      <c r="H135" s="181">
        <f t="shared" si="9"/>
        <v>175.93810000000005</v>
      </c>
      <c r="I135" s="190"/>
      <c r="K135" s="190"/>
      <c r="M135" s="190"/>
      <c r="N135" s="190"/>
      <c r="O135" s="190"/>
      <c r="P135" s="190"/>
    </row>
  </sheetData>
  <sortState xmlns:xlrd2="http://schemas.microsoft.com/office/spreadsheetml/2017/richdata2" columnSort="1" ref="D44:H52">
    <sortCondition descending="1" ref="D44:H44"/>
  </sortState>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Front</vt:lpstr>
      <vt:lpstr>Contact info</vt:lpstr>
      <vt:lpstr>Contents</vt:lpstr>
      <vt:lpstr>APM definition</vt:lpstr>
      <vt:lpstr>1 APM</vt:lpstr>
      <vt:lpstr>2 Results and key figures</vt:lpstr>
      <vt:lpstr>3 Balance sheet</vt:lpstr>
      <vt:lpstr>4 Capital Adequacy</vt:lpstr>
      <vt:lpstr>5 Income</vt:lpstr>
      <vt:lpstr>6 Expences</vt:lpstr>
      <vt:lpstr>7 Margins</vt:lpstr>
      <vt:lpstr>8 Lending</vt:lpstr>
      <vt:lpstr>9 Deposits</vt:lpstr>
      <vt:lpstr>10 Customers</vt:lpstr>
      <vt:lpstr>11 Macro sensitivity</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Siv Stenseth</cp:lastModifiedBy>
  <dcterms:created xsi:type="dcterms:W3CDTF">2017-12-01T09:54:14Z</dcterms:created>
  <dcterms:modified xsi:type="dcterms:W3CDTF">2021-08-09T14:00:19Z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