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codeName="ThisWorkbook"/>
  <mc:AlternateContent xmlns:mc="http://schemas.openxmlformats.org/markup-compatibility/2006">
    <mc:Choice Requires="x15">
      <x15ac:absPath xmlns:x15ac="http://schemas.microsoft.com/office/spreadsheetml/2010/11/ac" url="M:\okonomi\1 Rapportering\Regnskapsrapportering\1 Konsern\2019\Q4\Lagt ut på børs\"/>
    </mc:Choice>
  </mc:AlternateContent>
  <xr:revisionPtr revIDLastSave="0" documentId="13_ncr:1_{1D135A09-F552-4CAD-B8A0-D7505CF93D53}" xr6:coauthVersionLast="36" xr6:coauthVersionMax="36" xr10:uidLastSave="{00000000-0000-0000-0000-000000000000}"/>
  <bookViews>
    <workbookView xWindow="0" yWindow="0" windowWidth="14940" windowHeight="7755" xr2:uid="{00000000-000D-0000-FFFF-FFFF00000000}"/>
  </bookViews>
  <sheets>
    <sheet name="Front" sheetId="87" r:id="rId1"/>
    <sheet name="Contact info" sheetId="95" r:id="rId2"/>
    <sheet name="Contents" sheetId="1" r:id="rId3"/>
    <sheet name="APM definition" sheetId="99"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 localSheetId="3">[3]Balanse!$E$4:$K$109</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6" hidden="1">[5]In99!#REF!</definedName>
    <definedName name="xxxxxxx" localSheetId="7" hidden="1">[5]In99!#REF!</definedName>
    <definedName name="xxxxxxx" localSheetId="8" hidden="1">[5]In99!#REF!</definedName>
    <definedName name="xxxxxxx" localSheetId="9" hidden="1">[5]In99!#REF!</definedName>
    <definedName name="xxxxxxx" localSheetId="10"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H123" i="6"/>
  <c r="G123" i="6"/>
  <c r="F123" i="6"/>
  <c r="E123" i="6"/>
  <c r="F134" i="6"/>
  <c r="G134" i="6"/>
  <c r="H134" i="6"/>
  <c r="D23" i="86" l="1"/>
  <c r="D26" i="86" s="1"/>
  <c r="D18" i="86"/>
  <c r="D20" i="86" s="1"/>
  <c r="E41" i="3"/>
  <c r="F41" i="3"/>
  <c r="G41" i="3"/>
  <c r="G43" i="3" s="1"/>
  <c r="H41" i="3"/>
  <c r="E43" i="3"/>
  <c r="F43" i="3"/>
  <c r="H43" i="3"/>
  <c r="H19" i="3"/>
  <c r="G19" i="3"/>
  <c r="F19" i="3"/>
  <c r="E19" i="3"/>
  <c r="M145" i="96" l="1"/>
  <c r="O145" i="96"/>
  <c r="K145" i="96"/>
  <c r="D43" i="86" l="1"/>
  <c r="G151" i="96" l="1"/>
  <c r="G148" i="96"/>
  <c r="G149" i="96" s="1"/>
  <c r="G152" i="96"/>
  <c r="G121" i="96"/>
  <c r="G120" i="96"/>
  <c r="G116" i="96"/>
  <c r="G115" i="96"/>
  <c r="G105" i="96" s="1"/>
  <c r="G112" i="96"/>
  <c r="G111" i="96"/>
  <c r="G104" i="96" s="1"/>
  <c r="G107" i="96"/>
  <c r="G102" i="96"/>
  <c r="G98" i="96"/>
  <c r="G94" i="96"/>
  <c r="G90" i="96"/>
  <c r="G85" i="96"/>
  <c r="G84" i="96"/>
  <c r="G78" i="96"/>
  <c r="G77" i="96"/>
  <c r="G76" i="96"/>
  <c r="G61" i="96"/>
  <c r="G60" i="96"/>
  <c r="G65" i="96" s="1"/>
  <c r="G57" i="96"/>
  <c r="G51" i="96"/>
  <c r="G50" i="96"/>
  <c r="G44" i="96"/>
  <c r="G43" i="96"/>
  <c r="G39" i="96"/>
  <c r="H34" i="96"/>
  <c r="G34" i="96"/>
  <c r="H28" i="96"/>
  <c r="G28" i="96"/>
  <c r="H21" i="96"/>
  <c r="G21" i="96"/>
  <c r="H14" i="96"/>
  <c r="G14" i="96"/>
  <c r="H8" i="96"/>
  <c r="G8" i="96"/>
  <c r="G122" i="96" l="1"/>
  <c r="G86" i="96"/>
  <c r="G45" i="96"/>
  <c r="G27" i="96"/>
  <c r="G29" i="96" s="1"/>
  <c r="H27" i="96"/>
  <c r="H29" i="96" s="1"/>
  <c r="G79" i="96"/>
  <c r="G117" i="96"/>
  <c r="G52" i="96"/>
  <c r="G106" i="96"/>
  <c r="G108" i="96" s="1"/>
  <c r="G153" i="96"/>
  <c r="G62" i="96"/>
  <c r="G113" i="96"/>
  <c r="E134" i="6"/>
  <c r="E97" i="6"/>
  <c r="Q93" i="96" l="1"/>
  <c r="Q94" i="96" s="1"/>
  <c r="O93" i="96"/>
  <c r="O94" i="96" s="1"/>
  <c r="M93" i="96"/>
  <c r="M94" i="96" s="1"/>
  <c r="K93" i="96"/>
  <c r="K94" i="96" s="1"/>
  <c r="I93" i="96"/>
  <c r="I94" i="96" s="1"/>
  <c r="Q89" i="96"/>
  <c r="Q90" i="96" s="1"/>
  <c r="O89" i="96"/>
  <c r="O90" i="96" s="1"/>
  <c r="M89" i="96"/>
  <c r="M90" i="96" s="1"/>
  <c r="K89" i="96"/>
  <c r="K90" i="96" s="1"/>
  <c r="I89" i="96"/>
  <c r="I90" i="96" s="1"/>
  <c r="D134" i="6" l="1"/>
  <c r="J27" i="96" l="1"/>
  <c r="I27" i="96"/>
  <c r="J34" i="96"/>
  <c r="I34" i="96"/>
  <c r="I39" i="96"/>
  <c r="I45" i="96"/>
  <c r="I52" i="96"/>
  <c r="I57" i="96"/>
  <c r="I62" i="96"/>
  <c r="I69" i="96"/>
  <c r="I79" i="96"/>
  <c r="I98" i="96"/>
  <c r="I102" i="96"/>
  <c r="I108" i="96"/>
  <c r="I113" i="96"/>
  <c r="I117" i="96"/>
  <c r="I122" i="96"/>
  <c r="I149" i="96"/>
  <c r="I153" i="96"/>
  <c r="J28" i="96"/>
  <c r="I28" i="96"/>
  <c r="L27" i="96"/>
  <c r="J21" i="96"/>
  <c r="I21" i="96"/>
  <c r="J29" i="96" l="1"/>
  <c r="I29" i="96"/>
  <c r="K121" i="96"/>
  <c r="K122" i="96" s="1"/>
  <c r="K115" i="96"/>
  <c r="K111" i="96"/>
  <c r="K100" i="96"/>
  <c r="K97" i="96"/>
  <c r="K96" i="96"/>
  <c r="K73" i="96"/>
  <c r="K61" i="96"/>
  <c r="K98" i="96" l="1"/>
  <c r="K104" i="96"/>
  <c r="K151" i="96"/>
  <c r="K112" i="96"/>
  <c r="K113" i="96" s="1"/>
  <c r="K116" i="96"/>
  <c r="K117" i="96" s="1"/>
  <c r="K107" i="96"/>
  <c r="K105" i="96"/>
  <c r="K101" i="96"/>
  <c r="K102" i="96" s="1"/>
  <c r="K78" i="96"/>
  <c r="K77" i="96"/>
  <c r="K76" i="96"/>
  <c r="L74" i="96"/>
  <c r="K68" i="96"/>
  <c r="K60" i="96"/>
  <c r="K65" i="96" s="1"/>
  <c r="K67" i="96" s="1"/>
  <c r="K51" i="96"/>
  <c r="K50" i="96"/>
  <c r="K44" i="96"/>
  <c r="K41" i="96"/>
  <c r="K43" i="96" s="1"/>
  <c r="K39" i="96"/>
  <c r="L34" i="96"/>
  <c r="K34" i="96"/>
  <c r="L28" i="96"/>
  <c r="K28" i="96"/>
  <c r="K27" i="96"/>
  <c r="K21" i="96"/>
  <c r="L21" i="96"/>
  <c r="K52" i="96" l="1"/>
  <c r="K62" i="96"/>
  <c r="K148" i="96"/>
  <c r="K149" i="96" s="1"/>
  <c r="K106" i="96"/>
  <c r="K108" i="96" s="1"/>
  <c r="K69" i="96"/>
  <c r="K56" i="96"/>
  <c r="K57" i="96" s="1"/>
  <c r="K79" i="96"/>
  <c r="K45" i="96"/>
  <c r="K29" i="96"/>
  <c r="L29" i="96"/>
  <c r="K152" i="96" l="1"/>
  <c r="K153" i="96" s="1"/>
  <c r="M151" i="96" l="1"/>
  <c r="M121" i="96"/>
  <c r="M120" i="96"/>
  <c r="M115" i="96"/>
  <c r="M111" i="96"/>
  <c r="M107" i="96"/>
  <c r="M101" i="96"/>
  <c r="M100" i="96"/>
  <c r="M102" i="96" s="1"/>
  <c r="M97" i="96"/>
  <c r="M96" i="96"/>
  <c r="M104" i="96" l="1"/>
  <c r="M105" i="96"/>
  <c r="M122" i="96"/>
  <c r="M116" i="96"/>
  <c r="M98" i="96"/>
  <c r="M112" i="96"/>
  <c r="M113" i="96" s="1"/>
  <c r="M117" i="96"/>
  <c r="M78" i="96"/>
  <c r="M77" i="96"/>
  <c r="M61" i="96"/>
  <c r="M60" i="96"/>
  <c r="M65" i="96" s="1"/>
  <c r="M41" i="96"/>
  <c r="M56" i="96" s="1"/>
  <c r="M57" i="96" s="1"/>
  <c r="N27" i="96"/>
  <c r="M27" i="96"/>
  <c r="M106" i="96" l="1"/>
  <c r="M108" i="96" s="1"/>
  <c r="M62" i="96"/>
  <c r="M50" i="96"/>
  <c r="M51" i="96"/>
  <c r="M44" i="96"/>
  <c r="M43" i="96"/>
  <c r="M45" i="96" l="1"/>
  <c r="M68" i="96"/>
  <c r="M67" i="96"/>
  <c r="M69" i="96" s="1"/>
  <c r="M52" i="96"/>
  <c r="D46" i="86" l="1"/>
  <c r="D97" i="6" l="1"/>
  <c r="C54" i="7" l="1"/>
  <c r="D53" i="6"/>
  <c r="O73" i="96" l="1"/>
  <c r="O151" i="96"/>
  <c r="O152" i="96"/>
  <c r="O121" i="96"/>
  <c r="O120" i="96"/>
  <c r="O117" i="96"/>
  <c r="O113" i="96"/>
  <c r="O107" i="96"/>
  <c r="O106" i="96"/>
  <c r="O98" i="96"/>
  <c r="O85" i="96"/>
  <c r="O102" i="96" s="1"/>
  <c r="O84" i="96"/>
  <c r="O78" i="96"/>
  <c r="O77" i="96"/>
  <c r="O76" i="96"/>
  <c r="O65" i="96"/>
  <c r="O60" i="96"/>
  <c r="O57" i="96"/>
  <c r="O51" i="96"/>
  <c r="O45" i="96"/>
  <c r="O44" i="96"/>
  <c r="O43" i="96"/>
  <c r="O39" i="96"/>
  <c r="P34" i="96"/>
  <c r="O34" i="96"/>
  <c r="P21" i="96"/>
  <c r="O21" i="96"/>
  <c r="P12" i="96"/>
  <c r="P13" i="96" s="1"/>
  <c r="P14" i="96" s="1"/>
  <c r="P27" i="96" s="1"/>
  <c r="O12" i="96"/>
  <c r="O13" i="96" s="1"/>
  <c r="O14" i="96" s="1"/>
  <c r="O27" i="96" s="1"/>
  <c r="P84" i="96"/>
  <c r="Q8" i="96"/>
  <c r="Q145" i="96" s="1"/>
  <c r="R8" i="96"/>
  <c r="T8" i="96"/>
  <c r="V8" i="96"/>
  <c r="X8" i="96"/>
  <c r="Z8" i="96"/>
  <c r="Y8" i="96" s="1"/>
  <c r="Y145" i="96" s="1"/>
  <c r="AB8" i="96"/>
  <c r="AD8" i="96"/>
  <c r="AF8" i="96"/>
  <c r="AH8" i="96"/>
  <c r="AG8" i="96" s="1"/>
  <c r="AJ8" i="96"/>
  <c r="AL8" i="96"/>
  <c r="AN8" i="96"/>
  <c r="AP8" i="96"/>
  <c r="AO8" i="96" s="1"/>
  <c r="O86" i="96" l="1"/>
  <c r="O122" i="96"/>
  <c r="O148" i="96"/>
  <c r="O149" i="96" s="1"/>
  <c r="O108" i="96"/>
  <c r="O79" i="96"/>
  <c r="O153" i="96"/>
  <c r="P85" i="96"/>
  <c r="P86" i="96" s="1"/>
  <c r="AM8" i="96"/>
  <c r="AK8" i="96" s="1"/>
  <c r="AI8" i="96" s="1"/>
  <c r="W8" i="96"/>
  <c r="AE8" i="96"/>
  <c r="AC8" i="96" l="1"/>
  <c r="AE145" i="96"/>
  <c r="U8" i="96"/>
  <c r="W145" i="96"/>
  <c r="O50" i="96"/>
  <c r="O61" i="96"/>
  <c r="O62" i="96" s="1"/>
  <c r="Q121" i="96"/>
  <c r="W151" i="96"/>
  <c r="Q151" i="96"/>
  <c r="AO140" i="96"/>
  <c r="AM140" i="96"/>
  <c r="AK140" i="96"/>
  <c r="AI140" i="96"/>
  <c r="AG140" i="96"/>
  <c r="W152" i="96"/>
  <c r="U152" i="96"/>
  <c r="U153" i="96" s="1"/>
  <c r="S152" i="96"/>
  <c r="S153" i="96" s="1"/>
  <c r="AO121" i="96"/>
  <c r="AM121" i="96"/>
  <c r="AK121" i="96"/>
  <c r="AI121" i="96"/>
  <c r="AG121" i="96"/>
  <c r="AE121" i="96"/>
  <c r="AC121" i="96"/>
  <c r="AA121" i="96"/>
  <c r="Y121" i="96"/>
  <c r="W121" i="96"/>
  <c r="U121" i="96"/>
  <c r="S121" i="96"/>
  <c r="AO120" i="96"/>
  <c r="AM120" i="96"/>
  <c r="AK120" i="96"/>
  <c r="AI120" i="96"/>
  <c r="AG120" i="96"/>
  <c r="AC120" i="96"/>
  <c r="AA120" i="96"/>
  <c r="Y120" i="96"/>
  <c r="W120" i="96"/>
  <c r="U120" i="96"/>
  <c r="S120" i="96"/>
  <c r="AO116" i="96"/>
  <c r="AO117" i="96" s="1"/>
  <c r="AM116" i="96"/>
  <c r="AM117" i="96" s="1"/>
  <c r="AK116" i="96"/>
  <c r="AK117" i="96" s="1"/>
  <c r="AI116" i="96"/>
  <c r="AI117" i="96" s="1"/>
  <c r="AG116" i="96"/>
  <c r="AG117" i="96" s="1"/>
  <c r="AE116" i="96"/>
  <c r="AE117" i="96" s="1"/>
  <c r="AC116" i="96"/>
  <c r="AC117" i="96" s="1"/>
  <c r="AA116" i="96"/>
  <c r="AA117" i="96" s="1"/>
  <c r="Y116" i="96"/>
  <c r="Y117" i="96" s="1"/>
  <c r="W116" i="96"/>
  <c r="W117" i="96" s="1"/>
  <c r="U116" i="96"/>
  <c r="U117" i="96" s="1"/>
  <c r="S116" i="96"/>
  <c r="S117" i="96" s="1"/>
  <c r="AO112" i="96"/>
  <c r="AO113" i="96" s="1"/>
  <c r="AM112" i="96"/>
  <c r="AM113" i="96" s="1"/>
  <c r="AK112" i="96"/>
  <c r="AK113" i="96" s="1"/>
  <c r="AI112" i="96"/>
  <c r="AI113" i="96" s="1"/>
  <c r="AG112" i="96"/>
  <c r="AG113" i="96" s="1"/>
  <c r="AE112" i="96"/>
  <c r="AE113" i="96" s="1"/>
  <c r="AC112" i="96"/>
  <c r="AC113" i="96" s="1"/>
  <c r="AA112" i="96"/>
  <c r="AA113" i="96" s="1"/>
  <c r="Y112" i="96"/>
  <c r="Y113" i="96" s="1"/>
  <c r="W112" i="96"/>
  <c r="W113" i="96" s="1"/>
  <c r="U112" i="96"/>
  <c r="U113" i="96" s="1"/>
  <c r="S112" i="96"/>
  <c r="S113" i="96" s="1"/>
  <c r="AO107" i="96"/>
  <c r="AM107" i="96"/>
  <c r="AK107" i="96"/>
  <c r="AI107" i="96"/>
  <c r="AG107" i="96"/>
  <c r="AE107" i="96"/>
  <c r="AC107" i="96"/>
  <c r="AA107" i="96"/>
  <c r="W107" i="96"/>
  <c r="U107" i="96"/>
  <c r="S107" i="96"/>
  <c r="AO106" i="96"/>
  <c r="AM106" i="96"/>
  <c r="AK106" i="96"/>
  <c r="AI106" i="96"/>
  <c r="AG106" i="96"/>
  <c r="AE106" i="96"/>
  <c r="AC106" i="96"/>
  <c r="AA106" i="96"/>
  <c r="Y106" i="96"/>
  <c r="W106" i="96"/>
  <c r="U106" i="96"/>
  <c r="S106" i="96"/>
  <c r="AO101" i="96"/>
  <c r="AO102" i="96" s="1"/>
  <c r="AM101" i="96"/>
  <c r="AM102" i="96" s="1"/>
  <c r="AK101" i="96"/>
  <c r="AK102" i="96" s="1"/>
  <c r="AI101" i="96"/>
  <c r="AI102" i="96" s="1"/>
  <c r="AG101" i="96"/>
  <c r="AG102" i="96" s="1"/>
  <c r="AE101" i="96"/>
  <c r="AE102" i="96" s="1"/>
  <c r="AC101" i="96"/>
  <c r="AC102" i="96" s="1"/>
  <c r="AA101" i="96"/>
  <c r="AA102" i="96" s="1"/>
  <c r="W101" i="96"/>
  <c r="W102" i="96" s="1"/>
  <c r="U101" i="96"/>
  <c r="U102" i="96" s="1"/>
  <c r="S101" i="96"/>
  <c r="S102" i="96" s="1"/>
  <c r="Q116" i="96"/>
  <c r="Q117" i="96" s="1"/>
  <c r="AO97" i="96"/>
  <c r="AO98" i="96" s="1"/>
  <c r="AM97" i="96"/>
  <c r="AM98" i="96" s="1"/>
  <c r="AK97" i="96"/>
  <c r="AK98" i="96" s="1"/>
  <c r="AI97" i="96"/>
  <c r="AI98" i="96" s="1"/>
  <c r="AG97" i="96"/>
  <c r="AG98" i="96" s="1"/>
  <c r="AE97" i="96"/>
  <c r="AE98" i="96" s="1"/>
  <c r="AC97" i="96"/>
  <c r="AC98" i="96" s="1"/>
  <c r="AA97" i="96"/>
  <c r="AA98" i="96" s="1"/>
  <c r="W97" i="96"/>
  <c r="W98" i="96" s="1"/>
  <c r="U97" i="96"/>
  <c r="U98" i="96" s="1"/>
  <c r="S97" i="96"/>
  <c r="S98" i="96" s="1"/>
  <c r="Q112" i="96"/>
  <c r="Q113" i="96" s="1"/>
  <c r="AO85" i="96"/>
  <c r="AP85" i="96" s="1"/>
  <c r="AM85" i="96"/>
  <c r="AN85" i="96" s="1"/>
  <c r="AK85" i="96"/>
  <c r="AL85" i="96" s="1"/>
  <c r="AI85" i="96"/>
  <c r="AJ85" i="96" s="1"/>
  <c r="AG85" i="96"/>
  <c r="AH85" i="96" s="1"/>
  <c r="AE85" i="96"/>
  <c r="AF85" i="96" s="1"/>
  <c r="AC85" i="96"/>
  <c r="AD85" i="96" s="1"/>
  <c r="AA85" i="96"/>
  <c r="AB85" i="96" s="1"/>
  <c r="W85" i="96"/>
  <c r="X85" i="96" s="1"/>
  <c r="U85" i="96"/>
  <c r="V85" i="96" s="1"/>
  <c r="S85" i="96"/>
  <c r="T85" i="96" s="1"/>
  <c r="AP84" i="96"/>
  <c r="AO78" i="96"/>
  <c r="AM78" i="96"/>
  <c r="AK78" i="96"/>
  <c r="AI78" i="96"/>
  <c r="AG78" i="96"/>
  <c r="AE78" i="96"/>
  <c r="AC78" i="96"/>
  <c r="AA78" i="96"/>
  <c r="W78" i="96"/>
  <c r="U78" i="96"/>
  <c r="S78" i="96"/>
  <c r="AO77" i="96"/>
  <c r="AM77" i="96"/>
  <c r="AK77" i="96"/>
  <c r="AI77" i="96"/>
  <c r="AG77" i="96"/>
  <c r="AE77" i="96"/>
  <c r="AC77" i="96"/>
  <c r="AA77" i="96"/>
  <c r="W77" i="96"/>
  <c r="U77" i="96"/>
  <c r="S77" i="96"/>
  <c r="AO76" i="96"/>
  <c r="AM76" i="96"/>
  <c r="AK76" i="96"/>
  <c r="AI76" i="96"/>
  <c r="AG76" i="96"/>
  <c r="AE76" i="96"/>
  <c r="AC76" i="96"/>
  <c r="AA76" i="96"/>
  <c r="Y76" i="96"/>
  <c r="W76" i="96"/>
  <c r="U76" i="96"/>
  <c r="S76" i="96"/>
  <c r="AP74" i="96"/>
  <c r="AN74" i="96"/>
  <c r="AL74" i="96"/>
  <c r="AJ74" i="96"/>
  <c r="AH74" i="96"/>
  <c r="AF74" i="96"/>
  <c r="AO73" i="96"/>
  <c r="AM73" i="96"/>
  <c r="AK73" i="96"/>
  <c r="AI73" i="96"/>
  <c r="AG73" i="96"/>
  <c r="AE73" i="96"/>
  <c r="AO68" i="96"/>
  <c r="AM68" i="96"/>
  <c r="AK68" i="96"/>
  <c r="AI68" i="96"/>
  <c r="S66" i="96"/>
  <c r="S68" i="96" s="1"/>
  <c r="AO65" i="96"/>
  <c r="AG66" i="96" s="1"/>
  <c r="AM65" i="96"/>
  <c r="AM67" i="96" s="1"/>
  <c r="AK65" i="96"/>
  <c r="AK67" i="96" s="1"/>
  <c r="AI65" i="96"/>
  <c r="AA66" i="96" s="1"/>
  <c r="AA68" i="96" s="1"/>
  <c r="AG65" i="96"/>
  <c r="Y66" i="96" s="1"/>
  <c r="AE65" i="96"/>
  <c r="W66" i="96" s="1"/>
  <c r="W68" i="96" s="1"/>
  <c r="AC65" i="96"/>
  <c r="U66" i="96" s="1"/>
  <c r="U68" i="96" s="1"/>
  <c r="AA65" i="96"/>
  <c r="W65" i="96"/>
  <c r="O66" i="96" s="1"/>
  <c r="U65" i="96"/>
  <c r="S65" i="96"/>
  <c r="AO60" i="96"/>
  <c r="AM60" i="96"/>
  <c r="AK60" i="96"/>
  <c r="AI60" i="96"/>
  <c r="AG60" i="96"/>
  <c r="AE60" i="96"/>
  <c r="AC60" i="96"/>
  <c r="AA60" i="96"/>
  <c r="Y60" i="96"/>
  <c r="W60" i="96"/>
  <c r="U60" i="96"/>
  <c r="S60" i="96"/>
  <c r="Q60" i="96"/>
  <c r="AO56" i="96"/>
  <c r="AO57" i="96" s="1"/>
  <c r="AM56" i="96"/>
  <c r="AM57" i="96" s="1"/>
  <c r="AK56" i="96"/>
  <c r="AK57" i="96" s="1"/>
  <c r="AI56" i="96"/>
  <c r="AI57" i="96" s="1"/>
  <c r="AG56" i="96"/>
  <c r="AG57" i="96" s="1"/>
  <c r="AE56" i="96"/>
  <c r="AE57" i="96" s="1"/>
  <c r="AC56" i="96"/>
  <c r="AC57" i="96" s="1"/>
  <c r="AA56" i="96"/>
  <c r="AA57" i="96" s="1"/>
  <c r="W56" i="96"/>
  <c r="W57" i="96" s="1"/>
  <c r="U56" i="96"/>
  <c r="U57" i="96" s="1"/>
  <c r="S56" i="96"/>
  <c r="S57" i="96" s="1"/>
  <c r="Y65" i="96"/>
  <c r="Q66" i="96" s="1"/>
  <c r="Q68" i="96" s="1"/>
  <c r="AO51" i="96"/>
  <c r="AM51" i="96"/>
  <c r="AK51" i="96"/>
  <c r="AI51" i="96"/>
  <c r="AO44" i="96"/>
  <c r="AM44" i="96"/>
  <c r="AK44" i="96"/>
  <c r="AI44" i="96"/>
  <c r="AO41" i="96"/>
  <c r="AO43" i="96" s="1"/>
  <c r="AM41" i="96"/>
  <c r="AM43" i="96" s="1"/>
  <c r="AK41" i="96"/>
  <c r="AK43" i="96" s="1"/>
  <c r="AI41" i="96"/>
  <c r="AI43" i="96" s="1"/>
  <c r="AI45" i="96" s="1"/>
  <c r="AG41" i="96"/>
  <c r="AE41" i="96"/>
  <c r="W42" i="96" s="1"/>
  <c r="AC41" i="96"/>
  <c r="U42" i="96" s="1"/>
  <c r="AA41" i="96"/>
  <c r="S42" i="96" s="1"/>
  <c r="S44" i="96" s="1"/>
  <c r="W41" i="96"/>
  <c r="U41" i="96"/>
  <c r="S41" i="96"/>
  <c r="Q41" i="96"/>
  <c r="AO39" i="96"/>
  <c r="AO48" i="96" s="1"/>
  <c r="AO50" i="96" s="1"/>
  <c r="AM39" i="96"/>
  <c r="AM48" i="96" s="1"/>
  <c r="AM50" i="96" s="1"/>
  <c r="AK39" i="96"/>
  <c r="AK48" i="96" s="1"/>
  <c r="AK61" i="96" s="1"/>
  <c r="AI39" i="96"/>
  <c r="AA49" i="96" s="1"/>
  <c r="AG39" i="96"/>
  <c r="AE39" i="96"/>
  <c r="W49" i="96" s="1"/>
  <c r="W51" i="96" s="1"/>
  <c r="AC39" i="96"/>
  <c r="U49" i="96" s="1"/>
  <c r="U51" i="96" s="1"/>
  <c r="AA39" i="96"/>
  <c r="AA48" i="96" s="1"/>
  <c r="AA61" i="96" s="1"/>
  <c r="W39" i="96"/>
  <c r="U39" i="96"/>
  <c r="U48" i="96" s="1"/>
  <c r="U61" i="96" s="1"/>
  <c r="S39" i="96"/>
  <c r="S48" i="96" s="1"/>
  <c r="S61" i="96" s="1"/>
  <c r="Y78" i="96"/>
  <c r="Q78" i="96"/>
  <c r="Y77" i="96"/>
  <c r="Q77" i="96"/>
  <c r="Q85" i="96"/>
  <c r="Q101" i="96" s="1"/>
  <c r="Q102" i="96" s="1"/>
  <c r="AP34" i="96"/>
  <c r="AO34" i="96"/>
  <c r="AN34" i="96"/>
  <c r="AM34" i="96"/>
  <c r="AL34" i="96"/>
  <c r="AK34" i="96"/>
  <c r="AJ34" i="96"/>
  <c r="AI34" i="96"/>
  <c r="AH34" i="96"/>
  <c r="AG34" i="96"/>
  <c r="AF34" i="96"/>
  <c r="AE34" i="96"/>
  <c r="AD34" i="96"/>
  <c r="AC34" i="96"/>
  <c r="AB34" i="96"/>
  <c r="AA34" i="96"/>
  <c r="Z34" i="96"/>
  <c r="Y34" i="96"/>
  <c r="X34" i="96"/>
  <c r="W34" i="96"/>
  <c r="V34" i="96"/>
  <c r="U34" i="96"/>
  <c r="T34" i="96"/>
  <c r="S34" i="96"/>
  <c r="R34" i="96"/>
  <c r="Q34" i="96"/>
  <c r="AO21" i="96"/>
  <c r="AM21" i="96"/>
  <c r="AK21" i="96"/>
  <c r="AI21" i="96"/>
  <c r="AG21" i="96"/>
  <c r="AD21" i="96"/>
  <c r="AC21" i="96"/>
  <c r="AB21" i="96"/>
  <c r="AA21" i="96"/>
  <c r="X21" i="96"/>
  <c r="W21" i="96"/>
  <c r="V21" i="96"/>
  <c r="U21" i="96"/>
  <c r="T21" i="96"/>
  <c r="S21" i="96"/>
  <c r="R21" i="96"/>
  <c r="AP19" i="96"/>
  <c r="AP21" i="96" s="1"/>
  <c r="AN19" i="96"/>
  <c r="AN21" i="96" s="1"/>
  <c r="AL19" i="96"/>
  <c r="AL21" i="96" s="1"/>
  <c r="AJ19" i="96"/>
  <c r="AJ21" i="96" s="1"/>
  <c r="AH19" i="96"/>
  <c r="AH21" i="96" s="1"/>
  <c r="AF19" i="96"/>
  <c r="AF21" i="96" s="1"/>
  <c r="AE19" i="96"/>
  <c r="AE120" i="96" s="1"/>
  <c r="Z21" i="96"/>
  <c r="Q152" i="96"/>
  <c r="Q153" i="96" s="1"/>
  <c r="AO14" i="96"/>
  <c r="AO27" i="96" s="1"/>
  <c r="AN14" i="96"/>
  <c r="AN27" i="96" s="1"/>
  <c r="AM14" i="96"/>
  <c r="AM27" i="96" s="1"/>
  <c r="AL14" i="96"/>
  <c r="AL27" i="96" s="1"/>
  <c r="AK14" i="96"/>
  <c r="AK27" i="96" s="1"/>
  <c r="AJ14" i="96"/>
  <c r="AJ27" i="96" s="1"/>
  <c r="AI14" i="96"/>
  <c r="AI27" i="96" s="1"/>
  <c r="AH14" i="96"/>
  <c r="AH27" i="96" s="1"/>
  <c r="AG14" i="96"/>
  <c r="AG27" i="96" s="1"/>
  <c r="AD12" i="96"/>
  <c r="AD13" i="96" s="1"/>
  <c r="AD14" i="96" s="1"/>
  <c r="AD27" i="96" s="1"/>
  <c r="AC12" i="96"/>
  <c r="AC13" i="96" s="1"/>
  <c r="AC14" i="96" s="1"/>
  <c r="AC27" i="96" s="1"/>
  <c r="AB12" i="96"/>
  <c r="AB13" i="96" s="1"/>
  <c r="AB14" i="96" s="1"/>
  <c r="AB27" i="96" s="1"/>
  <c r="AA12" i="96"/>
  <c r="AA13" i="96" s="1"/>
  <c r="AA14" i="96" s="1"/>
  <c r="Z12" i="96"/>
  <c r="Z13" i="96" s="1"/>
  <c r="Z14" i="96" s="1"/>
  <c r="Z27" i="96" s="1"/>
  <c r="Y12" i="96"/>
  <c r="Y13" i="96" s="1"/>
  <c r="Y14" i="96" s="1"/>
  <c r="Y27" i="96" s="1"/>
  <c r="X12" i="96"/>
  <c r="X13" i="96" s="1"/>
  <c r="X14" i="96" s="1"/>
  <c r="X27" i="96" s="1"/>
  <c r="W12" i="96"/>
  <c r="W13" i="96" s="1"/>
  <c r="W14" i="96" s="1"/>
  <c r="W27" i="96" s="1"/>
  <c r="V12" i="96"/>
  <c r="V13" i="96" s="1"/>
  <c r="V14" i="96" s="1"/>
  <c r="V27" i="96" s="1"/>
  <c r="U12" i="96"/>
  <c r="U13" i="96" s="1"/>
  <c r="U14" i="96" s="1"/>
  <c r="U27" i="96" s="1"/>
  <c r="T12" i="96"/>
  <c r="T13" i="96" s="1"/>
  <c r="T14" i="96" s="1"/>
  <c r="S12" i="96"/>
  <c r="S13" i="96" s="1"/>
  <c r="S14" i="96" s="1"/>
  <c r="AF11" i="96"/>
  <c r="AF14" i="96" s="1"/>
  <c r="AE11" i="96"/>
  <c r="AP82" i="96"/>
  <c r="AN82" i="96"/>
  <c r="AN84" i="96" s="1"/>
  <c r="AL82" i="96"/>
  <c r="AL84" i="96" s="1"/>
  <c r="AL86" i="96" s="1"/>
  <c r="AF82" i="96"/>
  <c r="AF84" i="96" s="1"/>
  <c r="AD82" i="96"/>
  <c r="AD84" i="96" s="1"/>
  <c r="Z82" i="96"/>
  <c r="Z84" i="96" s="1"/>
  <c r="Y82" i="96"/>
  <c r="Y84" i="96" s="1"/>
  <c r="T82" i="96"/>
  <c r="T84" i="96" s="1"/>
  <c r="R82" i="96"/>
  <c r="R84" i="96" s="1"/>
  <c r="Q82" i="96"/>
  <c r="Q84" i="96" s="1"/>
  <c r="AO82" i="96"/>
  <c r="AO84" i="96" s="1"/>
  <c r="AA42" i="96"/>
  <c r="AA44" i="96" s="1"/>
  <c r="AP27" i="96"/>
  <c r="AJ82" i="96"/>
  <c r="AJ84" i="96" s="1"/>
  <c r="AB82" i="96"/>
  <c r="AB84" i="96" s="1"/>
  <c r="X82" i="96"/>
  <c r="X84" i="96" s="1"/>
  <c r="AG82" i="96"/>
  <c r="AG84" i="96" s="1"/>
  <c r="Q106" i="96"/>
  <c r="AH82" i="96"/>
  <c r="AH84" i="96" s="1"/>
  <c r="V82" i="96"/>
  <c r="V84" i="96" s="1"/>
  <c r="Y21" i="96"/>
  <c r="R85" i="96"/>
  <c r="R12" i="96"/>
  <c r="R13" i="96" s="1"/>
  <c r="R14" i="96" s="1"/>
  <c r="R27" i="96" s="1"/>
  <c r="Q120" i="96"/>
  <c r="Q65" i="96"/>
  <c r="G66" i="96" s="1"/>
  <c r="Q57" i="96"/>
  <c r="AE49" i="96"/>
  <c r="AE51" i="96" s="1"/>
  <c r="W82" i="96"/>
  <c r="W84" i="96" s="1"/>
  <c r="AM82" i="96"/>
  <c r="AM84" i="96" s="1"/>
  <c r="Q12" i="96"/>
  <c r="Q13" i="96" s="1"/>
  <c r="Q14" i="96" s="1"/>
  <c r="Q27" i="96" s="1"/>
  <c r="Q21" i="96"/>
  <c r="Y101" i="96"/>
  <c r="Y102" i="96" s="1"/>
  <c r="Y85" i="96"/>
  <c r="Z85" i="96" s="1"/>
  <c r="Y107" i="96"/>
  <c r="Y97" i="96"/>
  <c r="Y98" i="96" s="1"/>
  <c r="Y56" i="96"/>
  <c r="Y57" i="96" s="1"/>
  <c r="Q45" i="96"/>
  <c r="Y41" i="96"/>
  <c r="Q42" i="96" s="1"/>
  <c r="Q44" i="96" s="1"/>
  <c r="Y39" i="96"/>
  <c r="Q49" i="96" s="1"/>
  <c r="Q51" i="96" s="1"/>
  <c r="Q39" i="96"/>
  <c r="Q48" i="96" s="1"/>
  <c r="Q76" i="96"/>
  <c r="Q56" i="96"/>
  <c r="Q97" i="96"/>
  <c r="Q98" i="96" s="1"/>
  <c r="Q107" i="96"/>
  <c r="AE82" i="96"/>
  <c r="AE84" i="96" s="1"/>
  <c r="AM61" i="96"/>
  <c r="AK82" i="96"/>
  <c r="AK84" i="96" s="1"/>
  <c r="AC82" i="96"/>
  <c r="AC84" i="96" s="1"/>
  <c r="U82" i="96"/>
  <c r="U84" i="96" s="1"/>
  <c r="D19" i="3"/>
  <c r="D41" i="3" s="1"/>
  <c r="D43" i="3" s="1"/>
  <c r="D123" i="6"/>
  <c r="D9" i="6"/>
  <c r="E9" i="6"/>
  <c r="F9" i="6"/>
  <c r="G9" i="6"/>
  <c r="H9" i="6"/>
  <c r="AE14" i="96" l="1"/>
  <c r="AE27" i="96" s="1"/>
  <c r="S8" i="96"/>
  <c r="U145" i="96"/>
  <c r="AA8" i="96"/>
  <c r="AC145" i="96"/>
  <c r="AO52" i="96"/>
  <c r="S108" i="96"/>
  <c r="AM122" i="96"/>
  <c r="U86" i="96"/>
  <c r="AE86" i="96"/>
  <c r="G68" i="96"/>
  <c r="G67" i="96"/>
  <c r="AI122" i="96"/>
  <c r="W108" i="96"/>
  <c r="AG122" i="96"/>
  <c r="U108" i="96"/>
  <c r="AO122" i="96"/>
  <c r="AG52" i="96"/>
  <c r="AO45" i="96"/>
  <c r="O68" i="96"/>
  <c r="O67" i="96"/>
  <c r="W48" i="96"/>
  <c r="W61" i="96" s="1"/>
  <c r="W62" i="96" s="1"/>
  <c r="O52" i="96"/>
  <c r="O24" i="96"/>
  <c r="O28" i="96" s="1"/>
  <c r="O29" i="96" s="1"/>
  <c r="P25" i="96"/>
  <c r="P28" i="96" s="1"/>
  <c r="P29" i="96" s="1"/>
  <c r="D45" i="86"/>
  <c r="D47" i="86" s="1"/>
  <c r="AC66" i="96"/>
  <c r="AC68" i="96" s="1"/>
  <c r="AA62" i="96"/>
  <c r="U148" i="96"/>
  <c r="U149" i="96" s="1"/>
  <c r="Q122" i="96"/>
  <c r="AG86" i="96"/>
  <c r="Y108" i="96"/>
  <c r="AH86" i="96"/>
  <c r="U62" i="96"/>
  <c r="W86" i="96"/>
  <c r="AE66" i="96"/>
  <c r="AE68" i="96" s="1"/>
  <c r="AE12" i="96"/>
  <c r="AE13" i="96" s="1"/>
  <c r="AO86" i="96"/>
  <c r="AI48" i="96"/>
  <c r="AI61" i="96" s="1"/>
  <c r="AI62" i="96" s="1"/>
  <c r="Q86" i="96"/>
  <c r="W148" i="96"/>
  <c r="W149" i="96" s="1"/>
  <c r="AG79" i="96"/>
  <c r="Y24" i="96"/>
  <c r="Y28" i="96" s="1"/>
  <c r="Y29" i="96" s="1"/>
  <c r="AH25" i="96"/>
  <c r="AH28" i="96" s="1"/>
  <c r="AH29" i="96" s="1"/>
  <c r="Y48" i="96"/>
  <c r="Y61" i="96" s="1"/>
  <c r="Y62" i="96" s="1"/>
  <c r="AG48" i="96"/>
  <c r="AG61" i="96" s="1"/>
  <c r="AG62" i="96" s="1"/>
  <c r="AF12" i="96"/>
  <c r="AF13" i="96" s="1"/>
  <c r="AG49" i="96"/>
  <c r="AG51" i="96" s="1"/>
  <c r="AM69" i="96"/>
  <c r="AG108" i="96"/>
  <c r="AO108" i="96"/>
  <c r="W122" i="96"/>
  <c r="Y122" i="96"/>
  <c r="Y49" i="96"/>
  <c r="Y51" i="96" s="1"/>
  <c r="R25" i="96"/>
  <c r="R28" i="96" s="1"/>
  <c r="R29" i="96" s="1"/>
  <c r="V25" i="96"/>
  <c r="V28" i="96" s="1"/>
  <c r="V29" i="96" s="1"/>
  <c r="Y79" i="96"/>
  <c r="AI79" i="96"/>
  <c r="W44" i="96"/>
  <c r="W43" i="96"/>
  <c r="AE48" i="96"/>
  <c r="AD86" i="96"/>
  <c r="AL25" i="96"/>
  <c r="AL28" i="96" s="1"/>
  <c r="AL29" i="96" s="1"/>
  <c r="S67" i="96"/>
  <c r="S69" i="96" s="1"/>
  <c r="AC108" i="96"/>
  <c r="AK108" i="96"/>
  <c r="AE108" i="96"/>
  <c r="AM108" i="96"/>
  <c r="Q67" i="96"/>
  <c r="Q69" i="96" s="1"/>
  <c r="R86" i="96"/>
  <c r="AC79" i="96"/>
  <c r="AK79" i="96"/>
  <c r="W79" i="96"/>
  <c r="S122" i="96"/>
  <c r="U122" i="96"/>
  <c r="AC122" i="96"/>
  <c r="Q24" i="96"/>
  <c r="Q28" i="96" s="1"/>
  <c r="Q29" i="96" s="1"/>
  <c r="AE42" i="96"/>
  <c r="AE44" i="96" s="1"/>
  <c r="AM62" i="96"/>
  <c r="W67" i="96"/>
  <c r="W69" i="96" s="1"/>
  <c r="AA108" i="96"/>
  <c r="AI108" i="96"/>
  <c r="AN86" i="96"/>
  <c r="AF86" i="96"/>
  <c r="Y52" i="96"/>
  <c r="AC42" i="96"/>
  <c r="AC44" i="96" s="1"/>
  <c r="AM79" i="96"/>
  <c r="AK50" i="96"/>
  <c r="AK52" i="96" s="1"/>
  <c r="Q108" i="96"/>
  <c r="Y86" i="96"/>
  <c r="AM86" i="96"/>
  <c r="AE21" i="96"/>
  <c r="AF25" i="96" s="1"/>
  <c r="AF28" i="96" s="1"/>
  <c r="AC49" i="96"/>
  <c r="AC51" i="96" s="1"/>
  <c r="W153" i="96"/>
  <c r="U44" i="96"/>
  <c r="U43" i="96"/>
  <c r="S62" i="96"/>
  <c r="AC86" i="96"/>
  <c r="W24" i="96"/>
  <c r="W28" i="96" s="1"/>
  <c r="W29" i="96" s="1"/>
  <c r="AO61" i="96"/>
  <c r="AO62" i="96" s="1"/>
  <c r="AI67" i="96"/>
  <c r="AI69" i="96" s="1"/>
  <c r="AJ86" i="96"/>
  <c r="Q43" i="96"/>
  <c r="AA43" i="96"/>
  <c r="AA45" i="96" s="1"/>
  <c r="AG42" i="96"/>
  <c r="AG44" i="96" s="1"/>
  <c r="AE79" i="96"/>
  <c r="V86" i="96"/>
  <c r="U24" i="96"/>
  <c r="U28" i="96" s="1"/>
  <c r="U29" i="96" s="1"/>
  <c r="AG24" i="96"/>
  <c r="AG28" i="96" s="1"/>
  <c r="AG29" i="96" s="1"/>
  <c r="X86" i="96"/>
  <c r="AK69" i="96"/>
  <c r="S79" i="96"/>
  <c r="AA51" i="96"/>
  <c r="AA50" i="96"/>
  <c r="Q52" i="96"/>
  <c r="Z25" i="96"/>
  <c r="Z28" i="96" s="1"/>
  <c r="Z29" i="96" s="1"/>
  <c r="S43" i="96"/>
  <c r="S45" i="96" s="1"/>
  <c r="AJ25" i="96"/>
  <c r="AJ28" i="96" s="1"/>
  <c r="AJ29" i="96" s="1"/>
  <c r="U50" i="96"/>
  <c r="X25" i="96"/>
  <c r="X28" i="96" s="1"/>
  <c r="X29" i="96" s="1"/>
  <c r="AC48" i="96"/>
  <c r="U52" i="96"/>
  <c r="U79" i="96"/>
  <c r="AO79" i="96"/>
  <c r="AB86" i="96"/>
  <c r="AK122" i="96"/>
  <c r="AK86" i="96"/>
  <c r="AM52" i="96"/>
  <c r="Q79" i="96"/>
  <c r="T86" i="96"/>
  <c r="U67" i="96"/>
  <c r="U69" i="96" s="1"/>
  <c r="AC52" i="96"/>
  <c r="AM45" i="96"/>
  <c r="AA67" i="96"/>
  <c r="AA69" i="96" s="1"/>
  <c r="AA79" i="96"/>
  <c r="AP86" i="96"/>
  <c r="AA122" i="96"/>
  <c r="Z86" i="96"/>
  <c r="Q61" i="96"/>
  <c r="Q62" i="96" s="1"/>
  <c r="Q50" i="96"/>
  <c r="T25" i="96"/>
  <c r="T28" i="96" s="1"/>
  <c r="S24" i="96"/>
  <c r="S28" i="96" s="1"/>
  <c r="AB25" i="96"/>
  <c r="AB28" i="96" s="1"/>
  <c r="AB29" i="96" s="1"/>
  <c r="AP25" i="96"/>
  <c r="AP28" i="96" s="1"/>
  <c r="AP29" i="96" s="1"/>
  <c r="AM24" i="96"/>
  <c r="AM28" i="96" s="1"/>
  <c r="AM29" i="96" s="1"/>
  <c r="AO24" i="96"/>
  <c r="AO28" i="96" s="1"/>
  <c r="AO29" i="96" s="1"/>
  <c r="AK24" i="96"/>
  <c r="AK28" i="96" s="1"/>
  <c r="AK29" i="96" s="1"/>
  <c r="S49" i="96"/>
  <c r="S51" i="96" s="1"/>
  <c r="AA52" i="96"/>
  <c r="Y42" i="96"/>
  <c r="T27" i="96"/>
  <c r="AE122" i="96"/>
  <c r="AG68" i="96"/>
  <c r="AG67" i="96"/>
  <c r="AF27" i="96"/>
  <c r="AN25" i="96"/>
  <c r="AN28" i="96" s="1"/>
  <c r="AN29" i="96" s="1"/>
  <c r="W52" i="96"/>
  <c r="AE52" i="96"/>
  <c r="AK62" i="96"/>
  <c r="AI82" i="96"/>
  <c r="AI84" i="96" s="1"/>
  <c r="AI86" i="96" s="1"/>
  <c r="AI24" i="96"/>
  <c r="AI28" i="96" s="1"/>
  <c r="AI29" i="96" s="1"/>
  <c r="AK45" i="96"/>
  <c r="Y67" i="96"/>
  <c r="Y68" i="96"/>
  <c r="Q148" i="96"/>
  <c r="Q149" i="96" s="1"/>
  <c r="AO67" i="96"/>
  <c r="AO69" i="96" s="1"/>
  <c r="AA145" i="96" l="1"/>
  <c r="AA82" i="96"/>
  <c r="AA84" i="96" s="1"/>
  <c r="AA86" i="96" s="1"/>
  <c r="S145" i="96"/>
  <c r="S148" i="96" s="1"/>
  <c r="S149" i="96" s="1"/>
  <c r="S82" i="96"/>
  <c r="S84" i="96" s="1"/>
  <c r="S86" i="96" s="1"/>
  <c r="AA27" i="96"/>
  <c r="S27" i="96"/>
  <c r="S29" i="96" s="1"/>
  <c r="G69" i="96"/>
  <c r="O69" i="96"/>
  <c r="W50" i="96"/>
  <c r="AC24" i="96"/>
  <c r="AC28" i="96" s="1"/>
  <c r="AC29" i="96" s="1"/>
  <c r="AC67" i="96"/>
  <c r="AC69" i="96" s="1"/>
  <c r="AI50" i="96"/>
  <c r="AI52" i="96" s="1"/>
  <c r="Y50" i="96"/>
  <c r="AE67" i="96"/>
  <c r="AE69" i="96" s="1"/>
  <c r="W45" i="96"/>
  <c r="AA24" i="96"/>
  <c r="AA28" i="96" s="1"/>
  <c r="AG50" i="96"/>
  <c r="AC43" i="96"/>
  <c r="AC45" i="96" s="1"/>
  <c r="AE61" i="96"/>
  <c r="AE62" i="96" s="1"/>
  <c r="AE50" i="96"/>
  <c r="S50" i="96"/>
  <c r="S52" i="96" s="1"/>
  <c r="AE43" i="96"/>
  <c r="AE45" i="96" s="1"/>
  <c r="AG43" i="96"/>
  <c r="AG45" i="96" s="1"/>
  <c r="AG69" i="96"/>
  <c r="AD25" i="96"/>
  <c r="AD28" i="96" s="1"/>
  <c r="AD29" i="96" s="1"/>
  <c r="AE24" i="96"/>
  <c r="AE28" i="96" s="1"/>
  <c r="AE29" i="96" s="1"/>
  <c r="AF29" i="96"/>
  <c r="T29" i="96"/>
  <c r="U45" i="96"/>
  <c r="AC50" i="96"/>
  <c r="AC61" i="96"/>
  <c r="AC62" i="96" s="1"/>
  <c r="Y69" i="96"/>
  <c r="Y44" i="96"/>
  <c r="Y43" i="96"/>
  <c r="AA29" i="96" l="1"/>
  <c r="Y45" i="96"/>
  <c r="N21" i="96" l="1"/>
  <c r="M21" i="96"/>
  <c r="M34" i="96"/>
  <c r="N34" i="96"/>
  <c r="M39" i="96"/>
  <c r="M73" i="96"/>
  <c r="N74" i="96"/>
  <c r="M76" i="96"/>
  <c r="M79" i="96" s="1"/>
  <c r="M152" i="96"/>
  <c r="M153" i="96" s="1"/>
  <c r="M148" i="96"/>
  <c r="M149" i="96" s="1"/>
  <c r="N25" i="96" l="1"/>
  <c r="N28" i="96" s="1"/>
  <c r="N29" i="96" s="1"/>
  <c r="M24" i="96"/>
  <c r="M28" i="96" s="1"/>
  <c r="M29" i="96" s="1"/>
</calcChain>
</file>

<file path=xl/sharedStrings.xml><?xml version="1.0" encoding="utf-8"?>
<sst xmlns="http://schemas.openxmlformats.org/spreadsheetml/2006/main" count="707" uniqueCount="381">
  <si>
    <t>Other</t>
  </si>
  <si>
    <t>Total assets</t>
  </si>
  <si>
    <t xml:space="preserve"> </t>
  </si>
  <si>
    <t>Name</t>
  </si>
  <si>
    <t>No.</t>
  </si>
  <si>
    <t>Contents (linked)</t>
  </si>
  <si>
    <t>SpareBank 1 Finans Østlandet AS</t>
  </si>
  <si>
    <t>EiendomsMegler 1 Hedmark Eiendom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</si>
  <si>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</si>
  <si>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</si>
  <si>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</si>
  <si>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</si>
  <si>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</si>
  <si>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</si>
  <si>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</si>
  <si>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</si>
  <si>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</si>
  <si>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</si>
  <si>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</si>
  <si>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</si>
  <si>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</si>
  <si>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</si>
  <si>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</si>
  <si>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</si>
  <si>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</si>
  <si>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</si>
  <si>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</si>
  <si>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</si>
  <si>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</si>
  <si>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</si>
  <si>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</si>
  <si>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</si>
  <si>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</si>
  <si>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</si>
  <si>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</si>
  <si>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</si>
  <si>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</si>
  <si>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</si>
  <si>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</si>
  <si>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</si>
  <si>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</si>
  <si>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</si>
  <si>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</si>
  <si>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</si>
  <si>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</si>
  <si>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</si>
  <si>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</si>
  <si>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</si>
  <si>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</si>
  <si>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</si>
  <si>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</si>
  <si>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</si>
  <si>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</si>
  <si>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</si>
  <si>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</si>
  <si>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</si>
  <si>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</si>
  <si>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</si>
  <si>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</si>
  <si>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</si>
  <si>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</si>
  <si>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</si>
  <si>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</si>
  <si>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</si>
  <si>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</si>
  <si>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</si>
  <si>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</si>
  <si>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</si>
  <si>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</si>
  <si>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</si>
  <si>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</si>
  <si>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</si>
  <si>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</si>
  <si>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</si>
  <si>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</si>
  <si>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</si>
  <si>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</si>
  <si>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</si>
  <si>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</si>
  <si>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</si>
  <si>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</si>
  <si>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</si>
  <si>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</si>
  <si>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</si>
  <si>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</si>
  <si>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</si>
  <si>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</si>
  <si>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</si>
  <si>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</si>
  <si>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</si>
  <si>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</si>
  <si>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</si>
  <si>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</si>
  <si>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</si>
  <si>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</si>
  <si>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</si>
  <si>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</si>
  <si>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</si>
  <si>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</si>
  <si>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</si>
  <si>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</si>
  <si>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</si>
  <si>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</si>
  <si>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</si>
  <si>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</si>
  <si>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</si>
  <si>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</si>
  <si>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</si>
  <si>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</si>
  <si>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</si>
  <si>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</si>
  <si>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</si>
  <si>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</si>
  <si>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</si>
  <si>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</si>
  <si>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</si>
  <si>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</si>
  <si>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</si>
  <si>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</si>
  <si>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</si>
  <si>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</si>
  <si>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</si>
  <si>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</si>
  <si>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</si>
  <si>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</si>
  <si>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</si>
  <si>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</si>
  <si>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</si>
  <si>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</si>
  <si>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</si>
  <si>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</si>
  <si>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</si>
  <si>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</si>
  <si>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</si>
  <si>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</si>
  <si>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</si>
  <si>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</si>
  <si>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</si>
  <si>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</si>
  <si>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</si>
  <si>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</si>
  <si>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</si>
  <si>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</si>
  <si>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</si>
  <si>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</si>
  <si>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</si>
  <si>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</si>
  <si>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</si>
  <si>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</si>
  <si>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</si>
  <si>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</si>
  <si>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</si>
  <si>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</si>
  <si>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</si>
  <si>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</si>
  <si>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</si>
  <si>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</si>
  <si>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</si>
  <si>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</si>
  <si>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</si>
  <si>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</si>
  <si>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</si>
  <si>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</si>
  <si>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</si>
  <si>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</si>
  <si>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</si>
  <si>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</si>
  <si>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</si>
  <si>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</si>
  <si>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</si>
  <si>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</si>
  <si>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</si>
  <si>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</si>
  <si>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</si>
  <si>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</si>
  <si>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</si>
  <si>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</si>
  <si>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</si>
  <si>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</si>
  <si>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</si>
  <si>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Dividet by gross loans to customers at the end of the same period last year</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</si>
  <si>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</si>
  <si>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</si>
  <si>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</si>
  <si>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</si>
  <si>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</si>
  <si>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</si>
  <si>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</si>
  <si>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</si>
  <si>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</si>
  <si>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</si>
  <si>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</si>
  <si>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</si>
  <si>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</si>
  <si>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</si>
  <si>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</si>
  <si>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</si>
  <si>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</si>
  <si>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</si>
  <si>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</si>
  <si>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</si>
  <si>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</si>
  <si>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</si>
  <si>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</si>
  <si>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</si>
  <si>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</si>
  <si>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</si>
  <si>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</si>
  <si>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</si>
  <si>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</si>
  <si>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</si>
  <si>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</si>
  <si>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</si>
  <si>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</si>
  <si>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</si>
  <si>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</si>
  <si>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</si>
  <si>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</si>
  <si>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</si>
  <si>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</si>
  <si>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</si>
  <si>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</si>
  <si>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</si>
  <si>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</si>
  <si>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</si>
  <si>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</si>
  <si>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</si>
  <si>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</si>
  <si>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</si>
  <si>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</si>
  <si>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</si>
  <si>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</si>
  <si>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</si>
  <si>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</si>
  <si>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</si>
  <si>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</si>
  <si>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1.5 Growth in loans incl. Loans transferred to covered bond companies during the last 12 months in per cent</t>
  </si>
  <si>
    <t>1.6 Cost-income-ratio</t>
  </si>
  <si>
    <t>1.7 Cost-income-ratio incl. loans transferred to covered bond companies</t>
  </si>
  <si>
    <t>1.8 Growth in deposits in the last 12 months in per cent</t>
  </si>
  <si>
    <t>1.9 Total assets incl. Loans transferred to covered bond companies (Business capital)</t>
  </si>
  <si>
    <t>1.10 Losses on loans and guarantees as a percentageof gross loans</t>
  </si>
  <si>
    <t>1.9 Total assets incl. Loans transferred to CB companies (Business capital)</t>
  </si>
  <si>
    <t>1.5 Growth in loans incl. Loans transferred to CB companies on last 12 months</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</si>
  <si>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</si>
  <si>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</si>
  <si>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</si>
  <si>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</si>
  <si>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</si>
  <si>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</si>
  <si>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</si>
  <si>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</si>
  <si>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</si>
  <si>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</si>
  <si>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</si>
  <si>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</si>
  <si>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</si>
  <si>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</si>
  <si>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</si>
  <si>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</si>
  <si>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</si>
  <si>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</si>
  <si>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</si>
  <si>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</si>
  <si>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3Q-18</t>
  </si>
  <si>
    <t>EiendomsMegler 1 Oslo Akershus AS - Group</t>
  </si>
  <si>
    <t>SpareBank 1 Østlandet VIT - Group</t>
  </si>
  <si>
    <t>4Q-18</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</si>
  <si>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</si>
  <si>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</si>
  <si>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</si>
  <si>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</si>
  <si>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</si>
  <si>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</si>
  <si>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</si>
  <si>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</si>
  <si>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</si>
  <si>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</si>
  <si>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</si>
  <si>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</si>
  <si>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</si>
  <si>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</si>
  <si>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</si>
  <si>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</si>
  <si>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</si>
  <si>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</si>
  <si>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</si>
  <si>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</si>
  <si>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</si>
  <si>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</si>
  <si>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</si>
  <si>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</si>
  <si>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</si>
  <si>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</si>
  <si>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</si>
  <si>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</si>
  <si>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</si>
  <si>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</si>
  <si>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</si>
  <si>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</si>
  <si>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</si>
  <si>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</si>
  <si>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</si>
  <si>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</si>
  <si>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</si>
  <si>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</si>
  <si>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</si>
  <si>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</si>
  <si>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</si>
  <si>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</si>
  <si>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</si>
  <si>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</si>
  <si>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</si>
  <si>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</si>
  <si>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</si>
  <si>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</si>
  <si>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</si>
  <si>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</si>
  <si>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</si>
  <si>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</si>
  <si>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</si>
  <si>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</si>
  <si>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</si>
  <si>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</si>
  <si>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</si>
  <si>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</si>
  <si>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</si>
  <si>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</si>
  <si>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</si>
  <si>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</si>
  <si>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</si>
  <si>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</si>
  <si>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</si>
  <si>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</si>
  <si>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</si>
  <si>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</si>
  <si>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</si>
  <si>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</si>
  <si>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</si>
  <si>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</si>
  <si>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1Q-19</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</si>
  <si>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</si>
  <si>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</si>
  <si>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</si>
  <si>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</si>
  <si>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</si>
  <si>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1.11 Loans and advances to customers at Stage 2 in percentage of gross loans</t>
  </si>
  <si>
    <t>1.12 Loans and advances to customers at Stage 3 in percentage of gross loans</t>
  </si>
  <si>
    <t>1.13 Gross defaulted commitments in percentage of gross loans</t>
  </si>
  <si>
    <t>1.14 Gross doubtful commitments (not in default) in percentage of gross loans</t>
  </si>
  <si>
    <t>1.15 Net commitments in default and other doutful commitments</t>
  </si>
  <si>
    <t>1.16 Loan loss impairment ratio on defaulted commitments</t>
  </si>
  <si>
    <t>1.17 Loan loss impairment ratio on doubtful commitments</t>
  </si>
  <si>
    <t>1.18 Equity ratio</t>
  </si>
  <si>
    <t>1.19 Book equity per EC</t>
  </si>
  <si>
    <t>1.20 Earnings per equity certificate (in NOK)</t>
  </si>
  <si>
    <t>1.21 Price/Earnings per EC</t>
  </si>
  <si>
    <t>1.22 Price/Book equity</t>
  </si>
  <si>
    <t>1.15 Net commitments in default and other doutful commitments,  percentage of gross loans</t>
  </si>
  <si>
    <t>2Q-19</t>
  </si>
  <si>
    <t>BN Bank ASA</t>
  </si>
  <si>
    <t>3Q-2019</t>
  </si>
  <si>
    <t>3Q-19</t>
  </si>
  <si>
    <t>Thursday 5 March</t>
  </si>
  <si>
    <t>Friday 27 March</t>
  </si>
  <si>
    <t>Preliminary annual report 2019</t>
  </si>
  <si>
    <t>Friday 7 February</t>
  </si>
  <si>
    <t>Annual report 2019</t>
  </si>
  <si>
    <t>1. quarter 2020</t>
  </si>
  <si>
    <t>2. quarter 2020</t>
  </si>
  <si>
    <t>3. quarter 2020</t>
  </si>
  <si>
    <t>Friday 8 May</t>
  </si>
  <si>
    <t>Wednesday 5 August</t>
  </si>
  <si>
    <t>Friday 30 October</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</si>
  <si>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</si>
  <si>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</si>
  <si>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</si>
  <si>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</si>
  <si>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</si>
  <si>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</si>
  <si>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4Q-19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</si>
</sst>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s>
  <borders count="11">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pplyProtection="0"/>
    <xf numFmtId="164" fontId="17" fillId="0" borderId="0" applyFont="0" applyFill="0" applyBorder="0" applyAlignment="0" applyProtection="0"/>
    <xf numFmtId="9" fontId="17" fillId="0" borderId="0" applyFont="0" applyFill="0" applyBorder="0" applyAlignment="0" applyProtection="0"/>
    <xf numFmtId="0" fontId="5" fillId="0" borderId="0"/>
    <xf numFmtId="164" fontId="5" fillId="0" borderId="0" applyFont="0" applyFill="0" applyBorder="0" applyAlignment="0" applyProtection="0"/>
    <xf numFmtId="0" fontId="8" fillId="0" borderId="0"/>
    <xf numFmtId="0" fontId="10" fillId="0" borderId="0"/>
    <xf numFmtId="0" fontId="17" fillId="0" borderId="0" applyProtection="0"/>
    <xf numFmtId="0" fontId="4"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0" fontId="17" fillId="0" borderId="0" applyProtection="0"/>
    <xf numFmtId="0" fontId="17" fillId="0" borderId="0"/>
    <xf numFmtId="0" fontId="17" fillId="0" borderId="0"/>
    <xf numFmtId="0" fontId="51" fillId="0" borderId="0"/>
    <xf numFmtId="0" fontId="54" fillId="0" borderId="0"/>
    <xf numFmtId="0" fontId="1" fillId="0" borderId="0"/>
  </cellStyleXfs>
  <cellXfs count="388">
    <xf numFmtId="0" fontId="0" fillId="0" borderId="0" xfId="0"/>
    <xf numFmtId="0" fontId="6" fillId="0" borderId="1" xfId="0" applyFont="1" applyBorder="1"/>
    <xf numFmtId="0" fontId="7" fillId="0" borderId="2" xfId="0" applyFont="1" applyFill="1" applyBorder="1" applyAlignment="1">
      <alignment horizontal="left" vertical="center"/>
    </xf>
    <xf numFmtId="0" fontId="6" fillId="0" borderId="0" xfId="0" applyFont="1"/>
    <xf numFmtId="49" fontId="6" fillId="0" borderId="0" xfId="0" applyNumberFormat="1" applyFont="1"/>
    <xf numFmtId="0" fontId="8" fillId="0" borderId="0" xfId="0" applyFont="1" applyFill="1" applyAlignment="1">
      <alignment horizontal="left" vertical="center"/>
    </xf>
    <xf numFmtId="0" fontId="8" fillId="0" borderId="0" xfId="0" applyFont="1" applyAlignment="1">
      <alignment vertical="center"/>
    </xf>
    <xf numFmtId="0" fontId="6" fillId="0" borderId="0" xfId="0" applyFont="1" applyFill="1" applyAlignment="1">
      <alignment horizontal="left" vertical="top"/>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24" fillId="0" borderId="0" xfId="5" applyFont="1" applyAlignment="1">
      <alignment vertical="center"/>
    </xf>
    <xf numFmtId="0" fontId="26" fillId="3" borderId="0" xfId="0" applyFont="1" applyFill="1"/>
    <xf numFmtId="0" fontId="27" fillId="3" borderId="0" xfId="0" applyFont="1" applyFill="1"/>
    <xf numFmtId="0" fontId="6" fillId="3" borderId="0" xfId="0" applyFont="1" applyFill="1"/>
    <xf numFmtId="0" fontId="28" fillId="3" borderId="0" xfId="0" applyFont="1" applyFill="1"/>
    <xf numFmtId="0" fontId="9" fillId="0" borderId="5" xfId="5" applyFont="1" applyBorder="1" applyAlignment="1">
      <alignment horizontal="center" vertical="center"/>
    </xf>
    <xf numFmtId="0" fontId="9" fillId="0" borderId="5" xfId="5" applyFont="1" applyBorder="1" applyAlignment="1">
      <alignment vertical="center"/>
    </xf>
    <xf numFmtId="0" fontId="12" fillId="0" borderId="0" xfId="3" applyFont="1" applyFill="1"/>
    <xf numFmtId="0" fontId="13" fillId="0" borderId="0" xfId="3" applyFont="1" applyFill="1"/>
    <xf numFmtId="0" fontId="14" fillId="0" borderId="0" xfId="3" applyFont="1" applyFill="1" applyAlignment="1">
      <alignment vertical="top" wrapText="1"/>
    </xf>
    <xf numFmtId="0" fontId="12"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xf numFmtId="0" fontId="31" fillId="4" borderId="0" xfId="0" applyFont="1" applyFill="1" applyAlignment="1">
      <alignment vertical="center"/>
    </xf>
    <xf numFmtId="0" fontId="32" fillId="2" borderId="0" xfId="0" applyFont="1" applyFill="1" applyAlignment="1">
      <alignment horizontal="right" vertical="center"/>
    </xf>
    <xf numFmtId="0" fontId="33" fillId="4" borderId="3" xfId="0" applyFont="1" applyFill="1" applyBorder="1" applyAlignment="1">
      <alignment vertical="center"/>
    </xf>
    <xf numFmtId="0" fontId="32" fillId="2" borderId="3" xfId="0" applyFont="1" applyFill="1" applyBorder="1" applyAlignment="1">
      <alignment horizontal="right" vertical="center"/>
    </xf>
    <xf numFmtId="0" fontId="31" fillId="4" borderId="0" xfId="0" applyFont="1" applyFill="1" applyAlignment="1">
      <alignment wrapText="1"/>
    </xf>
    <xf numFmtId="3" fontId="31" fillId="2" borderId="0" xfId="1" applyNumberFormat="1" applyFont="1" applyFill="1" applyAlignment="1">
      <alignment horizontal="right"/>
    </xf>
    <xf numFmtId="0" fontId="31" fillId="4" borderId="3" xfId="0" applyFont="1" applyFill="1" applyBorder="1" applyAlignment="1"/>
    <xf numFmtId="3" fontId="31" fillId="2" borderId="3" xfId="1" applyNumberFormat="1" applyFont="1" applyFill="1" applyBorder="1" applyAlignment="1">
      <alignment horizontal="right"/>
    </xf>
    <xf numFmtId="0" fontId="32" fillId="4" borderId="0" xfId="0" applyFont="1" applyFill="1" applyBorder="1" applyAlignment="1">
      <alignment vertical="top"/>
    </xf>
    <xf numFmtId="3" fontId="32" fillId="2" borderId="0" xfId="1" applyNumberFormat="1" applyFont="1" applyFill="1" applyBorder="1" applyAlignment="1">
      <alignment horizontal="right" vertical="top"/>
    </xf>
    <xf numFmtId="3" fontId="32" fillId="2" borderId="0" xfId="1" applyNumberFormat="1" applyFont="1" applyFill="1" applyAlignment="1">
      <alignment horizontal="right" vertical="top"/>
    </xf>
    <xf numFmtId="0" fontId="31" fillId="4" borderId="0" xfId="0" applyFont="1" applyFill="1" applyAlignment="1"/>
    <xf numFmtId="0" fontId="34" fillId="4" borderId="0" xfId="0" applyFont="1" applyFill="1" applyAlignment="1"/>
    <xf numFmtId="3" fontId="32" fillId="2" borderId="0" xfId="1" applyNumberFormat="1" applyFont="1" applyFill="1" applyAlignment="1">
      <alignment horizontal="right"/>
    </xf>
    <xf numFmtId="0" fontId="32" fillId="4" borderId="0" xfId="0" applyFont="1" applyFill="1" applyBorder="1" applyAlignment="1"/>
    <xf numFmtId="0" fontId="32" fillId="4" borderId="0" xfId="0" applyFont="1" applyFill="1" applyAlignment="1"/>
    <xf numFmtId="3" fontId="31" fillId="2" borderId="3" xfId="1" applyNumberFormat="1" applyFont="1" applyFill="1" applyBorder="1" applyAlignment="1">
      <alignment horizontal="right" vertical="center"/>
    </xf>
    <xf numFmtId="0" fontId="32" fillId="4" borderId="4" xfId="0" applyFont="1" applyFill="1" applyBorder="1" applyAlignment="1"/>
    <xf numFmtId="3" fontId="32" fillId="2" borderId="3" xfId="1" applyNumberFormat="1" applyFont="1" applyFill="1" applyBorder="1" applyAlignment="1">
      <alignment horizontal="right"/>
    </xf>
    <xf numFmtId="3" fontId="32" fillId="2" borderId="3" xfId="1" applyNumberFormat="1" applyFont="1" applyFill="1" applyBorder="1" applyAlignment="1">
      <alignment horizontal="right" vertical="center"/>
    </xf>
    <xf numFmtId="0" fontId="32" fillId="4" borderId="0" xfId="0" applyFont="1" applyFill="1" applyBorder="1" applyAlignment="1">
      <alignment vertical="center" wrapText="1"/>
    </xf>
    <xf numFmtId="3" fontId="31" fillId="2" borderId="0" xfId="1" applyNumberFormat="1" applyFont="1" applyFill="1" applyBorder="1" applyAlignment="1">
      <alignment horizontal="right" vertical="center"/>
    </xf>
    <xf numFmtId="3" fontId="32" fillId="2" borderId="0" xfId="1" applyNumberFormat="1" applyFont="1" applyFill="1" applyBorder="1" applyAlignment="1">
      <alignment horizontal="right" vertical="center"/>
    </xf>
    <xf numFmtId="0" fontId="31" fillId="2" borderId="3" xfId="0" applyFont="1" applyFill="1" applyBorder="1" applyAlignment="1">
      <alignment vertical="center"/>
    </xf>
    <xf numFmtId="0" fontId="32" fillId="4" borderId="3" xfId="0" applyFont="1" applyFill="1" applyBorder="1" applyAlignment="1">
      <alignment vertical="center" wrapText="1"/>
    </xf>
    <xf numFmtId="0" fontId="31" fillId="2" borderId="4" xfId="0" applyFont="1" applyFill="1" applyBorder="1"/>
    <xf numFmtId="0" fontId="31" fillId="4" borderId="0" xfId="0" applyFont="1" applyFill="1" applyAlignment="1">
      <alignment vertical="center" wrapText="1"/>
    </xf>
    <xf numFmtId="166" fontId="34" fillId="2" borderId="0" xfId="0" applyNumberFormat="1" applyFont="1" applyFill="1"/>
    <xf numFmtId="10" fontId="34" fillId="2" borderId="0" xfId="0" applyNumberFormat="1" applyFont="1" applyFill="1"/>
    <xf numFmtId="0" fontId="32" fillId="4" borderId="3" xfId="0" applyFont="1" applyFill="1" applyBorder="1" applyAlignment="1">
      <alignment wrapText="1"/>
    </xf>
    <xf numFmtId="0" fontId="34" fillId="2" borderId="3" xfId="0" applyFont="1" applyFill="1" applyBorder="1" applyAlignment="1"/>
    <xf numFmtId="3" fontId="34" fillId="2" borderId="0" xfId="0" applyNumberFormat="1" applyFont="1" applyFill="1" applyAlignment="1"/>
    <xf numFmtId="166" fontId="31" fillId="2" borderId="0" xfId="2" applyNumberFormat="1" applyFont="1" applyFill="1" applyAlignment="1">
      <alignment horizontal="right"/>
    </xf>
    <xf numFmtId="166" fontId="34" fillId="2" borderId="0" xfId="2" applyNumberFormat="1" applyFont="1" applyFill="1" applyAlignment="1"/>
    <xf numFmtId="0" fontId="31" fillId="2" borderId="0" xfId="0" applyFont="1" applyFill="1" applyBorder="1" applyAlignment="1"/>
    <xf numFmtId="0" fontId="34" fillId="4" borderId="0" xfId="0" applyFont="1" applyFill="1" applyAlignment="1">
      <alignment vertical="center" wrapText="1"/>
    </xf>
    <xf numFmtId="166" fontId="31" fillId="2" borderId="0" xfId="2" applyNumberFormat="1" applyFont="1" applyFill="1" applyAlignment="1">
      <alignment horizontal="right" vertical="center"/>
    </xf>
    <xf numFmtId="166" fontId="34" fillId="2" borderId="0" xfId="2" applyNumberFormat="1" applyFont="1" applyFill="1"/>
    <xf numFmtId="0" fontId="34" fillId="2" borderId="0" xfId="0" applyFont="1" applyFill="1" applyAlignment="1">
      <alignment vertical="center" wrapText="1"/>
    </xf>
    <xf numFmtId="0" fontId="32" fillId="2" borderId="3" xfId="0" applyFont="1" applyFill="1" applyBorder="1"/>
    <xf numFmtId="0" fontId="34" fillId="2" borderId="3" xfId="0" applyFont="1" applyFill="1" applyBorder="1"/>
    <xf numFmtId="0" fontId="31" fillId="4" borderId="3" xfId="0" applyFont="1" applyFill="1" applyBorder="1" applyAlignment="1">
      <alignment vertical="center" wrapText="1"/>
    </xf>
    <xf numFmtId="165" fontId="34" fillId="2" borderId="3" xfId="1" applyNumberFormat="1" applyFont="1" applyFill="1" applyBorder="1"/>
    <xf numFmtId="0" fontId="12" fillId="0" borderId="0" xfId="3" applyFont="1" applyFill="1" applyBorder="1"/>
    <xf numFmtId="0" fontId="20" fillId="0" borderId="0" xfId="3" applyFont="1" applyFill="1" applyBorder="1" applyAlignment="1">
      <alignment horizontal="left" vertical="center"/>
    </xf>
    <xf numFmtId="165" fontId="20" fillId="0" borderId="0" xfId="1" applyNumberFormat="1" applyFont="1" applyFill="1" applyBorder="1"/>
    <xf numFmtId="165" fontId="11" fillId="0" borderId="0" xfId="1" applyNumberFormat="1" applyFont="1" applyFill="1" applyBorder="1"/>
    <xf numFmtId="0" fontId="17" fillId="0" borderId="0" xfId="12" applyBorder="1"/>
    <xf numFmtId="49" fontId="17" fillId="0" borderId="0" xfId="12" applyNumberFormat="1" applyBorder="1"/>
    <xf numFmtId="0" fontId="35" fillId="0" borderId="6" xfId="12" applyFont="1" applyBorder="1" applyAlignment="1">
      <alignment vertical="center"/>
    </xf>
    <xf numFmtId="49" fontId="36" fillId="0" borderId="6" xfId="12" applyNumberFormat="1" applyFont="1" applyBorder="1" applyAlignment="1">
      <alignment vertical="center"/>
    </xf>
    <xf numFmtId="0" fontId="17" fillId="0" borderId="6" xfId="12" applyBorder="1"/>
    <xf numFmtId="0" fontId="17" fillId="0" borderId="0" xfId="12"/>
    <xf numFmtId="0" fontId="37" fillId="0" borderId="0" xfId="13" applyFont="1" applyFill="1"/>
    <xf numFmtId="0" fontId="38" fillId="0" borderId="0" xfId="13" applyFont="1"/>
    <xf numFmtId="0" fontId="39" fillId="0" borderId="0" xfId="13" applyFont="1"/>
    <xf numFmtId="0" fontId="40" fillId="0" borderId="0" xfId="13" applyFont="1"/>
    <xf numFmtId="0" fontId="41" fillId="0" borderId="0" xfId="12" applyFont="1" applyAlignment="1">
      <alignment vertical="center"/>
    </xf>
    <xf numFmtId="0" fontId="42" fillId="0" borderId="0" xfId="13" applyFont="1" applyFill="1" applyAlignment="1"/>
    <xf numFmtId="0" fontId="41" fillId="0" borderId="0" xfId="12" applyFont="1" applyFill="1" applyAlignment="1">
      <alignment vertical="center"/>
    </xf>
    <xf numFmtId="49" fontId="41" fillId="0" borderId="0" xfId="12" applyNumberFormat="1" applyFont="1" applyFill="1" applyAlignment="1">
      <alignment horizontal="left" vertical="center"/>
    </xf>
    <xf numFmtId="49" fontId="41" fillId="0" borderId="0" xfId="12" quotePrefix="1" applyNumberFormat="1" applyFont="1" applyFill="1" applyAlignment="1">
      <alignment horizontal="left" vertical="center"/>
    </xf>
    <xf numFmtId="49" fontId="41" fillId="0" borderId="0" xfId="12" applyNumberFormat="1" applyFont="1" applyAlignment="1">
      <alignment horizontal="left" vertical="center"/>
    </xf>
    <xf numFmtId="0" fontId="41" fillId="0" borderId="0" xfId="12" quotePrefix="1" applyFont="1" applyAlignment="1">
      <alignment vertical="center"/>
    </xf>
    <xf numFmtId="0" fontId="43" fillId="0" borderId="0" xfId="13" applyFont="1"/>
    <xf numFmtId="0" fontId="44" fillId="0" borderId="6" xfId="12" applyFont="1" applyBorder="1"/>
    <xf numFmtId="0" fontId="44" fillId="0" borderId="0" xfId="12" applyFont="1"/>
    <xf numFmtId="49" fontId="41" fillId="0" borderId="0" xfId="12" applyNumberFormat="1" applyFont="1" applyFill="1" applyAlignment="1">
      <alignment vertical="center"/>
    </xf>
    <xf numFmtId="49" fontId="41" fillId="0" borderId="0" xfId="12" applyNumberFormat="1" applyFont="1" applyAlignment="1">
      <alignment vertical="center"/>
    </xf>
    <xf numFmtId="0" fontId="11" fillId="0" borderId="0" xfId="3" applyFont="1" applyFill="1" applyBorder="1"/>
    <xf numFmtId="0" fontId="10" fillId="0" borderId="0" xfId="3" applyFont="1" applyFill="1" applyBorder="1" applyAlignment="1">
      <alignment vertical="top"/>
    </xf>
    <xf numFmtId="0" fontId="15" fillId="0" borderId="0" xfId="3" applyFont="1" applyFill="1" applyBorder="1" applyAlignment="1">
      <alignment vertical="top" wrapText="1"/>
    </xf>
    <xf numFmtId="0" fontId="12" fillId="0" borderId="0" xfId="3" applyFont="1" applyFill="1" applyBorder="1" applyAlignment="1">
      <alignment vertical="top" wrapText="1"/>
    </xf>
    <xf numFmtId="0" fontId="14" fillId="0" borderId="0" xfId="3" applyFont="1" applyFill="1" applyBorder="1" applyAlignment="1">
      <alignment vertical="top" wrapText="1"/>
    </xf>
    <xf numFmtId="0" fontId="19" fillId="0" borderId="0" xfId="3" applyFont="1" applyFill="1" applyBorder="1" applyAlignment="1">
      <alignment horizontal="center" vertical="center"/>
    </xf>
    <xf numFmtId="0" fontId="20" fillId="0" borderId="0" xfId="3" applyFont="1" applyFill="1" applyBorder="1"/>
    <xf numFmtId="0" fontId="16" fillId="0" borderId="0" xfId="3" applyFont="1" applyFill="1" applyBorder="1" applyAlignment="1">
      <alignment horizontal="center" vertical="center"/>
    </xf>
    <xf numFmtId="0" fontId="21" fillId="0" borderId="0" xfId="3" applyFont="1" applyFill="1" applyBorder="1"/>
    <xf numFmtId="0" fontId="46" fillId="2" borderId="0" xfId="0" applyFont="1" applyFill="1"/>
    <xf numFmtId="0" fontId="0" fillId="0" borderId="0" xfId="0" applyFont="1"/>
    <xf numFmtId="1" fontId="47" fillId="0" borderId="0" xfId="0" applyNumberFormat="1" applyFont="1"/>
    <xf numFmtId="0" fontId="0" fillId="2" borderId="0" xfId="0" applyFont="1" applyFill="1"/>
    <xf numFmtId="10" fontId="47" fillId="0" borderId="0" xfId="2" applyNumberFormat="1" applyFont="1"/>
    <xf numFmtId="0" fontId="46" fillId="2" borderId="3" xfId="0" applyFont="1" applyFill="1" applyBorder="1"/>
    <xf numFmtId="0" fontId="0" fillId="0" borderId="3" xfId="0" applyFont="1" applyBorder="1"/>
    <xf numFmtId="0" fontId="44" fillId="0" borderId="0" xfId="0" applyFont="1"/>
    <xf numFmtId="1" fontId="48" fillId="0" borderId="0" xfId="0" applyNumberFormat="1" applyFont="1"/>
    <xf numFmtId="1" fontId="47" fillId="0" borderId="3" xfId="0" applyNumberFormat="1" applyFont="1" applyBorder="1"/>
    <xf numFmtId="0" fontId="12" fillId="0" borderId="0" xfId="8" applyFont="1" applyFill="1" applyBorder="1"/>
    <xf numFmtId="0" fontId="13" fillId="0" borderId="0" xfId="8" applyFont="1" applyFill="1" applyBorder="1"/>
    <xf numFmtId="0" fontId="14" fillId="0" borderId="0" xfId="8" applyFont="1" applyFill="1" applyBorder="1" applyAlignment="1">
      <alignment vertical="top" wrapText="1"/>
    </xf>
    <xf numFmtId="0" fontId="12" fillId="0" borderId="0" xfId="8" applyFont="1" applyFill="1" applyBorder="1" applyAlignment="1">
      <alignment vertical="top" wrapText="1"/>
    </xf>
    <xf numFmtId="0" fontId="10" fillId="0" borderId="0" xfId="8" applyFont="1" applyFill="1" applyBorder="1" applyAlignment="1">
      <alignment vertical="top"/>
    </xf>
    <xf numFmtId="0" fontId="15" fillId="0" borderId="0" xfId="8" applyFont="1" applyFill="1" applyBorder="1" applyAlignment="1">
      <alignment vertical="top" wrapText="1"/>
    </xf>
    <xf numFmtId="0" fontId="22" fillId="0" borderId="0" xfId="8" applyFont="1" applyFill="1" applyBorder="1"/>
    <xf numFmtId="0" fontId="18" fillId="0" borderId="0" xfId="8" applyFont="1" applyFill="1" applyBorder="1" applyAlignment="1">
      <alignment vertical="top"/>
    </xf>
    <xf numFmtId="0" fontId="11" fillId="0" borderId="0" xfId="8" applyFont="1" applyFill="1" applyBorder="1" applyAlignment="1">
      <alignment vertical="top" wrapText="1"/>
    </xf>
    <xf numFmtId="0" fontId="16" fillId="0" borderId="0" xfId="8" applyFont="1" applyFill="1" applyBorder="1" applyAlignment="1">
      <alignment vertical="top" wrapText="1"/>
    </xf>
    <xf numFmtId="0" fontId="16" fillId="0" borderId="0" xfId="8" applyFont="1" applyFill="1" applyBorder="1"/>
    <xf numFmtId="0" fontId="20"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165" fontId="11" fillId="0" borderId="0" xfId="1" applyNumberFormat="1" applyFont="1" applyFill="1" applyBorder="1" applyAlignment="1">
      <alignment vertical="center"/>
    </xf>
    <xf numFmtId="0" fontId="21" fillId="0" borderId="0" xfId="3" applyFont="1" applyFill="1" applyBorder="1" applyAlignment="1">
      <alignment vertical="center"/>
    </xf>
    <xf numFmtId="165" fontId="21" fillId="0" borderId="0" xfId="1" applyNumberFormat="1" applyFont="1" applyFill="1" applyBorder="1" applyAlignment="1">
      <alignment vertical="center"/>
    </xf>
    <xf numFmtId="0" fontId="20" fillId="0" borderId="0" xfId="3" applyFont="1" applyFill="1" applyBorder="1" applyAlignment="1">
      <alignment horizontal="center" vertical="center"/>
    </xf>
    <xf numFmtId="165" fontId="20" fillId="0" borderId="0" xfId="1" applyNumberFormat="1" applyFont="1" applyFill="1" applyBorder="1" applyAlignment="1">
      <alignment vertical="center"/>
    </xf>
    <xf numFmtId="166" fontId="11" fillId="0" borderId="0" xfId="2" applyNumberFormat="1" applyFont="1" applyFill="1" applyBorder="1" applyAlignment="1">
      <alignment vertical="center"/>
    </xf>
    <xf numFmtId="0" fontId="11" fillId="0" borderId="0" xfId="8" applyFont="1" applyFill="1" applyBorder="1"/>
    <xf numFmtId="0" fontId="11" fillId="0" borderId="0" xfId="8" applyFont="1" applyFill="1" applyBorder="1" applyAlignment="1">
      <alignment vertical="top"/>
    </xf>
    <xf numFmtId="0" fontId="25" fillId="0" borderId="0" xfId="8" applyFont="1" applyFill="1" applyBorder="1"/>
    <xf numFmtId="0" fontId="15" fillId="0" borderId="0" xfId="8" applyFont="1" applyFill="1" applyBorder="1"/>
    <xf numFmtId="0" fontId="23" fillId="0" borderId="0" xfId="8" applyFont="1" applyFill="1" applyBorder="1"/>
    <xf numFmtId="0" fontId="13" fillId="0" borderId="0" xfId="3" applyFont="1" applyFill="1" applyBorder="1"/>
    <xf numFmtId="165" fontId="11" fillId="0" borderId="0" xfId="1" applyNumberFormat="1" applyFont="1" applyFill="1" applyBorder="1" applyAlignment="1">
      <alignment horizontal="left" vertical="center"/>
    </xf>
    <xf numFmtId="165" fontId="11" fillId="0" borderId="0" xfId="4" applyNumberFormat="1" applyFont="1" applyFill="1" applyBorder="1" applyAlignment="1">
      <alignment vertical="center"/>
    </xf>
    <xf numFmtId="165" fontId="11" fillId="0" borderId="0" xfId="4" applyNumberFormat="1" applyFont="1" applyFill="1" applyBorder="1" applyAlignment="1">
      <alignment horizontal="left" vertical="center"/>
    </xf>
    <xf numFmtId="0" fontId="46" fillId="0" borderId="0" xfId="0" applyFont="1"/>
    <xf numFmtId="17" fontId="12" fillId="0" borderId="0" xfId="3" applyNumberFormat="1" applyFont="1" applyFill="1" applyBorder="1"/>
    <xf numFmtId="0" fontId="49" fillId="0" borderId="0" xfId="0" applyFont="1"/>
    <xf numFmtId="1" fontId="49" fillId="0" borderId="0" xfId="0" applyNumberFormat="1" applyFont="1"/>
    <xf numFmtId="0" fontId="49" fillId="0" borderId="3" xfId="0" applyFont="1" applyBorder="1"/>
    <xf numFmtId="1" fontId="49" fillId="0" borderId="3" xfId="0" applyNumberFormat="1" applyFont="1" applyBorder="1"/>
    <xf numFmtId="1" fontId="46" fillId="0" borderId="0" xfId="0" applyNumberFormat="1" applyFont="1"/>
    <xf numFmtId="3" fontId="31" fillId="5" borderId="0" xfId="1" applyNumberFormat="1" applyFont="1" applyFill="1" applyAlignment="1">
      <alignment horizontal="right"/>
    </xf>
    <xf numFmtId="0" fontId="32" fillId="5" borderId="0" xfId="0" applyFont="1" applyFill="1" applyAlignment="1">
      <alignment horizontal="right" vertical="center"/>
    </xf>
    <xf numFmtId="0" fontId="32" fillId="5" borderId="3" xfId="0" applyFont="1" applyFill="1" applyBorder="1" applyAlignment="1">
      <alignment horizontal="right" vertical="center"/>
    </xf>
    <xf numFmtId="3" fontId="31" fillId="5" borderId="3" xfId="1" applyNumberFormat="1" applyFont="1" applyFill="1" applyBorder="1" applyAlignment="1">
      <alignment horizontal="right"/>
    </xf>
    <xf numFmtId="3" fontId="32" fillId="5" borderId="0" xfId="1" applyNumberFormat="1" applyFont="1" applyFill="1" applyBorder="1" applyAlignment="1">
      <alignment horizontal="right" vertical="top"/>
    </xf>
    <xf numFmtId="3" fontId="32" fillId="5" borderId="0" xfId="1" applyNumberFormat="1" applyFont="1" applyFill="1" applyAlignment="1">
      <alignment horizontal="right" vertical="top"/>
    </xf>
    <xf numFmtId="3" fontId="32" fillId="5" borderId="0" xfId="1" applyNumberFormat="1" applyFont="1" applyFill="1" applyAlignment="1">
      <alignment horizontal="right"/>
    </xf>
    <xf numFmtId="3" fontId="31" fillId="5" borderId="3" xfId="1" applyNumberFormat="1" applyFont="1" applyFill="1" applyBorder="1" applyAlignment="1">
      <alignment horizontal="right" vertical="center"/>
    </xf>
    <xf numFmtId="3" fontId="32" fillId="5" borderId="3" xfId="1" applyNumberFormat="1" applyFont="1" applyFill="1" applyBorder="1" applyAlignment="1">
      <alignment horizontal="right" vertical="center"/>
    </xf>
    <xf numFmtId="3" fontId="31" fillId="5" borderId="0" xfId="1" applyNumberFormat="1" applyFont="1" applyFill="1" applyBorder="1" applyAlignment="1">
      <alignment horizontal="right" vertical="center"/>
    </xf>
    <xf numFmtId="166" fontId="34" fillId="5" borderId="0" xfId="0" applyNumberFormat="1" applyFont="1" applyFill="1"/>
    <xf numFmtId="10" fontId="34" fillId="5" borderId="0" xfId="0" applyNumberFormat="1" applyFont="1" applyFill="1"/>
    <xf numFmtId="0" fontId="34" fillId="5" borderId="3" xfId="0" applyFont="1" applyFill="1" applyBorder="1" applyAlignment="1"/>
    <xf numFmtId="166" fontId="31" fillId="5" borderId="0" xfId="2" applyNumberFormat="1" applyFont="1" applyFill="1" applyAlignment="1">
      <alignment horizontal="right"/>
    </xf>
    <xf numFmtId="166" fontId="31" fillId="5" borderId="0" xfId="2" applyNumberFormat="1" applyFont="1" applyFill="1" applyAlignment="1">
      <alignment horizontal="right" vertical="center"/>
    </xf>
    <xf numFmtId="0" fontId="34" fillId="5" borderId="3" xfId="0" applyFont="1" applyFill="1" applyBorder="1"/>
    <xf numFmtId="1" fontId="47" fillId="5" borderId="0" xfId="0" applyNumberFormat="1" applyFont="1" applyFill="1"/>
    <xf numFmtId="1" fontId="47" fillId="5" borderId="3" xfId="0" applyNumberFormat="1" applyFont="1" applyFill="1" applyBorder="1"/>
    <xf numFmtId="1" fontId="48" fillId="5" borderId="0" xfId="0" applyNumberFormat="1" applyFont="1" applyFill="1"/>
    <xf numFmtId="10" fontId="47" fillId="5" borderId="0" xfId="2" applyNumberFormat="1" applyFont="1" applyFill="1"/>
    <xf numFmtId="0" fontId="46" fillId="5" borderId="3" xfId="0" applyFont="1" applyFill="1" applyBorder="1" applyAlignment="1">
      <alignment horizontal="right"/>
    </xf>
    <xf numFmtId="0" fontId="46" fillId="0" borderId="3" xfId="0" applyFont="1" applyBorder="1" applyAlignment="1">
      <alignment horizontal="right"/>
    </xf>
    <xf numFmtId="1" fontId="49" fillId="5" borderId="0" xfId="0" applyNumberFormat="1" applyFont="1" applyFill="1"/>
    <xf numFmtId="1" fontId="49" fillId="5" borderId="3" xfId="0" applyNumberFormat="1" applyFont="1" applyFill="1" applyBorder="1"/>
    <xf numFmtId="1" fontId="46" fillId="5" borderId="0" xfId="0" applyNumberFormat="1" applyFont="1" applyFill="1"/>
    <xf numFmtId="10" fontId="49" fillId="5" borderId="0" xfId="2" applyNumberFormat="1" applyFont="1" applyFill="1"/>
    <xf numFmtId="10" fontId="49" fillId="0" borderId="0" xfId="2" applyNumberFormat="1" applyFont="1"/>
    <xf numFmtId="0" fontId="30" fillId="0" borderId="0" xfId="11"/>
    <xf numFmtId="0" fontId="49" fillId="0" borderId="0" xfId="0" applyFont="1" applyBorder="1"/>
    <xf numFmtId="1" fontId="49" fillId="0" borderId="3" xfId="0" applyNumberFormat="1" applyFont="1" applyFill="1" applyBorder="1"/>
    <xf numFmtId="0" fontId="46" fillId="0" borderId="3" xfId="0" applyFont="1" applyFill="1" applyBorder="1" applyAlignment="1">
      <alignment horizontal="right"/>
    </xf>
    <xf numFmtId="1" fontId="49" fillId="0" borderId="0" xfId="0" applyNumberFormat="1" applyFont="1" applyFill="1"/>
    <xf numFmtId="1" fontId="46" fillId="0" borderId="0" xfId="0" applyNumberFormat="1" applyFont="1" applyFill="1"/>
    <xf numFmtId="1" fontId="47" fillId="0" borderId="3" xfId="0" applyNumberFormat="1" applyFont="1" applyFill="1" applyBorder="1"/>
    <xf numFmtId="1" fontId="48" fillId="0" borderId="0" xfId="0" applyNumberFormat="1" applyFont="1" applyFill="1"/>
    <xf numFmtId="10" fontId="47" fillId="0" borderId="0" xfId="2" applyNumberFormat="1" applyFont="1" applyFill="1"/>
    <xf numFmtId="0" fontId="0" fillId="0" borderId="0" xfId="0" applyFont="1" applyFill="1"/>
    <xf numFmtId="10" fontId="29" fillId="0" borderId="0" xfId="2" applyNumberFormat="1" applyFont="1" applyFill="1"/>
    <xf numFmtId="9" fontId="12" fillId="0" borderId="0" xfId="2" applyFont="1" applyFill="1"/>
    <xf numFmtId="0" fontId="53" fillId="0" borderId="0" xfId="3" applyFont="1" applyFill="1"/>
    <xf numFmtId="4" fontId="52" fillId="6" borderId="0" xfId="15" quotePrefix="1" applyNumberFormat="1" applyFont="1" applyFill="1" applyAlignment="1" applyProtection="1">
      <alignment wrapText="1"/>
    </xf>
    <xf numFmtId="1" fontId="12" fillId="0" borderId="0" xfId="3" applyNumberFormat="1" applyFont="1" applyFill="1"/>
    <xf numFmtId="3" fontId="52" fillId="0" borderId="0" xfId="14" applyNumberFormat="1" applyFont="1" applyFill="1" applyAlignment="1"/>
    <xf numFmtId="3" fontId="52" fillId="0" borderId="0" xfId="14" applyNumberFormat="1" applyFont="1" applyFill="1" applyAlignment="1">
      <alignment horizontal="right"/>
    </xf>
    <xf numFmtId="0" fontId="0" fillId="0" borderId="0" xfId="0" applyFill="1"/>
    <xf numFmtId="49" fontId="11" fillId="0" borderId="0" xfId="1" applyNumberFormat="1" applyFont="1" applyFill="1" applyBorder="1" applyAlignment="1">
      <alignment horizontal="left" vertical="center" wrapText="1"/>
    </xf>
    <xf numFmtId="49" fontId="21" fillId="0" borderId="0" xfId="1" applyNumberFormat="1" applyFont="1" applyFill="1" applyBorder="1" applyAlignment="1">
      <alignment horizontal="left" vertical="center" wrapText="1"/>
    </xf>
    <xf numFmtId="165" fontId="11" fillId="0" borderId="0" xfId="1" applyNumberFormat="1" applyFont="1" applyFill="1" applyBorder="1" applyAlignment="1">
      <alignment vertical="center" wrapText="1"/>
    </xf>
    <xf numFmtId="14" fontId="11" fillId="0" borderId="0" xfId="1" applyNumberFormat="1" applyFont="1" applyFill="1" applyBorder="1" applyAlignment="1">
      <alignment vertical="center"/>
    </xf>
    <xf numFmtId="3" fontId="34" fillId="6" borderId="0" xfId="16" applyNumberFormat="1" applyFont="1" applyFill="1" applyAlignment="1"/>
    <xf numFmtId="3" fontId="34" fillId="2" borderId="0" xfId="0" applyNumberFormat="1" applyFont="1" applyFill="1" applyAlignment="1">
      <alignment horizontal="right" vertical="center" wrapText="1"/>
    </xf>
    <xf numFmtId="3" fontId="34" fillId="6" borderId="3" xfId="16" applyNumberFormat="1" applyFont="1" applyFill="1" applyBorder="1" applyAlignment="1"/>
    <xf numFmtId="3" fontId="50" fillId="2" borderId="3" xfId="0" applyNumberFormat="1" applyFont="1" applyFill="1" applyBorder="1" applyAlignment="1">
      <alignment horizontal="right" vertical="center" wrapText="1"/>
    </xf>
    <xf numFmtId="3" fontId="50" fillId="6" borderId="3" xfId="16" applyNumberFormat="1" applyFont="1" applyFill="1" applyBorder="1" applyAlignment="1"/>
    <xf numFmtId="3" fontId="34" fillId="2" borderId="0" xfId="0" quotePrefix="1" applyNumberFormat="1" applyFont="1" applyFill="1" applyAlignment="1">
      <alignment horizontal="right" vertical="center" wrapText="1"/>
    </xf>
    <xf numFmtId="3" fontId="34" fillId="2" borderId="3" xfId="0" applyNumberFormat="1" applyFont="1" applyFill="1" applyBorder="1" applyAlignment="1">
      <alignment horizontal="right" vertical="center" wrapText="1"/>
    </xf>
    <xf numFmtId="3" fontId="50" fillId="6" borderId="7" xfId="16" applyNumberFormat="1" applyFont="1" applyFill="1" applyBorder="1" applyAlignment="1"/>
    <xf numFmtId="3" fontId="34" fillId="5" borderId="0" xfId="0" applyNumberFormat="1" applyFont="1" applyFill="1" applyAlignment="1">
      <alignment horizontal="right" vertical="center" wrapText="1"/>
    </xf>
    <xf numFmtId="3" fontId="50" fillId="5" borderId="3" xfId="0" applyNumberFormat="1" applyFont="1" applyFill="1" applyBorder="1" applyAlignment="1">
      <alignment horizontal="right" vertical="center" wrapText="1"/>
    </xf>
    <xf numFmtId="3" fontId="34" fillId="5" borderId="3" xfId="0" applyNumberFormat="1" applyFont="1" applyFill="1" applyBorder="1" applyAlignment="1">
      <alignment horizontal="right" vertical="center" wrapText="1"/>
    </xf>
    <xf numFmtId="3" fontId="31" fillId="2" borderId="0" xfId="0" applyNumberFormat="1" applyFont="1" applyFill="1" applyAlignment="1">
      <alignment vertical="center"/>
    </xf>
    <xf numFmtId="3" fontId="31" fillId="2" borderId="0" xfId="0" applyNumberFormat="1" applyFont="1" applyFill="1" applyAlignment="1">
      <alignment horizontal="right" vertical="center"/>
    </xf>
    <xf numFmtId="0" fontId="31" fillId="4" borderId="3" xfId="0" applyFont="1" applyFill="1" applyBorder="1" applyAlignment="1">
      <alignment vertical="center"/>
    </xf>
    <xf numFmtId="3" fontId="31" fillId="2" borderId="3" xfId="0" applyNumberFormat="1" applyFont="1" applyFill="1" applyBorder="1" applyAlignment="1">
      <alignment horizontal="right" vertical="center"/>
    </xf>
    <xf numFmtId="0" fontId="32" fillId="4" borderId="8" xfId="0" applyFont="1" applyFill="1" applyBorder="1" applyAlignment="1">
      <alignment vertical="center"/>
    </xf>
    <xf numFmtId="0" fontId="31" fillId="4" borderId="8" xfId="0" applyFont="1" applyFill="1" applyBorder="1" applyAlignment="1">
      <alignment vertical="center"/>
    </xf>
    <xf numFmtId="3" fontId="50" fillId="6" borderId="0" xfId="16" applyNumberFormat="1" applyFont="1" applyFill="1" applyBorder="1" applyAlignment="1"/>
    <xf numFmtId="3" fontId="50" fillId="5" borderId="0" xfId="0" applyNumberFormat="1" applyFont="1" applyFill="1" applyBorder="1" applyAlignment="1">
      <alignment horizontal="right" vertical="center" wrapText="1"/>
    </xf>
    <xf numFmtId="3" fontId="50" fillId="2" borderId="0" xfId="0" applyNumberFormat="1" applyFont="1" applyFill="1" applyBorder="1" applyAlignment="1">
      <alignment horizontal="right" vertical="center" wrapText="1"/>
    </xf>
    <xf numFmtId="3" fontId="34" fillId="6" borderId="0" xfId="16" applyNumberFormat="1" applyFont="1" applyFill="1" applyBorder="1" applyAlignment="1"/>
    <xf numFmtId="3" fontId="34" fillId="5" borderId="0" xfId="0" applyNumberFormat="1" applyFont="1" applyFill="1" applyBorder="1" applyAlignment="1">
      <alignment horizontal="right" vertical="center" wrapText="1"/>
    </xf>
    <xf numFmtId="3" fontId="34" fillId="2" borderId="0" xfId="0" quotePrefix="1" applyNumberFormat="1" applyFont="1" applyFill="1" applyBorder="1" applyAlignment="1">
      <alignment horizontal="right" vertical="center" wrapText="1"/>
    </xf>
    <xf numFmtId="3" fontId="34" fillId="2"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3" fontId="31" fillId="0" borderId="0" xfId="0" applyNumberFormat="1" applyFont="1" applyFill="1" applyAlignment="1">
      <alignment vertical="center"/>
    </xf>
    <xf numFmtId="3" fontId="32" fillId="0" borderId="8" xfId="0" applyNumberFormat="1" applyFont="1" applyFill="1" applyBorder="1" applyAlignment="1">
      <alignment horizontal="right" vertical="center"/>
    </xf>
    <xf numFmtId="0" fontId="31" fillId="0" borderId="0" xfId="0" applyFont="1" applyFill="1" applyBorder="1" applyAlignment="1">
      <alignment vertical="center"/>
    </xf>
    <xf numFmtId="167" fontId="32"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46" fillId="0" borderId="0" xfId="0" applyFont="1" applyFill="1" applyBorder="1"/>
    <xf numFmtId="0" fontId="46" fillId="0" borderId="0" xfId="0" applyFont="1" applyFill="1" applyBorder="1" applyAlignment="1">
      <alignment horizontal="right"/>
    </xf>
    <xf numFmtId="0" fontId="44" fillId="5" borderId="3" xfId="0" applyFont="1" applyFill="1" applyBorder="1" applyAlignment="1">
      <alignment horizontal="right"/>
    </xf>
    <xf numFmtId="0" fontId="44" fillId="0" borderId="3" xfId="0" applyFont="1" applyBorder="1" applyAlignment="1">
      <alignment horizontal="right"/>
    </xf>
    <xf numFmtId="0" fontId="55" fillId="0" borderId="0" xfId="0" applyFont="1"/>
    <xf numFmtId="0" fontId="46" fillId="2" borderId="0" xfId="0" applyFont="1" applyFill="1" applyBorder="1"/>
    <xf numFmtId="1" fontId="15" fillId="0" borderId="0" xfId="3" applyNumberFormat="1" applyFont="1" applyFill="1" applyBorder="1" applyAlignment="1">
      <alignment vertical="top" wrapText="1"/>
    </xf>
    <xf numFmtId="3" fontId="12" fillId="0" borderId="0" xfId="3" applyNumberFormat="1" applyFont="1" applyFill="1"/>
    <xf numFmtId="1" fontId="12" fillId="0" borderId="0" xfId="3" applyNumberFormat="1" applyFont="1" applyFill="1" applyBorder="1"/>
    <xf numFmtId="168" fontId="12" fillId="0" borderId="0" xfId="8" applyNumberFormat="1" applyFont="1" applyFill="1" applyBorder="1"/>
    <xf numFmtId="168" fontId="16" fillId="0" borderId="0" xfId="8" applyNumberFormat="1" applyFont="1" applyFill="1" applyBorder="1"/>
    <xf numFmtId="168" fontId="11" fillId="0" borderId="0" xfId="1" applyNumberFormat="1" applyFont="1" applyFill="1" applyBorder="1" applyAlignment="1">
      <alignment horizontal="left" vertical="center" wrapText="1"/>
    </xf>
    <xf numFmtId="0" fontId="47" fillId="0" borderId="0" xfId="0" applyFont="1" applyBorder="1"/>
    <xf numFmtId="0" fontId="29" fillId="0" borderId="0" xfId="0" applyFont="1" applyBorder="1"/>
    <xf numFmtId="0" fontId="0" fillId="0" borderId="0" xfId="0" applyFont="1" applyBorder="1"/>
    <xf numFmtId="0" fontId="56" fillId="0" borderId="0" xfId="11" applyFont="1" applyAlignment="1">
      <alignment vertical="center"/>
    </xf>
    <xf numFmtId="0" fontId="57" fillId="0" borderId="0" xfId="3" applyFont="1" applyFill="1" applyBorder="1" applyAlignment="1">
      <alignment horizontal="left" vertical="center"/>
    </xf>
    <xf numFmtId="4" fontId="58" fillId="6" borderId="0" xfId="15" quotePrefix="1" applyNumberFormat="1" applyFont="1" applyFill="1" applyAlignment="1" applyProtection="1"/>
    <xf numFmtId="4" fontId="59" fillId="6" borderId="0" xfId="15" quotePrefix="1" applyNumberFormat="1" applyFont="1" applyFill="1" applyAlignment="1" applyProtection="1"/>
    <xf numFmtId="4" fontId="58" fillId="6" borderId="0" xfId="15" quotePrefix="1" applyNumberFormat="1" applyFont="1" applyFill="1" applyAlignment="1" applyProtection="1">
      <alignment wrapText="1"/>
    </xf>
    <xf numFmtId="0" fontId="17"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1" fillId="0" borderId="3" xfId="0" applyNumberFormat="1" applyFont="1" applyBorder="1" applyAlignment="1">
      <alignment horizontal="center"/>
    </xf>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6" fillId="0" borderId="0" xfId="0" quotePrefix="1" applyNumberFormat="1" applyFont="1"/>
    <xf numFmtId="0" fontId="8" fillId="0" borderId="0" xfId="5" applyFill="1" applyAlignment="1">
      <alignment horizontal="center"/>
    </xf>
    <xf numFmtId="0" fontId="30" fillId="0" borderId="0" xfId="11" applyFill="1" applyBorder="1"/>
    <xf numFmtId="0" fontId="30" fillId="0" borderId="0" xfId="11" applyFill="1"/>
    <xf numFmtId="0" fontId="67" fillId="0" borderId="0" xfId="3" applyFont="1" applyFill="1"/>
    <xf numFmtId="0" fontId="17" fillId="0" borderId="0" xfId="0" applyFont="1" applyBorder="1"/>
    <xf numFmtId="0" fontId="17" fillId="0" borderId="0" xfId="0" applyFont="1" applyFill="1" applyBorder="1"/>
    <xf numFmtId="0" fontId="68" fillId="0" borderId="0" xfId="0" applyFont="1" applyBorder="1"/>
    <xf numFmtId="0" fontId="69" fillId="0" borderId="0" xfId="8" applyFont="1" applyFill="1" applyBorder="1"/>
    <xf numFmtId="0" fontId="6" fillId="0" borderId="0" xfId="3" applyFont="1" applyFill="1" applyBorder="1" applyAlignment="1">
      <alignment horizontal="center" vertical="center"/>
    </xf>
    <xf numFmtId="0" fontId="6" fillId="0" borderId="0" xfId="3" applyFont="1" applyFill="1" applyBorder="1" applyAlignment="1">
      <alignment vertical="center"/>
    </xf>
    <xf numFmtId="165" fontId="6" fillId="0" borderId="0" xfId="1" applyNumberFormat="1" applyFont="1" applyFill="1" applyBorder="1" applyAlignment="1">
      <alignment vertical="center"/>
    </xf>
    <xf numFmtId="168" fontId="6" fillId="0" borderId="0" xfId="1" applyNumberFormat="1" applyFont="1" applyFill="1" applyBorder="1" applyAlignment="1">
      <alignment vertical="center"/>
    </xf>
    <xf numFmtId="168" fontId="70" fillId="0" borderId="0" xfId="8" applyNumberFormat="1" applyFont="1" applyFill="1" applyBorder="1"/>
    <xf numFmtId="0" fontId="70" fillId="0" borderId="0" xfId="8" applyFont="1" applyFill="1" applyBorder="1"/>
    <xf numFmtId="0" fontId="71" fillId="0" borderId="0" xfId="3" applyFont="1" applyFill="1" applyBorder="1" applyAlignment="1">
      <alignment vertical="center"/>
    </xf>
    <xf numFmtId="49" fontId="6" fillId="0" borderId="0" xfId="1" applyNumberFormat="1" applyFont="1" applyFill="1" applyBorder="1" applyAlignment="1">
      <alignment horizontal="left" vertical="center"/>
    </xf>
    <xf numFmtId="168"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horizontal="left" vertical="center" wrapText="1"/>
    </xf>
    <xf numFmtId="165" fontId="6" fillId="0" borderId="0" xfId="1" applyNumberFormat="1" applyFont="1" applyFill="1" applyBorder="1"/>
    <xf numFmtId="0" fontId="72" fillId="0" borderId="0" xfId="8" applyFont="1" applyFill="1" applyBorder="1" applyAlignment="1">
      <alignment vertical="top"/>
    </xf>
    <xf numFmtId="0" fontId="6" fillId="0" borderId="0" xfId="8" applyFont="1" applyFill="1" applyBorder="1" applyAlignment="1">
      <alignment vertical="top" wrapText="1"/>
    </xf>
    <xf numFmtId="0" fontId="70" fillId="0" borderId="0" xfId="8" applyFont="1" applyFill="1" applyBorder="1" applyAlignment="1">
      <alignment vertical="top" wrapText="1"/>
    </xf>
    <xf numFmtId="0" fontId="6" fillId="0" borderId="0" xfId="8" applyFont="1" applyFill="1" applyBorder="1"/>
    <xf numFmtId="0" fontId="6" fillId="0" borderId="0" xfId="8" applyFont="1" applyFill="1" applyBorder="1" applyAlignment="1">
      <alignment vertical="top"/>
    </xf>
    <xf numFmtId="0" fontId="67" fillId="0" borderId="0" xfId="8" applyFont="1" applyFill="1" applyBorder="1"/>
    <xf numFmtId="2" fontId="6"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1" fillId="0" borderId="0" xfId="0" applyFont="1"/>
    <xf numFmtId="170" fontId="61" fillId="0" borderId="0" xfId="0" applyNumberFormat="1" applyFont="1"/>
    <xf numFmtId="170" fontId="61" fillId="0" borderId="0" xfId="0" applyNumberFormat="1" applyFont="1" applyAlignment="1">
      <alignment wrapText="1"/>
    </xf>
    <xf numFmtId="170" fontId="60" fillId="0" borderId="0" xfId="0" applyNumberFormat="1" applyFont="1"/>
    <xf numFmtId="0" fontId="32" fillId="4" borderId="0" xfId="0" applyFont="1" applyFill="1" applyBorder="1" applyAlignment="1">
      <alignment vertical="center"/>
    </xf>
    <xf numFmtId="3" fontId="32" fillId="2" borderId="0" xfId="0" applyNumberFormat="1" applyFont="1" applyFill="1" applyBorder="1" applyAlignment="1">
      <alignment horizontal="right" vertical="center"/>
    </xf>
    <xf numFmtId="3" fontId="31" fillId="0" borderId="3" xfId="0" applyNumberFormat="1" applyFont="1" applyFill="1" applyBorder="1" applyAlignment="1">
      <alignment vertical="center"/>
    </xf>
    <xf numFmtId="3" fontId="31" fillId="2" borderId="3" xfId="0" applyNumberFormat="1" applyFont="1" applyFill="1" applyBorder="1" applyAlignment="1">
      <alignment vertical="center"/>
    </xf>
    <xf numFmtId="3" fontId="34" fillId="5" borderId="8" xfId="0" applyNumberFormat="1" applyFont="1" applyFill="1" applyBorder="1" applyAlignment="1">
      <alignment horizontal="right" vertical="center" wrapText="1"/>
    </xf>
    <xf numFmtId="3" fontId="31" fillId="0" borderId="8" xfId="0" applyNumberFormat="1" applyFont="1" applyFill="1" applyBorder="1" applyAlignment="1">
      <alignment vertical="center"/>
    </xf>
    <xf numFmtId="0" fontId="31" fillId="5" borderId="3" xfId="0" applyFont="1" applyFill="1" applyBorder="1"/>
    <xf numFmtId="0" fontId="73" fillId="0" borderId="0" xfId="0" applyFont="1"/>
    <xf numFmtId="0" fontId="9" fillId="0" borderId="0" xfId="5" applyFont="1" applyBorder="1" applyAlignment="1">
      <alignment horizontal="center" vertical="center"/>
    </xf>
    <xf numFmtId="0" fontId="74" fillId="2" borderId="10" xfId="0" applyFont="1" applyFill="1" applyBorder="1" applyAlignment="1">
      <alignment vertical="center" wrapText="1"/>
    </xf>
    <xf numFmtId="0" fontId="74" fillId="0" borderId="0" xfId="17" applyFont="1" applyAlignment="1">
      <alignment vertical="center" wrapText="1"/>
    </xf>
    <xf numFmtId="0" fontId="74" fillId="0" borderId="0" xfId="17" applyFont="1"/>
    <xf numFmtId="0" fontId="75" fillId="0" borderId="10" xfId="17" applyFont="1" applyBorder="1" applyAlignment="1">
      <alignment vertical="center" wrapText="1"/>
    </xf>
    <xf numFmtId="0" fontId="75" fillId="2" borderId="10" xfId="17" applyFont="1" applyFill="1" applyBorder="1" applyAlignment="1">
      <alignment horizontal="center" vertical="center" wrapText="1"/>
    </xf>
    <xf numFmtId="0" fontId="1" fillId="2" borderId="10" xfId="17" applyFill="1" applyBorder="1"/>
    <xf numFmtId="0" fontId="1" fillId="0" borderId="0" xfId="17"/>
    <xf numFmtId="0" fontId="74" fillId="2" borderId="10" xfId="17" applyFont="1" applyFill="1" applyBorder="1" applyAlignment="1">
      <alignment vertical="center" wrapText="1"/>
    </xf>
    <xf numFmtId="0" fontId="75" fillId="0" borderId="10" xfId="0" applyFont="1" applyFill="1" applyBorder="1" applyAlignment="1">
      <alignment horizontal="center" vertical="center" wrapText="1"/>
    </xf>
    <xf numFmtId="0" fontId="11" fillId="0" borderId="0" xfId="3" applyFont="1" applyFill="1" applyBorder="1" applyAlignment="1">
      <alignment horizontal="center" vertical="center"/>
    </xf>
    <xf numFmtId="49" fontId="77" fillId="0" borderId="0" xfId="12" applyNumberFormat="1" applyFont="1" applyFill="1" applyAlignment="1">
      <alignment vertical="center"/>
    </xf>
    <xf numFmtId="0" fontId="77" fillId="0" borderId="0" xfId="12" applyFont="1" applyFill="1" applyAlignment="1">
      <alignment vertical="center"/>
    </xf>
    <xf numFmtId="0" fontId="47" fillId="0" borderId="0" xfId="0" applyFont="1"/>
    <xf numFmtId="0" fontId="47" fillId="0" borderId="0" xfId="0" applyFont="1" applyFill="1"/>
    <xf numFmtId="3" fontId="47" fillId="0" borderId="0" xfId="0" applyNumberFormat="1" applyFont="1"/>
    <xf numFmtId="3" fontId="76" fillId="0" borderId="0" xfId="0" applyNumberFormat="1" applyFont="1"/>
    <xf numFmtId="49" fontId="30" fillId="0" borderId="0" xfId="11" applyNumberFormat="1"/>
    <xf numFmtId="1" fontId="47" fillId="5" borderId="0" xfId="0" applyNumberFormat="1" applyFont="1" applyFill="1" applyBorder="1"/>
    <xf numFmtId="1" fontId="49" fillId="5" borderId="0" xfId="0" applyNumberFormat="1" applyFont="1" applyFill="1" applyBorder="1"/>
    <xf numFmtId="1" fontId="47" fillId="0" borderId="0" xfId="0" applyNumberFormat="1" applyFont="1" applyFill="1" applyBorder="1"/>
    <xf numFmtId="1" fontId="47" fillId="0" borderId="0" xfId="0" applyNumberFormat="1" applyFont="1" applyBorder="1"/>
    <xf numFmtId="1" fontId="49" fillId="0" borderId="0" xfId="0" applyNumberFormat="1" applyFont="1" applyBorder="1"/>
    <xf numFmtId="10" fontId="49" fillId="0" borderId="0" xfId="2" applyNumberFormat="1" applyFont="1" applyFill="1"/>
    <xf numFmtId="0" fontId="38" fillId="0" borderId="0" xfId="13" quotePrefix="1" applyFont="1" applyAlignment="1">
      <alignment horizontal="left"/>
    </xf>
    <xf numFmtId="0" fontId="60" fillId="7" borderId="9" xfId="0" applyFont="1" applyFill="1" applyBorder="1"/>
    <xf numFmtId="0" fontId="45" fillId="0" borderId="0" xfId="13" applyFont="1" applyAlignment="1">
      <alignment horizontal="left"/>
    </xf>
    <xf numFmtId="0" fontId="74" fillId="0" borderId="10" xfId="17" applyFont="1" applyBorder="1" applyAlignment="1">
      <alignment vertical="center" wrapText="1"/>
    </xf>
    <xf numFmtId="0" fontId="74" fillId="0" borderId="10" xfId="17" applyFont="1" applyFill="1" applyBorder="1" applyAlignment="1">
      <alignment vertical="center" wrapText="1"/>
    </xf>
    <xf numFmtId="0" fontId="74" fillId="0" borderId="10" xfId="0" applyFont="1" applyFill="1" applyBorder="1" applyAlignment="1">
      <alignment vertical="center" wrapText="1"/>
    </xf>
  </cellXfs>
  <cellStyles count="18">
    <cellStyle name="Comma 2" xfId="9" xr:uid="{00000000-0005-0000-0000-000000000000}"/>
    <cellStyle name="Hyperkobling" xfId="11" builtinId="8"/>
    <cellStyle name="Komma" xfId="1" builtinId="3"/>
    <cellStyle name="Komma 55" xfId="4" xr:uid="{00000000-0005-0000-0000-000003000000}"/>
    <cellStyle name="Normal" xfId="0" builtinId="0"/>
    <cellStyle name="Normal 2" xfId="7" xr:uid="{00000000-0005-0000-0000-000005000000}"/>
    <cellStyle name="Normal 2 2" xfId="14" xr:uid="{00000000-0005-0000-0000-000006000000}"/>
    <cellStyle name="Normal 20 2" xfId="12" xr:uid="{00000000-0005-0000-0000-000007000000}"/>
    <cellStyle name="Normal 3" xfId="17" xr:uid="{00000000-0005-0000-0000-000008000000}"/>
    <cellStyle name="Normal 35" xfId="3" xr:uid="{00000000-0005-0000-0000-000009000000}"/>
    <cellStyle name="Normal 35 2" xfId="8" xr:uid="{00000000-0005-0000-0000-00000A000000}"/>
    <cellStyle name="Normal 35 3" xfId="10" xr:uid="{00000000-0005-0000-0000-00000B000000}"/>
    <cellStyle name="Normal_Note 5 til 7" xfId="16" xr:uid="{00000000-0005-0000-0000-00000C000000}"/>
    <cellStyle name="Normal_Noter" xfId="15" xr:uid="{00000000-0005-0000-0000-00000D000000}"/>
    <cellStyle name="Normal_tabeller.xls 2 2" xfId="13" xr:uid="{00000000-0005-0000-0000-00000E000000}"/>
    <cellStyle name="Overskrift" xfId="6" xr:uid="{00000000-0005-0000-0000-00000F000000}"/>
    <cellStyle name="Prosent" xfId="2" builtinId="5"/>
    <cellStyle name="Vanlig" xfId="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4Q-19</c:v>
                </c:pt>
                <c:pt idx="1">
                  <c:v>3Q-19</c:v>
                </c:pt>
                <c:pt idx="2">
                  <c:v>2Q-19</c:v>
                </c:pt>
                <c:pt idx="3">
                  <c:v>1Q-19</c:v>
                </c:pt>
                <c:pt idx="4">
                  <c:v>4Q-18</c:v>
                </c:pt>
              </c:strCache>
            </c:strRef>
          </c:cat>
          <c:val>
            <c:numRef>
              <c:f>'3 Income'!$D$5:$H$5</c:f>
              <c:numCache>
                <c:formatCode>0</c:formatCode>
                <c:ptCount val="5"/>
                <c:pt idx="0">
                  <c:v>584.3550835399999</c:v>
                </c:pt>
                <c:pt idx="1">
                  <c:v>554.26884645999985</c:v>
                </c:pt>
                <c:pt idx="2">
                  <c:v>519.57409600000028</c:v>
                </c:pt>
                <c:pt idx="3">
                  <c:v>508</c:v>
                </c:pt>
                <c:pt idx="4">
                  <c:v>544.31942715000025</c:v>
                </c:pt>
              </c:numCache>
            </c:numRef>
          </c:val>
          <c:extLst>
            <c:ext xmlns:c16="http://schemas.microsoft.com/office/drawing/2014/chart" uri="{C3380CC4-5D6E-409C-BE32-E72D297353CC}">
              <c16:uniqueId val="{00000002-2282-400A-B5FB-03AD43FA3D74}"/>
            </c:ext>
          </c:extLst>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4Q-19</c:v>
                </c:pt>
                <c:pt idx="1">
                  <c:v>3Q-19</c:v>
                </c:pt>
                <c:pt idx="2">
                  <c:v>2Q-19</c:v>
                </c:pt>
                <c:pt idx="3">
                  <c:v>1Q-19</c:v>
                </c:pt>
                <c:pt idx="4">
                  <c:v>4Q-18</c:v>
                </c:pt>
              </c:strCache>
            </c:strRef>
          </c:cat>
          <c:val>
            <c:numRef>
              <c:f>'3 Income'!$D$6:$H$6</c:f>
              <c:numCache>
                <c:formatCode>0</c:formatCode>
                <c:ptCount val="5"/>
                <c:pt idx="0">
                  <c:v>82.263999999999996</c:v>
                </c:pt>
                <c:pt idx="1">
                  <c:v>83.344999999999999</c:v>
                </c:pt>
                <c:pt idx="2">
                  <c:v>82.096999999999994</c:v>
                </c:pt>
                <c:pt idx="3">
                  <c:v>84.153999999999996</c:v>
                </c:pt>
                <c:pt idx="4">
                  <c:v>88.946337</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4Q-19</c:v>
                </c:pt>
                <c:pt idx="1">
                  <c:v>3Q-19</c:v>
                </c:pt>
                <c:pt idx="2">
                  <c:v>2Q-19</c:v>
                </c:pt>
                <c:pt idx="3">
                  <c:v>1Q-19</c:v>
                </c:pt>
                <c:pt idx="4">
                  <c:v>4Q-18</c:v>
                </c:pt>
              </c:strCache>
            </c:strRef>
          </c:cat>
          <c:val>
            <c:numRef>
              <c:f>'3 Income'!$D$7:$H$7</c:f>
              <c:numCache>
                <c:formatCode>0</c:formatCode>
                <c:ptCount val="5"/>
                <c:pt idx="0">
                  <c:v>666.61908353999991</c:v>
                </c:pt>
                <c:pt idx="1">
                  <c:v>637.61384645999988</c:v>
                </c:pt>
                <c:pt idx="2">
                  <c:v>601.67109600000026</c:v>
                </c:pt>
                <c:pt idx="3">
                  <c:v>592.154</c:v>
                </c:pt>
                <c:pt idx="4">
                  <c:v>633.26576415000022</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4Q-19</c:v>
                </c:pt>
                <c:pt idx="1">
                  <c:v>3Q-19</c:v>
                </c:pt>
                <c:pt idx="2">
                  <c:v>2Q-19</c:v>
                </c:pt>
                <c:pt idx="3">
                  <c:v>1Q-19</c:v>
                </c:pt>
                <c:pt idx="4">
                  <c:v>4Q-18</c:v>
                </c:pt>
              </c:strCache>
            </c:strRef>
          </c:cat>
          <c:val>
            <c:numRef>
              <c:f>'3 Income'!$D$9:$H$9</c:f>
              <c:numCache>
                <c:formatCode>0.00%</c:formatCode>
                <c:ptCount val="5"/>
                <c:pt idx="0">
                  <c:v>1.7600000000000001E-2</c:v>
                </c:pt>
                <c:pt idx="1">
                  <c:v>1.6500000000000001E-2</c:v>
                </c:pt>
                <c:pt idx="2">
                  <c:v>1.6199999999999999E-2</c:v>
                </c:pt>
                <c:pt idx="3">
                  <c:v>1.6445913599537627E-2</c:v>
                </c:pt>
                <c:pt idx="4">
                  <c:v>1.7087571255849886E-2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Income'!$D$46:$H$46</c:f>
              <c:numCache>
                <c:formatCode>0</c:formatCode>
                <c:ptCount val="5"/>
                <c:pt idx="0">
                  <c:v>82.3</c:v>
                </c:pt>
                <c:pt idx="1">
                  <c:v>83.344999999999999</c:v>
                </c:pt>
                <c:pt idx="2">
                  <c:v>82.096999999999994</c:v>
                </c:pt>
                <c:pt idx="3">
                  <c:v>84.153999999999996</c:v>
                </c:pt>
                <c:pt idx="4">
                  <c:v>88.946337</c:v>
                </c:pt>
              </c:numCache>
            </c:numRef>
          </c:val>
          <c:extLst>
            <c:ext xmlns:c16="http://schemas.microsoft.com/office/drawing/2014/chart" uri="{C3380CC4-5D6E-409C-BE32-E72D297353CC}">
              <c16:uniqueId val="{00000000-8D10-4A41-B0FB-4CA233B614A1}"/>
            </c:ext>
          </c:extLst>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Income'!$D$47:$H$47</c:f>
              <c:numCache>
                <c:formatCode>0</c:formatCode>
                <c:ptCount val="5"/>
                <c:pt idx="0">
                  <c:v>14.8</c:v>
                </c:pt>
                <c:pt idx="1">
                  <c:v>15</c:v>
                </c:pt>
                <c:pt idx="2">
                  <c:v>16.079999999999998</c:v>
                </c:pt>
                <c:pt idx="3">
                  <c:v>14.80790277</c:v>
                </c:pt>
                <c:pt idx="4">
                  <c:v>15.971810999999999</c:v>
                </c:pt>
              </c:numCache>
            </c:numRef>
          </c:val>
          <c:extLst>
            <c:ext xmlns:c16="http://schemas.microsoft.com/office/drawing/2014/chart" uri="{C3380CC4-5D6E-409C-BE32-E72D297353CC}">
              <c16:uniqueId val="{00000001-8D10-4A41-B0FB-4CA233B614A1}"/>
            </c:ext>
          </c:extLst>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Income'!$D$48:$H$48</c:f>
              <c:numCache>
                <c:formatCode>0</c:formatCode>
                <c:ptCount val="5"/>
                <c:pt idx="0">
                  <c:v>34.4</c:v>
                </c:pt>
                <c:pt idx="1">
                  <c:v>38</c:v>
                </c:pt>
                <c:pt idx="2">
                  <c:v>27.71</c:v>
                </c:pt>
                <c:pt idx="3">
                  <c:v>24.66450884</c:v>
                </c:pt>
                <c:pt idx="4">
                  <c:v>30.263821640000003</c:v>
                </c:pt>
              </c:numCache>
            </c:numRef>
          </c:val>
          <c:extLst>
            <c:ext xmlns:c16="http://schemas.microsoft.com/office/drawing/2014/chart" uri="{C3380CC4-5D6E-409C-BE32-E72D297353CC}">
              <c16:uniqueId val="{00000002-8D10-4A41-B0FB-4CA233B614A1}"/>
            </c:ext>
          </c:extLst>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Income'!$D$49:$H$49</c:f>
              <c:numCache>
                <c:formatCode>0</c:formatCode>
                <c:ptCount val="5"/>
                <c:pt idx="0">
                  <c:v>49.1</c:v>
                </c:pt>
                <c:pt idx="1">
                  <c:v>51</c:v>
                </c:pt>
                <c:pt idx="2">
                  <c:v>52.19</c:v>
                </c:pt>
                <c:pt idx="3">
                  <c:v>48.808728039999998</c:v>
                </c:pt>
                <c:pt idx="4">
                  <c:v>49.714386750000003</c:v>
                </c:pt>
              </c:numCache>
            </c:numRef>
          </c:val>
          <c:extLst>
            <c:ext xmlns:c16="http://schemas.microsoft.com/office/drawing/2014/chart" uri="{C3380CC4-5D6E-409C-BE32-E72D297353CC}">
              <c16:uniqueId val="{00000003-8D10-4A41-B0FB-4CA233B614A1}"/>
            </c:ext>
          </c:extLst>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Income'!$D$50:$H$50</c:f>
              <c:numCache>
                <c:formatCode>0</c:formatCode>
                <c:ptCount val="5"/>
                <c:pt idx="0">
                  <c:v>69.7</c:v>
                </c:pt>
                <c:pt idx="1">
                  <c:v>89</c:v>
                </c:pt>
                <c:pt idx="2">
                  <c:v>80.63</c:v>
                </c:pt>
                <c:pt idx="3">
                  <c:v>77.601096179999999</c:v>
                </c:pt>
                <c:pt idx="4">
                  <c:v>74.631453999999991</c:v>
                </c:pt>
              </c:numCache>
            </c:numRef>
          </c:val>
          <c:extLst>
            <c:ext xmlns:c16="http://schemas.microsoft.com/office/drawing/2014/chart" uri="{C3380CC4-5D6E-409C-BE32-E72D297353CC}">
              <c16:uniqueId val="{00000004-8D10-4A41-B0FB-4CA233B614A1}"/>
            </c:ext>
          </c:extLst>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Income'!$D$51:$H$51</c:f>
              <c:numCache>
                <c:formatCode>0</c:formatCode>
                <c:ptCount val="5"/>
                <c:pt idx="0">
                  <c:v>44.5</c:v>
                </c:pt>
                <c:pt idx="1">
                  <c:v>38</c:v>
                </c:pt>
                <c:pt idx="2">
                  <c:v>49.6</c:v>
                </c:pt>
                <c:pt idx="3">
                  <c:v>52.707405899999998</c:v>
                </c:pt>
                <c:pt idx="4">
                  <c:v>42.743109000000004</c:v>
                </c:pt>
              </c:numCache>
            </c:numRef>
          </c:val>
          <c:extLst>
            <c:ext xmlns:c16="http://schemas.microsoft.com/office/drawing/2014/chart" uri="{C3380CC4-5D6E-409C-BE32-E72D297353CC}">
              <c16:uniqueId val="{00000005-8D10-4A41-B0FB-4CA233B614A1}"/>
            </c:ext>
          </c:extLst>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Income'!$D$52:$H$52</c:f>
              <c:numCache>
                <c:formatCode>0</c:formatCode>
                <c:ptCount val="5"/>
                <c:pt idx="0">
                  <c:v>37.799999999999997</c:v>
                </c:pt>
                <c:pt idx="1">
                  <c:v>35</c:v>
                </c:pt>
                <c:pt idx="2">
                  <c:v>56.1</c:v>
                </c:pt>
                <c:pt idx="3">
                  <c:v>37.80791842999983</c:v>
                </c:pt>
                <c:pt idx="4">
                  <c:v>10.108732509999996</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4Q-19</c:v>
                </c:pt>
                <c:pt idx="1">
                  <c:v>3Q-19</c:v>
                </c:pt>
                <c:pt idx="2">
                  <c:v>2Q-19</c:v>
                </c:pt>
                <c:pt idx="3">
                  <c:v>1Q-19</c:v>
                </c:pt>
                <c:pt idx="4">
                  <c:v>4Q-18</c:v>
                </c:pt>
              </c:strCache>
            </c:strRef>
          </c:cat>
          <c:val>
            <c:numRef>
              <c:f>'3 Income'!$D$53:$H$53</c:f>
              <c:numCache>
                <c:formatCode>0</c:formatCode>
                <c:ptCount val="5"/>
                <c:pt idx="0">
                  <c:v>332.6</c:v>
                </c:pt>
                <c:pt idx="1">
                  <c:v>349.34500000000003</c:v>
                </c:pt>
                <c:pt idx="2">
                  <c:v>364.40700000000004</c:v>
                </c:pt>
                <c:pt idx="3">
                  <c:v>340.55156015999989</c:v>
                </c:pt>
                <c:pt idx="4">
                  <c:v>312.3796519</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Expences'!$C$6:$G$6</c:f>
              <c:numCache>
                <c:formatCode>0</c:formatCode>
                <c:ptCount val="5"/>
                <c:pt idx="0">
                  <c:v>202.12170139</c:v>
                </c:pt>
                <c:pt idx="1">
                  <c:v>197.11515806</c:v>
                </c:pt>
                <c:pt idx="2">
                  <c:v>196.87</c:v>
                </c:pt>
                <c:pt idx="3">
                  <c:v>211.17362027999999</c:v>
                </c:pt>
                <c:pt idx="4">
                  <c:v>210.90219309999989</c:v>
                </c:pt>
              </c:numCache>
            </c:numRef>
          </c:val>
          <c:extLst>
            <c:ext xmlns:c16="http://schemas.microsoft.com/office/drawing/2014/chart" uri="{C3380CC4-5D6E-409C-BE32-E72D297353CC}">
              <c16:uniqueId val="{00000000-AA42-4FF4-8759-D802366370C8}"/>
            </c:ext>
          </c:extLst>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Expences'!$C$7:$G$7</c:f>
              <c:numCache>
                <c:formatCode>0</c:formatCode>
                <c:ptCount val="5"/>
                <c:pt idx="0">
                  <c:v>22.717490010000002</c:v>
                </c:pt>
                <c:pt idx="1">
                  <c:v>17.531400999999999</c:v>
                </c:pt>
                <c:pt idx="2">
                  <c:v>17.260000000000002</c:v>
                </c:pt>
                <c:pt idx="3">
                  <c:v>17.185057430000001</c:v>
                </c:pt>
                <c:pt idx="4">
                  <c:v>16.925746</c:v>
                </c:pt>
              </c:numCache>
            </c:numRef>
          </c:val>
          <c:extLst>
            <c:ext xmlns:c16="http://schemas.microsoft.com/office/drawing/2014/chart" uri="{C3380CC4-5D6E-409C-BE32-E72D297353CC}">
              <c16:uniqueId val="{00000001-AA42-4FF4-8759-D802366370C8}"/>
            </c:ext>
          </c:extLst>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Expences'!$C$8:$G$8</c:f>
              <c:numCache>
                <c:formatCode>0</c:formatCode>
                <c:ptCount val="5"/>
                <c:pt idx="0">
                  <c:v>50.526934359999998</c:v>
                </c:pt>
                <c:pt idx="1">
                  <c:v>51.896038429999997</c:v>
                </c:pt>
                <c:pt idx="2">
                  <c:v>52.39</c:v>
                </c:pt>
                <c:pt idx="3">
                  <c:v>61.240273479999999</c:v>
                </c:pt>
                <c:pt idx="4">
                  <c:v>58.219060340000006</c:v>
                </c:pt>
              </c:numCache>
            </c:numRef>
          </c:val>
          <c:extLst>
            <c:ext xmlns:c16="http://schemas.microsoft.com/office/drawing/2014/chart" uri="{C3380CC4-5D6E-409C-BE32-E72D297353CC}">
              <c16:uniqueId val="{00000002-AA42-4FF4-8759-D802366370C8}"/>
            </c:ext>
          </c:extLst>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Expences'!$C$9:$G$9</c:f>
              <c:numCache>
                <c:formatCode>0</c:formatCode>
                <c:ptCount val="5"/>
                <c:pt idx="0">
                  <c:v>137.06293785</c:v>
                </c:pt>
                <c:pt idx="1">
                  <c:v>120.88261667</c:v>
                </c:pt>
                <c:pt idx="2">
                  <c:v>145.58000000000001</c:v>
                </c:pt>
                <c:pt idx="3">
                  <c:v>130.25227405000001</c:v>
                </c:pt>
                <c:pt idx="4">
                  <c:v>127.17934142999995</c:v>
                </c:pt>
              </c:numCache>
            </c:numRef>
          </c:val>
          <c:extLst>
            <c:ext xmlns:c16="http://schemas.microsoft.com/office/drawing/2014/chart" uri="{C3380CC4-5D6E-409C-BE32-E72D297353CC}">
              <c16:uniqueId val="{00000003-AA42-4FF4-8759-D802366370C8}"/>
            </c:ext>
          </c:extLst>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Expences'!$C$10:$G$10</c:f>
              <c:numCache>
                <c:formatCode>0</c:formatCode>
                <c:ptCount val="5"/>
                <c:pt idx="0">
                  <c:v>32.223098</c:v>
                </c:pt>
                <c:pt idx="1">
                  <c:v>29.826710510000002</c:v>
                </c:pt>
                <c:pt idx="2">
                  <c:v>33.35</c:v>
                </c:pt>
                <c:pt idx="3">
                  <c:v>35.542704020000002</c:v>
                </c:pt>
                <c:pt idx="4">
                  <c:v>23.057109349999994</c:v>
                </c:pt>
              </c:numCache>
            </c:numRef>
          </c:val>
          <c:extLst>
            <c:ext xmlns:c16="http://schemas.microsoft.com/office/drawing/2014/chart" uri="{C3380CC4-5D6E-409C-BE32-E72D297353CC}">
              <c16:uniqueId val="{00000004-AA42-4FF4-8759-D802366370C8}"/>
            </c:ext>
          </c:extLst>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Expences'!$C$11:$G$11</c:f>
              <c:numCache>
                <c:formatCode>0</c:formatCode>
                <c:ptCount val="5"/>
                <c:pt idx="0">
                  <c:v>45.051782619999997</c:v>
                </c:pt>
                <c:pt idx="1">
                  <c:v>40.200610829999995</c:v>
                </c:pt>
                <c:pt idx="2">
                  <c:v>43.87</c:v>
                </c:pt>
                <c:pt idx="3">
                  <c:v>38.33102968</c:v>
                </c:pt>
                <c:pt idx="4">
                  <c:v>69.672460819999998</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4Q-19</c:v>
                </c:pt>
                <c:pt idx="1">
                  <c:v>3Q-19</c:v>
                </c:pt>
                <c:pt idx="2">
                  <c:v>2Q-19</c:v>
                </c:pt>
                <c:pt idx="3">
                  <c:v>1Q-19</c:v>
                </c:pt>
                <c:pt idx="4">
                  <c:v>4Q-18</c:v>
                </c:pt>
              </c:strCache>
            </c:strRef>
          </c:cat>
          <c:val>
            <c:numRef>
              <c:f>'4 Expences'!$C$12:$G$12</c:f>
              <c:numCache>
                <c:formatCode>0</c:formatCode>
                <c:ptCount val="5"/>
                <c:pt idx="0">
                  <c:v>489.70394422999993</c:v>
                </c:pt>
                <c:pt idx="1">
                  <c:v>457.45253550000001</c:v>
                </c:pt>
                <c:pt idx="2">
                  <c:v>489.32000000000005</c:v>
                </c:pt>
                <c:pt idx="3">
                  <c:v>493.72495893999996</c:v>
                </c:pt>
                <c:pt idx="4">
                  <c:v>505.95591103999993</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Expences'!$C$48:$G$48</c:f>
              <c:numCache>
                <c:formatCode>0</c:formatCode>
                <c:ptCount val="5"/>
                <c:pt idx="0">
                  <c:v>120.22301395999999</c:v>
                </c:pt>
                <c:pt idx="1">
                  <c:v>122.03100000000001</c:v>
                </c:pt>
                <c:pt idx="2">
                  <c:v>123.15</c:v>
                </c:pt>
                <c:pt idx="3">
                  <c:v>127.28858074</c:v>
                </c:pt>
                <c:pt idx="4">
                  <c:v>119.56283809999999</c:v>
                </c:pt>
              </c:numCache>
            </c:numRef>
          </c:val>
          <c:extLst>
            <c:ext xmlns:c16="http://schemas.microsoft.com/office/drawing/2014/chart" uri="{C3380CC4-5D6E-409C-BE32-E72D297353CC}">
              <c16:uniqueId val="{00000000-BEB8-439E-88D4-48E5830188A3}"/>
            </c:ext>
          </c:extLst>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Expences'!$C$49:$G$49</c:f>
              <c:numCache>
                <c:formatCode>0</c:formatCode>
                <c:ptCount val="5"/>
                <c:pt idx="0">
                  <c:v>12.540430880000001</c:v>
                </c:pt>
                <c:pt idx="1">
                  <c:v>13.58</c:v>
                </c:pt>
                <c:pt idx="2">
                  <c:v>13.54</c:v>
                </c:pt>
                <c:pt idx="3">
                  <c:v>12.805268</c:v>
                </c:pt>
                <c:pt idx="4">
                  <c:v>13.071230999999999</c:v>
                </c:pt>
              </c:numCache>
            </c:numRef>
          </c:val>
          <c:extLst>
            <c:ext xmlns:c16="http://schemas.microsoft.com/office/drawing/2014/chart" uri="{C3380CC4-5D6E-409C-BE32-E72D297353CC}">
              <c16:uniqueId val="{00000001-BEB8-439E-88D4-48E5830188A3}"/>
            </c:ext>
          </c:extLst>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Expences'!$C$50:$G$50</c:f>
              <c:numCache>
                <c:formatCode>0</c:formatCode>
                <c:ptCount val="5"/>
                <c:pt idx="0">
                  <c:v>36.79934832</c:v>
                </c:pt>
                <c:pt idx="1">
                  <c:v>35.843000000000004</c:v>
                </c:pt>
                <c:pt idx="2">
                  <c:v>37.28</c:v>
                </c:pt>
                <c:pt idx="3">
                  <c:v>44.275988859999998</c:v>
                </c:pt>
                <c:pt idx="4">
                  <c:v>43.330400340000004</c:v>
                </c:pt>
              </c:numCache>
            </c:numRef>
          </c:val>
          <c:extLst>
            <c:ext xmlns:c16="http://schemas.microsoft.com/office/drawing/2014/chart" uri="{C3380CC4-5D6E-409C-BE32-E72D297353CC}">
              <c16:uniqueId val="{00000002-BEB8-439E-88D4-48E5830188A3}"/>
            </c:ext>
          </c:extLst>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Expences'!$C$51:$G$51</c:f>
              <c:numCache>
                <c:formatCode>0</c:formatCode>
                <c:ptCount val="5"/>
                <c:pt idx="0">
                  <c:v>115.19625534000001</c:v>
                </c:pt>
                <c:pt idx="1">
                  <c:v>104.32</c:v>
                </c:pt>
                <c:pt idx="2">
                  <c:v>122.97</c:v>
                </c:pt>
                <c:pt idx="3">
                  <c:v>112.05875111</c:v>
                </c:pt>
                <c:pt idx="4">
                  <c:v>117.05244643</c:v>
                </c:pt>
              </c:numCache>
            </c:numRef>
          </c:val>
          <c:extLst>
            <c:ext xmlns:c16="http://schemas.microsoft.com/office/drawing/2014/chart" uri="{C3380CC4-5D6E-409C-BE32-E72D297353CC}">
              <c16:uniqueId val="{00000003-BEB8-439E-88D4-48E5830188A3}"/>
            </c:ext>
          </c:extLst>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Expences'!$C$52:$G$52</c:f>
              <c:numCache>
                <c:formatCode>0</c:formatCode>
                <c:ptCount val="5"/>
                <c:pt idx="0">
                  <c:v>25.973653149999997</c:v>
                </c:pt>
                <c:pt idx="1">
                  <c:v>26.181000000000001</c:v>
                </c:pt>
                <c:pt idx="2">
                  <c:v>27.2</c:v>
                </c:pt>
                <c:pt idx="3">
                  <c:v>24.32968318</c:v>
                </c:pt>
                <c:pt idx="4">
                  <c:v>17.876335350000002</c:v>
                </c:pt>
              </c:numCache>
            </c:numRef>
          </c:val>
          <c:extLst>
            <c:ext xmlns:c16="http://schemas.microsoft.com/office/drawing/2014/chart" uri="{C3380CC4-5D6E-409C-BE32-E72D297353CC}">
              <c16:uniqueId val="{00000004-BEB8-439E-88D4-48E5830188A3}"/>
            </c:ext>
          </c:extLst>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Expences'!$C$53:$G$53</c:f>
              <c:numCache>
                <c:formatCode>0</c:formatCode>
                <c:ptCount val="5"/>
                <c:pt idx="0">
                  <c:v>27.80233625</c:v>
                </c:pt>
                <c:pt idx="1">
                  <c:v>17.805</c:v>
                </c:pt>
                <c:pt idx="2">
                  <c:v>20.83</c:v>
                </c:pt>
                <c:pt idx="3">
                  <c:v>22.209913149999998</c:v>
                </c:pt>
                <c:pt idx="4">
                  <c:v>38.941807820000001</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4Q-19</c:v>
                </c:pt>
                <c:pt idx="1">
                  <c:v>3Q-19</c:v>
                </c:pt>
                <c:pt idx="2">
                  <c:v>2Q-19</c:v>
                </c:pt>
                <c:pt idx="3">
                  <c:v>1Q-19</c:v>
                </c:pt>
                <c:pt idx="4">
                  <c:v>4Q-18</c:v>
                </c:pt>
              </c:strCache>
            </c:strRef>
          </c:cat>
          <c:val>
            <c:numRef>
              <c:f>'4 Expences'!$C$54:$G$54</c:f>
              <c:numCache>
                <c:formatCode>0</c:formatCode>
                <c:ptCount val="5"/>
                <c:pt idx="0">
                  <c:v>338.53503790000002</c:v>
                </c:pt>
                <c:pt idx="1">
                  <c:v>319.76</c:v>
                </c:pt>
                <c:pt idx="2">
                  <c:v>344.96999999999997</c:v>
                </c:pt>
                <c:pt idx="3">
                  <c:v>342.96818503999998</c:v>
                </c:pt>
                <c:pt idx="4">
                  <c:v>349.83505904000003</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dLbl>
              <c:idx val="0"/>
              <c:layout>
                <c:manualLayout>
                  <c:x val="-3.8943086061610718E-2"/>
                  <c:y val="-5.5590186643336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D4-4A46-A451-2C4564FAA753}"/>
                </c:ext>
              </c:extLst>
            </c:dLbl>
            <c:dLbl>
              <c:idx val="1"/>
              <c:layout>
                <c:manualLayout>
                  <c:x val="-3.894308606161085E-2"/>
                  <c:y val="-6.4849445902595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7-4497-A779-757C63494BBC}"/>
                </c:ext>
              </c:extLst>
            </c:dLbl>
            <c:dLbl>
              <c:idx val="2"/>
              <c:layout>
                <c:manualLayout>
                  <c:x val="-3.8943086061610781E-2"/>
                  <c:y val="-6.4849445902595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7-4497-A779-757C63494B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4Q-19</c:v>
                </c:pt>
                <c:pt idx="1">
                  <c:v>3Q-19</c:v>
                </c:pt>
                <c:pt idx="2">
                  <c:v>2Q-19</c:v>
                </c:pt>
                <c:pt idx="3">
                  <c:v>1Q-19</c:v>
                </c:pt>
                <c:pt idx="4">
                  <c:v>4Q-18</c:v>
                </c:pt>
              </c:strCache>
            </c:strRef>
          </c:cat>
          <c:val>
            <c:numRef>
              <c:f>'5 Margins'!$E$6:$I$6</c:f>
              <c:numCache>
                <c:formatCode>0.00%</c:formatCode>
                <c:ptCount val="5"/>
                <c:pt idx="0">
                  <c:v>6.5522000000000011E-3</c:v>
                </c:pt>
                <c:pt idx="1">
                  <c:v>5.1999999999999998E-3</c:v>
                </c:pt>
                <c:pt idx="2">
                  <c:v>4.2000000000000006E-3</c:v>
                </c:pt>
                <c:pt idx="3">
                  <c:v>2.8999999999999998E-3</c:v>
                </c:pt>
                <c:pt idx="4">
                  <c:v>2.8E-3</c:v>
                </c:pt>
              </c:numCache>
            </c:numRef>
          </c:val>
          <c:smooth val="0"/>
          <c:extLst>
            <c:ext xmlns:c16="http://schemas.microsoft.com/office/drawing/2014/chart" uri="{C3380CC4-5D6E-409C-BE32-E72D297353CC}">
              <c16:uniqueId val="{00000001-E3D4-4A46-A451-2C4564FAA753}"/>
            </c:ext>
          </c:extLst>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dLbl>
              <c:idx val="0"/>
              <c:layout>
                <c:manualLayout>
                  <c:x val="-3.7188700096698439E-2"/>
                  <c:y val="5.0960557013706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D4-4A46-A451-2C4564FAA753}"/>
                </c:ext>
              </c:extLst>
            </c:dLbl>
            <c:dLbl>
              <c:idx val="1"/>
              <c:layout>
                <c:manualLayout>
                  <c:x val="-3.1925542201961726E-2"/>
                  <c:y val="6.0219816272965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37-4497-A779-757C63494BBC}"/>
                </c:ext>
              </c:extLst>
            </c:dLbl>
            <c:dLbl>
              <c:idx val="2"/>
              <c:layout>
                <c:manualLayout>
                  <c:x val="-4.0697472026522998E-2"/>
                  <c:y val="5.0960557013706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37-4497-A779-757C63494B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4Q-19</c:v>
                </c:pt>
                <c:pt idx="1">
                  <c:v>3Q-19</c:v>
                </c:pt>
                <c:pt idx="2">
                  <c:v>2Q-19</c:v>
                </c:pt>
                <c:pt idx="3">
                  <c:v>1Q-19</c:v>
                </c:pt>
                <c:pt idx="4">
                  <c:v>4Q-18</c:v>
                </c:pt>
              </c:strCache>
            </c:strRef>
          </c:cat>
          <c:val>
            <c:numRef>
              <c:f>'5 Margins'!$E$7:$I$7</c:f>
              <c:numCache>
                <c:formatCode>0.00%</c:formatCode>
                <c:ptCount val="5"/>
                <c:pt idx="0">
                  <c:v>5.3522000000000014E-3</c:v>
                </c:pt>
                <c:pt idx="1">
                  <c:v>4.1999999999999997E-3</c:v>
                </c:pt>
                <c:pt idx="2">
                  <c:v>3.6000000000000008E-3</c:v>
                </c:pt>
                <c:pt idx="3">
                  <c:v>3.2000000000000002E-3</c:v>
                </c:pt>
                <c:pt idx="4">
                  <c:v>3.3E-3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4Q-19</c:v>
                </c:pt>
                <c:pt idx="1">
                  <c:v>3Q-19</c:v>
                </c:pt>
                <c:pt idx="2">
                  <c:v>2Q-19</c:v>
                </c:pt>
                <c:pt idx="3">
                  <c:v>1Q-19</c:v>
                </c:pt>
                <c:pt idx="4">
                  <c:v>4Q-18</c:v>
                </c:pt>
              </c:strCache>
            </c:strRef>
          </c:cat>
          <c:val>
            <c:numRef>
              <c:f>'5 Margins'!$E$35:$I$35</c:f>
              <c:numCache>
                <c:formatCode>0.00%</c:formatCode>
                <c:ptCount val="5"/>
                <c:pt idx="0">
                  <c:v>1.2488002196116899E-2</c:v>
                </c:pt>
                <c:pt idx="1">
                  <c:v>1.35E-2</c:v>
                </c:pt>
                <c:pt idx="2">
                  <c:v>1.37E-2</c:v>
                </c:pt>
                <c:pt idx="3">
                  <c:v>1.5299999999999999E-2</c:v>
                </c:pt>
                <c:pt idx="4">
                  <c:v>1.55E-2</c:v>
                </c:pt>
              </c:numCache>
            </c:numRef>
          </c:val>
          <c:smooth val="0"/>
          <c:extLst>
            <c:ext xmlns:c16="http://schemas.microsoft.com/office/drawing/2014/chart" uri="{C3380CC4-5D6E-409C-BE32-E72D297353CC}">
              <c16:uniqueId val="{00000000-1038-4907-AE07-482B7A443143}"/>
            </c:ext>
          </c:extLst>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4Q-19</c:v>
                </c:pt>
                <c:pt idx="1">
                  <c:v>3Q-19</c:v>
                </c:pt>
                <c:pt idx="2">
                  <c:v>2Q-19</c:v>
                </c:pt>
                <c:pt idx="3">
                  <c:v>1Q-19</c:v>
                </c:pt>
                <c:pt idx="4">
                  <c:v>4Q-18</c:v>
                </c:pt>
              </c:strCache>
            </c:strRef>
          </c:cat>
          <c:val>
            <c:numRef>
              <c:f>'5 Margins'!$E$36:$I$36</c:f>
              <c:numCache>
                <c:formatCode>0.00%</c:formatCode>
                <c:ptCount val="5"/>
                <c:pt idx="0">
                  <c:v>2.3970315828402498E-2</c:v>
                </c:pt>
                <c:pt idx="1">
                  <c:v>2.4299999999999999E-2</c:v>
                </c:pt>
                <c:pt idx="2">
                  <c:v>2.4400000000000002E-2</c:v>
                </c:pt>
                <c:pt idx="3">
                  <c:v>2.4799999999999999E-2</c:v>
                </c:pt>
                <c:pt idx="4">
                  <c:v>2.5000000000000001E-2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Q4 2019</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28576" y="19050"/>
          <a:ext cx="7315200" cy="4438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chemeClr val="dk1"/>
              </a:solidFill>
              <a:effectLst/>
              <a:latin typeface="Variana"/>
              <a:ea typeface="+mn-ea"/>
              <a:cs typeface="+mn-cs"/>
            </a:rPr>
            <a:t>Alternative performance measures</a:t>
          </a:r>
          <a:endParaRPr lang="nb-NO" sz="1800">
            <a:solidFill>
              <a:schemeClr val="dk1"/>
            </a:solidFill>
            <a:effectLst/>
            <a:latin typeface="Variana"/>
            <a:ea typeface="+mn-ea"/>
            <a:cs typeface="+mn-cs"/>
          </a:endParaRPr>
        </a:p>
        <a:p>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endParaRPr lang="nb-NO" sz="1200">
            <a:effectLst/>
            <a:latin typeface="Variana"/>
            <a:ea typeface="Verdana" panose="020B0604030504040204" pitchFamily="34" charset="0"/>
            <a:cs typeface="Verdana" panose="020B0604030504040204" pitchFamily="34" charset="0"/>
          </a:endParaRPr>
        </a:p>
        <a:p>
          <a:endParaRPr lang="nb-NO" sz="1100"/>
        </a:p>
      </xdr:txBody>
    </xdr:sp>
    <xdr:clientData/>
  </xdr:two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00000000-0008-0000-0300-000003000000}"/>
                </a:ext>
              </a:extLst>
            </xdr:cNvPr>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00000000-0008-0000-0300-000006000000}"/>
                </a:ext>
              </a:extLst>
            </xdr:cNvPr>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0000000-0008-0000-0300-000007000000}"/>
                </a:ext>
              </a:extLst>
            </xdr:cNvPr>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00000000-0008-0000-0300-000008000000}"/>
                </a:ext>
              </a:extLst>
            </xdr:cNvPr>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00000000-0008-0000-0300-00000B000000}"/>
                </a:ext>
              </a:extLst>
            </xdr:cNvPr>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00000000-0008-0000-0300-00000E000000}"/>
                </a:ext>
              </a:extLst>
            </xdr:cNvPr>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00000000-0008-0000-0300-00000F000000}"/>
                </a:ext>
              </a:extLst>
            </xdr:cNvPr>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00000000-0008-0000-0300-000010000000}"/>
                </a:ext>
              </a:extLst>
            </xdr:cNvPr>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00000000-0008-0000-0300-000011000000}"/>
                </a:ext>
              </a:extLst>
            </xdr:cNvPr>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00000000-0008-0000-0300-000012000000}"/>
                </a:ext>
              </a:extLst>
            </xdr:cNvPr>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00000000-0008-0000-0300-000013000000}"/>
                </a:ext>
              </a:extLst>
            </xdr:cNvPr>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0000000-0008-0000-0300-000014000000}"/>
                </a:ext>
              </a:extLst>
            </xdr:cNvPr>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00000000-0008-0000-0300-000015000000}"/>
                </a:ext>
              </a:extLst>
            </xdr:cNvPr>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00000000-0008-0000-0300-000016000000}"/>
                </a:ext>
              </a:extLst>
            </xdr:cNvPr>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00000000-0008-0000-0300-000017000000}"/>
                </a:ext>
              </a:extLst>
            </xdr:cNvPr>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00000000-0008-0000-0300-000019000000}"/>
                </a:ext>
              </a:extLst>
            </xdr:cNvPr>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00000000-0008-0000-0300-00001A000000}"/>
                </a:ext>
              </a:extLst>
            </xdr:cNvPr>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00000000-0008-0000-0300-00001B000000}"/>
                </a:ext>
              </a:extLst>
            </xdr:cNvPr>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00000000-0008-0000-0300-00001C000000}"/>
                </a:ext>
              </a:extLst>
            </xdr:cNvPr>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00000000-0008-0000-0300-00001D000000}"/>
                </a:ext>
              </a:extLst>
            </xdr:cNvPr>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00000000-0008-0000-0300-00001E000000}"/>
                </a:ext>
              </a:extLst>
            </xdr:cNvPr>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0000000-0008-0000-0300-00001F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00000000-0008-0000-0300-000020000000}"/>
                </a:ext>
              </a:extLst>
            </xdr:cNvPr>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00000000-0008-0000-0300-000021000000}"/>
                </a:ext>
              </a:extLst>
            </xdr:cNvPr>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0000000-0008-0000-0300-000022000000}"/>
                </a:ext>
              </a:extLst>
            </xdr:cNvPr>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00000000-0008-0000-0300-000023000000}"/>
                </a:ext>
              </a:extLst>
            </xdr:cNvPr>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36" name="TekstSylinder 35">
              <a:extLst>
                <a:ext uri="{FF2B5EF4-FFF2-40B4-BE49-F238E27FC236}">
                  <a16:creationId xmlns:a16="http://schemas.microsoft.com/office/drawing/2014/main" id="{00000000-0008-0000-0300-000024000000}"/>
                </a:ext>
              </a:extLst>
            </xdr:cNvPr>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37" name="TekstSylinder 36">
              <a:extLst>
                <a:ext uri="{FF2B5EF4-FFF2-40B4-BE49-F238E27FC236}">
                  <a16:creationId xmlns:a16="http://schemas.microsoft.com/office/drawing/2014/main" id="{00000000-0008-0000-0300-000025000000}"/>
                </a:ext>
              </a:extLst>
            </xdr:cNvPr>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38" name="TekstSylinder 37">
              <a:extLst>
                <a:ext uri="{FF2B5EF4-FFF2-40B4-BE49-F238E27FC236}">
                  <a16:creationId xmlns:a16="http://schemas.microsoft.com/office/drawing/2014/main" id="{00000000-0008-0000-0300-000026000000}"/>
                </a:ext>
              </a:extLst>
            </xdr:cNvPr>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39" name="TekstSylinder 38">
              <a:extLst>
                <a:ext uri="{FF2B5EF4-FFF2-40B4-BE49-F238E27FC236}">
                  <a16:creationId xmlns:a16="http://schemas.microsoft.com/office/drawing/2014/main" id="{00000000-0008-0000-0300-000027000000}"/>
                </a:ext>
              </a:extLst>
            </xdr:cNvPr>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40" name="TekstSylinder 39">
              <a:extLst>
                <a:ext uri="{FF2B5EF4-FFF2-40B4-BE49-F238E27FC236}">
                  <a16:creationId xmlns:a16="http://schemas.microsoft.com/office/drawing/2014/main" id="{00000000-0008-0000-0300-000028000000}"/>
                </a:ext>
              </a:extLst>
            </xdr:cNvPr>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41" name="TekstSylinder 40">
              <a:extLst>
                <a:ext uri="{FF2B5EF4-FFF2-40B4-BE49-F238E27FC236}">
                  <a16:creationId xmlns:a16="http://schemas.microsoft.com/office/drawing/2014/main" id="{00000000-0008-0000-0300-000029000000}"/>
                </a:ext>
              </a:extLst>
            </xdr:cNvPr>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42" name="TekstSylinder 41">
              <a:extLst>
                <a:ext uri="{FF2B5EF4-FFF2-40B4-BE49-F238E27FC236}">
                  <a16:creationId xmlns:a16="http://schemas.microsoft.com/office/drawing/2014/main" id="{00000000-0008-0000-0300-00002A000000}"/>
                </a:ext>
              </a:extLst>
            </xdr:cNvPr>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43" name="TekstSylinder 42">
              <a:extLst>
                <a:ext uri="{FF2B5EF4-FFF2-40B4-BE49-F238E27FC236}">
                  <a16:creationId xmlns:a16="http://schemas.microsoft.com/office/drawing/2014/main" id="{00000000-0008-0000-0300-00002B000000}"/>
                </a:ext>
              </a:extLst>
            </xdr:cNvPr>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44" name="TekstSylinder 43">
              <a:extLst>
                <a:ext uri="{FF2B5EF4-FFF2-40B4-BE49-F238E27FC236}">
                  <a16:creationId xmlns:a16="http://schemas.microsoft.com/office/drawing/2014/main" id="{00000000-0008-0000-0300-00002C000000}"/>
                </a:ext>
              </a:extLst>
            </xdr:cNvPr>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45" name="TekstSylinder 44">
              <a:extLst>
                <a:ext uri="{FF2B5EF4-FFF2-40B4-BE49-F238E27FC236}">
                  <a16:creationId xmlns:a16="http://schemas.microsoft.com/office/drawing/2014/main" id="{00000000-0008-0000-0300-00002D000000}"/>
                </a:ext>
              </a:extLst>
            </xdr:cNvPr>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46" name="TekstSylinder 45">
              <a:extLst>
                <a:ext uri="{FF2B5EF4-FFF2-40B4-BE49-F238E27FC236}">
                  <a16:creationId xmlns:a16="http://schemas.microsoft.com/office/drawing/2014/main" id="{00000000-0008-0000-0300-00002E000000}"/>
                </a:ext>
              </a:extLst>
            </xdr:cNvPr>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47" name="TekstSylinder 46">
              <a:extLst>
                <a:ext uri="{FF2B5EF4-FFF2-40B4-BE49-F238E27FC236}">
                  <a16:creationId xmlns:a16="http://schemas.microsoft.com/office/drawing/2014/main" id="{00000000-0008-0000-0300-00002F000000}"/>
                </a:ext>
              </a:extLst>
            </xdr:cNvPr>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48" name="TekstSylinder 47">
              <a:extLst>
                <a:ext uri="{FF2B5EF4-FFF2-40B4-BE49-F238E27FC236}">
                  <a16:creationId xmlns:a16="http://schemas.microsoft.com/office/drawing/2014/main" id="{00000000-0008-0000-0300-000030000000}"/>
                </a:ext>
              </a:extLst>
            </xdr:cNvPr>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49" name="TekstSylinder 48">
              <a:extLst>
                <a:ext uri="{FF2B5EF4-FFF2-40B4-BE49-F238E27FC236}">
                  <a16:creationId xmlns:a16="http://schemas.microsoft.com/office/drawing/2014/main" id="{00000000-0008-0000-0300-000031000000}"/>
                </a:ext>
              </a:extLst>
            </xdr:cNvPr>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50" name="TekstSylinder 49">
              <a:extLst>
                <a:ext uri="{FF2B5EF4-FFF2-40B4-BE49-F238E27FC236}">
                  <a16:creationId xmlns:a16="http://schemas.microsoft.com/office/drawing/2014/main" id="{00000000-0008-0000-0300-000032000000}"/>
                </a:ext>
              </a:extLst>
            </xdr:cNvPr>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51" name="TekstSylinder 50">
              <a:extLst>
                <a:ext uri="{FF2B5EF4-FFF2-40B4-BE49-F238E27FC236}">
                  <a16:creationId xmlns:a16="http://schemas.microsoft.com/office/drawing/2014/main" id="{00000000-0008-0000-0300-000033000000}"/>
                </a:ext>
              </a:extLst>
            </xdr:cNvPr>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52" name="TekstSylinder 51">
              <a:extLst>
                <a:ext uri="{FF2B5EF4-FFF2-40B4-BE49-F238E27FC236}">
                  <a16:creationId xmlns:a16="http://schemas.microsoft.com/office/drawing/2014/main" id="{00000000-0008-0000-0300-000034000000}"/>
                </a:ext>
              </a:extLst>
            </xdr:cNvPr>
            <xdr:cNvSpPr txBox="1"/>
          </xdr:nvSpPr>
          <xdr:spPr>
            <a:xfrm>
              <a:off x="4324350" y="2852261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52" name="TekstSylinder 51">
              <a:extLst>
                <a:ext uri="{FF2B5EF4-FFF2-40B4-BE49-F238E27FC236}">
                  <a16:creationId xmlns:a16="http://schemas.microsoft.com/office/drawing/2014/main" id="{00000000-0008-0000-0300-000034000000}"/>
                </a:ext>
              </a:extLst>
            </xdr:cNvPr>
            <xdr:cNvSpPr txBox="1"/>
          </xdr:nvSpPr>
          <xdr:spPr>
            <a:xfrm>
              <a:off x="4324350" y="2852261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54" name="TekstSylinder 53">
              <a:extLst>
                <a:ext uri="{FF2B5EF4-FFF2-40B4-BE49-F238E27FC236}">
                  <a16:creationId xmlns:a16="http://schemas.microsoft.com/office/drawing/2014/main" id="{00000000-0008-0000-0300-000036000000}"/>
                </a:ext>
              </a:extLst>
            </xdr:cNvPr>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55" name="TekstSylinder 54">
              <a:extLst>
                <a:ext uri="{FF2B5EF4-FFF2-40B4-BE49-F238E27FC236}">
                  <a16:creationId xmlns:a16="http://schemas.microsoft.com/office/drawing/2014/main" id="{00000000-0008-0000-0300-000037000000}"/>
                </a:ext>
              </a:extLst>
            </xdr:cNvPr>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56" name="TekstSylinder 55">
              <a:extLst>
                <a:ext uri="{FF2B5EF4-FFF2-40B4-BE49-F238E27FC236}">
                  <a16:creationId xmlns:a16="http://schemas.microsoft.com/office/drawing/2014/main" id="{00000000-0008-0000-0300-000038000000}"/>
                </a:ext>
              </a:extLst>
            </xdr:cNvPr>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57" name="TekstSylinder 56">
              <a:extLst>
                <a:ext uri="{FF2B5EF4-FFF2-40B4-BE49-F238E27FC236}">
                  <a16:creationId xmlns:a16="http://schemas.microsoft.com/office/drawing/2014/main" id="{00000000-0008-0000-0300-000039000000}"/>
                </a:ext>
              </a:extLst>
            </xdr:cNvPr>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58" name="TekstSylinder 57">
              <a:extLst>
                <a:ext uri="{FF2B5EF4-FFF2-40B4-BE49-F238E27FC236}">
                  <a16:creationId xmlns:a16="http://schemas.microsoft.com/office/drawing/2014/main" id="{00000000-0008-0000-0300-00003A000000}"/>
                </a:ext>
              </a:extLst>
            </xdr:cNvPr>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59" name="TekstSylinder 58">
              <a:extLst>
                <a:ext uri="{FF2B5EF4-FFF2-40B4-BE49-F238E27FC236}">
                  <a16:creationId xmlns:a16="http://schemas.microsoft.com/office/drawing/2014/main" id="{00000000-0008-0000-0300-00003B000000}"/>
                </a:ext>
              </a:extLst>
            </xdr:cNvPr>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62" name="TekstSylinder 61">
              <a:extLst>
                <a:ext uri="{FF2B5EF4-FFF2-40B4-BE49-F238E27FC236}">
                  <a16:creationId xmlns:a16="http://schemas.microsoft.com/office/drawing/2014/main" id="{00000000-0008-0000-0300-00003E000000}"/>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1" i="0">
                      <a:solidFill>
                        <a:schemeClr val="tx1"/>
                      </a:solidFill>
                      <a:effectLst/>
                      <a:latin typeface="Cambria Math" panose="02040503050406030204" pitchFamily="18" charset="0"/>
                      <a:ea typeface="+mn-ea"/>
                      <a:cs typeface="+mn-cs"/>
                    </a:rPr>
                    <m:t>𝐏</m:t>
                  </m:r>
                  <m:r>
                    <a:rPr lang="en-GB" sz="900" b="1" i="0">
                      <a:solidFill>
                        <a:schemeClr val="tx1"/>
                      </a:solidFill>
                      <a:effectLst/>
                      <a:latin typeface="Cambria Math" panose="02040503050406030204" pitchFamily="18" charset="0"/>
                      <a:ea typeface="+mn-ea"/>
                      <a:cs typeface="+mn-cs"/>
                    </a:rPr>
                    <m:t>𝐫𝐨𝐟𝐢𝐭</m:t>
                  </m:r>
                  <m:r>
                    <a:rPr lang="en-GB" sz="900" b="1" i="0">
                      <a:solidFill>
                        <a:schemeClr val="tx1"/>
                      </a:solidFill>
                      <a:effectLst/>
                      <a:latin typeface="Cambria Math" panose="02040503050406030204" pitchFamily="18" charset="0"/>
                      <a:ea typeface="+mn-ea"/>
                      <a:cs typeface="+mn-cs"/>
                    </a:rPr>
                    <m:t> </m:t>
                  </m:r>
                </m:oMath>
              </a14:m>
              <a:r>
                <a:rPr lang="nb-NO" sz="900" b="1">
                  <a:latin typeface="+mj-lt"/>
                </a:rPr>
                <a:t>after tax - Interest expences on hybrid</a:t>
              </a:r>
              <a:r>
                <a:rPr lang="nb-NO" sz="900" b="1" baseline="0">
                  <a:latin typeface="+mj-lt"/>
                </a:rPr>
                <a:t> capital</a:t>
              </a:r>
              <a:endParaRPr lang="nb-NO" sz="900" b="1">
                <a:latin typeface="+mj-lt"/>
              </a:endParaRPr>
            </a:p>
          </xdr:txBody>
        </xdr:sp>
      </mc:Choice>
      <mc:Fallback xmlns="">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1" i="0">
                  <a:solidFill>
                    <a:schemeClr val="tx1"/>
                  </a:solidFill>
                  <a:effectLst/>
                  <a:latin typeface="Cambria Math" panose="02040503050406030204" pitchFamily="18" charset="0"/>
                  <a:ea typeface="+mn-ea"/>
                  <a:cs typeface="+mn-cs"/>
                </a:rPr>
                <a:t>𝐏</a:t>
              </a:r>
              <a:r>
                <a:rPr lang="en-GB" sz="900" b="1" i="0">
                  <a:solidFill>
                    <a:schemeClr val="tx1"/>
                  </a:solidFill>
                  <a:effectLst/>
                  <a:latin typeface="Cambria Math" panose="02040503050406030204" pitchFamily="18" charset="0"/>
                  <a:ea typeface="+mn-ea"/>
                  <a:cs typeface="+mn-cs"/>
                </a:rPr>
                <a:t>𝐫𝐨𝐟𝐢𝐭 </a:t>
              </a:r>
              <a:r>
                <a:rPr lang="nb-NO" sz="900" b="1">
                  <a:latin typeface="+mj-lt"/>
                </a:rPr>
                <a:t>after tax - Interest expences on hybrid</a:t>
              </a:r>
              <a:r>
                <a:rPr lang="nb-NO" sz="900" b="1" baseline="0">
                  <a:latin typeface="+mj-lt"/>
                </a:rPr>
                <a:t> capital</a:t>
              </a:r>
              <a:endParaRPr lang="nb-NO" sz="900" b="1">
                <a:latin typeface="+mj-lt"/>
              </a:endParaRPr>
            </a:p>
          </xdr:txBody>
        </xdr:sp>
      </mc:Fallback>
    </mc:AlternateContent>
    <xdr:clientData/>
  </xdr:oneCellAnchor>
  <xdr:oneCellAnchor>
    <xdr:from>
      <xdr:col>1</xdr:col>
      <xdr:colOff>523875</xdr:colOff>
      <xdr:row>56</xdr:row>
      <xdr:rowOff>166687</xdr:rowOff>
    </xdr:from>
    <xdr:ext cx="4063292" cy="292516"/>
    <mc:AlternateContent xmlns:mc="http://schemas.openxmlformats.org/markup-compatibility/2006" xmlns:a14="http://schemas.microsoft.com/office/drawing/2010/main">
      <mc:Choice Requires="a14">
        <xdr:sp macro="" textlink="">
          <xdr:nvSpPr>
            <xdr:cNvPr id="61" name="TekstSylinder 60">
              <a:extLst>
                <a:ext uri="{FF2B5EF4-FFF2-40B4-BE49-F238E27FC236}">
                  <a16:creationId xmlns:a16="http://schemas.microsoft.com/office/drawing/2014/main" id="{2457CF8F-54D3-4553-8738-278306979C67}"/>
                </a:ext>
              </a:extLst>
            </xdr:cNvPr>
            <xdr:cNvSpPr txBox="1"/>
          </xdr:nvSpPr>
          <xdr:spPr>
            <a:xfrm>
              <a:off x="2724150" y="29551312"/>
              <a:ext cx="4063292"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b="0" i="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61" name="TekstSylinder 60">
              <a:extLst>
                <a:ext uri="{FF2B5EF4-FFF2-40B4-BE49-F238E27FC236}">
                  <a16:creationId xmlns:a16="http://schemas.microsoft.com/office/drawing/2014/main" id="{2457CF8F-54D3-4553-8738-278306979C67}"/>
                </a:ext>
              </a:extLst>
            </xdr:cNvPr>
            <xdr:cNvSpPr txBox="1"/>
          </xdr:nvSpPr>
          <xdr:spPr>
            <a:xfrm>
              <a:off x="2724150" y="29551312"/>
              <a:ext cx="4063292"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a:t>
              </a:r>
              <a:r>
                <a:rPr lang="nb-NO" sz="900" i="0">
                  <a:solidFill>
                    <a:schemeClr val="tx1"/>
                  </a:solidFill>
                  <a:effectLst/>
                  <a:latin typeface="Cambria Math" panose="02040503050406030204" pitchFamily="18" charset="0"/>
                  <a:ea typeface="+mn-ea"/>
                  <a:cs typeface="+mn-cs"/>
                </a:rPr>
                <a:t> 𝐸𝐶 −𝑀𝑖𝑛</a:t>
              </a:r>
              <a:r>
                <a:rPr lang="nb-NO" sz="900" b="0" i="0">
                  <a:solidFill>
                    <a:schemeClr val="tx1"/>
                  </a:solidFill>
                  <a:effectLst/>
                  <a:latin typeface="Cambria Math" panose="02040503050406030204" pitchFamily="18" charset="0"/>
                  <a:ea typeface="+mn-ea"/>
                  <a:cs typeface="+mn-cs"/>
                </a:rPr>
                <a:t>𝑜𝑟𝑖𝑡𝑦</a:t>
              </a:r>
              <a:r>
                <a:rPr lang="nb-NO" sz="900" i="0">
                  <a:solidFill>
                    <a:schemeClr val="tx1"/>
                  </a:solidFill>
                  <a:effectLst/>
                  <a:latin typeface="Cambria Math" panose="02040503050406030204" pitchFamily="18" charset="0"/>
                  <a:ea typeface="+mn-ea"/>
                  <a:cs typeface="+mn-cs"/>
                </a:rPr>
                <a:t> 𝑖𝑛𝑡</a:t>
              </a:r>
              <a:r>
                <a:rPr lang="nb-NO" sz="900" b="0" i="0">
                  <a:solidFill>
                    <a:schemeClr val="tx1"/>
                  </a:solidFill>
                  <a:effectLst/>
                  <a:latin typeface="Cambria Math" panose="02040503050406030204" pitchFamily="18" charset="0"/>
                  <a:ea typeface="+mn-ea"/>
                  <a:cs typeface="+mn-cs"/>
                </a:rPr>
                <a:t>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a:t>
              </a:r>
              <a:r>
                <a:rPr lang="nb-NO" sz="900" b="0" i="0">
                  <a:solidFill>
                    <a:schemeClr val="tx1"/>
                  </a:solidFill>
                  <a:effectLst/>
                  <a:latin typeface="Cambria Math" panose="02040503050406030204" pitchFamily="18" charset="0"/>
                  <a:ea typeface="+mn-ea"/>
                  <a:cs typeface="+mn-cs"/>
                </a:rPr>
                <a:t>𝑖𝑡𝑎𝑙)</a:t>
              </a:r>
              <a:r>
                <a:rPr lang="nb-NO" sz="900" i="0">
                  <a:solidFill>
                    <a:schemeClr val="tx1"/>
                  </a:solidFill>
                  <a:effectLst/>
                  <a:latin typeface="Cambria Math" panose="02040503050406030204" pitchFamily="18" charset="0"/>
                  <a:ea typeface="+mn-ea"/>
                  <a:cs typeface="+mn-cs"/>
                </a:rPr>
                <a:t>×EC certi</a:t>
              </a:r>
              <a:r>
                <a:rPr lang="nb-NO" sz="900" b="0" i="0">
                  <a:solidFill>
                    <a:schemeClr val="tx1"/>
                  </a:solidFill>
                  <a:effectLst/>
                  <a:latin typeface="Cambria Math" panose="02040503050406030204" pitchFamily="18" charset="0"/>
                  <a:ea typeface="+mn-ea"/>
                  <a:cs typeface="+mn-cs"/>
                </a:rPr>
                <a:t>ficate </a:t>
              </a:r>
              <a:r>
                <a:rPr lang="nb-NO" sz="900" i="0">
                  <a:solidFill>
                    <a:schemeClr val="tx1"/>
                  </a:solidFill>
                  <a:effectLst/>
                  <a:latin typeface="Cambria Math" panose="02040503050406030204" pitchFamily="18" charset="0"/>
                  <a:ea typeface="+mn-ea"/>
                  <a:cs typeface="+mn-cs"/>
                </a:rPr>
                <a:t>ratio)/(Number of Equity certificates issued)</a:t>
              </a:r>
              <a:endParaRPr lang="nb-NO" sz="900"/>
            </a:p>
          </xdr:txBody>
        </xdr:sp>
      </mc:Fallback>
    </mc:AlternateContent>
    <xdr:clientData/>
  </xdr:oneCellAnchor>
  <xdr:oneCellAnchor>
    <xdr:from>
      <xdr:col>1</xdr:col>
      <xdr:colOff>523875</xdr:colOff>
      <xdr:row>56</xdr:row>
      <xdr:rowOff>166687</xdr:rowOff>
    </xdr:from>
    <xdr:ext cx="4063292" cy="292516"/>
    <mc:AlternateContent xmlns:mc="http://schemas.openxmlformats.org/markup-compatibility/2006" xmlns:a14="http://schemas.microsoft.com/office/drawing/2010/main">
      <mc:Choice Requires="a14">
        <xdr:sp macro="" textlink="">
          <xdr:nvSpPr>
            <xdr:cNvPr id="63" name="TekstSylinder 62">
              <a:extLst>
                <a:ext uri="{FF2B5EF4-FFF2-40B4-BE49-F238E27FC236}">
                  <a16:creationId xmlns:a16="http://schemas.microsoft.com/office/drawing/2014/main" id="{860946BD-0FD0-4453-89D0-A51CF1C9A1A9}"/>
                </a:ext>
              </a:extLst>
            </xdr:cNvPr>
            <xdr:cNvSpPr txBox="1"/>
          </xdr:nvSpPr>
          <xdr:spPr>
            <a:xfrm>
              <a:off x="2724150" y="29551312"/>
              <a:ext cx="4063292"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b="0" i="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63" name="TekstSylinder 62">
              <a:extLst>
                <a:ext uri="{FF2B5EF4-FFF2-40B4-BE49-F238E27FC236}">
                  <a16:creationId xmlns:a16="http://schemas.microsoft.com/office/drawing/2014/main" id="{860946BD-0FD0-4453-89D0-A51CF1C9A1A9}"/>
                </a:ext>
              </a:extLst>
            </xdr:cNvPr>
            <xdr:cNvSpPr txBox="1"/>
          </xdr:nvSpPr>
          <xdr:spPr>
            <a:xfrm>
              <a:off x="2724150" y="29551312"/>
              <a:ext cx="4063292"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a:t>
              </a:r>
              <a:r>
                <a:rPr lang="nb-NO" sz="900" i="0">
                  <a:solidFill>
                    <a:schemeClr val="tx1"/>
                  </a:solidFill>
                  <a:effectLst/>
                  <a:latin typeface="Cambria Math" panose="02040503050406030204" pitchFamily="18" charset="0"/>
                  <a:ea typeface="+mn-ea"/>
                  <a:cs typeface="+mn-cs"/>
                </a:rPr>
                <a:t> 𝐸𝐶 −𝑀𝑖𝑛</a:t>
              </a:r>
              <a:r>
                <a:rPr lang="nb-NO" sz="900" b="0" i="0">
                  <a:solidFill>
                    <a:schemeClr val="tx1"/>
                  </a:solidFill>
                  <a:effectLst/>
                  <a:latin typeface="Cambria Math" panose="02040503050406030204" pitchFamily="18" charset="0"/>
                  <a:ea typeface="+mn-ea"/>
                  <a:cs typeface="+mn-cs"/>
                </a:rPr>
                <a:t>𝑜𝑟𝑖𝑡𝑦</a:t>
              </a:r>
              <a:r>
                <a:rPr lang="nb-NO" sz="900" i="0">
                  <a:solidFill>
                    <a:schemeClr val="tx1"/>
                  </a:solidFill>
                  <a:effectLst/>
                  <a:latin typeface="Cambria Math" panose="02040503050406030204" pitchFamily="18" charset="0"/>
                  <a:ea typeface="+mn-ea"/>
                  <a:cs typeface="+mn-cs"/>
                </a:rPr>
                <a:t> 𝑖𝑛𝑡</a:t>
              </a:r>
              <a:r>
                <a:rPr lang="nb-NO" sz="900" b="0" i="0">
                  <a:solidFill>
                    <a:schemeClr val="tx1"/>
                  </a:solidFill>
                  <a:effectLst/>
                  <a:latin typeface="Cambria Math" panose="02040503050406030204" pitchFamily="18" charset="0"/>
                  <a:ea typeface="+mn-ea"/>
                  <a:cs typeface="+mn-cs"/>
                </a:rPr>
                <a:t>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a:t>
              </a:r>
              <a:r>
                <a:rPr lang="nb-NO" sz="900" b="0" i="0">
                  <a:solidFill>
                    <a:schemeClr val="tx1"/>
                  </a:solidFill>
                  <a:effectLst/>
                  <a:latin typeface="Cambria Math" panose="02040503050406030204" pitchFamily="18" charset="0"/>
                  <a:ea typeface="+mn-ea"/>
                  <a:cs typeface="+mn-cs"/>
                </a:rPr>
                <a:t>𝑖𝑡𝑎𝑙)</a:t>
              </a:r>
              <a:r>
                <a:rPr lang="nb-NO" sz="900" i="0">
                  <a:solidFill>
                    <a:schemeClr val="tx1"/>
                  </a:solidFill>
                  <a:effectLst/>
                  <a:latin typeface="Cambria Math" panose="02040503050406030204" pitchFamily="18" charset="0"/>
                  <a:ea typeface="+mn-ea"/>
                  <a:cs typeface="+mn-cs"/>
                </a:rPr>
                <a:t>×EC certi</a:t>
              </a:r>
              <a:r>
                <a:rPr lang="nb-NO" sz="900" b="0" i="0">
                  <a:solidFill>
                    <a:schemeClr val="tx1"/>
                  </a:solidFill>
                  <a:effectLst/>
                  <a:latin typeface="Cambria Math" panose="02040503050406030204" pitchFamily="18" charset="0"/>
                  <a:ea typeface="+mn-ea"/>
                  <a:cs typeface="+mn-cs"/>
                </a:rPr>
                <a:t>ficate </a:t>
              </a:r>
              <a:r>
                <a:rPr lang="nb-NO" sz="900" i="0">
                  <a:solidFill>
                    <a:schemeClr val="tx1"/>
                  </a:solidFill>
                  <a:effectLst/>
                  <a:latin typeface="Cambria Math" panose="02040503050406030204" pitchFamily="18" charset="0"/>
                  <a:ea typeface="+mn-ea"/>
                  <a:cs typeface="+mn-cs"/>
                </a:rPr>
                <a:t>ratio)/(Number of Equity certificates issued)</a:t>
              </a:r>
              <a:endParaRPr lang="nb-NO" sz="9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10</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12</xdr:col>
      <xdr:colOff>840441</xdr:colOff>
      <xdr:row>64</xdr:row>
      <xdr:rowOff>56029</xdr:rowOff>
    </xdr:from>
    <xdr:to>
      <xdr:col>15</xdr:col>
      <xdr:colOff>2801</xdr:colOff>
      <xdr:row>65</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cell r="K4">
            <v>2017</v>
          </cell>
        </row>
        <row r="5">
          <cell r="E5" t="str">
            <v>EIENDELER</v>
          </cell>
        </row>
        <row r="6">
          <cell r="E6" t="str">
            <v>Kontanter og fordringer på sentralbanker</v>
          </cell>
          <cell r="G6">
            <v>1878.3081159999999</v>
          </cell>
          <cell r="H6">
            <v>672.68698600000005</v>
          </cell>
          <cell r="K6">
            <v>672.68698600000005</v>
          </cell>
        </row>
        <row r="7">
          <cell r="E7" t="str">
            <v>Utlån til og fordringer på kredittinstitusjoner</v>
          </cell>
          <cell r="G7">
            <v>1022.7689820000001</v>
          </cell>
          <cell r="H7">
            <v>1807.8047610000001</v>
          </cell>
          <cell r="K7">
            <v>1807.8047610000001</v>
          </cell>
        </row>
        <row r="8">
          <cell r="E8" t="str">
            <v>Utlån til og fordringer på kunder</v>
          </cell>
          <cell r="F8" t="str">
            <v>5,6</v>
          </cell>
          <cell r="G8">
            <v>98605.716025999995</v>
          </cell>
          <cell r="H8">
            <v>90097.511352000001</v>
          </cell>
          <cell r="K8">
            <v>90097.511352000001</v>
          </cell>
        </row>
        <row r="9">
          <cell r="E9" t="str">
            <v>Sertifikater, obligasjoner og rentefond</v>
          </cell>
          <cell r="F9">
            <v>10</v>
          </cell>
          <cell r="G9">
            <v>14445.539526</v>
          </cell>
          <cell r="H9">
            <v>8883.2063739999994</v>
          </cell>
          <cell r="K9">
            <v>8883.2063739999994</v>
          </cell>
        </row>
        <row r="10">
          <cell r="E10" t="str">
            <v>Finansielle derivater</v>
          </cell>
          <cell r="F10" t="str">
            <v>8,10,11</v>
          </cell>
          <cell r="G10">
            <v>819.05522599999995</v>
          </cell>
          <cell r="H10">
            <v>581.66810399999997</v>
          </cell>
          <cell r="K10">
            <v>581.66810399999997</v>
          </cell>
        </row>
        <row r="11">
          <cell r="E11" t="str">
            <v>Aksjer, andeler og andre egenkapitalinteresser</v>
          </cell>
          <cell r="F11">
            <v>10</v>
          </cell>
          <cell r="G11">
            <v>593.61375299999997</v>
          </cell>
          <cell r="H11">
            <v>494.96768800000001</v>
          </cell>
          <cell r="K11">
            <v>494.96768800000001</v>
          </cell>
        </row>
        <row r="12">
          <cell r="E12" t="str">
            <v>Investering i tilknyttede selskaper og felleskontrollert virksomhet</v>
          </cell>
          <cell r="G12">
            <v>4123.5721299999996</v>
          </cell>
          <cell r="H12">
            <v>3928.959006</v>
          </cell>
          <cell r="K12">
            <v>3928.959006</v>
          </cell>
        </row>
        <row r="13">
          <cell r="E13" t="str">
            <v>Investering i datterselskaper</v>
          </cell>
          <cell r="G13">
            <v>0</v>
          </cell>
          <cell r="H13">
            <v>0</v>
          </cell>
          <cell r="K13">
            <v>0</v>
          </cell>
        </row>
        <row r="14">
          <cell r="E14" t="str">
            <v>Eiendeler holdt for salg</v>
          </cell>
          <cell r="G14">
            <v>0</v>
          </cell>
          <cell r="H14">
            <v>0</v>
          </cell>
          <cell r="K14">
            <v>0</v>
          </cell>
        </row>
        <row r="15">
          <cell r="E15" t="str">
            <v>Eiendom, anlegg og utstyr</v>
          </cell>
          <cell r="G15">
            <v>543.07394399999998</v>
          </cell>
          <cell r="H15">
            <v>578.47511299999996</v>
          </cell>
          <cell r="K15">
            <v>578.47511299999996</v>
          </cell>
        </row>
        <row r="16">
          <cell r="E16" t="str">
            <v>Goodwill og andre immaterielle eiendeler</v>
          </cell>
          <cell r="G16">
            <v>399.57269600000001</v>
          </cell>
          <cell r="H16">
            <v>366.49702100000002</v>
          </cell>
          <cell r="K16">
            <v>366.49702100000002</v>
          </cell>
        </row>
        <row r="17">
          <cell r="E17" t="str">
            <v>Eiendel ved utsatt skatt</v>
          </cell>
          <cell r="G17">
            <v>0</v>
          </cell>
          <cell r="H17">
            <v>0</v>
          </cell>
          <cell r="K17">
            <v>0</v>
          </cell>
        </row>
        <row r="18">
          <cell r="E18" t="str">
            <v>Andre eiendeler</v>
          </cell>
          <cell r="F18">
            <v>12</v>
          </cell>
          <cell r="G18">
            <v>1041.1232949999999</v>
          </cell>
          <cell r="H18">
            <v>909.55013299999996</v>
          </cell>
          <cell r="K18">
            <v>909.55013299999996</v>
          </cell>
        </row>
        <row r="19">
          <cell r="E19" t="str">
            <v>Sum eiendeler</v>
          </cell>
          <cell r="G19">
            <v>123472.343694</v>
          </cell>
          <cell r="H19">
            <v>108321.32653799999</v>
          </cell>
          <cell r="K19">
            <v>108321.32653799999</v>
          </cell>
        </row>
        <row r="21">
          <cell r="E21" t="str">
            <v>FORPLIKTELSER</v>
          </cell>
        </row>
        <row r="22">
          <cell r="E22" t="str">
            <v>Innskudd fra og gjeld til kredittinstitusjoner</v>
          </cell>
          <cell r="G22">
            <v>2635.6622080000002</v>
          </cell>
          <cell r="H22">
            <v>2285.8654080000001</v>
          </cell>
          <cell r="K22">
            <v>2285.8654080000001</v>
          </cell>
        </row>
        <row r="23">
          <cell r="E23" t="str">
            <v>Innskudd fra og gjeld til kunder</v>
          </cell>
          <cell r="F23">
            <v>13</v>
          </cell>
          <cell r="G23">
            <v>71496.704425000004</v>
          </cell>
          <cell r="H23">
            <v>65985.425443</v>
          </cell>
          <cell r="K23">
            <v>65985.425443</v>
          </cell>
        </row>
        <row r="24">
          <cell r="E24" t="str">
            <v>Gjeld stiftet ved utstedelse av verdipapirer</v>
          </cell>
          <cell r="F24" t="str">
            <v>10,14</v>
          </cell>
          <cell r="G24">
            <v>31984.282126999999</v>
          </cell>
          <cell r="H24">
            <v>23685.531761999999</v>
          </cell>
          <cell r="K24">
            <v>23685.531761999999</v>
          </cell>
        </row>
        <row r="25">
          <cell r="E25" t="str">
            <v>Finansielle derivater</v>
          </cell>
          <cell r="F25" t="str">
            <v>8,10,11</v>
          </cell>
          <cell r="G25">
            <v>353.83291300000002</v>
          </cell>
          <cell r="H25">
            <v>306.71988099999999</v>
          </cell>
          <cell r="K25">
            <v>306.71988099999999</v>
          </cell>
        </row>
        <row r="26">
          <cell r="E26" t="str">
            <v>Forpliktelser ved periodeskatt</v>
          </cell>
          <cell r="G26">
            <v>248.25874899999999</v>
          </cell>
          <cell r="H26">
            <v>358.05188800000002</v>
          </cell>
          <cell r="K26">
            <v>358.05188800000002</v>
          </cell>
        </row>
        <row r="27">
          <cell r="E27" t="str">
            <v>Forpliktelser ved utsatt skatt</v>
          </cell>
          <cell r="G27">
            <v>201.742031</v>
          </cell>
          <cell r="H27">
            <v>121.67645899999999</v>
          </cell>
          <cell r="K27">
            <v>121.67645899999999</v>
          </cell>
        </row>
        <row r="28">
          <cell r="E28" t="str">
            <v>Annen gjeld og balanseført forpliktelse</v>
          </cell>
          <cell r="F28">
            <v>15</v>
          </cell>
          <cell r="G28">
            <v>687.15079999999989</v>
          </cell>
          <cell r="H28">
            <v>540.71019000000001</v>
          </cell>
          <cell r="K28">
            <v>540.71019000000001</v>
          </cell>
        </row>
        <row r="29">
          <cell r="E29" t="str">
            <v>Ansvarlig lånekapital</v>
          </cell>
          <cell r="F29" t="str">
            <v>10,14</v>
          </cell>
          <cell r="G29">
            <v>1102.3983880000001</v>
          </cell>
          <cell r="H29">
            <v>1705.7639509999999</v>
          </cell>
          <cell r="K29">
            <v>1705.7639509999999</v>
          </cell>
        </row>
        <row r="30">
          <cell r="E30" t="str">
            <v>Sum gjeld</v>
          </cell>
          <cell r="G30">
            <v>108710.03164100001</v>
          </cell>
          <cell r="H30">
            <v>94989.744981999989</v>
          </cell>
          <cell r="K30">
            <v>94989.744981999989</v>
          </cell>
        </row>
        <row r="32">
          <cell r="E32" t="str">
            <v>EGENKAPITAL</v>
          </cell>
        </row>
        <row r="33">
          <cell r="E33" t="str">
            <v>Egenkapitalbevis</v>
          </cell>
          <cell r="F33">
            <v>18</v>
          </cell>
          <cell r="G33">
            <v>5765.9760930000002</v>
          </cell>
          <cell r="H33">
            <v>5358.8723499999996</v>
          </cell>
          <cell r="K33">
            <v>5358.8723499999996</v>
          </cell>
        </row>
        <row r="34">
          <cell r="E34" t="str">
            <v>Overkursfond</v>
          </cell>
          <cell r="F34">
            <v>18</v>
          </cell>
          <cell r="G34">
            <v>830.10758899999996</v>
          </cell>
          <cell r="H34">
            <v>547.368516</v>
          </cell>
          <cell r="K34">
            <v>547.368516</v>
          </cell>
        </row>
        <row r="35">
          <cell r="E35" t="str">
            <v>Utjevningsfond</v>
          </cell>
          <cell r="F35">
            <v>18</v>
          </cell>
          <cell r="G35">
            <v>2112.09610737711</v>
          </cell>
          <cell r="H35">
            <v>1583.6901267267601</v>
          </cell>
          <cell r="K35">
            <v>1583.6901267267601</v>
          </cell>
        </row>
        <row r="36">
          <cell r="E36" t="str">
            <v>Utbytte</v>
          </cell>
          <cell r="G36">
            <v>477.21873068000002</v>
          </cell>
          <cell r="H36">
            <v>424.432748</v>
          </cell>
          <cell r="K36">
            <v>424.432748</v>
          </cell>
        </row>
        <row r="37">
          <cell r="E37" t="str">
            <v>Grunnfondskapital *)</v>
          </cell>
          <cell r="G37">
            <v>3689.6450758767501</v>
          </cell>
          <cell r="H37">
            <v>3432.0858967551003</v>
          </cell>
          <cell r="K37">
            <v>3432.0858967551003</v>
          </cell>
        </row>
        <row r="38">
          <cell r="E38" t="str">
            <v>Annen innskutt egenkapital</v>
          </cell>
          <cell r="G38">
            <v>166.15377000000001</v>
          </cell>
          <cell r="H38">
            <v>164.80550523656811</v>
          </cell>
          <cell r="K38">
            <v>164.80550523656811</v>
          </cell>
        </row>
        <row r="39">
          <cell r="E39" t="str">
            <v>Gavefond</v>
          </cell>
          <cell r="G39">
            <v>14.661659999999999</v>
          </cell>
          <cell r="H39">
            <v>19.520132000000004</v>
          </cell>
          <cell r="K39">
            <v>19.520132000000004</v>
          </cell>
        </row>
        <row r="40">
          <cell r="E40" t="str">
            <v>Fond for urealiserte gevinster</v>
          </cell>
          <cell r="G40">
            <v>253</v>
          </cell>
          <cell r="H40">
            <v>280.72628099999997</v>
          </cell>
          <cell r="K40">
            <v>280.72628099999997</v>
          </cell>
        </row>
        <row r="41">
          <cell r="E41" t="str">
            <v>Kundeutbytte</v>
          </cell>
          <cell r="G41">
            <v>221.901596600169</v>
          </cell>
          <cell r="H41">
            <v>204.11640399999999</v>
          </cell>
          <cell r="K41">
            <v>204.11640399999999</v>
          </cell>
        </row>
        <row r="42">
          <cell r="E42" t="str">
            <v>Hybridkapital</v>
          </cell>
          <cell r="G42">
            <v>400</v>
          </cell>
          <cell r="H42">
            <v>400</v>
          </cell>
          <cell r="K42">
            <v>400</v>
          </cell>
        </row>
        <row r="43">
          <cell r="E43" t="str">
            <v>Renter hybridkapital</v>
          </cell>
          <cell r="G43">
            <v>-47.562805999999995</v>
          </cell>
          <cell r="H43">
            <v>-29.5</v>
          </cell>
          <cell r="K43">
            <v>-29.5</v>
          </cell>
        </row>
        <row r="44">
          <cell r="E44" t="str">
            <v>Annen egenkapital</v>
          </cell>
          <cell r="G44">
            <v>775.866806</v>
          </cell>
          <cell r="H44">
            <v>882.8</v>
          </cell>
          <cell r="K44">
            <v>882.8</v>
          </cell>
        </row>
        <row r="45">
          <cell r="E45" t="str">
            <v>Ikke-kontrollerende eierinteresser</v>
          </cell>
          <cell r="G45">
            <v>102.476</v>
          </cell>
          <cell r="H45">
            <v>62.4</v>
          </cell>
          <cell r="K45">
            <v>62.4</v>
          </cell>
        </row>
        <row r="46">
          <cell r="E46" t="str">
            <v>Sum egenkapital</v>
          </cell>
          <cell r="G46">
            <v>14761.540622534032</v>
          </cell>
          <cell r="H46">
            <v>13331.317959718428</v>
          </cell>
          <cell r="K46">
            <v>13331.317959718428</v>
          </cell>
        </row>
        <row r="47">
          <cell r="H47" t="str">
            <v xml:space="preserve"> </v>
          </cell>
          <cell r="K47" t="str">
            <v xml:space="preserve"> </v>
          </cell>
        </row>
        <row r="48">
          <cell r="E48" t="str">
            <v>Sum gjeld og egenkapital</v>
          </cell>
          <cell r="G48">
            <v>123471.57226353404</v>
          </cell>
          <cell r="H48">
            <v>108321.06294171841</v>
          </cell>
          <cell r="K48">
            <v>108321.06294171841</v>
          </cell>
        </row>
        <row r="52">
          <cell r="E52" t="str">
            <v xml:space="preserve">Styret i SpareBank 1 Østlandet </v>
          </cell>
        </row>
        <row r="53">
          <cell r="E53" t="str">
            <v>Hamar, 7. februar 2019</v>
          </cell>
        </row>
        <row r="58">
          <cell r="G58">
            <v>0.77143046596029308</v>
          </cell>
          <cell r="H58">
            <v>0.26359628158388659</v>
          </cell>
          <cell r="K58">
            <v>0.26359628158388659</v>
          </cell>
        </row>
        <row r="60">
          <cell r="G60">
            <v>0.11955416418467112</v>
          </cell>
          <cell r="H60">
            <v>0.12307225942650946</v>
          </cell>
          <cell r="K60">
            <v>0.12307225942650946</v>
          </cell>
        </row>
        <row r="67">
          <cell r="G67">
            <v>35722.342723000002</v>
          </cell>
          <cell r="H67">
            <v>27677.161121000001</v>
          </cell>
        </row>
        <row r="72">
          <cell r="E72" t="str">
            <v>(mill. kroner)</v>
          </cell>
          <cell r="F72" t="str">
            <v>Noter</v>
          </cell>
          <cell r="G72">
            <v>43465</v>
          </cell>
          <cell r="H72">
            <v>43100</v>
          </cell>
          <cell r="K72">
            <v>2017</v>
          </cell>
        </row>
        <row r="73">
          <cell r="E73" t="str">
            <v>Brutto utlån</v>
          </cell>
          <cell r="G73">
            <v>98940.269777329799</v>
          </cell>
          <cell r="H73">
            <v>90461.149747049989</v>
          </cell>
          <cell r="K73">
            <v>90461.149747049989</v>
          </cell>
        </row>
        <row r="75">
          <cell r="E75" t="str">
            <v>Lån til kredittinstitusjoner linje 3</v>
          </cell>
          <cell r="G75">
            <v>1022.7689820000001</v>
          </cell>
          <cell r="H75">
            <v>1807.8047610000001</v>
          </cell>
          <cell r="K75">
            <v>1807.8047610000001</v>
          </cell>
        </row>
        <row r="76">
          <cell r="E76" t="str">
            <v>Minus linje 3.1 (10310) Anfordringer til kredittinstitusjoner</v>
          </cell>
          <cell r="G76">
            <v>79.992040279999998</v>
          </cell>
          <cell r="H76">
            <v>1080.2302099999999</v>
          </cell>
          <cell r="K76">
            <v>63.352398999999998</v>
          </cell>
        </row>
        <row r="77">
          <cell r="E77" t="str">
            <v>SUM</v>
          </cell>
          <cell r="G77">
            <v>942.77694172000008</v>
          </cell>
          <cell r="H77">
            <v>727.57455100000016</v>
          </cell>
          <cell r="K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66" sqref="A66"/>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C6" sqref="C6"/>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143</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380</v>
      </c>
      <c r="E5" s="170" t="s">
        <v>362</v>
      </c>
      <c r="F5" s="170" t="s">
        <v>359</v>
      </c>
      <c r="G5" s="170" t="s">
        <v>340</v>
      </c>
      <c r="H5" s="170" t="s">
        <v>267</v>
      </c>
      <c r="I5" s="232"/>
      <c r="J5" s="233"/>
      <c r="P5" s="242"/>
      <c r="Q5" s="242"/>
      <c r="R5" s="242"/>
      <c r="S5" s="242"/>
      <c r="T5" s="242"/>
      <c r="U5" s="242"/>
      <c r="V5" s="242"/>
      <c r="W5" s="242"/>
      <c r="X5" s="242"/>
      <c r="Y5" s="242"/>
      <c r="Z5" s="242"/>
      <c r="AA5" s="242"/>
    </row>
    <row r="6" spans="1:27" s="123" customFormat="1" ht="12.75" customHeight="1">
      <c r="A6" s="119"/>
      <c r="B6" s="125"/>
      <c r="C6" s="198" t="s">
        <v>108</v>
      </c>
      <c r="D6" s="206">
        <v>294.253041168425</v>
      </c>
      <c r="E6" s="199">
        <v>288.81345077134876</v>
      </c>
      <c r="F6" s="199">
        <v>636.0401009997297</v>
      </c>
      <c r="G6" s="199">
        <v>509.2465992284948</v>
      </c>
      <c r="H6" s="199">
        <v>482.41051022454144</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109</v>
      </c>
      <c r="D7" s="206">
        <v>5204.1023012956493</v>
      </c>
      <c r="E7" s="199">
        <v>4954.2336683431804</v>
      </c>
      <c r="F7" s="199">
        <v>4712.0427130496164</v>
      </c>
      <c r="G7" s="199">
        <v>4520.8483238180388</v>
      </c>
      <c r="H7" s="199">
        <v>4636.0507523107844</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110</v>
      </c>
      <c r="D8" s="206">
        <v>1118.4551272177014</v>
      </c>
      <c r="E8" s="199">
        <v>1092.575656628142</v>
      </c>
      <c r="F8" s="199">
        <v>1075.0560830702382</v>
      </c>
      <c r="G8" s="199">
        <v>1054.2257732430771</v>
      </c>
      <c r="H8" s="199">
        <v>1051.3382640373209</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111</v>
      </c>
      <c r="D9" s="206">
        <v>1507.6483818375389</v>
      </c>
      <c r="E9" s="199">
        <v>1553.287770465764</v>
      </c>
      <c r="F9" s="199">
        <v>1502.2300000637952</v>
      </c>
      <c r="G9" s="199">
        <v>1387.1939928898923</v>
      </c>
      <c r="H9" s="199">
        <v>1472.2798962389359</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112</v>
      </c>
      <c r="D10" s="206">
        <v>5220.1139877560545</v>
      </c>
      <c r="E10" s="199">
        <v>5034.5202803012126</v>
      </c>
      <c r="F10" s="199">
        <v>4733.4093314656966</v>
      </c>
      <c r="G10" s="199">
        <v>4501.0229104429254</v>
      </c>
      <c r="H10" s="199">
        <v>4465.833035550284</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113</v>
      </c>
      <c r="D11" s="206">
        <v>386.1305716220935</v>
      </c>
      <c r="E11" s="199">
        <v>388.06899077956473</v>
      </c>
      <c r="F11" s="199">
        <v>382.97689362700237</v>
      </c>
      <c r="G11" s="199">
        <v>399.08433923820303</v>
      </c>
      <c r="H11" s="199">
        <v>397.23035615434446</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114</v>
      </c>
      <c r="D12" s="206">
        <v>1468.5849925845171</v>
      </c>
      <c r="E12" s="199">
        <v>1422.9422709158516</v>
      </c>
      <c r="F12" s="199">
        <v>1197.222464134818</v>
      </c>
      <c r="G12" s="199">
        <v>1293.1379041499576</v>
      </c>
      <c r="H12" s="199">
        <v>1302.2251184909117</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115</v>
      </c>
      <c r="D13" s="206">
        <v>478.35838173627582</v>
      </c>
      <c r="E13" s="199">
        <v>483.44592010398634</v>
      </c>
      <c r="F13" s="199">
        <v>482.2305665593945</v>
      </c>
      <c r="G13" s="199">
        <v>478.65758080008692</v>
      </c>
      <c r="H13" s="199">
        <v>483.07821183511555</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116</v>
      </c>
      <c r="D14" s="206">
        <v>16291.428168804956</v>
      </c>
      <c r="E14" s="199">
        <v>15985.341409273751</v>
      </c>
      <c r="F14" s="199">
        <v>15209.247313069731</v>
      </c>
      <c r="G14" s="199">
        <v>14615.601035664811</v>
      </c>
      <c r="H14" s="199">
        <v>14277.398942073532</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117</v>
      </c>
      <c r="D15" s="206">
        <v>5716.0568511613164</v>
      </c>
      <c r="E15" s="199">
        <v>4975.4530692788412</v>
      </c>
      <c r="F15" s="199">
        <v>4888.3129038008265</v>
      </c>
      <c r="G15" s="199">
        <v>4950.1163531773527</v>
      </c>
      <c r="H15" s="199">
        <v>5171.5514199169183</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118</v>
      </c>
      <c r="D16" s="206">
        <v>1709.0659140590631</v>
      </c>
      <c r="E16" s="199">
        <v>1702.0606454885851</v>
      </c>
      <c r="F16" s="199">
        <v>1823.190992234963</v>
      </c>
      <c r="G16" s="199">
        <v>1807.3739831280479</v>
      </c>
      <c r="H16" s="199">
        <v>1657.3502905233679</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119</v>
      </c>
      <c r="D18" s="207">
        <f>SUM(D6:D17)</f>
        <v>39394.197719243595</v>
      </c>
      <c r="E18" s="201">
        <v>37880.743132350224</v>
      </c>
      <c r="F18" s="201">
        <v>36641.959362075817</v>
      </c>
      <c r="G18" s="201">
        <v>35516.508795780894</v>
      </c>
      <c r="H18" s="201">
        <v>35396.746797356056</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120</v>
      </c>
      <c r="D19" s="206">
        <v>67641.257201948421</v>
      </c>
      <c r="E19" s="199">
        <v>66156.56475472977</v>
      </c>
      <c r="F19" s="199">
        <v>65026.28839870447</v>
      </c>
      <c r="G19" s="199">
        <v>63227.642611919095</v>
      </c>
      <c r="H19" s="199">
        <v>63543.522979973743</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121</v>
      </c>
      <c r="D20" s="207">
        <f>+D18+D19</f>
        <v>107035.45492119202</v>
      </c>
      <c r="E20" s="201">
        <v>104037.30788707999</v>
      </c>
      <c r="F20" s="201">
        <v>101668.24776078029</v>
      </c>
      <c r="G20" s="201">
        <v>98744.151407699988</v>
      </c>
      <c r="H20" s="201">
        <v>98940.269777329799</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122</v>
      </c>
      <c r="D21" s="206">
        <v>-271.05241624000001</v>
      </c>
      <c r="E21" s="203">
        <v>-254.34401</v>
      </c>
      <c r="F21" s="203">
        <v>-254.791312</v>
      </c>
      <c r="G21" s="203">
        <v>-256.10292755999996</v>
      </c>
      <c r="H21" s="203">
        <v>-290.67886967999999</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123</v>
      </c>
      <c r="D22" s="206">
        <v>-45.913463499999992</v>
      </c>
      <c r="E22" s="203">
        <v>-38.788637000000001</v>
      </c>
      <c r="F22" s="203">
        <v>-35.699317000000001</v>
      </c>
      <c r="G22" s="203">
        <v>-36.647169210000008</v>
      </c>
      <c r="H22" s="203">
        <v>-43.362841209999992</v>
      </c>
      <c r="K22" s="127"/>
      <c r="L22" s="197"/>
      <c r="M22" s="127"/>
      <c r="N22" s="127"/>
      <c r="O22" s="127"/>
      <c r="P22" s="243"/>
      <c r="Q22" s="243"/>
      <c r="R22" s="243"/>
      <c r="S22" s="243"/>
      <c r="T22" s="243"/>
      <c r="U22" s="243"/>
      <c r="V22" s="243"/>
      <c r="W22" s="243"/>
      <c r="X22" s="242"/>
      <c r="Y22" s="242"/>
      <c r="Z22" s="242"/>
      <c r="AA22" s="242"/>
    </row>
    <row r="23" spans="1:109" s="123" customFormat="1" ht="12.75">
      <c r="A23" s="119"/>
      <c r="B23" s="368"/>
      <c r="C23" s="202" t="s">
        <v>124</v>
      </c>
      <c r="D23" s="207">
        <f>SUM(D20:D22)</f>
        <v>106718.48904145203</v>
      </c>
      <c r="E23" s="201">
        <v>101377.75713178028</v>
      </c>
      <c r="F23" s="201">
        <v>101377.75713178028</v>
      </c>
      <c r="G23" s="201">
        <v>98451.401310929985</v>
      </c>
      <c r="H23" s="201">
        <v>98606.228066439799</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125</v>
      </c>
      <c r="D24" s="206">
        <v>42630.288198770002</v>
      </c>
      <c r="E24" s="199">
        <v>42243.659336410004</v>
      </c>
      <c r="F24" s="199">
        <v>41438.065000000002</v>
      </c>
      <c r="G24" s="199">
        <v>40919.316098639996</v>
      </c>
      <c r="H24" s="199">
        <v>39791.910470000003</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126</v>
      </c>
      <c r="D25" s="208">
        <v>1022.4164379700001</v>
      </c>
      <c r="E25" s="204">
        <v>1028.9756779700001</v>
      </c>
      <c r="F25" s="204">
        <v>1230.3109999999999</v>
      </c>
      <c r="G25" s="204">
        <v>1415.1529349700002</v>
      </c>
      <c r="H25" s="204">
        <v>1432.9786079999999</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127</v>
      </c>
      <c r="D26" s="207">
        <f>SUM(D23:D25)</f>
        <v>150371.19367819204</v>
      </c>
      <c r="E26" s="201">
        <v>144046.13313178025</v>
      </c>
      <c r="F26" s="201">
        <v>144046.13313178025</v>
      </c>
      <c r="G26" s="201">
        <v>140785.87034453999</v>
      </c>
      <c r="H26" s="201">
        <v>139831.11714443981</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255</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251</v>
      </c>
      <c r="D42" s="169" t="s">
        <v>380</v>
      </c>
      <c r="E42" s="179" t="s">
        <v>362</v>
      </c>
      <c r="F42" s="170" t="s">
        <v>359</v>
      </c>
      <c r="G42" s="170" t="s">
        <v>340</v>
      </c>
      <c r="H42" s="170" t="s">
        <v>264</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252</v>
      </c>
      <c r="D43" s="354">
        <f>D20</f>
        <v>107035.45492119202</v>
      </c>
      <c r="E43" s="355">
        <v>104037.30788707999</v>
      </c>
      <c r="F43" s="355">
        <v>104037.30788707999</v>
      </c>
      <c r="G43" s="355">
        <v>101668.24776078029</v>
      </c>
      <c r="H43" s="355">
        <v>98744.151407699988</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260</v>
      </c>
      <c r="D44" s="208">
        <v>16470.603999999999</v>
      </c>
      <c r="E44" s="352">
        <v>15307.681</v>
      </c>
      <c r="F44" s="352">
        <v>14478.3</v>
      </c>
      <c r="G44" s="353">
        <v>14054.32</v>
      </c>
      <c r="H44" s="353">
        <v>13901.68</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50" t="s">
        <v>253</v>
      </c>
      <c r="D45" s="216">
        <f>D43-D44</f>
        <v>90564.850921192032</v>
      </c>
      <c r="E45" s="230">
        <v>88732.22988708</v>
      </c>
      <c r="F45" s="230">
        <v>89559.007887079992</v>
      </c>
      <c r="G45" s="351">
        <v>87613.927760780294</v>
      </c>
      <c r="H45" s="351">
        <v>84842.471407699981</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258</v>
      </c>
      <c r="D46" s="208">
        <f>SUM(D24:D25)</f>
        <v>43652.704636740003</v>
      </c>
      <c r="E46" s="352">
        <v>43272.635014380008</v>
      </c>
      <c r="F46" s="352">
        <v>43272.635014380008</v>
      </c>
      <c r="G46" s="353">
        <v>42668.376000000004</v>
      </c>
      <c r="H46" s="353">
        <v>42334.469033609996</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50" t="s">
        <v>263</v>
      </c>
      <c r="D47" s="216">
        <f>D45+D46</f>
        <v>134217.55555793204</v>
      </c>
      <c r="E47" s="230">
        <v>132004.86490146001</v>
      </c>
      <c r="F47" s="230">
        <v>132831.64290146</v>
      </c>
      <c r="G47" s="351">
        <v>130282.3037607803</v>
      </c>
      <c r="H47" s="351">
        <v>127176.94044130997</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6" t="s">
        <v>256</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D2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A71" sqref="A71"/>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144</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380</v>
      </c>
      <c r="E5" s="170" t="s">
        <v>362</v>
      </c>
      <c r="F5" s="170" t="s">
        <v>359</v>
      </c>
      <c r="G5" s="170" t="s">
        <v>340</v>
      </c>
      <c r="H5" s="170" t="s">
        <v>267</v>
      </c>
      <c r="I5" s="226"/>
      <c r="J5" s="227"/>
    </row>
    <row r="6" spans="1:24" ht="14.25" customHeight="1">
      <c r="B6" s="24"/>
      <c r="C6" s="214" t="s">
        <v>120</v>
      </c>
      <c r="D6" s="219">
        <v>43883.886797909901</v>
      </c>
      <c r="E6" s="224">
        <v>43352.259743960152</v>
      </c>
      <c r="F6" s="224">
        <v>43582.391662249946</v>
      </c>
      <c r="G6" s="209">
        <v>41314.285924470059</v>
      </c>
      <c r="H6" s="210">
        <v>40885.75807263999</v>
      </c>
      <c r="I6" s="228"/>
      <c r="J6" s="228"/>
      <c r="R6" s="243"/>
      <c r="S6" s="243"/>
      <c r="T6" s="243"/>
      <c r="U6" s="243"/>
      <c r="V6" s="243"/>
      <c r="W6" s="243"/>
      <c r="X6" s="243"/>
    </row>
    <row r="7" spans="1:24">
      <c r="B7" s="24"/>
      <c r="C7" s="25" t="s">
        <v>108</v>
      </c>
      <c r="D7" s="219">
        <v>7106.1382826000172</v>
      </c>
      <c r="E7" s="224">
        <v>7065.2579700099996</v>
      </c>
      <c r="F7" s="224">
        <v>7432.5895690999987</v>
      </c>
      <c r="G7" s="209">
        <v>6311.9125704199996</v>
      </c>
      <c r="H7" s="210">
        <v>5880.1607724999985</v>
      </c>
      <c r="I7" s="228"/>
      <c r="J7" s="228"/>
      <c r="R7" s="243"/>
      <c r="S7" s="243"/>
      <c r="T7" s="243"/>
      <c r="U7" s="243"/>
      <c r="V7" s="243"/>
      <c r="W7" s="243"/>
      <c r="X7" s="243"/>
    </row>
    <row r="8" spans="1:24" ht="14.25" customHeight="1">
      <c r="B8" s="24"/>
      <c r="C8" s="25" t="s">
        <v>109</v>
      </c>
      <c r="D8" s="219">
        <v>1038.5136452199986</v>
      </c>
      <c r="E8" s="224">
        <v>976.83631079000031</v>
      </c>
      <c r="F8" s="224">
        <v>964.85973408999985</v>
      </c>
      <c r="G8" s="209">
        <v>1051.65113023</v>
      </c>
      <c r="H8" s="210">
        <v>867.81958031999989</v>
      </c>
      <c r="I8" s="228"/>
      <c r="J8" s="228"/>
      <c r="R8" s="243"/>
      <c r="S8" s="243"/>
      <c r="T8" s="243"/>
      <c r="U8" s="243"/>
      <c r="V8" s="243"/>
      <c r="W8" s="243"/>
      <c r="X8" s="243"/>
    </row>
    <row r="9" spans="1:24" ht="14.25" customHeight="1">
      <c r="B9" s="99"/>
      <c r="C9" s="25" t="s">
        <v>110</v>
      </c>
      <c r="D9" s="219">
        <v>301.54026622000009</v>
      </c>
      <c r="E9" s="224">
        <v>302.56996269000001</v>
      </c>
      <c r="F9" s="224">
        <v>292.90250982000015</v>
      </c>
      <c r="G9" s="209">
        <v>288.83091127000017</v>
      </c>
      <c r="H9" s="210">
        <v>275.04943316999999</v>
      </c>
      <c r="I9" s="228"/>
      <c r="J9" s="228"/>
      <c r="R9" s="243"/>
      <c r="S9" s="243"/>
      <c r="T9" s="243"/>
      <c r="U9" s="243"/>
      <c r="V9" s="243"/>
      <c r="W9" s="243"/>
      <c r="X9" s="243"/>
    </row>
    <row r="10" spans="1:24" ht="14.25" customHeight="1">
      <c r="B10" s="101"/>
      <c r="C10" s="25" t="s">
        <v>111</v>
      </c>
      <c r="D10" s="219">
        <v>800.85518266999941</v>
      </c>
      <c r="E10" s="224">
        <v>694.24170425000011</v>
      </c>
      <c r="F10" s="224">
        <v>660.45599745000004</v>
      </c>
      <c r="G10" s="209">
        <v>654.62119429999996</v>
      </c>
      <c r="H10" s="210">
        <v>753.61224974999982</v>
      </c>
      <c r="I10" s="228"/>
      <c r="J10" s="228"/>
      <c r="R10" s="243"/>
      <c r="S10" s="243"/>
      <c r="T10" s="243"/>
      <c r="U10" s="243"/>
      <c r="V10" s="243"/>
      <c r="W10" s="243"/>
      <c r="X10" s="243"/>
    </row>
    <row r="11" spans="1:24" ht="14.25" customHeight="1">
      <c r="B11" s="101"/>
      <c r="C11" s="25" t="s">
        <v>128</v>
      </c>
      <c r="D11" s="219">
        <v>1964.1165660999989</v>
      </c>
      <c r="E11" s="224">
        <v>1724.0212964399996</v>
      </c>
      <c r="F11" s="224">
        <v>1754.2915719899993</v>
      </c>
      <c r="G11" s="209">
        <v>1841.8344955800001</v>
      </c>
      <c r="H11" s="210">
        <v>1778.6754095999997</v>
      </c>
      <c r="I11" s="228"/>
      <c r="J11" s="228"/>
      <c r="R11" s="243"/>
      <c r="S11" s="243"/>
      <c r="T11" s="243"/>
      <c r="U11" s="243"/>
      <c r="V11" s="243"/>
      <c r="W11" s="243"/>
      <c r="X11" s="243"/>
    </row>
    <row r="12" spans="1:24" ht="14.25" customHeight="1">
      <c r="B12" s="99"/>
      <c r="C12" s="25" t="s">
        <v>113</v>
      </c>
      <c r="D12" s="219">
        <v>243.57581139000001</v>
      </c>
      <c r="E12" s="224">
        <v>208.74178548000003</v>
      </c>
      <c r="F12" s="224">
        <v>115.65620397999997</v>
      </c>
      <c r="G12" s="209">
        <v>114.36678117</v>
      </c>
      <c r="H12" s="210">
        <v>87.214305790000026</v>
      </c>
      <c r="I12" s="228"/>
      <c r="J12" s="228"/>
      <c r="R12" s="243"/>
      <c r="S12" s="243"/>
      <c r="T12" s="243"/>
      <c r="U12" s="243"/>
      <c r="V12" s="243"/>
      <c r="W12" s="243"/>
      <c r="X12" s="243"/>
    </row>
    <row r="13" spans="1:24" ht="14.25" customHeight="1">
      <c r="B13" s="101"/>
      <c r="C13" s="25" t="s">
        <v>114</v>
      </c>
      <c r="D13" s="219">
        <v>1814.2326301199985</v>
      </c>
      <c r="E13" s="224">
        <v>1771.3593039699997</v>
      </c>
      <c r="F13" s="224">
        <v>1811.7041334599974</v>
      </c>
      <c r="G13" s="209">
        <v>1495.3279073699998</v>
      </c>
      <c r="H13" s="210">
        <v>1496.3593799500006</v>
      </c>
      <c r="I13" s="228"/>
      <c r="J13" s="228"/>
      <c r="R13" s="243"/>
      <c r="S13" s="243"/>
      <c r="T13" s="243"/>
      <c r="U13" s="243"/>
      <c r="V13" s="243"/>
      <c r="W13" s="243"/>
      <c r="X13" s="243"/>
    </row>
    <row r="14" spans="1:24" ht="14.25" customHeight="1">
      <c r="B14" s="101"/>
      <c r="C14" s="25" t="s">
        <v>115</v>
      </c>
      <c r="D14" s="219">
        <v>318.5806564399997</v>
      </c>
      <c r="E14" s="224">
        <v>321.73865142</v>
      </c>
      <c r="F14" s="224">
        <v>269.88416125000009</v>
      </c>
      <c r="G14" s="209">
        <v>268.58890211000011</v>
      </c>
      <c r="H14" s="210">
        <v>290.17493901999995</v>
      </c>
      <c r="I14" s="228"/>
      <c r="J14" s="228"/>
      <c r="R14" s="243"/>
      <c r="S14" s="243"/>
      <c r="T14" s="243"/>
      <c r="U14" s="243"/>
      <c r="V14" s="243"/>
      <c r="W14" s="243"/>
      <c r="X14" s="243"/>
    </row>
    <row r="15" spans="1:24" ht="14.25" customHeight="1">
      <c r="B15" s="99"/>
      <c r="C15" s="25" t="s">
        <v>116</v>
      </c>
      <c r="D15" s="219">
        <v>3965.6762269099972</v>
      </c>
      <c r="E15" s="224">
        <v>4498.1823690099973</v>
      </c>
      <c r="F15" s="224">
        <v>4832.5625651500013</v>
      </c>
      <c r="G15" s="209">
        <v>3671.5001362800008</v>
      </c>
      <c r="H15" s="210">
        <v>3826.1291077299998</v>
      </c>
      <c r="I15" s="228"/>
      <c r="J15" s="228"/>
      <c r="R15" s="243"/>
      <c r="S15" s="243"/>
      <c r="T15" s="243"/>
      <c r="U15" s="243"/>
      <c r="V15" s="243"/>
      <c r="W15" s="243"/>
      <c r="X15" s="243"/>
    </row>
    <row r="16" spans="1:24" ht="14.25" customHeight="1">
      <c r="B16" s="101"/>
      <c r="C16" s="25" t="s">
        <v>117</v>
      </c>
      <c r="D16" s="219">
        <v>15883.68285155</v>
      </c>
      <c r="E16" s="224">
        <v>14957.790893439982</v>
      </c>
      <c r="F16" s="224">
        <v>14597.647724670012</v>
      </c>
      <c r="G16" s="209">
        <v>14335.292859229996</v>
      </c>
      <c r="H16" s="210">
        <v>14295.418428189989</v>
      </c>
      <c r="I16" s="228"/>
      <c r="J16" s="228"/>
      <c r="R16" s="243"/>
      <c r="S16" s="243"/>
      <c r="T16" s="243"/>
      <c r="U16" s="243"/>
      <c r="V16" s="243"/>
      <c r="W16" s="243"/>
      <c r="X16" s="243"/>
    </row>
    <row r="17" spans="2:24" ht="14.25" customHeight="1">
      <c r="B17" s="99"/>
      <c r="C17" s="25" t="s">
        <v>129</v>
      </c>
      <c r="D17" s="219">
        <v>1172.9334824300008</v>
      </c>
      <c r="E17" s="224">
        <v>993.41800614000033</v>
      </c>
      <c r="F17" s="224">
        <v>1037.355950319999</v>
      </c>
      <c r="G17" s="209">
        <v>1029.0483675899993</v>
      </c>
      <c r="H17" s="210">
        <v>1060.3335872399991</v>
      </c>
      <c r="I17" s="228"/>
      <c r="J17" s="228"/>
      <c r="R17" s="243"/>
      <c r="S17" s="243"/>
      <c r="T17" s="243"/>
      <c r="U17" s="243"/>
      <c r="V17" s="243"/>
      <c r="W17" s="243"/>
      <c r="X17" s="243"/>
    </row>
    <row r="18" spans="2:24" ht="14.25" customHeight="1">
      <c r="B18" s="99"/>
      <c r="C18" s="211" t="s">
        <v>130</v>
      </c>
      <c r="D18" s="208">
        <v>0</v>
      </c>
      <c r="E18" s="224">
        <v>0</v>
      </c>
      <c r="F18" s="224">
        <v>0</v>
      </c>
      <c r="G18" s="209">
        <v>0</v>
      </c>
      <c r="H18" s="212">
        <v>0</v>
      </c>
      <c r="I18" s="228"/>
      <c r="J18" s="228"/>
      <c r="R18" s="243"/>
      <c r="S18" s="243"/>
      <c r="T18" s="243"/>
      <c r="U18" s="243"/>
      <c r="V18" s="243"/>
      <c r="W18" s="243"/>
      <c r="X18" s="243"/>
    </row>
    <row r="19" spans="2:24" ht="14.25" customHeight="1">
      <c r="B19" s="99"/>
      <c r="C19" s="213" t="s">
        <v>131</v>
      </c>
      <c r="D19" s="216">
        <f>SUM(D6:D18)</f>
        <v>78493.732399559914</v>
      </c>
      <c r="E19" s="225">
        <f>SUM(E6:E18)</f>
        <v>76866.417997600132</v>
      </c>
      <c r="F19" s="225">
        <f t="shared" ref="F19:H19" si="0">SUM(F6:F18)</f>
        <v>77352.301783529954</v>
      </c>
      <c r="G19" s="225">
        <f t="shared" si="0"/>
        <v>72377.261180020068</v>
      </c>
      <c r="H19" s="225">
        <f t="shared" si="0"/>
        <v>71496.705265899989</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257</v>
      </c>
    </row>
    <row r="40" spans="1:29">
      <c r="C40" s="237" t="s">
        <v>254</v>
      </c>
      <c r="D40" s="169" t="s">
        <v>380</v>
      </c>
      <c r="E40" s="170" t="s">
        <v>362</v>
      </c>
      <c r="F40" s="170" t="s">
        <v>359</v>
      </c>
      <c r="G40" s="170" t="s">
        <v>340</v>
      </c>
      <c r="H40" s="170" t="s">
        <v>267</v>
      </c>
    </row>
    <row r="41" spans="1:29">
      <c r="C41" s="214" t="s">
        <v>259</v>
      </c>
      <c r="D41" s="354">
        <f>D19</f>
        <v>78493.732399559914</v>
      </c>
      <c r="E41" s="355">
        <f>E19</f>
        <v>76866.417997600132</v>
      </c>
      <c r="F41" s="355">
        <f>F19</f>
        <v>77352.301783529954</v>
      </c>
      <c r="G41" s="355">
        <f t="shared" ref="G41:H41" si="1">G19</f>
        <v>72377.261180020068</v>
      </c>
      <c r="H41" s="355">
        <f t="shared" si="1"/>
        <v>71496.705265899989</v>
      </c>
    </row>
    <row r="42" spans="1:29">
      <c r="C42" s="211" t="s">
        <v>261</v>
      </c>
      <c r="D42" s="208">
        <v>11767.3</v>
      </c>
      <c r="E42" s="352">
        <v>11030.2</v>
      </c>
      <c r="F42" s="352">
        <v>10805.3</v>
      </c>
      <c r="G42" s="353">
        <v>9033.6200000000008</v>
      </c>
      <c r="H42" s="353">
        <v>14200.090421999999</v>
      </c>
    </row>
    <row r="43" spans="1:29">
      <c r="C43" s="350" t="s">
        <v>253</v>
      </c>
      <c r="D43" s="216">
        <f>D41-D42</f>
        <v>66726.432399559912</v>
      </c>
      <c r="E43" s="230">
        <f>E41-E42</f>
        <v>65836.217997600135</v>
      </c>
      <c r="F43" s="230">
        <f>F41-F42</f>
        <v>66547.001783529951</v>
      </c>
      <c r="G43" s="351">
        <f t="shared" ref="G43:H43" si="2">G41-G42</f>
        <v>63343.641180020066</v>
      </c>
      <c r="H43" s="351">
        <f t="shared" si="2"/>
        <v>57296.614843899988</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I17"/>
  <sheetViews>
    <sheetView showGridLines="0" zoomScale="85" zoomScaleNormal="85" workbookViewId="0">
      <selection activeCell="A76" sqref="A76"/>
    </sheetView>
  </sheetViews>
  <sheetFormatPr baseColWidth="10" defaultRowHeight="12.75"/>
  <cols>
    <col min="2" max="2" width="4.85546875" customWidth="1"/>
    <col min="3" max="3" width="15.140625" bestFit="1" customWidth="1"/>
  </cols>
  <sheetData>
    <row r="2" spans="1:8" ht="15">
      <c r="A2" s="138" t="s">
        <v>262</v>
      </c>
      <c r="B2" s="98"/>
      <c r="C2" s="98"/>
      <c r="D2" s="98"/>
      <c r="E2" s="97"/>
      <c r="F2" s="97"/>
      <c r="G2" s="97"/>
      <c r="H2" s="68"/>
    </row>
    <row r="3" spans="1:8" ht="15">
      <c r="A3" s="138"/>
      <c r="B3" s="98"/>
      <c r="C3" s="98"/>
      <c r="D3" s="98"/>
      <c r="E3" s="97"/>
      <c r="F3" s="97"/>
      <c r="G3" s="97"/>
      <c r="H3" s="68"/>
    </row>
    <row r="4" spans="1:8" ht="15">
      <c r="A4" s="138"/>
      <c r="B4" s="95"/>
      <c r="C4" s="95"/>
      <c r="D4" s="96"/>
      <c r="E4" s="97"/>
      <c r="F4" s="97"/>
      <c r="G4" s="97"/>
      <c r="H4" s="68"/>
    </row>
    <row r="5" spans="1:8" ht="15">
      <c r="A5" s="138"/>
      <c r="B5" s="98"/>
      <c r="C5" s="108" t="s">
        <v>2</v>
      </c>
      <c r="D5" s="169" t="s">
        <v>362</v>
      </c>
      <c r="E5" s="170" t="s">
        <v>362</v>
      </c>
      <c r="F5" s="170" t="s">
        <v>359</v>
      </c>
      <c r="G5" s="170" t="s">
        <v>340</v>
      </c>
      <c r="H5" s="170" t="s">
        <v>267</v>
      </c>
    </row>
    <row r="6" spans="1:8" ht="14.25">
      <c r="A6" s="68"/>
      <c r="B6" s="24"/>
      <c r="C6" s="214" t="s">
        <v>248</v>
      </c>
      <c r="D6" s="219">
        <v>353713</v>
      </c>
      <c r="E6" s="224">
        <v>348171</v>
      </c>
      <c r="F6" s="224">
        <v>342647</v>
      </c>
      <c r="G6" s="209">
        <v>340093</v>
      </c>
      <c r="H6" s="210">
        <v>336728</v>
      </c>
    </row>
    <row r="9" spans="1:8">
      <c r="C9" s="346" t="s">
        <v>249</v>
      </c>
    </row>
    <row r="17" spans="4:9">
      <c r="D17" s="345"/>
      <c r="E17" s="345"/>
      <c r="F17" s="345"/>
      <c r="G17" s="345"/>
      <c r="H17" s="345"/>
      <c r="I17" s="345"/>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4"/>
  <sheetViews>
    <sheetView showGridLines="0" zoomScale="140" zoomScaleNormal="140" zoomScaleSheetLayoutView="90" workbookViewId="0">
      <selection activeCell="A63" sqref="A63"/>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58</v>
      </c>
      <c r="B2" s="75"/>
      <c r="C2" s="76"/>
      <c r="D2" s="76"/>
    </row>
    <row r="3" spans="1:4" s="78" customFormat="1" ht="12" customHeight="1"/>
    <row r="4" spans="1:4" s="81" customFormat="1" ht="15" customHeight="1">
      <c r="A4" s="79" t="s">
        <v>69</v>
      </c>
      <c r="B4" s="80"/>
    </row>
    <row r="5" spans="1:4" s="83" customFormat="1" ht="12.95" customHeight="1">
      <c r="A5" s="82" t="s">
        <v>68</v>
      </c>
      <c r="B5" s="82"/>
      <c r="C5" s="88" t="s">
        <v>135</v>
      </c>
      <c r="D5" s="88" t="s">
        <v>134</v>
      </c>
    </row>
    <row r="6" spans="1:4" s="78" customFormat="1" ht="12" customHeight="1"/>
    <row r="7" spans="1:4" s="81" customFormat="1" ht="15" customHeight="1">
      <c r="A7" s="79" t="s">
        <v>59</v>
      </c>
      <c r="B7" s="80"/>
    </row>
    <row r="8" spans="1:4" s="83" customFormat="1" ht="12.95" customHeight="1">
      <c r="A8" s="84" t="s">
        <v>66</v>
      </c>
      <c r="B8" s="84"/>
      <c r="C8" s="84" t="s">
        <v>67</v>
      </c>
      <c r="D8" s="85" t="s">
        <v>65</v>
      </c>
    </row>
    <row r="9" spans="1:4" s="83" customFormat="1" ht="12.95" customHeight="1">
      <c r="A9" s="84" t="s">
        <v>97</v>
      </c>
      <c r="B9" s="84"/>
      <c r="C9" s="82" t="s">
        <v>98</v>
      </c>
      <c r="D9" s="85" t="s">
        <v>99</v>
      </c>
    </row>
    <row r="10" spans="1:4" s="83" customFormat="1" ht="12.95" customHeight="1">
      <c r="A10" s="82"/>
      <c r="B10" s="82"/>
      <c r="C10" s="82"/>
      <c r="D10" s="86"/>
    </row>
    <row r="11" spans="1:4" s="78" customFormat="1" ht="12" customHeight="1"/>
    <row r="12" spans="1:4" s="81" customFormat="1" ht="15" customHeight="1">
      <c r="A12" s="79" t="s">
        <v>60</v>
      </c>
      <c r="B12" s="80"/>
      <c r="D12" s="87"/>
    </row>
    <row r="13" spans="1:4" s="83" customFormat="1" ht="12.95" customHeight="1">
      <c r="A13" s="82" t="s">
        <v>72</v>
      </c>
      <c r="B13" s="82"/>
      <c r="C13" s="82"/>
      <c r="D13" s="87"/>
    </row>
    <row r="14" spans="1:4" s="83" customFormat="1" ht="12.95" customHeight="1">
      <c r="A14" s="82" t="s">
        <v>71</v>
      </c>
      <c r="B14" s="82"/>
      <c r="C14" s="82"/>
      <c r="D14" s="87"/>
    </row>
    <row r="15" spans="1:4" s="78" customFormat="1" ht="12" customHeight="1"/>
    <row r="16" spans="1:4" s="81" customFormat="1" ht="15" customHeight="1">
      <c r="A16" s="79" t="s">
        <v>61</v>
      </c>
      <c r="B16" s="80"/>
      <c r="D16" s="87"/>
    </row>
    <row r="17" spans="1:7" s="83" customFormat="1" ht="12.95" customHeight="1">
      <c r="A17" s="88" t="s">
        <v>70</v>
      </c>
      <c r="B17" s="82"/>
      <c r="C17" s="82"/>
      <c r="D17" s="87"/>
    </row>
    <row r="18" spans="1:7" s="83" customFormat="1" ht="12.95" customHeight="1">
      <c r="A18" s="82"/>
      <c r="B18" s="82"/>
      <c r="C18" s="82"/>
      <c r="D18" s="87"/>
    </row>
    <row r="19" spans="1:7" s="81" customFormat="1" ht="15" customHeight="1">
      <c r="A19" s="79" t="s">
        <v>62</v>
      </c>
      <c r="B19" s="80"/>
    </row>
    <row r="20" spans="1:7" s="83" customFormat="1" ht="12.95" customHeight="1">
      <c r="A20" s="82" t="s">
        <v>149</v>
      </c>
      <c r="B20" s="247" t="s">
        <v>150</v>
      </c>
      <c r="C20" s="82"/>
      <c r="D20" s="87"/>
    </row>
    <row r="21" spans="1:7" ht="30" customHeight="1"/>
    <row r="22" spans="1:7" s="91" customFormat="1" ht="26.25">
      <c r="A22" s="74" t="s">
        <v>63</v>
      </c>
      <c r="B22" s="75"/>
      <c r="C22" s="90"/>
      <c r="D22" s="76"/>
    </row>
    <row r="23" spans="1:7" ht="9" customHeight="1"/>
    <row r="24" spans="1:7" ht="15" customHeight="1">
      <c r="A24" s="382">
        <v>2020</v>
      </c>
    </row>
    <row r="25" spans="1:7" s="83" customFormat="1" ht="12.95" customHeight="1">
      <c r="A25" s="369" t="s">
        <v>365</v>
      </c>
      <c r="B25" s="370" t="s">
        <v>366</v>
      </c>
      <c r="C25" s="82"/>
      <c r="D25" s="87"/>
      <c r="E25" s="93"/>
    </row>
    <row r="26" spans="1:7" s="83" customFormat="1" ht="12.95" customHeight="1">
      <c r="A26" s="369" t="s">
        <v>367</v>
      </c>
      <c r="B26" s="370" t="s">
        <v>363</v>
      </c>
      <c r="C26" s="82"/>
      <c r="D26" s="87"/>
      <c r="E26" s="92"/>
    </row>
    <row r="27" spans="1:7" s="83" customFormat="1" ht="12.95" customHeight="1">
      <c r="A27" s="369" t="s">
        <v>64</v>
      </c>
      <c r="B27" s="370" t="s">
        <v>364</v>
      </c>
      <c r="C27" s="82"/>
      <c r="D27" s="87"/>
      <c r="E27" s="92"/>
    </row>
    <row r="28" spans="1:7" s="83" customFormat="1" ht="12.95" customHeight="1">
      <c r="A28" s="369" t="s">
        <v>368</v>
      </c>
      <c r="B28" s="370" t="s">
        <v>371</v>
      </c>
      <c r="C28" s="82"/>
      <c r="D28" s="87"/>
      <c r="G28" s="92"/>
    </row>
    <row r="29" spans="1:7" s="83" customFormat="1" ht="12.95" customHeight="1">
      <c r="A29" s="92" t="s">
        <v>369</v>
      </c>
      <c r="B29" s="84" t="s">
        <v>372</v>
      </c>
      <c r="C29" s="82"/>
      <c r="D29" s="87"/>
      <c r="G29" s="92"/>
    </row>
    <row r="30" spans="1:7" s="83" customFormat="1" ht="12.95" customHeight="1">
      <c r="A30" s="92" t="s">
        <v>370</v>
      </c>
      <c r="B30" s="84" t="s">
        <v>373</v>
      </c>
      <c r="C30" s="82"/>
      <c r="D30" s="87"/>
      <c r="G30" s="92"/>
    </row>
    <row r="31" spans="1:7" s="83" customFormat="1" ht="12.95" customHeight="1">
      <c r="A31" s="92"/>
      <c r="B31" s="84"/>
      <c r="C31" s="82"/>
      <c r="D31" s="87"/>
      <c r="F31" s="89"/>
      <c r="G31" s="89"/>
    </row>
    <row r="32" spans="1:7" s="83" customFormat="1" ht="12.95" customHeight="1">
      <c r="A32" s="92"/>
      <c r="B32" s="84"/>
      <c r="C32" s="82"/>
      <c r="D32" s="87"/>
      <c r="F32" s="89"/>
      <c r="G32" s="89"/>
    </row>
    <row r="33" spans="1:7" s="83" customFormat="1" ht="19.5" customHeight="1">
      <c r="A33" s="82"/>
      <c r="B33" s="82"/>
      <c r="C33" s="93"/>
      <c r="D33" s="87"/>
      <c r="F33" s="89"/>
      <c r="G33" s="89"/>
    </row>
    <row r="34" spans="1:7" ht="21" customHeight="1">
      <c r="A34" s="384"/>
      <c r="B34" s="384"/>
      <c r="C34" s="384"/>
      <c r="D34" s="384"/>
    </row>
  </sheetData>
  <mergeCells count="1">
    <mergeCell ref="A34:D34"/>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47"/>
  <sheetViews>
    <sheetView showGridLines="0" zoomScaleNormal="100" zoomScaleSheetLayoutView="90" workbookViewId="0">
      <selection activeCell="A92" sqref="A92"/>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8"/>
      <c r="C4" s="176" t="s">
        <v>268</v>
      </c>
    </row>
    <row r="5" spans="1:4" ht="14.25" customHeight="1">
      <c r="A5" s="12"/>
      <c r="B5" s="176">
        <v>1</v>
      </c>
      <c r="C5" s="176" t="s">
        <v>145</v>
      </c>
    </row>
    <row r="6" spans="1:4" ht="14.25" customHeight="1">
      <c r="A6" s="12"/>
      <c r="B6" s="176"/>
      <c r="C6" s="176" t="s">
        <v>232</v>
      </c>
      <c r="D6" s="317"/>
    </row>
    <row r="7" spans="1:4" ht="14.25" customHeight="1">
      <c r="A7" s="12"/>
      <c r="B7" s="176"/>
      <c r="C7" s="176" t="s">
        <v>233</v>
      </c>
      <c r="D7" s="317"/>
    </row>
    <row r="8" spans="1:4" ht="14.25" customHeight="1">
      <c r="A8" s="12"/>
      <c r="B8" s="176"/>
      <c r="C8" s="176" t="s">
        <v>234</v>
      </c>
      <c r="D8" s="317"/>
    </row>
    <row r="9" spans="1:4" ht="14.25" customHeight="1">
      <c r="A9" s="12"/>
      <c r="B9" s="176"/>
      <c r="C9" s="176" t="s">
        <v>235</v>
      </c>
      <c r="D9" s="317"/>
    </row>
    <row r="10" spans="1:4" ht="14.25" customHeight="1">
      <c r="A10" s="12"/>
      <c r="B10" s="176"/>
      <c r="C10" s="176" t="s">
        <v>236</v>
      </c>
      <c r="D10" s="317"/>
    </row>
    <row r="11" spans="1:4" ht="14.25" customHeight="1">
      <c r="A11" s="12"/>
      <c r="B11" s="176"/>
      <c r="C11" s="176" t="s">
        <v>237</v>
      </c>
      <c r="D11" s="317"/>
    </row>
    <row r="12" spans="1:4" ht="14.25" customHeight="1">
      <c r="A12" s="12"/>
      <c r="B12" s="176"/>
      <c r="C12" s="176" t="s">
        <v>238</v>
      </c>
      <c r="D12" s="317"/>
    </row>
    <row r="13" spans="1:4" ht="14.25" customHeight="1">
      <c r="A13" s="12"/>
      <c r="B13" s="176"/>
      <c r="C13" s="176" t="s">
        <v>239</v>
      </c>
      <c r="D13" s="317"/>
    </row>
    <row r="14" spans="1:4" ht="14.25" customHeight="1">
      <c r="A14" s="12"/>
      <c r="B14" s="176"/>
      <c r="C14" s="176" t="s">
        <v>240</v>
      </c>
      <c r="D14" s="317"/>
    </row>
    <row r="15" spans="1:4" ht="14.25" customHeight="1">
      <c r="A15" s="12"/>
      <c r="B15" s="176"/>
      <c r="C15" s="176" t="s">
        <v>241</v>
      </c>
      <c r="D15" s="317"/>
    </row>
    <row r="16" spans="1:4" ht="14.25" customHeight="1">
      <c r="A16" s="12"/>
      <c r="B16" s="176"/>
      <c r="C16" s="375" t="s">
        <v>346</v>
      </c>
      <c r="D16" s="317"/>
    </row>
    <row r="17" spans="1:5" ht="14.25" customHeight="1">
      <c r="A17" s="12"/>
      <c r="B17" s="176"/>
      <c r="C17" s="375" t="s">
        <v>347</v>
      </c>
      <c r="D17" s="317"/>
    </row>
    <row r="18" spans="1:5" ht="14.25" customHeight="1">
      <c r="A18" s="12"/>
      <c r="B18" s="176"/>
      <c r="C18" s="176" t="s">
        <v>348</v>
      </c>
      <c r="D18" s="176"/>
    </row>
    <row r="19" spans="1:5" ht="14.25" customHeight="1">
      <c r="A19" s="12"/>
      <c r="B19" s="176"/>
      <c r="C19" s="176" t="s">
        <v>349</v>
      </c>
      <c r="D19" s="252"/>
    </row>
    <row r="20" spans="1:5" ht="14.25" customHeight="1">
      <c r="A20" s="12"/>
      <c r="B20" s="176"/>
      <c r="C20" s="176" t="s">
        <v>358</v>
      </c>
      <c r="D20" s="322"/>
    </row>
    <row r="21" spans="1:5" ht="14.25" customHeight="1">
      <c r="A21" s="12"/>
      <c r="B21" s="176"/>
      <c r="C21" s="176" t="s">
        <v>351</v>
      </c>
      <c r="D21" s="323"/>
    </row>
    <row r="22" spans="1:5" ht="14.25" customHeight="1">
      <c r="A22" s="12"/>
      <c r="B22" s="176"/>
      <c r="C22" s="176" t="s">
        <v>352</v>
      </c>
      <c r="D22" s="323"/>
    </row>
    <row r="23" spans="1:5" ht="14.25" customHeight="1">
      <c r="A23" s="12"/>
      <c r="B23" s="176"/>
      <c r="C23" s="176" t="s">
        <v>353</v>
      </c>
      <c r="D23" s="323"/>
    </row>
    <row r="24" spans="1:5" ht="14.25" customHeight="1">
      <c r="A24" s="12"/>
      <c r="B24" s="176"/>
      <c r="C24" s="176" t="s">
        <v>354</v>
      </c>
      <c r="D24" s="323"/>
    </row>
    <row r="25" spans="1:5" ht="14.25" customHeight="1">
      <c r="A25" s="12"/>
      <c r="B25" s="176"/>
      <c r="C25" s="176" t="s">
        <v>355</v>
      </c>
      <c r="D25" s="323"/>
    </row>
    <row r="26" spans="1:5" ht="14.25" customHeight="1">
      <c r="A26" s="12"/>
      <c r="B26" s="176"/>
      <c r="C26" s="176" t="s">
        <v>356</v>
      </c>
      <c r="D26" s="323"/>
    </row>
    <row r="27" spans="1:5" ht="14.25" customHeight="1">
      <c r="A27" s="12"/>
      <c r="B27" s="176"/>
      <c r="C27" s="176" t="s">
        <v>357</v>
      </c>
      <c r="D27" s="323"/>
    </row>
    <row r="28" spans="1:5" s="6" customFormat="1" ht="16.5" customHeight="1">
      <c r="A28" s="5"/>
      <c r="B28" s="176">
        <v>2</v>
      </c>
      <c r="C28" s="176" t="s">
        <v>13</v>
      </c>
      <c r="E28" s="3"/>
    </row>
    <row r="29" spans="1:5" s="6" customFormat="1" ht="16.5" customHeight="1">
      <c r="A29" s="5"/>
      <c r="B29" s="176">
        <v>3</v>
      </c>
      <c r="C29" s="176" t="s">
        <v>86</v>
      </c>
      <c r="E29" s="3"/>
    </row>
    <row r="30" spans="1:5" s="6" customFormat="1" ht="16.5" customHeight="1">
      <c r="A30" s="5"/>
      <c r="B30" s="318"/>
      <c r="C30" s="319" t="s">
        <v>136</v>
      </c>
      <c r="D30" s="3"/>
      <c r="E30" s="3"/>
    </row>
    <row r="31" spans="1:5" s="6" customFormat="1" ht="16.5" customHeight="1">
      <c r="A31" s="5"/>
      <c r="B31" s="318"/>
      <c r="C31" s="319" t="s">
        <v>137</v>
      </c>
      <c r="D31" s="3"/>
      <c r="E31" s="3"/>
    </row>
    <row r="32" spans="1:5" s="6" customFormat="1" ht="16.5" customHeight="1">
      <c r="A32" s="5"/>
      <c r="B32" s="318"/>
      <c r="C32" s="319" t="s">
        <v>138</v>
      </c>
      <c r="D32" s="3"/>
      <c r="E32" s="3"/>
    </row>
    <row r="33" spans="1:5" s="6" customFormat="1" ht="16.5" customHeight="1">
      <c r="A33" s="5"/>
      <c r="B33" s="318"/>
      <c r="C33" s="319" t="s">
        <v>139</v>
      </c>
      <c r="D33" s="3"/>
      <c r="E33" s="3"/>
    </row>
    <row r="34" spans="1:5" s="6" customFormat="1" ht="16.5" customHeight="1">
      <c r="A34" s="5"/>
      <c r="B34" s="320">
        <v>4</v>
      </c>
      <c r="C34" s="320" t="s">
        <v>87</v>
      </c>
      <c r="E34" s="3"/>
    </row>
    <row r="35" spans="1:5" s="6" customFormat="1" ht="16.5" customHeight="1">
      <c r="A35" s="5"/>
      <c r="B35" s="318"/>
      <c r="C35" s="320" t="s">
        <v>140</v>
      </c>
      <c r="D35" s="3"/>
      <c r="E35" s="3"/>
    </row>
    <row r="36" spans="1:5" s="6" customFormat="1" ht="16.5" customHeight="1">
      <c r="A36" s="5"/>
      <c r="B36" s="318"/>
      <c r="C36" s="320" t="s">
        <v>244</v>
      </c>
      <c r="D36" s="3"/>
      <c r="E36" s="3"/>
    </row>
    <row r="37" spans="1:5" s="6" customFormat="1" ht="16.5" customHeight="1">
      <c r="A37" s="5"/>
      <c r="B37" s="320">
        <v>5</v>
      </c>
      <c r="C37" s="320" t="s">
        <v>88</v>
      </c>
      <c r="D37" s="3"/>
      <c r="E37" s="3"/>
    </row>
    <row r="38" spans="1:5" s="6" customFormat="1" ht="16.5" customHeight="1">
      <c r="A38" s="5"/>
      <c r="B38" s="318"/>
      <c r="C38" s="320" t="s">
        <v>141</v>
      </c>
      <c r="D38" s="3"/>
      <c r="E38" s="3"/>
    </row>
    <row r="39" spans="1:5" s="6" customFormat="1" ht="16.5" customHeight="1">
      <c r="A39" s="5"/>
      <c r="B39" s="318"/>
      <c r="C39" s="320" t="s">
        <v>142</v>
      </c>
      <c r="D39" s="3"/>
      <c r="E39" s="3"/>
    </row>
    <row r="40" spans="1:5" s="6" customFormat="1" ht="16.5" customHeight="1">
      <c r="A40" s="5"/>
      <c r="B40" s="320">
        <v>6</v>
      </c>
      <c r="C40" s="320" t="s">
        <v>132</v>
      </c>
      <c r="E40" s="3"/>
    </row>
    <row r="41" spans="1:5" s="6" customFormat="1" ht="16.5" customHeight="1">
      <c r="A41" s="5"/>
      <c r="B41" s="318"/>
      <c r="C41" s="320" t="s">
        <v>143</v>
      </c>
      <c r="D41" s="3"/>
      <c r="E41" s="3"/>
    </row>
    <row r="42" spans="1:5" s="6" customFormat="1" ht="16.5" customHeight="1">
      <c r="A42" s="5"/>
      <c r="B42" s="318"/>
      <c r="C42" s="320" t="s">
        <v>255</v>
      </c>
      <c r="D42" s="3"/>
      <c r="E42" s="3"/>
    </row>
    <row r="43" spans="1:5" s="6" customFormat="1" ht="16.5" customHeight="1">
      <c r="A43" s="5"/>
      <c r="B43" s="320">
        <v>7</v>
      </c>
      <c r="C43" s="320" t="s">
        <v>133</v>
      </c>
      <c r="D43" s="3"/>
      <c r="E43" s="3"/>
    </row>
    <row r="44" spans="1:5" s="6" customFormat="1" ht="16.5" customHeight="1">
      <c r="A44" s="5"/>
      <c r="B44" s="318"/>
      <c r="C44" s="320" t="s">
        <v>144</v>
      </c>
      <c r="E44" s="3"/>
    </row>
    <row r="45" spans="1:5" s="6" customFormat="1" ht="16.5" customHeight="1">
      <c r="A45" s="5"/>
      <c r="B45" s="318"/>
      <c r="C45" s="320" t="s">
        <v>257</v>
      </c>
      <c r="D45" s="3"/>
      <c r="E45" s="3"/>
    </row>
    <row r="46" spans="1:5">
      <c r="B46" s="320">
        <v>8</v>
      </c>
      <c r="C46" s="320" t="s">
        <v>250</v>
      </c>
    </row>
    <row r="47" spans="1:5">
      <c r="B47" s="318"/>
      <c r="C47" s="320" t="s">
        <v>262</v>
      </c>
    </row>
  </sheetData>
  <hyperlinks>
    <hyperlink ref="C29" location="'3 Income'!A1" display="Income" xr:uid="{00000000-0004-0000-0200-000000000000}"/>
    <hyperlink ref="C34" location="'4 Expences'!A1" display="Expences" xr:uid="{00000000-0004-0000-0200-000001000000}"/>
    <hyperlink ref="C37" location="'5 Margins'!A1" display="Margins" xr:uid="{00000000-0004-0000-0200-000002000000}"/>
    <hyperlink ref="C40" location="'6 Lending'!A2" display="Lending" xr:uid="{00000000-0004-0000-0200-000003000000}"/>
    <hyperlink ref="C43" location="'7 Deposits'!A2" display="Deposits" xr:uid="{00000000-0004-0000-0200-000004000000}"/>
    <hyperlink ref="C30" location="'3 Income'!A2" display="3.1 Net interest income and commissionfees from covered bonds companies" xr:uid="{00000000-0004-0000-0200-000005000000}"/>
    <hyperlink ref="C31" location="'3 Income'!A43" display="3.2 Net commision and other income" xr:uid="{00000000-0004-0000-0200-000006000000}"/>
    <hyperlink ref="C32" location="'3 Income'!A90" display="3.3 Net income from financial assets and liabilities" xr:uid="{00000000-0004-0000-0200-000007000000}"/>
    <hyperlink ref="C33" location="'3 Income'!A103" display="3.4 Specification of the consolidated profit after tax in NOK millions:" xr:uid="{00000000-0004-0000-0200-000008000000}"/>
    <hyperlink ref="C35" location="'4 Expences'!A2" display="4.1 Expences Group" xr:uid="{00000000-0004-0000-0200-000009000000}"/>
    <hyperlink ref="C36" location="'4 Expences'!A44" display="4.2 Expences Parent bank (Pro-forma)" xr:uid="{00000000-0004-0000-0200-00000A000000}"/>
    <hyperlink ref="C38" location="'5 Margins'!A2" display="5.1 Deposit margins" xr:uid="{00000000-0004-0000-0200-00000B000000}"/>
    <hyperlink ref="C39" location="'5 Margins'!A31" display="5.2 Lending margins" xr:uid="{00000000-0004-0000-0200-00000C000000}"/>
    <hyperlink ref="C41" location="'6 Lending'!A2" display="6.1 Development in volumes - Loans to customers" xr:uid="{00000000-0004-0000-0200-00000D000000}"/>
    <hyperlink ref="C44" location="'7 Deposits'!A2" display="7.1 Development in volumes - Deposits from customers" xr:uid="{00000000-0004-0000-0200-00000E000000}"/>
    <hyperlink ref="B28" location="'2 Results and key figures'!A1" display="'2 Results and key figures'!A1" xr:uid="{00000000-0004-0000-0200-00000F000000}"/>
    <hyperlink ref="B29" location="'3 Income'!A1" display="'3 Income'!A1" xr:uid="{00000000-0004-0000-0200-000010000000}"/>
    <hyperlink ref="B34" location="'4 Expences'!A1" display="'4 Expences'!A1" xr:uid="{00000000-0004-0000-0200-000011000000}"/>
    <hyperlink ref="B37" location="'5 Margins'!A1" display="'5 Margins'!A1" xr:uid="{00000000-0004-0000-0200-000012000000}"/>
    <hyperlink ref="B40" location="'6 Lending'!A1" display="'6 Lending'!A1" xr:uid="{00000000-0004-0000-0200-000013000000}"/>
    <hyperlink ref="B43" location="'7 Deposits'!A1" display="'7 Deposits'!A1" xr:uid="{00000000-0004-0000-0200-000014000000}"/>
    <hyperlink ref="C5" location="'1 APM'!A2" display="APM" xr:uid="{00000000-0004-0000-0200-000015000000}"/>
    <hyperlink ref="C6" location="'1 APM'!A28" display="1.1 Return on equity capital " xr:uid="{00000000-0004-0000-0200-000016000000}"/>
    <hyperlink ref="C7" location="'1 APM'!A33" display="1.2 Cost-income-ratio " xr:uid="{00000000-0004-0000-0200-000017000000}"/>
    <hyperlink ref="C8" location="'1 APM'!A38" display="1.3 Gross loans including loans transferred to covered bond companies" xr:uid="{00000000-0004-0000-0200-000018000000}"/>
    <hyperlink ref="C9" location="'1 APM'!A44" display="1.4 Growth in loans during the last 12 months in per cent" xr:uid="{00000000-0004-0000-0200-000019000000}"/>
    <hyperlink ref="C10" location="'1 APM'!A51" display="1.5 Growth in loans incl. Loans transferred to covered bond companies during the last 12 months in per cent" xr:uid="{00000000-0004-0000-0200-00001A000000}"/>
    <hyperlink ref="C11" location="'1 APM'!A56" display="1.6 Cost-income-ratio" xr:uid="{00000000-0004-0000-0200-00001B000000}"/>
    <hyperlink ref="C12" location="'1 APM'!A61" display="1.7 Cost-income-ratio incl. loans transferred to covered bond companies" xr:uid="{00000000-0004-0000-0200-00001C000000}"/>
    <hyperlink ref="C13" location="'1 APM'!A68" display="1.8 Growth in deposits in the last 12 months in per cent" xr:uid="{00000000-0004-0000-0200-00001D000000}"/>
    <hyperlink ref="C14" location="'1 APM'!A78" display="1.9 Total assets incl. Loans transferred to covered bond companies (Business capital)" xr:uid="{00000000-0004-0000-0200-00001E000000}"/>
    <hyperlink ref="C15" location="'1 APM'!A85" display="1.10 Losses on loans and guarantees as a percentageof gross loans" xr:uid="{00000000-0004-0000-0200-00001F000000}"/>
    <hyperlink ref="C18" location="'1 APM'!A90" display="1.11 Brutto misligholdte engasjement i prosent av brutto utlån" xr:uid="{00000000-0004-0000-0200-000020000000}"/>
    <hyperlink ref="C19" location="'1 APM'!A102" display="1.14 Gross doubtful commitments (not in default) in percentage of gross loans" xr:uid="{00000000-0004-0000-0200-000021000000}"/>
    <hyperlink ref="C20" location="'1 APM'!A108" display="1.15 Net commitments in default and other doutful commitments,  percentage of gross loans" xr:uid="{00000000-0004-0000-0200-000022000000}"/>
    <hyperlink ref="C21" location="'1 APM'!A113" display="1.16 Loan loss impairment ratio on defaulted commitments" xr:uid="{00000000-0004-0000-0200-000023000000}"/>
    <hyperlink ref="C22" location="'1 APM'!A117" display="1.17 Loan loss impairment ratio on doubtful commitments" xr:uid="{00000000-0004-0000-0200-000024000000}"/>
    <hyperlink ref="C23" location="'1 APM'!A122" display="1.18 Equity ratio" xr:uid="{00000000-0004-0000-0200-000025000000}"/>
    <hyperlink ref="C24" location="'1 APM'!A135" display="1.19 Book equity per EC" xr:uid="{00000000-0004-0000-0200-000026000000}"/>
    <hyperlink ref="C25" location="'1 APM'!A143" display="1.20 Earnings per equity certificate (in NOK)" xr:uid="{00000000-0004-0000-0200-000027000000}"/>
    <hyperlink ref="C26" location="'1 APM'!A149" display="1.21 Price/Earnings per EC" xr:uid="{00000000-0004-0000-0200-000028000000}"/>
    <hyperlink ref="C27" location="'1 APM'!A153" display="1.22 Price/Book equity" xr:uid="{00000000-0004-0000-0200-000029000000}"/>
    <hyperlink ref="C28" location="'2 Results and key figures'!A1" display="Results from the quarterly accounts Group" xr:uid="{00000000-0004-0000-0200-00002A000000}"/>
    <hyperlink ref="B5" location="'1 APM'!A1" display="'1 APM'!A1" xr:uid="{00000000-0004-0000-0200-00002B000000}"/>
    <hyperlink ref="C46" location="'9 Customers'!A2" display="Customers" xr:uid="{00000000-0004-0000-0200-00002C000000}"/>
    <hyperlink ref="C47" location="'9 Customers'!A2" display="9.1 Number of customers" xr:uid="{00000000-0004-0000-0200-00002D000000}"/>
    <hyperlink ref="B46" location="'9 Customers'!A1" display="'9 Customers'!A1" xr:uid="{00000000-0004-0000-0200-00002E000000}"/>
    <hyperlink ref="C45" location="'7 Deposits'!A37" display="7.2 Deposits sensitive to changes in the NIBOR rate" xr:uid="{00000000-0004-0000-0200-00002F000000}"/>
    <hyperlink ref="C42" location="'6 Lending'!A39" display="6.2 Loans sensitive to changes in the NIBOR rate" xr:uid="{00000000-0004-0000-0200-000030000000}"/>
    <hyperlink ref="C4" location="'APM definition'!A1" display="APM definition" xr:uid="{00000000-0004-0000-0200-000031000000}"/>
    <hyperlink ref="C16" location="'1 APM'!A90" display="1.11 Loans and advances to customers at Stage 2 in percentage of gross loans" xr:uid="{00000000-0004-0000-0200-000032000000}"/>
    <hyperlink ref="C17" location="'1 APM'!A94" display="1.12 Loans and advances to customers at Stage 3 in percentage of gross loans" xr:uid="{00000000-0004-0000-0200-000033000000}"/>
    <hyperlink ref="C18:D18" location="'1 APM'!A98" display="1.13 Gross defaulted commitments in percentage of gross loans" xr:uid="{00000000-0004-0000-0200-000034000000}"/>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1"/>
  <sheetViews>
    <sheetView showGridLines="0" zoomScaleNormal="100" workbookViewId="0">
      <selection activeCell="A129" sqref="A129"/>
    </sheetView>
  </sheetViews>
  <sheetFormatPr baseColWidth="10" defaultRowHeight="10.5"/>
  <cols>
    <col min="1" max="1" width="33" style="360" customWidth="1"/>
    <col min="2" max="2" width="78" style="360" customWidth="1"/>
    <col min="3" max="16384" width="11.42578125" style="361"/>
  </cols>
  <sheetData>
    <row r="1" spans="1:8" ht="39" customHeight="1"/>
    <row r="2" spans="1:8" ht="39" customHeight="1"/>
    <row r="3" spans="1:8" ht="39" customHeight="1"/>
    <row r="4" spans="1:8" ht="39" customHeight="1"/>
    <row r="5" spans="1:8" ht="39" customHeight="1"/>
    <row r="6" spans="1:8" ht="39" customHeight="1"/>
    <row r="7" spans="1:8" ht="39" customHeight="1"/>
    <row r="8" spans="1:8" ht="39" customHeight="1"/>
    <row r="9" spans="1:8" ht="39" customHeight="1"/>
    <row r="10" spans="1:8" ht="39" customHeight="1">
      <c r="A10" s="362" t="s">
        <v>148</v>
      </c>
      <c r="B10" s="363" t="s">
        <v>269</v>
      </c>
    </row>
    <row r="11" spans="1:8" ht="62.25" customHeight="1">
      <c r="A11" s="387" t="s">
        <v>336</v>
      </c>
      <c r="B11" s="367"/>
    </row>
    <row r="12" spans="1:8" ht="77.25" customHeight="1">
      <c r="A12" s="387"/>
      <c r="B12" s="359" t="s">
        <v>337</v>
      </c>
    </row>
    <row r="13" spans="1:8" ht="69" customHeight="1">
      <c r="A13" s="385" t="s">
        <v>270</v>
      </c>
      <c r="B13" s="364"/>
      <c r="H13" s="365"/>
    </row>
    <row r="14" spans="1:8" ht="69" customHeight="1">
      <c r="A14" s="385"/>
      <c r="B14" s="366" t="s">
        <v>271</v>
      </c>
    </row>
    <row r="15" spans="1:8" ht="39" customHeight="1">
      <c r="A15" s="385" t="s">
        <v>272</v>
      </c>
      <c r="B15" s="364"/>
    </row>
    <row r="16" spans="1:8" ht="39" customHeight="1">
      <c r="A16" s="385"/>
      <c r="B16" s="366" t="s">
        <v>273</v>
      </c>
    </row>
    <row r="17" spans="1:2" ht="39" customHeight="1">
      <c r="A17" s="385" t="s">
        <v>158</v>
      </c>
      <c r="B17" s="364"/>
    </row>
    <row r="18" spans="1:2" ht="39" customHeight="1">
      <c r="A18" s="385"/>
      <c r="B18" s="366" t="s">
        <v>274</v>
      </c>
    </row>
    <row r="19" spans="1:2" ht="39" customHeight="1">
      <c r="A19" s="385" t="s">
        <v>275</v>
      </c>
      <c r="B19" s="364"/>
    </row>
    <row r="20" spans="1:2" ht="39" customHeight="1">
      <c r="A20" s="385"/>
      <c r="B20" s="366" t="s">
        <v>276</v>
      </c>
    </row>
    <row r="21" spans="1:2" ht="39" customHeight="1">
      <c r="A21" s="385" t="s">
        <v>277</v>
      </c>
      <c r="B21" s="366"/>
    </row>
    <row r="22" spans="1:2" ht="37.5" customHeight="1">
      <c r="A22" s="385"/>
      <c r="B22" s="366" t="s">
        <v>278</v>
      </c>
    </row>
    <row r="23" spans="1:2" ht="39" hidden="1" customHeight="1">
      <c r="A23" s="362" t="s">
        <v>148</v>
      </c>
      <c r="B23" s="363" t="s">
        <v>269</v>
      </c>
    </row>
    <row r="24" spans="1:2" ht="39" customHeight="1">
      <c r="A24" s="385" t="s">
        <v>279</v>
      </c>
      <c r="B24" s="366"/>
    </row>
    <row r="25" spans="1:2" ht="39" customHeight="1">
      <c r="A25" s="385"/>
      <c r="B25" s="366" t="s">
        <v>280</v>
      </c>
    </row>
    <row r="26" spans="1:2" ht="48.95" customHeight="1">
      <c r="A26" s="385" t="s">
        <v>281</v>
      </c>
      <c r="B26" s="366"/>
    </row>
    <row r="27" spans="1:2" ht="48.95" customHeight="1">
      <c r="A27" s="385"/>
      <c r="B27" s="366" t="s">
        <v>282</v>
      </c>
    </row>
    <row r="28" spans="1:2" ht="39" customHeight="1">
      <c r="A28" s="385" t="s">
        <v>283</v>
      </c>
      <c r="B28" s="366"/>
    </row>
    <row r="29" spans="1:2" ht="39" customHeight="1">
      <c r="A29" s="385"/>
      <c r="B29" s="366" t="s">
        <v>284</v>
      </c>
    </row>
    <row r="30" spans="1:2" ht="39" customHeight="1">
      <c r="A30" s="385" t="s">
        <v>285</v>
      </c>
      <c r="B30" s="366"/>
    </row>
    <row r="31" spans="1:2" ht="39" customHeight="1">
      <c r="A31" s="385"/>
      <c r="B31" s="366" t="s">
        <v>286</v>
      </c>
    </row>
    <row r="32" spans="1:2" ht="39" customHeight="1">
      <c r="A32" s="385" t="s">
        <v>287</v>
      </c>
      <c r="B32" s="366"/>
    </row>
    <row r="33" spans="1:2" ht="48.95" customHeight="1">
      <c r="A33" s="385"/>
      <c r="B33" s="366" t="s">
        <v>288</v>
      </c>
    </row>
    <row r="34" spans="1:2" ht="48.95" customHeight="1">
      <c r="A34" s="385" t="s">
        <v>289</v>
      </c>
      <c r="B34" s="366"/>
    </row>
    <row r="35" spans="1:2" ht="48.95" customHeight="1">
      <c r="A35" s="385"/>
      <c r="B35" s="366" t="s">
        <v>290</v>
      </c>
    </row>
    <row r="36" spans="1:2" ht="39" customHeight="1">
      <c r="A36" s="385" t="s">
        <v>291</v>
      </c>
      <c r="B36" s="366"/>
    </row>
    <row r="37" spans="1:2" ht="39" customHeight="1">
      <c r="A37" s="385"/>
      <c r="B37" s="366" t="s">
        <v>292</v>
      </c>
    </row>
    <row r="38" spans="1:2" ht="48.95" customHeight="1">
      <c r="A38" s="385" t="s">
        <v>293</v>
      </c>
      <c r="B38" s="366"/>
    </row>
    <row r="39" spans="1:2" ht="48.95" customHeight="1">
      <c r="A39" s="385"/>
      <c r="B39" s="366" t="s">
        <v>294</v>
      </c>
    </row>
    <row r="40" spans="1:2" ht="39" customHeight="1">
      <c r="A40" s="385" t="s">
        <v>38</v>
      </c>
      <c r="B40" s="366"/>
    </row>
    <row r="41" spans="1:2" ht="39" customHeight="1">
      <c r="A41" s="385"/>
      <c r="B41" s="366" t="s">
        <v>295</v>
      </c>
    </row>
    <row r="42" spans="1:2" ht="39" hidden="1" customHeight="1">
      <c r="A42" s="362" t="s">
        <v>148</v>
      </c>
      <c r="B42" s="363" t="s">
        <v>269</v>
      </c>
    </row>
    <row r="43" spans="1:2" ht="48.95" customHeight="1">
      <c r="A43" s="385" t="s">
        <v>296</v>
      </c>
      <c r="B43" s="366"/>
    </row>
    <row r="44" spans="1:2" ht="48.95" customHeight="1">
      <c r="A44" s="385"/>
      <c r="B44" s="366" t="s">
        <v>297</v>
      </c>
    </row>
    <row r="45" spans="1:2" ht="39" customHeight="1">
      <c r="A45" s="386" t="s">
        <v>298</v>
      </c>
      <c r="B45" s="366"/>
    </row>
    <row r="46" spans="1:2" ht="39" customHeight="1">
      <c r="A46" s="386"/>
      <c r="B46" s="366" t="s">
        <v>299</v>
      </c>
    </row>
    <row r="47" spans="1:2" ht="39" customHeight="1">
      <c r="A47" s="386" t="s">
        <v>300</v>
      </c>
      <c r="B47" s="366"/>
    </row>
    <row r="48" spans="1:2" ht="39" customHeight="1">
      <c r="A48" s="386"/>
      <c r="B48" s="366" t="s">
        <v>299</v>
      </c>
    </row>
    <row r="49" spans="1:2" ht="39" customHeight="1">
      <c r="A49" s="386" t="s">
        <v>301</v>
      </c>
      <c r="B49" s="366"/>
    </row>
    <row r="50" spans="1:2" ht="39" customHeight="1">
      <c r="A50" s="386"/>
      <c r="B50" s="366" t="s">
        <v>299</v>
      </c>
    </row>
    <row r="51" spans="1:2" ht="39" customHeight="1">
      <c r="A51" s="386" t="s">
        <v>302</v>
      </c>
      <c r="B51" s="366"/>
    </row>
    <row r="52" spans="1:2" ht="39" customHeight="1">
      <c r="A52" s="386"/>
      <c r="B52" s="366" t="s">
        <v>299</v>
      </c>
    </row>
    <row r="53" spans="1:2" ht="39" customHeight="1">
      <c r="A53" s="386" t="s">
        <v>303</v>
      </c>
      <c r="B53" s="366"/>
    </row>
    <row r="54" spans="1:2" ht="39" customHeight="1">
      <c r="A54" s="386"/>
      <c r="B54" s="366" t="s">
        <v>299</v>
      </c>
    </row>
    <row r="55" spans="1:2" ht="39" customHeight="1">
      <c r="A55" s="385" t="s">
        <v>202</v>
      </c>
      <c r="B55" s="366"/>
    </row>
    <row r="56" spans="1:2" ht="39" customHeight="1">
      <c r="A56" s="385"/>
      <c r="B56" s="366" t="s">
        <v>304</v>
      </c>
    </row>
    <row r="57" spans="1:2" ht="48.95" customHeight="1">
      <c r="A57" s="385" t="s">
        <v>210</v>
      </c>
      <c r="B57" s="366"/>
    </row>
    <row r="58" spans="1:2" ht="48.95" customHeight="1">
      <c r="A58" s="385"/>
      <c r="B58" s="366" t="s">
        <v>305</v>
      </c>
    </row>
    <row r="59" spans="1:2" ht="48.95" customHeight="1">
      <c r="A59" s="385" t="s">
        <v>217</v>
      </c>
      <c r="B59" s="366"/>
    </row>
    <row r="60" spans="1:2" ht="48.95" customHeight="1">
      <c r="A60" s="385"/>
      <c r="B60" s="366" t="s">
        <v>306</v>
      </c>
    </row>
    <row r="61" spans="1:2" ht="48.95" customHeight="1">
      <c r="A61" s="385" t="s">
        <v>307</v>
      </c>
      <c r="B61" s="366"/>
    </row>
    <row r="62" spans="1:2" ht="48" customHeight="1">
      <c r="A62" s="385"/>
      <c r="B62" s="366" t="s">
        <v>308</v>
      </c>
    </row>
    <row r="63" spans="1:2" ht="48.75" hidden="1" customHeight="1">
      <c r="A63" s="362" t="s">
        <v>148</v>
      </c>
      <c r="B63" s="363" t="s">
        <v>269</v>
      </c>
    </row>
    <row r="64" spans="1:2" ht="39" customHeight="1">
      <c r="A64" s="385" t="s">
        <v>309</v>
      </c>
      <c r="B64" s="366"/>
    </row>
    <row r="65" spans="1:2" ht="39" customHeight="1">
      <c r="A65" s="385"/>
      <c r="B65" s="366" t="s">
        <v>310</v>
      </c>
    </row>
    <row r="66" spans="1:2" ht="39" customHeight="1">
      <c r="A66" s="385" t="s">
        <v>311</v>
      </c>
      <c r="B66" s="366"/>
    </row>
    <row r="67" spans="1:2" ht="39" customHeight="1">
      <c r="A67" s="385"/>
      <c r="B67" s="366" t="s">
        <v>312</v>
      </c>
    </row>
    <row r="68" spans="1:2" ht="39" customHeight="1">
      <c r="A68" s="385" t="s">
        <v>313</v>
      </c>
      <c r="B68" s="366"/>
    </row>
    <row r="69" spans="1:2" ht="39" customHeight="1">
      <c r="A69" s="385"/>
      <c r="B69" s="366" t="s">
        <v>314</v>
      </c>
    </row>
    <row r="70" spans="1:2" ht="39" customHeight="1">
      <c r="A70" s="385" t="s">
        <v>315</v>
      </c>
      <c r="B70" s="366"/>
    </row>
    <row r="71" spans="1:2" ht="39" customHeight="1">
      <c r="A71" s="385"/>
      <c r="B71" s="366" t="s">
        <v>316</v>
      </c>
    </row>
  </sheetData>
  <mergeCells count="29">
    <mergeCell ref="A11:A12"/>
    <mergeCell ref="A64:A65"/>
    <mergeCell ref="A66:A67"/>
    <mergeCell ref="A68:A69"/>
    <mergeCell ref="A70:A71"/>
    <mergeCell ref="A51:A52"/>
    <mergeCell ref="A53:A54"/>
    <mergeCell ref="A55:A56"/>
    <mergeCell ref="A57:A58"/>
    <mergeCell ref="A59:A60"/>
    <mergeCell ref="A61:A62"/>
    <mergeCell ref="A38:A39"/>
    <mergeCell ref="A40:A41"/>
    <mergeCell ref="A43:A44"/>
    <mergeCell ref="A45:A46"/>
    <mergeCell ref="A47:A48"/>
    <mergeCell ref="A49:A50"/>
    <mergeCell ref="A26:A27"/>
    <mergeCell ref="A28:A29"/>
    <mergeCell ref="A30:A31"/>
    <mergeCell ref="A32:A33"/>
    <mergeCell ref="A34:A35"/>
    <mergeCell ref="A36:A37"/>
    <mergeCell ref="A24:A25"/>
    <mergeCell ref="A13:A14"/>
    <mergeCell ref="A15:A16"/>
    <mergeCell ref="A17:A18"/>
    <mergeCell ref="A19:A20"/>
    <mergeCell ref="A21:A22"/>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53"/>
  <sheetViews>
    <sheetView showGridLines="0" workbookViewId="0">
      <pane ySplit="5" topLeftCell="A6" activePane="bottomLeft" state="frozen"/>
      <selection pane="bottomLeft" activeCell="A184" sqref="A184"/>
    </sheetView>
  </sheetViews>
  <sheetFormatPr baseColWidth="10" defaultRowHeight="12.75"/>
  <cols>
    <col min="1" max="1" width="84.140625" customWidth="1"/>
    <col min="2" max="2" width="106.5703125" customWidth="1"/>
  </cols>
  <sheetData>
    <row r="1" spans="1:42" ht="15">
      <c r="A1" s="245">
        <v>365</v>
      </c>
    </row>
    <row r="2" spans="1:42" ht="15">
      <c r="A2" s="20" t="s">
        <v>148</v>
      </c>
    </row>
    <row r="5" spans="1:42" ht="15">
      <c r="A5" s="244"/>
      <c r="B5" s="253"/>
      <c r="C5" s="349">
        <v>43830</v>
      </c>
      <c r="D5" s="349" t="s">
        <v>375</v>
      </c>
      <c r="E5" s="349">
        <v>43738</v>
      </c>
      <c r="F5" s="349" t="s">
        <v>361</v>
      </c>
      <c r="G5" s="349">
        <v>43646</v>
      </c>
      <c r="H5" s="349" t="s">
        <v>341</v>
      </c>
      <c r="I5" s="349">
        <v>43555</v>
      </c>
      <c r="J5" s="349" t="s">
        <v>338</v>
      </c>
      <c r="K5" s="349">
        <v>43465</v>
      </c>
      <c r="L5" s="349" t="s">
        <v>339</v>
      </c>
      <c r="M5" s="349">
        <v>43373</v>
      </c>
      <c r="N5" s="349" t="s">
        <v>321</v>
      </c>
      <c r="O5" s="349">
        <v>43281</v>
      </c>
      <c r="P5" s="254" t="s">
        <v>322</v>
      </c>
      <c r="Q5" s="349">
        <v>43190</v>
      </c>
      <c r="R5" s="254" t="s">
        <v>323</v>
      </c>
      <c r="S5" s="349">
        <v>43100</v>
      </c>
      <c r="T5" s="254" t="s">
        <v>324</v>
      </c>
      <c r="U5" s="349">
        <v>43008</v>
      </c>
      <c r="V5" s="254" t="s">
        <v>325</v>
      </c>
      <c r="W5" s="349">
        <v>42916</v>
      </c>
      <c r="X5" s="254" t="s">
        <v>326</v>
      </c>
      <c r="Y5" s="349">
        <v>42825</v>
      </c>
      <c r="Z5" s="254" t="s">
        <v>327</v>
      </c>
      <c r="AA5" s="349">
        <v>42735</v>
      </c>
      <c r="AB5" s="254" t="s">
        <v>328</v>
      </c>
      <c r="AC5" s="349">
        <v>42643</v>
      </c>
      <c r="AD5" s="254" t="s">
        <v>329</v>
      </c>
      <c r="AE5" s="349">
        <v>42551</v>
      </c>
      <c r="AF5" s="254" t="s">
        <v>330</v>
      </c>
      <c r="AG5" s="349">
        <v>42460</v>
      </c>
      <c r="AH5" s="254" t="s">
        <v>331</v>
      </c>
      <c r="AI5" s="349">
        <v>42369</v>
      </c>
      <c r="AJ5" s="254" t="s">
        <v>332</v>
      </c>
      <c r="AK5" s="349">
        <v>42277</v>
      </c>
      <c r="AL5" s="254" t="s">
        <v>333</v>
      </c>
      <c r="AM5" s="349">
        <v>42185</v>
      </c>
      <c r="AN5" s="254" t="s">
        <v>334</v>
      </c>
      <c r="AO5" s="349">
        <v>42094</v>
      </c>
      <c r="AP5" s="254" t="s">
        <v>335</v>
      </c>
    </row>
    <row r="6" spans="1:42" ht="15">
      <c r="A6" s="244"/>
      <c r="B6" s="253"/>
      <c r="C6" s="347">
        <v>43466</v>
      </c>
      <c r="D6" s="347">
        <v>43739</v>
      </c>
      <c r="E6" s="347">
        <v>43466</v>
      </c>
      <c r="F6" s="347">
        <v>43647</v>
      </c>
      <c r="G6" s="347">
        <v>43466</v>
      </c>
      <c r="H6" s="347">
        <v>43556</v>
      </c>
      <c r="I6" s="347">
        <v>43466</v>
      </c>
      <c r="J6" s="347">
        <v>43466</v>
      </c>
      <c r="K6" s="347">
        <v>43101</v>
      </c>
      <c r="L6" s="347">
        <v>43374</v>
      </c>
      <c r="M6" s="347">
        <v>43101</v>
      </c>
      <c r="N6" s="347">
        <v>43282</v>
      </c>
      <c r="O6" s="347">
        <v>43101</v>
      </c>
      <c r="P6" s="347">
        <v>43191</v>
      </c>
      <c r="Q6" s="347">
        <v>43101</v>
      </c>
      <c r="R6" s="347">
        <v>43101</v>
      </c>
      <c r="S6" s="347">
        <v>42736</v>
      </c>
      <c r="T6" s="347">
        <v>43009</v>
      </c>
      <c r="U6" s="347">
        <v>42736</v>
      </c>
      <c r="V6" s="347">
        <v>42917</v>
      </c>
      <c r="W6" s="347">
        <v>42736</v>
      </c>
      <c r="X6" s="347">
        <v>42826</v>
      </c>
      <c r="Y6" s="347">
        <v>42736</v>
      </c>
      <c r="Z6" s="347">
        <v>42736</v>
      </c>
      <c r="AA6" s="347">
        <v>42370</v>
      </c>
      <c r="AB6" s="347">
        <v>42644</v>
      </c>
      <c r="AC6" s="347">
        <v>42370</v>
      </c>
      <c r="AD6" s="347">
        <v>42552</v>
      </c>
      <c r="AE6" s="347">
        <v>42370</v>
      </c>
      <c r="AF6" s="347">
        <v>42461</v>
      </c>
      <c r="AG6" s="347">
        <v>42370</v>
      </c>
      <c r="AH6" s="347">
        <v>42370</v>
      </c>
      <c r="AI6" s="347">
        <v>42005</v>
      </c>
      <c r="AJ6" s="347">
        <v>42278</v>
      </c>
      <c r="AK6" s="347">
        <v>42005</v>
      </c>
      <c r="AL6" s="347">
        <v>42186</v>
      </c>
      <c r="AM6" s="347">
        <v>42005</v>
      </c>
      <c r="AN6" s="347">
        <v>42095</v>
      </c>
      <c r="AO6" s="347">
        <v>42005</v>
      </c>
      <c r="AP6" s="347">
        <v>42005</v>
      </c>
    </row>
    <row r="7" spans="1:42" ht="15">
      <c r="A7" s="244"/>
      <c r="B7" s="255"/>
      <c r="C7" s="348">
        <v>43830</v>
      </c>
      <c r="D7" s="348">
        <v>43830</v>
      </c>
      <c r="E7" s="348">
        <v>43738</v>
      </c>
      <c r="F7" s="348">
        <v>43738</v>
      </c>
      <c r="G7" s="348">
        <v>43646</v>
      </c>
      <c r="H7" s="348">
        <v>43646</v>
      </c>
      <c r="I7" s="348">
        <v>43555</v>
      </c>
      <c r="J7" s="348">
        <v>43555</v>
      </c>
      <c r="K7" s="348">
        <v>43465</v>
      </c>
      <c r="L7" s="348">
        <v>43465</v>
      </c>
      <c r="M7" s="348">
        <v>43373</v>
      </c>
      <c r="N7" s="348">
        <v>43373</v>
      </c>
      <c r="O7" s="348">
        <v>43281</v>
      </c>
      <c r="P7" s="348">
        <v>43281</v>
      </c>
      <c r="Q7" s="348">
        <v>43190</v>
      </c>
      <c r="R7" s="348">
        <v>43190</v>
      </c>
      <c r="S7" s="348">
        <v>43100</v>
      </c>
      <c r="T7" s="348">
        <v>43100</v>
      </c>
      <c r="U7" s="348">
        <v>43008</v>
      </c>
      <c r="V7" s="348">
        <v>43008</v>
      </c>
      <c r="W7" s="348">
        <v>42916</v>
      </c>
      <c r="X7" s="348">
        <v>42916</v>
      </c>
      <c r="Y7" s="348">
        <v>42825</v>
      </c>
      <c r="Z7" s="348">
        <v>42825</v>
      </c>
      <c r="AA7" s="348">
        <v>42735</v>
      </c>
      <c r="AB7" s="348">
        <v>42735</v>
      </c>
      <c r="AC7" s="348">
        <v>42643</v>
      </c>
      <c r="AD7" s="348">
        <v>42643</v>
      </c>
      <c r="AE7" s="348">
        <v>42551</v>
      </c>
      <c r="AF7" s="348">
        <v>42551</v>
      </c>
      <c r="AG7" s="348">
        <v>42460</v>
      </c>
      <c r="AH7" s="348">
        <v>42460</v>
      </c>
      <c r="AI7" s="348">
        <v>42369</v>
      </c>
      <c r="AJ7" s="348">
        <v>42369</v>
      </c>
      <c r="AK7" s="348">
        <v>42277</v>
      </c>
      <c r="AL7" s="348">
        <v>42277</v>
      </c>
      <c r="AM7" s="348">
        <v>42185</v>
      </c>
      <c r="AN7" s="348">
        <v>42185</v>
      </c>
      <c r="AO7" s="348">
        <v>42094</v>
      </c>
      <c r="AP7" s="348">
        <v>42094</v>
      </c>
    </row>
    <row r="8" spans="1:42" ht="15">
      <c r="B8" s="255" t="s">
        <v>162</v>
      </c>
      <c r="C8" s="371">
        <v>365</v>
      </c>
      <c r="D8" s="371">
        <v>92</v>
      </c>
      <c r="E8" s="371">
        <v>273</v>
      </c>
      <c r="F8" s="372">
        <v>92</v>
      </c>
      <c r="G8" s="371">
        <f>_xlfn.DAYS(G7,G6-1)</f>
        <v>181</v>
      </c>
      <c r="H8" s="372">
        <f>_xlfn.DAYS(H7,H6-1)</f>
        <v>91</v>
      </c>
      <c r="I8" s="255">
        <v>90</v>
      </c>
      <c r="J8" s="255">
        <v>90</v>
      </c>
      <c r="K8" s="255">
        <v>365</v>
      </c>
      <c r="L8" s="255">
        <v>92</v>
      </c>
      <c r="M8" s="255">
        <v>273</v>
      </c>
      <c r="N8" s="255">
        <v>92</v>
      </c>
      <c r="O8" s="255">
        <v>181</v>
      </c>
      <c r="P8" s="255">
        <v>91</v>
      </c>
      <c r="Q8" s="255">
        <f>31+28+31</f>
        <v>90</v>
      </c>
      <c r="R8" s="255">
        <f>31+28+31</f>
        <v>90</v>
      </c>
      <c r="S8" s="255">
        <f>+T8+U8</f>
        <v>365</v>
      </c>
      <c r="T8" s="255">
        <f>31+30+31</f>
        <v>92</v>
      </c>
      <c r="U8" s="255">
        <f>+V8+W8</f>
        <v>273</v>
      </c>
      <c r="V8" s="255">
        <f>31+31+30</f>
        <v>92</v>
      </c>
      <c r="W8" s="255">
        <f>+X8+Z8</f>
        <v>181</v>
      </c>
      <c r="X8" s="255">
        <f>30+31+30</f>
        <v>91</v>
      </c>
      <c r="Y8" s="255">
        <f>+Z8</f>
        <v>90</v>
      </c>
      <c r="Z8" s="255">
        <f>31+28+31</f>
        <v>90</v>
      </c>
      <c r="AA8" s="255">
        <f>+AB8+AC8</f>
        <v>366</v>
      </c>
      <c r="AB8" s="255">
        <f>31+30+31</f>
        <v>92</v>
      </c>
      <c r="AC8" s="255">
        <f>+AD8+AE8</f>
        <v>274</v>
      </c>
      <c r="AD8" s="255">
        <f>31+31+30</f>
        <v>92</v>
      </c>
      <c r="AE8" s="255">
        <f>+AF8+AG8</f>
        <v>182</v>
      </c>
      <c r="AF8" s="255">
        <f>30+31+30</f>
        <v>91</v>
      </c>
      <c r="AG8" s="255">
        <f>+AH8</f>
        <v>91</v>
      </c>
      <c r="AH8" s="255">
        <f>31+29+31</f>
        <v>91</v>
      </c>
      <c r="AI8" s="255">
        <f>+AJ8+AK8</f>
        <v>365</v>
      </c>
      <c r="AJ8" s="255">
        <f>31+30+31</f>
        <v>92</v>
      </c>
      <c r="AK8" s="255">
        <f>+AL8+AM8</f>
        <v>273</v>
      </c>
      <c r="AL8" s="255">
        <f>31+31+30</f>
        <v>92</v>
      </c>
      <c r="AM8" s="255">
        <f>+AN8+AP8</f>
        <v>181</v>
      </c>
      <c r="AN8" s="255">
        <f>30+31+30</f>
        <v>91</v>
      </c>
      <c r="AO8" s="255">
        <f>+AP8</f>
        <v>90</v>
      </c>
      <c r="AP8" s="255">
        <f>31+28+31</f>
        <v>90</v>
      </c>
    </row>
    <row r="9" spans="1:42"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5"/>
      <c r="AK9" s="257"/>
      <c r="AL9" s="257"/>
      <c r="AM9" s="257"/>
      <c r="AN9" s="257"/>
      <c r="AO9" s="257"/>
      <c r="AP9" s="257"/>
    </row>
    <row r="10" spans="1:42">
      <c r="A10" s="246"/>
      <c r="B10" s="255" t="s">
        <v>34</v>
      </c>
      <c r="C10" s="258">
        <v>1928.1664119999998</v>
      </c>
      <c r="D10" s="258">
        <v>291.48677683999989</v>
      </c>
      <c r="E10" s="258">
        <v>1636.6796351600001</v>
      </c>
      <c r="F10" s="258">
        <v>409.28442015999985</v>
      </c>
      <c r="G10" s="258">
        <v>1227.3952150000005</v>
      </c>
      <c r="H10" s="258">
        <v>470.82553570000027</v>
      </c>
      <c r="I10" s="258">
        <v>756.56967929999973</v>
      </c>
      <c r="J10" s="258">
        <v>756.56967929999973</v>
      </c>
      <c r="K10" s="258">
        <v>1413.5559930000002</v>
      </c>
      <c r="L10" s="258">
        <v>321.80813815000039</v>
      </c>
      <c r="M10" s="258">
        <v>1091.7478549999998</v>
      </c>
      <c r="N10" s="258">
        <v>361.66793400000006</v>
      </c>
      <c r="O10" s="258">
        <v>730.07992100000013</v>
      </c>
      <c r="P10" s="258">
        <v>416.1546219999999</v>
      </c>
      <c r="Q10" s="258">
        <v>313.925299</v>
      </c>
      <c r="R10" s="258">
        <v>313.925299</v>
      </c>
      <c r="S10" s="258">
        <v>1262.8547599999997</v>
      </c>
      <c r="T10" s="258">
        <v>336.63084299999963</v>
      </c>
      <c r="U10" s="258">
        <v>925.79183999999987</v>
      </c>
      <c r="V10" s="258">
        <v>376.79184000000026</v>
      </c>
      <c r="W10" s="258">
        <v>547.89695000000029</v>
      </c>
      <c r="X10" s="258">
        <v>274.03295000000026</v>
      </c>
      <c r="Y10" s="258">
        <v>273.86399999999986</v>
      </c>
      <c r="Z10" s="258">
        <v>273.86399999999986</v>
      </c>
      <c r="AA10" s="258">
        <v>1099.5794989999999</v>
      </c>
      <c r="AB10" s="258">
        <v>281.49246836999998</v>
      </c>
      <c r="AC10" s="258">
        <v>819.40027437000026</v>
      </c>
      <c r="AD10" s="258">
        <v>423.74120293000004</v>
      </c>
      <c r="AE10" s="258">
        <v>395.73999999999995</v>
      </c>
      <c r="AF10" s="258">
        <v>227.20000000000005</v>
      </c>
      <c r="AG10" s="258">
        <v>169.01000000000002</v>
      </c>
      <c r="AH10" s="258">
        <v>169.01000000000002</v>
      </c>
      <c r="AI10" s="258">
        <v>929.5</v>
      </c>
      <c r="AJ10" s="258">
        <v>193.50000000000006</v>
      </c>
      <c r="AK10" s="258">
        <v>735.88799999999992</v>
      </c>
      <c r="AL10" s="258">
        <v>307.29000000000008</v>
      </c>
      <c r="AM10" s="258">
        <v>430</v>
      </c>
      <c r="AN10" s="258">
        <v>190</v>
      </c>
      <c r="AO10" s="258">
        <v>240</v>
      </c>
      <c r="AP10" s="258">
        <v>240</v>
      </c>
    </row>
    <row r="11" spans="1:42">
      <c r="A11" s="246"/>
      <c r="B11" s="259" t="s">
        <v>163</v>
      </c>
      <c r="C11" s="260">
        <v>15.261431999999999</v>
      </c>
      <c r="D11" s="260">
        <v>6.1594199999999999</v>
      </c>
      <c r="E11" s="260">
        <v>9.1020119999999984</v>
      </c>
      <c r="F11" s="260">
        <v>2.2946239999999998</v>
      </c>
      <c r="G11" s="260">
        <v>6.8073879999999996</v>
      </c>
      <c r="H11" s="260">
        <v>2.2233329999999998</v>
      </c>
      <c r="I11" s="260">
        <v>4.5840550000000002</v>
      </c>
      <c r="J11" s="260">
        <v>4.5840550000000002</v>
      </c>
      <c r="K11" s="260">
        <v>17.264553000000003</v>
      </c>
      <c r="L11" s="260">
        <v>4.3932770000000003</v>
      </c>
      <c r="M11" s="260">
        <v>12.871276000000002</v>
      </c>
      <c r="N11" s="260">
        <v>4.3728879999999997</v>
      </c>
      <c r="O11" s="260">
        <v>8.4983880000000021</v>
      </c>
      <c r="P11" s="260">
        <v>4.357888</v>
      </c>
      <c r="Q11" s="260">
        <v>4.140500000000003</v>
      </c>
      <c r="R11" s="260">
        <v>4.140500000000003</v>
      </c>
      <c r="S11" s="260">
        <v>17.059778000000001</v>
      </c>
      <c r="T11" s="260">
        <v>4.1101669999999997</v>
      </c>
      <c r="U11" s="260">
        <v>12.660722</v>
      </c>
      <c r="V11" s="260">
        <v>4.1961110000000001</v>
      </c>
      <c r="W11" s="260">
        <v>8.3062780000000007</v>
      </c>
      <c r="X11" s="260">
        <v>4.3544444000000002</v>
      </c>
      <c r="Y11" s="260">
        <v>4.3990559999999999</v>
      </c>
      <c r="Z11" s="260">
        <v>4.3990559999999999</v>
      </c>
      <c r="AA11" s="260">
        <v>13.238778</v>
      </c>
      <c r="AB11" s="260">
        <v>4.4033889999999998</v>
      </c>
      <c r="AC11" s="260">
        <v>8.8353889999999993</v>
      </c>
      <c r="AD11" s="260">
        <v>4.3999449999999998</v>
      </c>
      <c r="AE11" s="260">
        <f>4.435444</f>
        <v>4.4354440000000004</v>
      </c>
      <c r="AF11" s="260">
        <f>4.435444</f>
        <v>4.4354440000000004</v>
      </c>
      <c r="AG11" s="260">
        <v>0</v>
      </c>
      <c r="AH11" s="260">
        <v>0</v>
      </c>
      <c r="AI11" s="260">
        <v>0</v>
      </c>
      <c r="AJ11" s="260">
        <v>0</v>
      </c>
      <c r="AK11" s="260">
        <v>0</v>
      </c>
      <c r="AL11" s="260">
        <v>0</v>
      </c>
      <c r="AM11" s="260">
        <v>0</v>
      </c>
      <c r="AN11" s="260">
        <v>0</v>
      </c>
      <c r="AO11" s="260">
        <v>0</v>
      </c>
      <c r="AP11" s="260">
        <v>0</v>
      </c>
    </row>
    <row r="12" spans="1:42">
      <c r="A12" s="246"/>
      <c r="B12" s="259" t="s">
        <v>164</v>
      </c>
      <c r="C12" s="260">
        <v>0</v>
      </c>
      <c r="D12" s="260">
        <v>0</v>
      </c>
      <c r="E12" s="260">
        <v>0</v>
      </c>
      <c r="F12" s="260">
        <v>0</v>
      </c>
      <c r="G12" s="260">
        <v>0</v>
      </c>
      <c r="H12" s="260">
        <v>0</v>
      </c>
      <c r="I12" s="260">
        <v>0</v>
      </c>
      <c r="J12" s="260">
        <v>0</v>
      </c>
      <c r="K12" s="260">
        <v>0</v>
      </c>
      <c r="L12" s="260">
        <v>0</v>
      </c>
      <c r="M12" s="260">
        <v>3.2178190000000004</v>
      </c>
      <c r="N12" s="260">
        <v>1.0932219999999999</v>
      </c>
      <c r="O12" s="260">
        <f t="shared" ref="O12:P12" si="0">+O11*0.25</f>
        <v>2.1245970000000005</v>
      </c>
      <c r="P12" s="260">
        <f t="shared" si="0"/>
        <v>1.089472</v>
      </c>
      <c r="Q12" s="260">
        <f t="shared" ref="Q12:AF12" si="1">+Q11*0.25</f>
        <v>1.0351250000000007</v>
      </c>
      <c r="R12" s="260">
        <f t="shared" si="1"/>
        <v>1.0351250000000007</v>
      </c>
      <c r="S12" s="260">
        <f t="shared" si="1"/>
        <v>4.2649445000000004</v>
      </c>
      <c r="T12" s="260">
        <f t="shared" si="1"/>
        <v>1.0275417499999999</v>
      </c>
      <c r="U12" s="260">
        <f t="shared" si="1"/>
        <v>3.1651805</v>
      </c>
      <c r="V12" s="260">
        <f t="shared" si="1"/>
        <v>1.04902775</v>
      </c>
      <c r="W12" s="260">
        <f t="shared" si="1"/>
        <v>2.0765695000000002</v>
      </c>
      <c r="X12" s="260">
        <f t="shared" si="1"/>
        <v>1.0886111000000001</v>
      </c>
      <c r="Y12" s="260">
        <f t="shared" si="1"/>
        <v>1.099764</v>
      </c>
      <c r="Z12" s="260">
        <f t="shared" si="1"/>
        <v>1.099764</v>
      </c>
      <c r="AA12" s="260">
        <f t="shared" si="1"/>
        <v>3.3096945</v>
      </c>
      <c r="AB12" s="260">
        <f t="shared" si="1"/>
        <v>1.1008472499999999</v>
      </c>
      <c r="AC12" s="260">
        <f t="shared" si="1"/>
        <v>2.2088472499999998</v>
      </c>
      <c r="AD12" s="260">
        <f t="shared" si="1"/>
        <v>1.0999862499999999</v>
      </c>
      <c r="AE12" s="260">
        <f t="shared" si="1"/>
        <v>1.1088610000000001</v>
      </c>
      <c r="AF12" s="260">
        <f t="shared" si="1"/>
        <v>1.1088610000000001</v>
      </c>
      <c r="AG12" s="260">
        <v>0</v>
      </c>
      <c r="AH12" s="260">
        <v>0</v>
      </c>
      <c r="AI12" s="260">
        <v>0</v>
      </c>
      <c r="AJ12" s="260">
        <v>0</v>
      </c>
      <c r="AK12" s="260">
        <v>0</v>
      </c>
      <c r="AL12" s="260">
        <v>0</v>
      </c>
      <c r="AM12" s="260">
        <v>0</v>
      </c>
      <c r="AN12" s="260">
        <v>0</v>
      </c>
      <c r="AO12" s="260">
        <v>0</v>
      </c>
      <c r="AP12" s="260">
        <v>0</v>
      </c>
    </row>
    <row r="13" spans="1:42">
      <c r="A13" s="109"/>
      <c r="B13" s="261" t="s">
        <v>165</v>
      </c>
      <c r="C13" s="262">
        <v>0</v>
      </c>
      <c r="D13" s="262">
        <v>0</v>
      </c>
      <c r="E13" s="262">
        <v>6.8073880000000004</v>
      </c>
      <c r="F13" s="262">
        <v>2.2233330000000002</v>
      </c>
      <c r="G13" s="262">
        <v>6.8073880000000004</v>
      </c>
      <c r="H13" s="262">
        <v>2.2233330000000002</v>
      </c>
      <c r="I13" s="262">
        <v>4.5840550000000002</v>
      </c>
      <c r="J13" s="262">
        <v>4.5840550000000002</v>
      </c>
      <c r="K13" s="262">
        <v>17.264553000000003</v>
      </c>
      <c r="L13" s="262">
        <v>4.3932770000000003</v>
      </c>
      <c r="M13" s="262">
        <v>9.6534570000000013</v>
      </c>
      <c r="N13" s="262">
        <v>3.2796659999999997</v>
      </c>
      <c r="O13" s="262">
        <f>O11-O12</f>
        <v>6.3737910000000015</v>
      </c>
      <c r="P13" s="262">
        <f t="shared" ref="P13" si="2">P11-P12</f>
        <v>3.2684160000000002</v>
      </c>
      <c r="Q13" s="262">
        <f>Q11-Q12</f>
        <v>3.1053750000000022</v>
      </c>
      <c r="R13" s="262">
        <f t="shared" ref="R13:AF13" si="3">R11-R12</f>
        <v>3.1053750000000022</v>
      </c>
      <c r="S13" s="262">
        <f t="shared" si="3"/>
        <v>12.794833500000001</v>
      </c>
      <c r="T13" s="262">
        <f t="shared" si="3"/>
        <v>3.0826252499999995</v>
      </c>
      <c r="U13" s="262">
        <f t="shared" si="3"/>
        <v>9.4955414999999999</v>
      </c>
      <c r="V13" s="262">
        <f t="shared" si="3"/>
        <v>3.1470832500000001</v>
      </c>
      <c r="W13" s="262">
        <f t="shared" si="3"/>
        <v>6.229708500000001</v>
      </c>
      <c r="X13" s="262">
        <f t="shared" si="3"/>
        <v>3.2658333000000002</v>
      </c>
      <c r="Y13" s="262">
        <f t="shared" si="3"/>
        <v>3.2992919999999999</v>
      </c>
      <c r="Z13" s="262">
        <f t="shared" si="3"/>
        <v>3.2992919999999999</v>
      </c>
      <c r="AA13" s="262">
        <f t="shared" si="3"/>
        <v>9.9290835000000008</v>
      </c>
      <c r="AB13" s="262">
        <f t="shared" si="3"/>
        <v>3.3025417499999996</v>
      </c>
      <c r="AC13" s="262">
        <f t="shared" si="3"/>
        <v>6.6265417499999995</v>
      </c>
      <c r="AD13" s="262">
        <f t="shared" si="3"/>
        <v>3.2999587500000001</v>
      </c>
      <c r="AE13" s="262">
        <f t="shared" si="3"/>
        <v>3.3265830000000003</v>
      </c>
      <c r="AF13" s="262">
        <f t="shared" si="3"/>
        <v>3.3265830000000003</v>
      </c>
      <c r="AG13" s="262">
        <v>0</v>
      </c>
      <c r="AH13" s="262">
        <v>0</v>
      </c>
      <c r="AI13" s="262">
        <v>0</v>
      </c>
      <c r="AJ13" s="262">
        <v>0</v>
      </c>
      <c r="AK13" s="262">
        <v>0</v>
      </c>
      <c r="AL13" s="262">
        <v>0</v>
      </c>
      <c r="AM13" s="262">
        <v>0</v>
      </c>
      <c r="AN13" s="262">
        <v>0</v>
      </c>
      <c r="AO13" s="262">
        <v>0</v>
      </c>
      <c r="AP13" s="262">
        <v>0</v>
      </c>
    </row>
    <row r="14" spans="1:42">
      <c r="A14" s="246"/>
      <c r="B14" s="255" t="s">
        <v>166</v>
      </c>
      <c r="C14" s="258">
        <v>1912.9049799999998</v>
      </c>
      <c r="D14" s="258">
        <v>285.32735683999988</v>
      </c>
      <c r="E14" s="258">
        <v>1629.8722471600001</v>
      </c>
      <c r="F14" s="258">
        <v>407.06108715999983</v>
      </c>
      <c r="G14" s="258">
        <f>+G10-G13</f>
        <v>1220.5878270000005</v>
      </c>
      <c r="H14" s="258">
        <f t="shared" ref="H14" si="4">+H10-H13</f>
        <v>468.60220270000025</v>
      </c>
      <c r="I14" s="258">
        <v>751.9856242999997</v>
      </c>
      <c r="J14" s="258">
        <v>751.9856242999997</v>
      </c>
      <c r="K14" s="258">
        <v>1396.2914400000002</v>
      </c>
      <c r="L14" s="258">
        <v>317.41486115000038</v>
      </c>
      <c r="M14" s="258">
        <v>1082.094398</v>
      </c>
      <c r="N14" s="258">
        <v>358.38826800000004</v>
      </c>
      <c r="O14" s="258">
        <f>+O10-O13</f>
        <v>723.70613000000014</v>
      </c>
      <c r="P14" s="258">
        <f t="shared" ref="P14" si="5">+P10-P13</f>
        <v>412.8862059999999</v>
      </c>
      <c r="Q14" s="258">
        <f>+Q10-Q13</f>
        <v>310.81992400000001</v>
      </c>
      <c r="R14" s="258">
        <f t="shared" ref="R14:AD14" si="6">+R10-R13</f>
        <v>310.81992400000001</v>
      </c>
      <c r="S14" s="258">
        <f t="shared" si="6"/>
        <v>1250.0599264999996</v>
      </c>
      <c r="T14" s="258">
        <f t="shared" si="6"/>
        <v>333.54821774999965</v>
      </c>
      <c r="U14" s="258">
        <f t="shared" si="6"/>
        <v>916.29629849999992</v>
      </c>
      <c r="V14" s="258">
        <f t="shared" si="6"/>
        <v>373.64475675000028</v>
      </c>
      <c r="W14" s="258">
        <f t="shared" si="6"/>
        <v>541.66724150000027</v>
      </c>
      <c r="X14" s="258">
        <f t="shared" si="6"/>
        <v>270.76711670000026</v>
      </c>
      <c r="Y14" s="258">
        <f t="shared" si="6"/>
        <v>270.56470799999988</v>
      </c>
      <c r="Z14" s="258">
        <f t="shared" si="6"/>
        <v>270.56470799999988</v>
      </c>
      <c r="AA14" s="258">
        <f t="shared" si="6"/>
        <v>1089.6504155</v>
      </c>
      <c r="AB14" s="258">
        <f t="shared" si="6"/>
        <v>278.18992661999999</v>
      </c>
      <c r="AC14" s="258">
        <f t="shared" si="6"/>
        <v>812.77373262000026</v>
      </c>
      <c r="AD14" s="258">
        <f t="shared" si="6"/>
        <v>420.44124418000007</v>
      </c>
      <c r="AE14" s="258">
        <f t="shared" ref="AE14:AO14" si="7">+AE10-AE11</f>
        <v>391.30455599999993</v>
      </c>
      <c r="AF14" s="258">
        <f t="shared" si="7"/>
        <v>222.76455600000006</v>
      </c>
      <c r="AG14" s="258">
        <f t="shared" si="7"/>
        <v>169.01000000000002</v>
      </c>
      <c r="AH14" s="258">
        <f t="shared" si="7"/>
        <v>169.01000000000002</v>
      </c>
      <c r="AI14" s="258">
        <f t="shared" si="7"/>
        <v>929.5</v>
      </c>
      <c r="AJ14" s="258">
        <f t="shared" si="7"/>
        <v>193.50000000000006</v>
      </c>
      <c r="AK14" s="258">
        <f t="shared" si="7"/>
        <v>735.88799999999992</v>
      </c>
      <c r="AL14" s="258">
        <f t="shared" si="7"/>
        <v>307.29000000000008</v>
      </c>
      <c r="AM14" s="258">
        <f t="shared" si="7"/>
        <v>430</v>
      </c>
      <c r="AN14" s="258">
        <f t="shared" si="7"/>
        <v>190</v>
      </c>
      <c r="AO14" s="258">
        <f t="shared" si="7"/>
        <v>240</v>
      </c>
      <c r="AP14" s="263">
        <v>240</v>
      </c>
    </row>
    <row r="15" spans="1:42">
      <c r="A15" s="246"/>
      <c r="B15" s="255"/>
      <c r="C15" s="264"/>
      <c r="D15" s="264"/>
      <c r="E15" s="264"/>
      <c r="F15" s="264"/>
      <c r="G15" s="264"/>
      <c r="H15" s="264"/>
      <c r="I15" s="264"/>
      <c r="J15" s="264"/>
      <c r="K15" s="264"/>
      <c r="L15" s="264"/>
      <c r="M15" s="264"/>
      <c r="N15" s="264"/>
      <c r="O15" s="264"/>
      <c r="P15" s="264"/>
      <c r="Q15" s="264"/>
      <c r="R15" s="264"/>
      <c r="S15" s="264"/>
      <c r="T15" s="264"/>
      <c r="U15" s="264"/>
      <c r="V15" s="258"/>
      <c r="W15" s="264"/>
      <c r="X15" s="264"/>
      <c r="Y15" s="264"/>
      <c r="Z15" s="264"/>
      <c r="AA15" s="264"/>
      <c r="AB15" s="264"/>
      <c r="AC15" s="258"/>
      <c r="AD15" s="258"/>
      <c r="AE15" s="264"/>
      <c r="AF15" s="264"/>
      <c r="AG15" s="264"/>
      <c r="AH15" s="264"/>
      <c r="AI15" s="264"/>
      <c r="AJ15" s="264"/>
      <c r="AK15" s="264"/>
      <c r="AL15" s="264"/>
      <c r="AM15" s="264"/>
      <c r="AN15" s="264"/>
      <c r="AO15" s="264"/>
      <c r="AP15" s="265"/>
    </row>
    <row r="16" spans="1:42">
      <c r="A16" s="246"/>
      <c r="B16" s="255"/>
      <c r="C16" s="264"/>
      <c r="D16" s="264"/>
      <c r="E16" s="264"/>
      <c r="F16" s="264"/>
      <c r="G16" s="264"/>
      <c r="H16" s="264"/>
      <c r="I16" s="264"/>
      <c r="J16" s="264"/>
      <c r="K16" s="264"/>
      <c r="L16" s="264"/>
      <c r="M16" s="264"/>
      <c r="N16" s="264"/>
      <c r="O16" s="264"/>
      <c r="P16" s="264"/>
      <c r="Q16" s="264"/>
      <c r="R16" s="264"/>
      <c r="S16" s="264"/>
      <c r="T16" s="264"/>
      <c r="U16" s="264"/>
      <c r="V16" s="258"/>
      <c r="W16" s="264"/>
      <c r="X16" s="264"/>
      <c r="Y16" s="264"/>
      <c r="Z16" s="264"/>
      <c r="AA16" s="264"/>
      <c r="AB16" s="264"/>
      <c r="AC16" s="258"/>
      <c r="AD16" s="258"/>
      <c r="AE16" s="264"/>
      <c r="AF16" s="264"/>
      <c r="AG16" s="264"/>
      <c r="AH16" s="264"/>
      <c r="AI16" s="264"/>
      <c r="AJ16" s="264"/>
      <c r="AK16" s="264"/>
      <c r="AL16" s="264"/>
      <c r="AM16" s="264"/>
      <c r="AN16" s="264"/>
      <c r="AO16" s="264"/>
      <c r="AP16" s="265"/>
    </row>
    <row r="17" spans="1:42" ht="15">
      <c r="A17" s="245"/>
      <c r="B17" s="255"/>
      <c r="C17" s="264"/>
      <c r="D17" s="264"/>
      <c r="E17" s="264"/>
      <c r="F17" s="264"/>
      <c r="G17" s="264"/>
      <c r="H17" s="264"/>
      <c r="I17" s="264"/>
      <c r="J17" s="264"/>
      <c r="K17" s="264"/>
      <c r="L17" s="264"/>
      <c r="M17" s="264"/>
      <c r="N17" s="264"/>
      <c r="O17" s="264"/>
      <c r="P17" s="264"/>
      <c r="Q17" s="264"/>
      <c r="R17" s="264"/>
      <c r="S17" s="264"/>
      <c r="T17" s="264"/>
      <c r="U17" s="264"/>
      <c r="V17" s="258"/>
      <c r="W17" s="264"/>
      <c r="X17" s="264"/>
      <c r="Y17" s="264"/>
      <c r="Z17" s="264"/>
      <c r="AA17" s="264"/>
      <c r="AB17" s="264"/>
      <c r="AC17" s="258"/>
      <c r="AD17" s="258"/>
      <c r="AE17" s="264"/>
      <c r="AF17" s="264"/>
      <c r="AG17" s="264"/>
      <c r="AH17" s="264"/>
      <c r="AI17" s="264"/>
      <c r="AJ17" s="264"/>
      <c r="AK17" s="264"/>
      <c r="AL17" s="264"/>
      <c r="AM17" s="264"/>
      <c r="AN17" s="264"/>
      <c r="AO17" s="264"/>
      <c r="AP17" s="264"/>
    </row>
    <row r="18" spans="1:42" ht="15">
      <c r="A18" s="245"/>
      <c r="B18" s="255"/>
      <c r="C18" s="264"/>
      <c r="D18" s="264"/>
      <c r="E18" s="264"/>
      <c r="F18" s="264"/>
      <c r="G18" s="264"/>
      <c r="H18" s="264"/>
      <c r="I18" s="264"/>
      <c r="J18" s="264"/>
      <c r="K18" s="264"/>
      <c r="L18" s="264"/>
      <c r="M18" s="264"/>
      <c r="N18" s="264"/>
      <c r="O18" s="264"/>
      <c r="P18" s="264"/>
      <c r="Q18" s="264"/>
      <c r="R18" s="264"/>
      <c r="S18" s="264"/>
      <c r="T18" s="264"/>
      <c r="U18" s="264"/>
      <c r="V18" s="258"/>
      <c r="W18" s="264"/>
      <c r="X18" s="264"/>
      <c r="Y18" s="264"/>
      <c r="Z18" s="264"/>
      <c r="AA18" s="264"/>
      <c r="AB18" s="264"/>
      <c r="AC18" s="258"/>
      <c r="AD18" s="258"/>
      <c r="AE18" s="264"/>
      <c r="AF18" s="264"/>
      <c r="AG18" s="264"/>
      <c r="AH18" s="264"/>
      <c r="AI18" s="264"/>
      <c r="AJ18" s="264"/>
      <c r="AK18" s="264"/>
      <c r="AL18" s="264"/>
      <c r="AM18" s="264"/>
      <c r="AN18" s="264"/>
      <c r="AO18" s="264"/>
      <c r="AP18" s="264"/>
    </row>
    <row r="19" spans="1:42">
      <c r="A19" s="246"/>
      <c r="B19" s="255" t="s">
        <v>167</v>
      </c>
      <c r="C19" s="258">
        <v>15902.865877999999</v>
      </c>
      <c r="D19" s="258">
        <v>15902.865877999999</v>
      </c>
      <c r="E19" s="258">
        <v>15781.623224370029</v>
      </c>
      <c r="F19" s="258">
        <v>15781.623224370029</v>
      </c>
      <c r="G19" s="258">
        <v>15088.845469150001</v>
      </c>
      <c r="H19" s="258">
        <v>15088.845469150001</v>
      </c>
      <c r="I19" s="258">
        <v>14604.36419099</v>
      </c>
      <c r="J19" s="258">
        <v>14604.36419099</v>
      </c>
      <c r="K19" s="258">
        <v>14761.540622534032</v>
      </c>
      <c r="L19" s="258">
        <v>14761.540622534032</v>
      </c>
      <c r="M19" s="258">
        <v>13772.911895999998</v>
      </c>
      <c r="N19" s="258">
        <v>13772.911895999998</v>
      </c>
      <c r="O19" s="258">
        <v>13419.826445000001</v>
      </c>
      <c r="P19" s="258">
        <v>13419.826445000001</v>
      </c>
      <c r="Q19" s="258">
        <v>13006.999244000001</v>
      </c>
      <c r="R19" s="258">
        <v>13006.999244000001</v>
      </c>
      <c r="S19" s="258">
        <v>13331.214576718428</v>
      </c>
      <c r="T19" s="258">
        <v>13331.214576718428</v>
      </c>
      <c r="U19" s="258">
        <v>12991.201010299999</v>
      </c>
      <c r="V19" s="258">
        <v>12991.201010299999</v>
      </c>
      <c r="W19" s="258">
        <v>12591.153999999999</v>
      </c>
      <c r="X19" s="258">
        <v>12591.153999999999</v>
      </c>
      <c r="Y19" s="258">
        <v>12369.748290755098</v>
      </c>
      <c r="Z19" s="258">
        <v>12369.748290755098</v>
      </c>
      <c r="AA19" s="258">
        <v>12107.396449</v>
      </c>
      <c r="AB19" s="258">
        <v>12107.396449</v>
      </c>
      <c r="AC19" s="258">
        <v>11775.9</v>
      </c>
      <c r="AD19" s="258">
        <v>11775.9</v>
      </c>
      <c r="AE19" s="258">
        <f>11350.12103489-400</f>
        <v>10950.12103489</v>
      </c>
      <c r="AF19" s="258">
        <f>11350.12103489-400</f>
        <v>10950.12103489</v>
      </c>
      <c r="AG19" s="258">
        <v>8995.4</v>
      </c>
      <c r="AH19" s="258">
        <f>+AG19</f>
        <v>8995.4</v>
      </c>
      <c r="AI19" s="258">
        <v>8717.7999999999993</v>
      </c>
      <c r="AJ19" s="258">
        <f>+AI19</f>
        <v>8717.7999999999993</v>
      </c>
      <c r="AK19" s="258">
        <v>8449.2000000000007</v>
      </c>
      <c r="AL19" s="258">
        <f>+AK19</f>
        <v>8449.2000000000007</v>
      </c>
      <c r="AM19" s="258">
        <v>8128</v>
      </c>
      <c r="AN19" s="258">
        <f>+AM19</f>
        <v>8128</v>
      </c>
      <c r="AO19" s="258">
        <v>7889</v>
      </c>
      <c r="AP19" s="258">
        <f>+AO19</f>
        <v>7889</v>
      </c>
    </row>
    <row r="20" spans="1:42">
      <c r="A20" s="246"/>
      <c r="B20" s="261" t="s">
        <v>168</v>
      </c>
      <c r="C20" s="262">
        <v>300.00475699999998</v>
      </c>
      <c r="D20" s="262">
        <v>300.00475699999998</v>
      </c>
      <c r="E20" s="262">
        <v>493.44836554</v>
      </c>
      <c r="F20" s="262">
        <v>493.44836554</v>
      </c>
      <c r="G20" s="262">
        <v>200</v>
      </c>
      <c r="H20" s="262">
        <v>200</v>
      </c>
      <c r="I20" s="262">
        <v>200</v>
      </c>
      <c r="J20" s="262">
        <v>200</v>
      </c>
      <c r="K20" s="262">
        <v>400</v>
      </c>
      <c r="L20" s="262">
        <v>400</v>
      </c>
      <c r="M20" s="262">
        <v>400</v>
      </c>
      <c r="N20" s="262">
        <v>400</v>
      </c>
      <c r="O20" s="262">
        <v>400</v>
      </c>
      <c r="P20" s="262">
        <v>400</v>
      </c>
      <c r="Q20" s="262">
        <v>400</v>
      </c>
      <c r="R20" s="262">
        <v>400</v>
      </c>
      <c r="S20" s="262">
        <v>400</v>
      </c>
      <c r="T20" s="262">
        <v>400</v>
      </c>
      <c r="U20" s="262">
        <v>400</v>
      </c>
      <c r="V20" s="262">
        <v>400</v>
      </c>
      <c r="W20" s="262">
        <v>400</v>
      </c>
      <c r="X20" s="262">
        <v>400</v>
      </c>
      <c r="Y20" s="262">
        <v>400</v>
      </c>
      <c r="Z20" s="262">
        <v>400</v>
      </c>
      <c r="AA20" s="262">
        <v>400</v>
      </c>
      <c r="AB20" s="262">
        <v>400</v>
      </c>
      <c r="AC20" s="262">
        <v>400</v>
      </c>
      <c r="AD20" s="262">
        <v>400</v>
      </c>
      <c r="AE20" s="262">
        <v>400</v>
      </c>
      <c r="AF20" s="262">
        <v>400</v>
      </c>
      <c r="AG20" s="262">
        <v>0</v>
      </c>
      <c r="AH20" s="262">
        <v>0</v>
      </c>
      <c r="AI20" s="262">
        <v>0</v>
      </c>
      <c r="AJ20" s="262">
        <v>0</v>
      </c>
      <c r="AK20" s="262">
        <v>0</v>
      </c>
      <c r="AL20" s="262">
        <v>0</v>
      </c>
      <c r="AM20" s="262">
        <v>0</v>
      </c>
      <c r="AN20" s="262">
        <v>0</v>
      </c>
      <c r="AO20" s="262">
        <v>0</v>
      </c>
      <c r="AP20" s="262">
        <v>0</v>
      </c>
    </row>
    <row r="21" spans="1:42">
      <c r="A21" s="246"/>
      <c r="B21" s="255" t="s">
        <v>169</v>
      </c>
      <c r="C21" s="258">
        <v>15602.861120999998</v>
      </c>
      <c r="D21" s="258">
        <v>15602.861120999998</v>
      </c>
      <c r="E21" s="258">
        <v>15288.174858830029</v>
      </c>
      <c r="F21" s="258">
        <v>15288.174858830029</v>
      </c>
      <c r="G21" s="258">
        <f t="shared" ref="G21:H21" si="8">G19-G20</f>
        <v>14888.845469150001</v>
      </c>
      <c r="H21" s="258">
        <f t="shared" si="8"/>
        <v>14888.845469150001</v>
      </c>
      <c r="I21" s="258">
        <f t="shared" ref="I21:L21" si="9">I19-I20</f>
        <v>14404.36419099</v>
      </c>
      <c r="J21" s="258">
        <f t="shared" si="9"/>
        <v>14404.36419099</v>
      </c>
      <c r="K21" s="258">
        <f t="shared" si="9"/>
        <v>14361.540622534032</v>
      </c>
      <c r="L21" s="258">
        <f t="shared" si="9"/>
        <v>14361.540622534032</v>
      </c>
      <c r="M21" s="258">
        <f>M19-M20</f>
        <v>13372.911895999998</v>
      </c>
      <c r="N21" s="258">
        <f t="shared" ref="N21" si="10">N19-N20</f>
        <v>13372.911895999998</v>
      </c>
      <c r="O21" s="258">
        <f>O19-O20</f>
        <v>13019.826445000001</v>
      </c>
      <c r="P21" s="258">
        <f t="shared" ref="P21" si="11">P19-P20</f>
        <v>13019.826445000001</v>
      </c>
      <c r="Q21" s="258">
        <f>Q19-Q20</f>
        <v>12606.999244000001</v>
      </c>
      <c r="R21" s="258">
        <f t="shared" ref="R21:AP21" si="12">R19-R20</f>
        <v>12606.999244000001</v>
      </c>
      <c r="S21" s="258">
        <f t="shared" si="12"/>
        <v>12931.214576718428</v>
      </c>
      <c r="T21" s="258">
        <f t="shared" si="12"/>
        <v>12931.214576718428</v>
      </c>
      <c r="U21" s="258">
        <f t="shared" si="12"/>
        <v>12591.201010299999</v>
      </c>
      <c r="V21" s="258">
        <f t="shared" si="12"/>
        <v>12591.201010299999</v>
      </c>
      <c r="W21" s="258">
        <f t="shared" si="12"/>
        <v>12191.153999999999</v>
      </c>
      <c r="X21" s="258">
        <f t="shared" si="12"/>
        <v>12191.153999999999</v>
      </c>
      <c r="Y21" s="258">
        <f t="shared" si="12"/>
        <v>11969.748290755098</v>
      </c>
      <c r="Z21" s="258">
        <f t="shared" si="12"/>
        <v>11969.748290755098</v>
      </c>
      <c r="AA21" s="258">
        <f t="shared" si="12"/>
        <v>11707.396449</v>
      </c>
      <c r="AB21" s="258">
        <f t="shared" si="12"/>
        <v>11707.396449</v>
      </c>
      <c r="AC21" s="258">
        <f t="shared" si="12"/>
        <v>11375.9</v>
      </c>
      <c r="AD21" s="258">
        <f t="shared" si="12"/>
        <v>11375.9</v>
      </c>
      <c r="AE21" s="258">
        <f t="shared" si="12"/>
        <v>10550.12103489</v>
      </c>
      <c r="AF21" s="258">
        <f t="shared" si="12"/>
        <v>10550.12103489</v>
      </c>
      <c r="AG21" s="258">
        <f t="shared" si="12"/>
        <v>8995.4</v>
      </c>
      <c r="AH21" s="258">
        <f t="shared" si="12"/>
        <v>8995.4</v>
      </c>
      <c r="AI21" s="258">
        <f t="shared" si="12"/>
        <v>8717.7999999999993</v>
      </c>
      <c r="AJ21" s="258">
        <f t="shared" si="12"/>
        <v>8717.7999999999993</v>
      </c>
      <c r="AK21" s="258">
        <f t="shared" si="12"/>
        <v>8449.2000000000007</v>
      </c>
      <c r="AL21" s="258">
        <f t="shared" si="12"/>
        <v>8449.2000000000007</v>
      </c>
      <c r="AM21" s="258">
        <f t="shared" si="12"/>
        <v>8128</v>
      </c>
      <c r="AN21" s="258">
        <f t="shared" si="12"/>
        <v>8128</v>
      </c>
      <c r="AO21" s="258">
        <f t="shared" si="12"/>
        <v>7889</v>
      </c>
      <c r="AP21" s="258">
        <f t="shared" si="12"/>
        <v>7889</v>
      </c>
    </row>
    <row r="22" spans="1:42"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58"/>
      <c r="AD22" s="258"/>
      <c r="AE22" s="264"/>
      <c r="AF22" s="264"/>
      <c r="AG22" s="264"/>
      <c r="AH22" s="264"/>
      <c r="AI22" s="264"/>
      <c r="AJ22" s="264"/>
      <c r="AK22" s="264"/>
      <c r="AL22" s="264"/>
      <c r="AM22" s="264"/>
      <c r="AN22" s="264"/>
      <c r="AO22" s="264"/>
      <c r="AP22" s="264"/>
    </row>
    <row r="23" spans="1:42"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58"/>
      <c r="AD23" s="258"/>
      <c r="AE23" s="264"/>
      <c r="AF23" s="264"/>
      <c r="AG23" s="264"/>
      <c r="AH23" s="264"/>
      <c r="AI23" s="264"/>
      <c r="AJ23" s="264"/>
      <c r="AK23" s="264"/>
      <c r="AL23" s="264"/>
      <c r="AM23" s="258"/>
      <c r="AN23" s="264"/>
      <c r="AO23" s="264"/>
      <c r="AP23" s="264"/>
    </row>
    <row r="24" spans="1:42">
      <c r="A24" s="246"/>
      <c r="B24" s="256" t="s">
        <v>170</v>
      </c>
      <c r="C24" s="258">
        <v>14909.157252500812</v>
      </c>
      <c r="D24" s="258"/>
      <c r="E24" s="258">
        <v>14735.731285376014</v>
      </c>
      <c r="F24" s="258"/>
      <c r="G24" s="258">
        <v>14551.583427558013</v>
      </c>
      <c r="H24" s="258"/>
      <c r="I24" s="258">
        <v>14382.952406762015</v>
      </c>
      <c r="J24" s="258"/>
      <c r="K24" s="258">
        <v>13258.498556850493</v>
      </c>
      <c r="L24" s="258"/>
      <c r="M24" s="258">
        <f>(M21+Q21++O21+S21)/4</f>
        <v>12982.738040429605</v>
      </c>
      <c r="N24" s="258"/>
      <c r="O24" s="258">
        <f>(O21+Q21+S21)/3</f>
        <v>12852.68008857281</v>
      </c>
      <c r="P24" s="255"/>
      <c r="Q24" s="258">
        <f>(Q21+S21)/2</f>
        <v>12769.106910359214</v>
      </c>
      <c r="R24" s="255"/>
      <c r="S24" s="258">
        <f>(S21+U21+W21+Y21+AA21)/5</f>
        <v>12278.142865354706</v>
      </c>
      <c r="T24" s="264"/>
      <c r="U24" s="258">
        <f>(U21+W21+Y21+AA21)/4</f>
        <v>12114.874937513774</v>
      </c>
      <c r="V24" s="258"/>
      <c r="W24" s="258">
        <f>(W21+Y21+AA21)/3</f>
        <v>11956.099579918366</v>
      </c>
      <c r="X24" s="258"/>
      <c r="Y24" s="258">
        <f>(Y21+AA21)/2</f>
        <v>11838.572369877549</v>
      </c>
      <c r="Z24" s="258"/>
      <c r="AA24" s="258">
        <f>(AA21+AC21+AE21+AG21+AI21)/5</f>
        <v>10269.323496778001</v>
      </c>
      <c r="AB24" s="258"/>
      <c r="AC24" s="258">
        <f>(AC21+AE21+AG21+AI21)/4</f>
        <v>9909.8052587224993</v>
      </c>
      <c r="AD24" s="258"/>
      <c r="AE24" s="258">
        <f>(AE21+AG21+AI21)/3</f>
        <v>9421.1070116299998</v>
      </c>
      <c r="AF24" s="258"/>
      <c r="AG24" s="258">
        <f>(AG21+AI21)/2</f>
        <v>8856.5999999999985</v>
      </c>
      <c r="AH24" s="258"/>
      <c r="AI24" s="258">
        <f>(AI21+AK21+AM21+AO21+7624)/5</f>
        <v>8161.6</v>
      </c>
      <c r="AJ24" s="258"/>
      <c r="AK24" s="258">
        <f>(AK21+AM21+AO21+7624)/4</f>
        <v>8022.55</v>
      </c>
      <c r="AL24" s="266"/>
      <c r="AM24" s="258">
        <f>(AM21+AO21+7624)/3</f>
        <v>7880.333333333333</v>
      </c>
      <c r="AN24" s="264"/>
      <c r="AO24" s="258">
        <f>(AO21+7624)/2</f>
        <v>7756.5</v>
      </c>
      <c r="AP24" s="258"/>
    </row>
    <row r="25" spans="1:42">
      <c r="A25" s="246"/>
      <c r="B25" s="256" t="s">
        <v>171</v>
      </c>
      <c r="C25" s="258">
        <v>0</v>
      </c>
      <c r="D25" s="258">
        <v>15445.517989915013</v>
      </c>
      <c r="E25" s="258">
        <v>0</v>
      </c>
      <c r="F25" s="258">
        <v>15088.510163990015</v>
      </c>
      <c r="G25" s="258"/>
      <c r="H25" s="258">
        <v>14646.60483007</v>
      </c>
      <c r="I25" s="258"/>
      <c r="J25" s="258">
        <v>14382.952406762015</v>
      </c>
      <c r="K25" s="258"/>
      <c r="L25" s="258">
        <v>13867.226259267016</v>
      </c>
      <c r="M25" s="258"/>
      <c r="N25" s="258">
        <f>+(M21+O21)/2</f>
        <v>13196.369170499998</v>
      </c>
      <c r="O25" s="258"/>
      <c r="P25" s="267">
        <f>+(O21+Q21)/2</f>
        <v>12813.412844500001</v>
      </c>
      <c r="Q25" s="258"/>
      <c r="R25" s="267">
        <f>+(Q21+S21)/2</f>
        <v>12769.106910359214</v>
      </c>
      <c r="S25" s="264"/>
      <c r="T25" s="267">
        <f>+(S21+U21)/2</f>
        <v>12761.207793509213</v>
      </c>
      <c r="U25" s="258"/>
      <c r="V25" s="267">
        <f>+(U21+W21)/2</f>
        <v>12391.177505149999</v>
      </c>
      <c r="W25" s="258"/>
      <c r="X25" s="267">
        <f>+(W21+Y21)/2</f>
        <v>12080.451145377549</v>
      </c>
      <c r="Y25" s="258"/>
      <c r="Z25" s="267">
        <f>+(Y21+AA21)/2</f>
        <v>11838.572369877549</v>
      </c>
      <c r="AA25" s="258"/>
      <c r="AB25" s="267">
        <f>+(AA21+AC21)/2</f>
        <v>11541.648224500001</v>
      </c>
      <c r="AC25" s="258"/>
      <c r="AD25" s="267">
        <f>+(AC21+AE21)/2</f>
        <v>10963.010517445</v>
      </c>
      <c r="AE25" s="258"/>
      <c r="AF25" s="267">
        <f>+(AE21+AG21)/2</f>
        <v>9772.760517445</v>
      </c>
      <c r="AG25" s="258"/>
      <c r="AH25" s="267">
        <f>+(AG21+AI21)/2</f>
        <v>8856.5999999999985</v>
      </c>
      <c r="AI25" s="258"/>
      <c r="AJ25" s="267">
        <f>+(AI21+AK21)/2</f>
        <v>8583.5</v>
      </c>
      <c r="AK25" s="258"/>
      <c r="AL25" s="267">
        <f>+(AK21+AM21)/2</f>
        <v>8288.6</v>
      </c>
      <c r="AM25" s="264"/>
      <c r="AN25" s="267">
        <f>+(AM21+AO21)/2</f>
        <v>8008.5</v>
      </c>
      <c r="AO25" s="258"/>
      <c r="AP25" s="267">
        <f>+(AO21+7624)/2</f>
        <v>7756.5</v>
      </c>
    </row>
    <row r="26" spans="1:42"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58"/>
      <c r="AD26" s="258"/>
      <c r="AE26" s="264"/>
      <c r="AF26" s="264"/>
      <c r="AG26" s="264"/>
      <c r="AH26" s="264"/>
      <c r="AI26" s="258"/>
      <c r="AJ26" s="264"/>
      <c r="AK26" s="258"/>
      <c r="AL26" s="258"/>
      <c r="AM26" s="264"/>
      <c r="AN26" s="264"/>
      <c r="AO26" s="264"/>
      <c r="AP26" s="264"/>
    </row>
    <row r="27" spans="1:42">
      <c r="A27" s="246"/>
      <c r="B27" s="255" t="s">
        <v>172</v>
      </c>
      <c r="C27" s="258">
        <v>1912.9049799999998</v>
      </c>
      <c r="D27" s="258">
        <v>1132.0052744195648</v>
      </c>
      <c r="E27" s="258">
        <v>2179.1332242249086</v>
      </c>
      <c r="F27" s="258">
        <v>1614.9706175369558</v>
      </c>
      <c r="G27" s="258">
        <f t="shared" ref="G27:H27" si="13">G14/G8*$A$1</f>
        <v>2461.4063914640892</v>
      </c>
      <c r="H27" s="258">
        <f t="shared" si="13"/>
        <v>1879.558285554946</v>
      </c>
      <c r="I27" s="258">
        <f t="shared" ref="I27:J27" si="14">I14/I8*$A$1</f>
        <v>3049.7194763277766</v>
      </c>
      <c r="J27" s="258">
        <f t="shared" si="14"/>
        <v>3049.7194763277766</v>
      </c>
      <c r="K27" s="258">
        <f>K14/K8*$A$1</f>
        <v>1396.2914400000002</v>
      </c>
      <c r="L27" s="258">
        <f>L14/L8*$A$1</f>
        <v>1259.3089599972841</v>
      </c>
      <c r="M27" s="258">
        <f>M14/M8*$A$1</f>
        <v>1446.7562464102564</v>
      </c>
      <c r="N27" s="258">
        <f>N14/N8*$A$1</f>
        <v>1421.8664980434785</v>
      </c>
      <c r="O27" s="258">
        <f>O14/O8*$A$1</f>
        <v>1459.4073892265196</v>
      </c>
      <c r="P27" s="258">
        <f t="shared" ref="P27" si="15">P14/P8*$A$1</f>
        <v>1656.0820350549448</v>
      </c>
      <c r="Q27" s="258">
        <f>Q14/Q8*$A$1</f>
        <v>1260.5474695555556</v>
      </c>
      <c r="R27" s="258">
        <f t="shared" ref="R27:AP27" si="16">R14/R8*$A$1</f>
        <v>1260.5474695555556</v>
      </c>
      <c r="S27" s="258">
        <f t="shared" si="16"/>
        <v>1250.0599264999996</v>
      </c>
      <c r="T27" s="258">
        <f t="shared" si="16"/>
        <v>1323.3162986820639</v>
      </c>
      <c r="U27" s="258">
        <f t="shared" si="16"/>
        <v>1225.0847946978022</v>
      </c>
      <c r="V27" s="258">
        <f t="shared" si="16"/>
        <v>1482.3949588451098</v>
      </c>
      <c r="W27" s="258">
        <f t="shared" si="16"/>
        <v>1092.312393080111</v>
      </c>
      <c r="X27" s="258">
        <f t="shared" si="16"/>
        <v>1086.0439296208801</v>
      </c>
      <c r="Y27" s="258">
        <f t="shared" si="16"/>
        <v>1097.2902046666661</v>
      </c>
      <c r="Z27" s="258">
        <f t="shared" si="16"/>
        <v>1097.2902046666661</v>
      </c>
      <c r="AA27" s="258">
        <f t="shared" si="16"/>
        <v>1086.6732285724045</v>
      </c>
      <c r="AB27" s="258">
        <f t="shared" si="16"/>
        <v>1103.6882958293479</v>
      </c>
      <c r="AC27" s="258">
        <f t="shared" si="16"/>
        <v>1082.7095343295625</v>
      </c>
      <c r="AD27" s="258">
        <f t="shared" si="16"/>
        <v>1668.0549361489132</v>
      </c>
      <c r="AE27" s="258">
        <f t="shared" si="16"/>
        <v>784.75913703296692</v>
      </c>
      <c r="AF27" s="258">
        <f t="shared" si="16"/>
        <v>893.50618615384633</v>
      </c>
      <c r="AG27" s="258">
        <f t="shared" si="16"/>
        <v>677.89725274725276</v>
      </c>
      <c r="AH27" s="258">
        <f t="shared" si="16"/>
        <v>677.89725274725276</v>
      </c>
      <c r="AI27" s="258">
        <f t="shared" si="16"/>
        <v>929.5</v>
      </c>
      <c r="AJ27" s="258">
        <f t="shared" si="16"/>
        <v>767.6902173913046</v>
      </c>
      <c r="AK27" s="258">
        <f t="shared" si="16"/>
        <v>983.87956043956024</v>
      </c>
      <c r="AL27" s="258">
        <f t="shared" si="16"/>
        <v>1219.1396739130439</v>
      </c>
      <c r="AM27" s="258">
        <f t="shared" si="16"/>
        <v>867.12707182320435</v>
      </c>
      <c r="AN27" s="258">
        <f t="shared" si="16"/>
        <v>762.08791208791217</v>
      </c>
      <c r="AO27" s="258">
        <f t="shared" si="16"/>
        <v>973.33333333333326</v>
      </c>
      <c r="AP27" s="258">
        <f t="shared" si="16"/>
        <v>973.33333333333326</v>
      </c>
    </row>
    <row r="28" spans="1:42">
      <c r="A28" s="246"/>
      <c r="B28" s="255" t="s">
        <v>173</v>
      </c>
      <c r="C28" s="258">
        <v>14909.157252500812</v>
      </c>
      <c r="D28" s="258">
        <v>15445.517989915013</v>
      </c>
      <c r="E28" s="258">
        <v>14735.731285376014</v>
      </c>
      <c r="F28" s="258">
        <v>15088.510163990015</v>
      </c>
      <c r="G28" s="258">
        <f>+G24</f>
        <v>14551.583427558013</v>
      </c>
      <c r="H28" s="258">
        <f>+H25</f>
        <v>14646.60483007</v>
      </c>
      <c r="I28" s="258">
        <f>+I24</f>
        <v>14382.952406762015</v>
      </c>
      <c r="J28" s="258">
        <f>+J25</f>
        <v>14382.952406762015</v>
      </c>
      <c r="K28" s="258">
        <f>+K24</f>
        <v>13258.498556850493</v>
      </c>
      <c r="L28" s="258">
        <f>+L25</f>
        <v>13867.226259267016</v>
      </c>
      <c r="M28" s="258">
        <f>+M24</f>
        <v>12982.738040429605</v>
      </c>
      <c r="N28" s="258">
        <f>+N25</f>
        <v>13196.369170499998</v>
      </c>
      <c r="O28" s="258">
        <f>+O24</f>
        <v>12852.68008857281</v>
      </c>
      <c r="P28" s="258">
        <f>+P25</f>
        <v>12813.412844500001</v>
      </c>
      <c r="Q28" s="258">
        <f>+Q24</f>
        <v>12769.106910359214</v>
      </c>
      <c r="R28" s="258">
        <f>+R25</f>
        <v>12769.106910359214</v>
      </c>
      <c r="S28" s="258">
        <f>S24</f>
        <v>12278.142865354706</v>
      </c>
      <c r="T28" s="258">
        <f>+T25</f>
        <v>12761.207793509213</v>
      </c>
      <c r="U28" s="258">
        <f>U24</f>
        <v>12114.874937513774</v>
      </c>
      <c r="V28" s="258">
        <f>+V25</f>
        <v>12391.177505149999</v>
      </c>
      <c r="W28" s="258">
        <f>W24</f>
        <v>11956.099579918366</v>
      </c>
      <c r="X28" s="258">
        <f>+X25</f>
        <v>12080.451145377549</v>
      </c>
      <c r="Y28" s="258">
        <f>Y24</f>
        <v>11838.572369877549</v>
      </c>
      <c r="Z28" s="258">
        <f>+Z25</f>
        <v>11838.572369877549</v>
      </c>
      <c r="AA28" s="258">
        <f>AA24</f>
        <v>10269.323496778001</v>
      </c>
      <c r="AB28" s="258">
        <f>+AB25</f>
        <v>11541.648224500001</v>
      </c>
      <c r="AC28" s="258">
        <f>AC24</f>
        <v>9909.8052587224993</v>
      </c>
      <c r="AD28" s="258">
        <f>+AD25</f>
        <v>10963.010517445</v>
      </c>
      <c r="AE28" s="258">
        <f>AE24</f>
        <v>9421.1070116299998</v>
      </c>
      <c r="AF28" s="258">
        <f>+AF25</f>
        <v>9772.760517445</v>
      </c>
      <c r="AG28" s="258">
        <f>AG24</f>
        <v>8856.5999999999985</v>
      </c>
      <c r="AH28" s="258">
        <f>+AH25</f>
        <v>8856.5999999999985</v>
      </c>
      <c r="AI28" s="258">
        <f>AI24</f>
        <v>8161.6</v>
      </c>
      <c r="AJ28" s="258">
        <f>+AJ25</f>
        <v>8583.5</v>
      </c>
      <c r="AK28" s="258">
        <f>AK24</f>
        <v>8022.55</v>
      </c>
      <c r="AL28" s="258">
        <f>+AL25</f>
        <v>8288.6</v>
      </c>
      <c r="AM28" s="258">
        <f>AM24</f>
        <v>7880.333333333333</v>
      </c>
      <c r="AN28" s="258">
        <f>+AN25</f>
        <v>8008.5</v>
      </c>
      <c r="AO28" s="258">
        <f>AO24</f>
        <v>7756.5</v>
      </c>
      <c r="AP28" s="258">
        <f>+AP25</f>
        <v>7756.5</v>
      </c>
    </row>
    <row r="29" spans="1:42" ht="13.5" thickBot="1">
      <c r="A29" s="321" t="s">
        <v>232</v>
      </c>
      <c r="B29" s="268" t="s">
        <v>174</v>
      </c>
      <c r="C29" s="269">
        <v>0.12830403138172922</v>
      </c>
      <c r="D29" s="269">
        <v>7.3290211125240062E-2</v>
      </c>
      <c r="E29" s="269">
        <v>0.14788090132910586</v>
      </c>
      <c r="F29" s="269">
        <v>0.10703313978547846</v>
      </c>
      <c r="G29" s="269">
        <f t="shared" ref="G29:H29" si="17">G27/G28</f>
        <v>0.16915041608479803</v>
      </c>
      <c r="H29" s="269">
        <f t="shared" si="17"/>
        <v>0.12832723401509039</v>
      </c>
      <c r="I29" s="269">
        <f t="shared" ref="I29:J29" si="18">I27/I28</f>
        <v>0.21203709711880703</v>
      </c>
      <c r="J29" s="269">
        <f t="shared" si="18"/>
        <v>0.21203709711880703</v>
      </c>
      <c r="K29" s="269">
        <f>K27/K28</f>
        <v>0.10531293826468417</v>
      </c>
      <c r="L29" s="269">
        <f t="shared" ref="L29:P29" si="19">L27/L28</f>
        <v>9.0811885264778805E-2</v>
      </c>
      <c r="M29" s="269">
        <f>M27/M28</f>
        <v>0.11143691276099894</v>
      </c>
      <c r="N29" s="269">
        <f t="shared" si="19"/>
        <v>0.10774679608251708</v>
      </c>
      <c r="O29" s="269">
        <f>O27/O28</f>
        <v>0.11354887690109584</v>
      </c>
      <c r="P29" s="269">
        <f t="shared" si="19"/>
        <v>0.1292459749133735</v>
      </c>
      <c r="Q29" s="269">
        <f>Q27/Q28</f>
        <v>9.8718530466129092E-2</v>
      </c>
      <c r="R29" s="269">
        <f t="shared" ref="R29:AP29" si="20">R27/R28</f>
        <v>9.8718530466129092E-2</v>
      </c>
      <c r="S29" s="269">
        <f t="shared" si="20"/>
        <v>0.10181180820328289</v>
      </c>
      <c r="T29" s="269">
        <f t="shared" si="20"/>
        <v>0.10369835834466608</v>
      </c>
      <c r="U29" s="269">
        <f t="shared" si="20"/>
        <v>0.10112236411985737</v>
      </c>
      <c r="V29" s="269">
        <f t="shared" si="20"/>
        <v>0.11963309848712921</v>
      </c>
      <c r="W29" s="269">
        <f t="shared" si="20"/>
        <v>9.1360262247629179E-2</v>
      </c>
      <c r="X29" s="269">
        <f t="shared" si="20"/>
        <v>8.9900941326718817E-2</v>
      </c>
      <c r="Y29" s="269">
        <f t="shared" si="20"/>
        <v>9.2687713550549999E-2</v>
      </c>
      <c r="Z29" s="269">
        <f t="shared" si="20"/>
        <v>9.2687713550549999E-2</v>
      </c>
      <c r="AA29" s="269">
        <f t="shared" si="20"/>
        <v>0.10581741133321471</v>
      </c>
      <c r="AB29" s="269">
        <f t="shared" si="20"/>
        <v>9.5626575542867159E-2</v>
      </c>
      <c r="AC29" s="269">
        <f t="shared" si="20"/>
        <v>0.10925638860325472</v>
      </c>
      <c r="AD29" s="269">
        <f t="shared" si="20"/>
        <v>0.15215299971614585</v>
      </c>
      <c r="AE29" s="269">
        <f t="shared" si="20"/>
        <v>8.3297975074926062E-2</v>
      </c>
      <c r="AF29" s="269">
        <f t="shared" si="20"/>
        <v>9.1428228959348878E-2</v>
      </c>
      <c r="AG29" s="269">
        <f t="shared" si="20"/>
        <v>7.6541477852364662E-2</v>
      </c>
      <c r="AH29" s="269">
        <f t="shared" si="20"/>
        <v>7.6541477852364662E-2</v>
      </c>
      <c r="AI29" s="269">
        <f t="shared" si="20"/>
        <v>0.11388698294452068</v>
      </c>
      <c r="AJ29" s="269">
        <f t="shared" si="20"/>
        <v>8.9437900319369087E-2</v>
      </c>
      <c r="AK29" s="269">
        <f t="shared" si="20"/>
        <v>0.12263925565307293</v>
      </c>
      <c r="AL29" s="269">
        <f t="shared" si="20"/>
        <v>0.14708632023659532</v>
      </c>
      <c r="AM29" s="269">
        <f t="shared" si="20"/>
        <v>0.11003685188738264</v>
      </c>
      <c r="AN29" s="269">
        <f t="shared" si="20"/>
        <v>9.5159881636749974E-2</v>
      </c>
      <c r="AO29" s="269">
        <f t="shared" si="20"/>
        <v>0.12548615139990116</v>
      </c>
      <c r="AP29" s="269">
        <f t="shared" si="20"/>
        <v>0.12548615139990116</v>
      </c>
    </row>
    <row r="30" spans="1:42">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58"/>
      <c r="AK30" s="264"/>
      <c r="AL30" s="264"/>
      <c r="AM30" s="264"/>
      <c r="AN30" s="264"/>
      <c r="AO30" s="264"/>
      <c r="AP30" s="264"/>
    </row>
    <row r="31" spans="1:42">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row>
    <row r="32" spans="1:42">
      <c r="A32" s="252"/>
      <c r="B32" s="255" t="s">
        <v>29</v>
      </c>
      <c r="C32" s="258">
        <v>1930.1984729999999</v>
      </c>
      <c r="D32" s="258">
        <v>489.68872420999998</v>
      </c>
      <c r="E32" s="258">
        <v>1440.5097487899998</v>
      </c>
      <c r="F32" s="258">
        <v>457.45256878999999</v>
      </c>
      <c r="G32" s="258">
        <v>983.0571799999999</v>
      </c>
      <c r="H32" s="258">
        <v>489.34983629999999</v>
      </c>
      <c r="I32" s="258">
        <v>493.70734370000002</v>
      </c>
      <c r="J32" s="258">
        <v>493.70734370000002</v>
      </c>
      <c r="K32" s="258">
        <v>1880.8809209999999</v>
      </c>
      <c r="L32" s="258">
        <v>506.0202109999999</v>
      </c>
      <c r="M32" s="258">
        <v>1374.8607099999999</v>
      </c>
      <c r="N32" s="258">
        <v>456.97613200000001</v>
      </c>
      <c r="O32" s="258">
        <v>917.88457799999992</v>
      </c>
      <c r="P32" s="258">
        <v>468.38580300000001</v>
      </c>
      <c r="Q32" s="258">
        <v>449.49877500000002</v>
      </c>
      <c r="R32" s="258">
        <v>449.49877500000002</v>
      </c>
      <c r="S32" s="258">
        <v>1898.1372920000001</v>
      </c>
      <c r="T32" s="258">
        <v>550.32229100000006</v>
      </c>
      <c r="U32" s="258">
        <v>1347.8150009999999</v>
      </c>
      <c r="V32" s="270">
        <v>432.81500099999994</v>
      </c>
      <c r="W32" s="258">
        <v>915.47488900000008</v>
      </c>
      <c r="X32" s="270">
        <v>478.14488899999998</v>
      </c>
      <c r="Y32" s="258">
        <v>437.33000000000004</v>
      </c>
      <c r="Z32" s="258">
        <v>437.33000000000004</v>
      </c>
      <c r="AA32" s="258">
        <v>1203.043874</v>
      </c>
      <c r="AB32" s="255">
        <v>477</v>
      </c>
      <c r="AC32" s="258">
        <v>726.52359346000003</v>
      </c>
      <c r="AD32" s="258">
        <v>213.72041817000002</v>
      </c>
      <c r="AE32" s="258">
        <v>512.69000000000005</v>
      </c>
      <c r="AF32" s="258">
        <v>259</v>
      </c>
      <c r="AG32" s="258">
        <v>253.10000000000002</v>
      </c>
      <c r="AH32" s="258">
        <v>253.10000000000002</v>
      </c>
      <c r="AI32" s="258">
        <v>1050.9000000000001</v>
      </c>
      <c r="AJ32" s="258">
        <v>291.90000000000003</v>
      </c>
      <c r="AK32" s="258">
        <v>758.3</v>
      </c>
      <c r="AL32" s="258">
        <v>248.42000000000002</v>
      </c>
      <c r="AM32" s="258">
        <v>509</v>
      </c>
      <c r="AN32" s="258">
        <v>251</v>
      </c>
      <c r="AO32" s="258">
        <v>258</v>
      </c>
      <c r="AP32" s="258">
        <v>258</v>
      </c>
    </row>
    <row r="33" spans="1:42">
      <c r="A33" s="252"/>
      <c r="B33" s="255" t="s">
        <v>25</v>
      </c>
      <c r="C33" s="258">
        <v>4288.8856759999999</v>
      </c>
      <c r="D33" s="258">
        <v>928.38598292999984</v>
      </c>
      <c r="E33" s="258">
        <v>3360.4996930699999</v>
      </c>
      <c r="F33" s="258">
        <v>1007.4615580699999</v>
      </c>
      <c r="G33" s="258">
        <v>2353.0381350000002</v>
      </c>
      <c r="H33" s="258">
        <v>1082.0003480000003</v>
      </c>
      <c r="I33" s="258">
        <v>1271.0377869999998</v>
      </c>
      <c r="J33" s="258">
        <v>1271.0377869999998</v>
      </c>
      <c r="K33" s="258">
        <v>3651.2358140000001</v>
      </c>
      <c r="L33" s="258">
        <v>864.13029015000029</v>
      </c>
      <c r="M33" s="258">
        <v>2787.1055239999996</v>
      </c>
      <c r="N33" s="258">
        <v>929.55842200000006</v>
      </c>
      <c r="O33" s="258">
        <v>1857.547102</v>
      </c>
      <c r="P33" s="258">
        <v>993.71646899999996</v>
      </c>
      <c r="Q33" s="258">
        <v>863.83063300000003</v>
      </c>
      <c r="R33" s="258">
        <v>863.83063300000003</v>
      </c>
      <c r="S33" s="258">
        <v>3496.446023</v>
      </c>
      <c r="T33" s="258">
        <v>958.90158899999972</v>
      </c>
      <c r="U33" s="258">
        <v>2537.3532829999999</v>
      </c>
      <c r="V33" s="258">
        <v>923.35328300000015</v>
      </c>
      <c r="W33" s="258">
        <v>1613.8758500000004</v>
      </c>
      <c r="X33" s="258">
        <v>841.29085000000021</v>
      </c>
      <c r="Y33" s="258">
        <v>772.58499999999992</v>
      </c>
      <c r="Z33" s="258">
        <v>772.58499999999992</v>
      </c>
      <c r="AA33" s="258">
        <v>2648.862271</v>
      </c>
      <c r="AB33" s="258">
        <v>813.49246836999998</v>
      </c>
      <c r="AC33" s="258">
        <v>1836.0397904000001</v>
      </c>
      <c r="AD33" s="258">
        <v>804.08037246000004</v>
      </c>
      <c r="AE33" s="258">
        <v>1031.73</v>
      </c>
      <c r="AF33" s="258">
        <v>568.6</v>
      </c>
      <c r="AG33" s="258">
        <v>464.01000000000005</v>
      </c>
      <c r="AH33" s="258">
        <v>464.01000000000005</v>
      </c>
      <c r="AI33" s="258">
        <v>2270.4</v>
      </c>
      <c r="AJ33" s="258">
        <v>551.40000000000009</v>
      </c>
      <c r="AK33" s="258">
        <v>1718.4879999999998</v>
      </c>
      <c r="AL33" s="258">
        <v>643.18000000000006</v>
      </c>
      <c r="AM33" s="258">
        <v>1076</v>
      </c>
      <c r="AN33" s="258">
        <v>519</v>
      </c>
      <c r="AO33" s="258">
        <v>557</v>
      </c>
      <c r="AP33" s="258">
        <v>557</v>
      </c>
    </row>
    <row r="34" spans="1:42" ht="13.5" thickBot="1">
      <c r="A34" s="321" t="s">
        <v>233</v>
      </c>
      <c r="B34" s="268" t="s">
        <v>175</v>
      </c>
      <c r="C34" s="269">
        <v>0.4500466132266287</v>
      </c>
      <c r="D34" s="269">
        <v>0.52746242749651939</v>
      </c>
      <c r="E34" s="269">
        <v>0.42865939007838905</v>
      </c>
      <c r="F34" s="269">
        <v>0.45406453985831935</v>
      </c>
      <c r="G34" s="269">
        <f t="shared" ref="G34:H34" si="21">G32/G33</f>
        <v>0.41778208579692222</v>
      </c>
      <c r="H34" s="269">
        <f t="shared" si="21"/>
        <v>0.4522640285694251</v>
      </c>
      <c r="I34" s="269">
        <f t="shared" ref="I34:N34" si="22">I32/I33</f>
        <v>0.38842853355704376</v>
      </c>
      <c r="J34" s="269">
        <f t="shared" si="22"/>
        <v>0.38842853355704376</v>
      </c>
      <c r="K34" s="269">
        <f t="shared" si="22"/>
        <v>0.51513542724030692</v>
      </c>
      <c r="L34" s="269">
        <f t="shared" si="22"/>
        <v>0.58558323526902667</v>
      </c>
      <c r="M34" s="269">
        <f t="shared" si="22"/>
        <v>0.49329338202696632</v>
      </c>
      <c r="N34" s="269">
        <f t="shared" si="22"/>
        <v>0.49160560668880687</v>
      </c>
      <c r="O34" s="269">
        <f t="shared" ref="O34:P34" si="23">O32/O33</f>
        <v>0.49413798283323418</v>
      </c>
      <c r="P34" s="269">
        <f t="shared" si="23"/>
        <v>0.47134752981536832</v>
      </c>
      <c r="Q34" s="269">
        <f t="shared" ref="Q34:R34" si="24">Q32/Q33</f>
        <v>0.520355215279799</v>
      </c>
      <c r="R34" s="269">
        <f t="shared" si="24"/>
        <v>0.520355215279799</v>
      </c>
      <c r="S34" s="269">
        <f>S32/S33</f>
        <v>0.54287618899701229</v>
      </c>
      <c r="T34" s="269">
        <f t="shared" ref="T34:AP34" si="25">T32/T33</f>
        <v>0.57390904062836023</v>
      </c>
      <c r="U34" s="269">
        <f t="shared" si="25"/>
        <v>0.53118933418937708</v>
      </c>
      <c r="V34" s="269">
        <f t="shared" si="25"/>
        <v>0.46874258094775179</v>
      </c>
      <c r="W34" s="269">
        <f t="shared" si="25"/>
        <v>0.56725236268948442</v>
      </c>
      <c r="X34" s="269">
        <f t="shared" si="25"/>
        <v>0.56834671267374404</v>
      </c>
      <c r="Y34" s="269">
        <f t="shared" si="25"/>
        <v>0.56606069235100354</v>
      </c>
      <c r="Z34" s="269">
        <f t="shared" si="25"/>
        <v>0.56606069235100354</v>
      </c>
      <c r="AA34" s="269">
        <f t="shared" si="25"/>
        <v>0.45417381159112746</v>
      </c>
      <c r="AB34" s="269">
        <f t="shared" si="25"/>
        <v>0.58636068377592721</v>
      </c>
      <c r="AC34" s="269">
        <f t="shared" si="25"/>
        <v>0.39570144245170163</v>
      </c>
      <c r="AD34" s="269">
        <f t="shared" si="25"/>
        <v>0.26579484525426816</v>
      </c>
      <c r="AE34" s="269">
        <f t="shared" si="25"/>
        <v>0.49692264449032214</v>
      </c>
      <c r="AF34" s="269">
        <f t="shared" si="25"/>
        <v>0.45550474850510025</v>
      </c>
      <c r="AG34" s="269">
        <f t="shared" si="25"/>
        <v>0.545462382276244</v>
      </c>
      <c r="AH34" s="269">
        <f t="shared" si="25"/>
        <v>0.545462382276244</v>
      </c>
      <c r="AI34" s="269">
        <f t="shared" si="25"/>
        <v>0.46286997885835096</v>
      </c>
      <c r="AJ34" s="269">
        <f t="shared" si="25"/>
        <v>0.52937976060935799</v>
      </c>
      <c r="AK34" s="269">
        <f t="shared" si="25"/>
        <v>0.44125999134122557</v>
      </c>
      <c r="AL34" s="269">
        <f t="shared" si="25"/>
        <v>0.38623713423924871</v>
      </c>
      <c r="AM34" s="269">
        <f t="shared" si="25"/>
        <v>0.47304832713754646</v>
      </c>
      <c r="AN34" s="269">
        <f t="shared" si="25"/>
        <v>0.48362235067437381</v>
      </c>
      <c r="AO34" s="269">
        <f t="shared" si="25"/>
        <v>0.46319569120287252</v>
      </c>
      <c r="AP34" s="269">
        <f t="shared" si="25"/>
        <v>0.46319569120287252</v>
      </c>
    </row>
    <row r="35" spans="1:42">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58"/>
      <c r="AN35" s="264"/>
      <c r="AO35" s="264"/>
      <c r="AP35" s="264"/>
    </row>
    <row r="36" spans="1:42">
      <c r="A36" s="252"/>
      <c r="B36" s="255" t="s">
        <v>36</v>
      </c>
      <c r="C36" s="258">
        <v>107035.45492119202</v>
      </c>
      <c r="D36" s="258"/>
      <c r="E36" s="258">
        <v>104037.30788707999</v>
      </c>
      <c r="F36" s="258"/>
      <c r="G36" s="258">
        <v>101668.24776078029</v>
      </c>
      <c r="H36" s="258"/>
      <c r="I36" s="258">
        <v>98744.151407699988</v>
      </c>
      <c r="J36" s="258"/>
      <c r="K36" s="258">
        <v>98940.269777329799</v>
      </c>
      <c r="L36" s="258"/>
      <c r="M36" s="258">
        <v>98258.985487460028</v>
      </c>
      <c r="N36" s="258"/>
      <c r="O36" s="258">
        <v>96039.543704459997</v>
      </c>
      <c r="P36" s="264"/>
      <c r="Q36" s="258">
        <v>92817.744119980198</v>
      </c>
      <c r="R36" s="264"/>
      <c r="S36" s="258">
        <v>90460.14825605003</v>
      </c>
      <c r="T36" s="264"/>
      <c r="U36" s="258">
        <v>88945.039514610005</v>
      </c>
      <c r="V36" s="264"/>
      <c r="W36" s="258">
        <v>87527.837190519887</v>
      </c>
      <c r="X36" s="264"/>
      <c r="Y36" s="258">
        <v>84901.214854689984</v>
      </c>
      <c r="Z36" s="264"/>
      <c r="AA36" s="258">
        <v>82944.802144999994</v>
      </c>
      <c r="AB36" s="264"/>
      <c r="AC36" s="258">
        <v>81336.069999999992</v>
      </c>
      <c r="AD36" s="264"/>
      <c r="AE36" s="258">
        <v>79286.388672980014</v>
      </c>
      <c r="AF36" s="264"/>
      <c r="AG36" s="258">
        <v>44307.5</v>
      </c>
      <c r="AH36" s="264"/>
      <c r="AI36" s="258">
        <v>43779.16</v>
      </c>
      <c r="AJ36" s="264"/>
      <c r="AK36" s="258">
        <v>42793.5</v>
      </c>
      <c r="AL36" s="264"/>
      <c r="AM36" s="258">
        <v>42090.69</v>
      </c>
      <c r="AN36" s="264"/>
      <c r="AO36" s="258">
        <v>40483.611327409999</v>
      </c>
      <c r="AP36" s="264"/>
    </row>
    <row r="37" spans="1:42">
      <c r="A37" s="252"/>
      <c r="B37" s="272" t="s">
        <v>159</v>
      </c>
      <c r="C37" s="258">
        <v>42630.288198770002</v>
      </c>
      <c r="D37" s="258"/>
      <c r="E37" s="258">
        <v>42243.659336410004</v>
      </c>
      <c r="F37" s="258"/>
      <c r="G37" s="258">
        <v>41438.065000000002</v>
      </c>
      <c r="H37" s="258"/>
      <c r="I37" s="258">
        <v>40919.316098639996</v>
      </c>
      <c r="J37" s="258"/>
      <c r="K37" s="258">
        <v>39791.910470000003</v>
      </c>
      <c r="L37" s="258"/>
      <c r="M37" s="258">
        <v>38414.786999999997</v>
      </c>
      <c r="N37" s="258"/>
      <c r="O37" s="258">
        <v>37943.764000000003</v>
      </c>
      <c r="P37" s="264"/>
      <c r="Q37" s="258">
        <v>38009.275000000001</v>
      </c>
      <c r="R37" s="264"/>
      <c r="S37" s="258">
        <v>37451.131987000001</v>
      </c>
      <c r="T37" s="264"/>
      <c r="U37" s="258">
        <v>36650.008250999999</v>
      </c>
      <c r="V37" s="264"/>
      <c r="W37" s="258">
        <v>35532.226698999999</v>
      </c>
      <c r="X37" s="264"/>
      <c r="Y37" s="258">
        <v>35521.066979000003</v>
      </c>
      <c r="Z37" s="264"/>
      <c r="AA37" s="258">
        <v>35197.497000000003</v>
      </c>
      <c r="AB37" s="264"/>
      <c r="AC37" s="258">
        <v>35129.561126999994</v>
      </c>
      <c r="AD37" s="264"/>
      <c r="AE37" s="258">
        <v>34766.900999999998</v>
      </c>
      <c r="AF37" s="264"/>
      <c r="AG37" s="273">
        <v>17288.619168000001</v>
      </c>
      <c r="AH37" s="264"/>
      <c r="AI37" s="273">
        <v>16796.622458000002</v>
      </c>
      <c r="AJ37" s="264"/>
      <c r="AK37" s="258">
        <v>16076.098374450001</v>
      </c>
      <c r="AL37" s="264"/>
      <c r="AM37" s="258">
        <v>15329.815615</v>
      </c>
      <c r="AN37" s="264"/>
      <c r="AO37" s="258">
        <v>15533.628225</v>
      </c>
      <c r="AP37" s="264"/>
    </row>
    <row r="38" spans="1:42">
      <c r="A38" s="252"/>
      <c r="B38" s="272" t="s">
        <v>160</v>
      </c>
      <c r="C38" s="258">
        <v>1022.4164379700001</v>
      </c>
      <c r="D38" s="258"/>
      <c r="E38" s="258">
        <v>1028.9756779700001</v>
      </c>
      <c r="F38" s="258"/>
      <c r="G38" s="258">
        <v>1230.3109999999999</v>
      </c>
      <c r="H38" s="258"/>
      <c r="I38" s="258">
        <v>1415.1529349700002</v>
      </c>
      <c r="J38" s="258"/>
      <c r="K38" s="258">
        <v>1432.9786079999999</v>
      </c>
      <c r="L38" s="258"/>
      <c r="M38" s="258">
        <v>1478.806</v>
      </c>
      <c r="N38" s="258"/>
      <c r="O38" s="258">
        <v>1508.4760000000001</v>
      </c>
      <c r="P38" s="264"/>
      <c r="Q38" s="258">
        <v>1605.809</v>
      </c>
      <c r="R38" s="264"/>
      <c r="S38" s="258">
        <v>1623.794453</v>
      </c>
      <c r="T38" s="264"/>
      <c r="U38" s="258">
        <v>1324.1435019999999</v>
      </c>
      <c r="V38" s="264"/>
      <c r="W38" s="258">
        <v>1333.118905</v>
      </c>
      <c r="X38" s="264"/>
      <c r="Y38" s="258">
        <v>1278.919551</v>
      </c>
      <c r="Z38" s="264"/>
      <c r="AA38" s="258">
        <v>1307.7759999999998</v>
      </c>
      <c r="AB38" s="264"/>
      <c r="AC38" s="258">
        <v>1159.912239</v>
      </c>
      <c r="AD38" s="264"/>
      <c r="AE38" s="258">
        <v>1169.7469999999998</v>
      </c>
      <c r="AF38" s="264"/>
      <c r="AG38" s="273">
        <v>560.18392900000003</v>
      </c>
      <c r="AH38" s="264"/>
      <c r="AI38" s="273">
        <v>564.16929500000003</v>
      </c>
      <c r="AJ38" s="264"/>
      <c r="AK38" s="258">
        <v>568.14836700000001</v>
      </c>
      <c r="AL38" s="264"/>
      <c r="AM38" s="258">
        <v>574.10100399999999</v>
      </c>
      <c r="AN38" s="264"/>
      <c r="AO38" s="258">
        <v>601.47104200000001</v>
      </c>
      <c r="AP38" s="264"/>
    </row>
    <row r="39" spans="1:42" ht="13.5" thickBot="1">
      <c r="A39" s="321" t="s">
        <v>234</v>
      </c>
      <c r="B39" s="268" t="s">
        <v>176</v>
      </c>
      <c r="C39" s="274">
        <v>150688.15955793203</v>
      </c>
      <c r="D39" s="274"/>
      <c r="E39" s="274">
        <v>147309.94290146002</v>
      </c>
      <c r="F39" s="274"/>
      <c r="G39" s="274">
        <f t="shared" ref="G39" si="26">+G36+G37+G38</f>
        <v>144336.62376078026</v>
      </c>
      <c r="H39" s="274"/>
      <c r="I39" s="274">
        <f t="shared" ref="I39:M39" si="27">+I36+I37+I38</f>
        <v>141078.62044130999</v>
      </c>
      <c r="J39" s="274"/>
      <c r="K39" s="274">
        <f t="shared" si="27"/>
        <v>140165.15885532982</v>
      </c>
      <c r="L39" s="274"/>
      <c r="M39" s="274">
        <f t="shared" si="27"/>
        <v>138152.57848746004</v>
      </c>
      <c r="N39" s="274"/>
      <c r="O39" s="274">
        <f t="shared" ref="O39:Q39" si="28">+O36+O37+O38</f>
        <v>135491.78370445999</v>
      </c>
      <c r="P39" s="275"/>
      <c r="Q39" s="274">
        <f t="shared" si="28"/>
        <v>132432.8281199802</v>
      </c>
      <c r="R39" s="275"/>
      <c r="S39" s="274">
        <f>+S36+S37+S38</f>
        <v>129535.07469605003</v>
      </c>
      <c r="T39" s="275"/>
      <c r="U39" s="274">
        <f t="shared" ref="U39" si="29">+U36+U37+U38</f>
        <v>126919.19126761002</v>
      </c>
      <c r="V39" s="275"/>
      <c r="W39" s="274">
        <f t="shared" ref="W39" si="30">+W36+W37+W38</f>
        <v>124393.18279451989</v>
      </c>
      <c r="X39" s="275"/>
      <c r="Y39" s="274">
        <f t="shared" ref="Y39" si="31">+Y36+Y37+Y38</f>
        <v>121701.20138468998</v>
      </c>
      <c r="Z39" s="275"/>
      <c r="AA39" s="274">
        <f t="shared" ref="AA39" si="32">+AA36+AA37+AA38</f>
        <v>119450.075145</v>
      </c>
      <c r="AB39" s="275"/>
      <c r="AC39" s="274">
        <f t="shared" ref="AC39" si="33">+AC36+AC37+AC38</f>
        <v>117625.54336599998</v>
      </c>
      <c r="AD39" s="275"/>
      <c r="AE39" s="274">
        <f t="shared" ref="AE39" si="34">+AE36+AE37+AE38</f>
        <v>115223.03667298002</v>
      </c>
      <c r="AF39" s="275"/>
      <c r="AG39" s="274">
        <f t="shared" ref="AG39" si="35">+AG36+AG37+AG38</f>
        <v>62156.303097000004</v>
      </c>
      <c r="AH39" s="275"/>
      <c r="AI39" s="274">
        <f t="shared" ref="AI39" si="36">+AI36+AI37+AI38</f>
        <v>61139.951753000001</v>
      </c>
      <c r="AJ39" s="275"/>
      <c r="AK39" s="274">
        <f t="shared" ref="AK39" si="37">+AK36+AK37+AK38</f>
        <v>59437.746741449999</v>
      </c>
      <c r="AL39" s="275"/>
      <c r="AM39" s="274">
        <f t="shared" ref="AM39" si="38">+AM36+AM37+AM38</f>
        <v>57994.606618999998</v>
      </c>
      <c r="AN39" s="275"/>
      <c r="AO39" s="274">
        <f t="shared" ref="AO39" si="39">+AO36+AO37+AO38</f>
        <v>56618.710594409997</v>
      </c>
      <c r="AP39" s="275"/>
    </row>
    <row r="40" spans="1:42">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58"/>
      <c r="AN40" s="264"/>
      <c r="AO40" s="264"/>
      <c r="AP40" s="264"/>
    </row>
    <row r="41" spans="1:42">
      <c r="A41" s="252"/>
      <c r="B41" s="255" t="s">
        <v>177</v>
      </c>
      <c r="C41" s="258">
        <v>107035.45492119202</v>
      </c>
      <c r="D41" s="258"/>
      <c r="E41" s="258">
        <v>104037.30788707999</v>
      </c>
      <c r="F41" s="258"/>
      <c r="G41" s="258">
        <v>101668.24776078029</v>
      </c>
      <c r="H41" s="258"/>
      <c r="I41" s="258">
        <v>98744.151407699988</v>
      </c>
      <c r="J41" s="258"/>
      <c r="K41" s="258">
        <f>+K36</f>
        <v>98940.269777329799</v>
      </c>
      <c r="L41" s="258"/>
      <c r="M41" s="258">
        <f>+M36</f>
        <v>98258.985487460028</v>
      </c>
      <c r="N41" s="258"/>
      <c r="O41" s="258">
        <v>96039.543704459997</v>
      </c>
      <c r="P41" s="264"/>
      <c r="Q41" s="258">
        <f>+Q36</f>
        <v>92817.744119980198</v>
      </c>
      <c r="R41" s="264"/>
      <c r="S41" s="258">
        <f>+S36</f>
        <v>90460.14825605003</v>
      </c>
      <c r="T41" s="264"/>
      <c r="U41" s="258">
        <f>+U36</f>
        <v>88945.039514610005</v>
      </c>
      <c r="V41" s="264"/>
      <c r="W41" s="258">
        <f>+W36</f>
        <v>87527.837190519887</v>
      </c>
      <c r="X41" s="258"/>
      <c r="Y41" s="258">
        <f>+Y36</f>
        <v>84901.214854689984</v>
      </c>
      <c r="Z41" s="258"/>
      <c r="AA41" s="258">
        <f>+AA36</f>
        <v>82944.802144999994</v>
      </c>
      <c r="AB41" s="258"/>
      <c r="AC41" s="258">
        <f>+AC36</f>
        <v>81336.069999999992</v>
      </c>
      <c r="AD41" s="258"/>
      <c r="AE41" s="258">
        <f>+AE36</f>
        <v>79286.388672980014</v>
      </c>
      <c r="AF41" s="264"/>
      <c r="AG41" s="258">
        <f>+AG36</f>
        <v>44307.5</v>
      </c>
      <c r="AH41" s="264"/>
      <c r="AI41" s="258">
        <f>+AI36</f>
        <v>43779.16</v>
      </c>
      <c r="AJ41" s="264"/>
      <c r="AK41" s="258">
        <f>+AK36</f>
        <v>42793.5</v>
      </c>
      <c r="AL41" s="264"/>
      <c r="AM41" s="258">
        <f>+AM36</f>
        <v>42090.69</v>
      </c>
      <c r="AN41" s="264"/>
      <c r="AO41" s="258">
        <f>+AO36</f>
        <v>40483.611327409999</v>
      </c>
      <c r="AP41" s="264"/>
    </row>
    <row r="42" spans="1:42">
      <c r="A42" s="252"/>
      <c r="B42" s="276" t="s">
        <v>178</v>
      </c>
      <c r="C42" s="262">
        <v>98940.269777329799</v>
      </c>
      <c r="D42" s="262"/>
      <c r="E42" s="262">
        <v>98258.985487460028</v>
      </c>
      <c r="F42" s="262"/>
      <c r="G42" s="262">
        <v>96039.543704459997</v>
      </c>
      <c r="H42" s="262"/>
      <c r="I42" s="262">
        <v>92817.744119980198</v>
      </c>
      <c r="J42" s="262"/>
      <c r="K42" s="262">
        <v>90460.14825605003</v>
      </c>
      <c r="L42" s="262"/>
      <c r="M42" s="262">
        <v>88945.039514610005</v>
      </c>
      <c r="N42" s="262"/>
      <c r="O42" s="262">
        <v>87527.837190519902</v>
      </c>
      <c r="P42" s="277"/>
      <c r="Q42" s="262">
        <f>+Y41</f>
        <v>84901.214854689984</v>
      </c>
      <c r="R42" s="277"/>
      <c r="S42" s="262">
        <f>+AA41</f>
        <v>82944.802144999994</v>
      </c>
      <c r="T42" s="277"/>
      <c r="U42" s="262">
        <f>+AC41</f>
        <v>81336.069999999992</v>
      </c>
      <c r="V42" s="277"/>
      <c r="W42" s="262">
        <f>+AE41</f>
        <v>79286.388672980014</v>
      </c>
      <c r="X42" s="277"/>
      <c r="Y42" s="262">
        <f>+AG41</f>
        <v>44307.5</v>
      </c>
      <c r="Z42" s="277"/>
      <c r="AA42" s="262">
        <f>+AI41</f>
        <v>43779.16</v>
      </c>
      <c r="AB42" s="277"/>
      <c r="AC42" s="262">
        <f>+AK41</f>
        <v>42793.5</v>
      </c>
      <c r="AD42" s="277"/>
      <c r="AE42" s="262">
        <f>+AM41</f>
        <v>42090.69</v>
      </c>
      <c r="AF42" s="277"/>
      <c r="AG42" s="262">
        <f>+AO41</f>
        <v>40483.611327409999</v>
      </c>
      <c r="AH42" s="277"/>
      <c r="AI42" s="278">
        <v>39936</v>
      </c>
      <c r="AJ42" s="279"/>
      <c r="AK42" s="278">
        <v>39233</v>
      </c>
      <c r="AL42" s="279"/>
      <c r="AM42" s="278">
        <v>38256</v>
      </c>
      <c r="AN42" s="279"/>
      <c r="AO42" s="278">
        <v>36885</v>
      </c>
      <c r="AP42" s="277"/>
    </row>
    <row r="43" spans="1:42">
      <c r="A43" s="252"/>
      <c r="B43" s="272" t="s">
        <v>179</v>
      </c>
      <c r="C43" s="258">
        <v>8095.1851438622252</v>
      </c>
      <c r="D43" s="258"/>
      <c r="E43" s="258">
        <v>5778.3223996199667</v>
      </c>
      <c r="F43" s="258"/>
      <c r="G43" s="258">
        <f>+G41-G42</f>
        <v>5628.70405632029</v>
      </c>
      <c r="H43" s="258"/>
      <c r="I43" s="258">
        <v>5926.4072877197905</v>
      </c>
      <c r="J43" s="258"/>
      <c r="K43" s="258">
        <f>+K41-K42</f>
        <v>8480.1215212797688</v>
      </c>
      <c r="L43" s="258"/>
      <c r="M43" s="258">
        <f>+M41-M42</f>
        <v>9313.9459728500224</v>
      </c>
      <c r="N43" s="258"/>
      <c r="O43" s="258">
        <f>+O41-O42</f>
        <v>8511.7065139400947</v>
      </c>
      <c r="P43" s="264"/>
      <c r="Q43" s="258">
        <f>+Q41-Q42</f>
        <v>7916.5292652902135</v>
      </c>
      <c r="R43" s="264"/>
      <c r="S43" s="258">
        <f>+S41-S42</f>
        <v>7515.3461110500357</v>
      </c>
      <c r="T43" s="264"/>
      <c r="U43" s="258">
        <f>+U41-U42</f>
        <v>7608.969514610013</v>
      </c>
      <c r="V43" s="264"/>
      <c r="W43" s="258">
        <f>+W41-W42</f>
        <v>8241.4485175398731</v>
      </c>
      <c r="X43" s="264"/>
      <c r="Y43" s="258">
        <f>+Y41-Y42</f>
        <v>40593.714854689984</v>
      </c>
      <c r="Z43" s="264"/>
      <c r="AA43" s="258">
        <f>+AA41-AA42</f>
        <v>39165.642144999991</v>
      </c>
      <c r="AB43" s="264"/>
      <c r="AC43" s="258">
        <f>+AC41-AC42</f>
        <v>38542.569999999992</v>
      </c>
      <c r="AD43" s="264"/>
      <c r="AE43" s="258">
        <f>+AE41-AE42</f>
        <v>37195.698672980012</v>
      </c>
      <c r="AF43" s="264"/>
      <c r="AG43" s="258">
        <f>+AG41-AG42</f>
        <v>3823.8886725900011</v>
      </c>
      <c r="AH43" s="264"/>
      <c r="AI43" s="258">
        <f>+AI41-AI42</f>
        <v>3843.1600000000035</v>
      </c>
      <c r="AJ43" s="264"/>
      <c r="AK43" s="258">
        <f>+AK41-AK42</f>
        <v>3560.5</v>
      </c>
      <c r="AL43" s="264"/>
      <c r="AM43" s="258">
        <f>+AM41-AM42</f>
        <v>3834.6900000000023</v>
      </c>
      <c r="AN43" s="264"/>
      <c r="AO43" s="258">
        <f>+AO41-AO42</f>
        <v>3598.6113274099989</v>
      </c>
      <c r="AP43" s="264"/>
    </row>
    <row r="44" spans="1:42">
      <c r="A44" s="252"/>
      <c r="B44" s="280" t="s">
        <v>180</v>
      </c>
      <c r="C44" s="258">
        <v>98940.269777329799</v>
      </c>
      <c r="D44" s="258"/>
      <c r="E44" s="258">
        <v>98258.985487460028</v>
      </c>
      <c r="F44" s="258"/>
      <c r="G44" s="258">
        <f>+G42</f>
        <v>96039.543704459997</v>
      </c>
      <c r="H44" s="258"/>
      <c r="I44" s="258">
        <v>92817.744119980198</v>
      </c>
      <c r="J44" s="258"/>
      <c r="K44" s="258">
        <f>+K42</f>
        <v>90460.14825605003</v>
      </c>
      <c r="L44" s="258"/>
      <c r="M44" s="258">
        <f>+M42</f>
        <v>88945.039514610005</v>
      </c>
      <c r="N44" s="258"/>
      <c r="O44" s="258">
        <f>+O42</f>
        <v>87527.837190519902</v>
      </c>
      <c r="P44" s="264"/>
      <c r="Q44" s="258">
        <f>+Q42</f>
        <v>84901.214854689984</v>
      </c>
      <c r="R44" s="264"/>
      <c r="S44" s="258">
        <f>+S42</f>
        <v>82944.802144999994</v>
      </c>
      <c r="T44" s="264"/>
      <c r="U44" s="258">
        <f>+U42</f>
        <v>81336.069999999992</v>
      </c>
      <c r="V44" s="264"/>
      <c r="W44" s="258">
        <f>+W42</f>
        <v>79286.388672980014</v>
      </c>
      <c r="X44" s="264"/>
      <c r="Y44" s="258">
        <f>+Y42</f>
        <v>44307.5</v>
      </c>
      <c r="Z44" s="264"/>
      <c r="AA44" s="258">
        <f>+AA42</f>
        <v>43779.16</v>
      </c>
      <c r="AB44" s="264"/>
      <c r="AC44" s="258">
        <f>+AC42</f>
        <v>42793.5</v>
      </c>
      <c r="AD44" s="264"/>
      <c r="AE44" s="258">
        <f>+AE42</f>
        <v>42090.69</v>
      </c>
      <c r="AF44" s="264"/>
      <c r="AG44" s="258">
        <f>+AG42</f>
        <v>40483.611327409999</v>
      </c>
      <c r="AH44" s="264"/>
      <c r="AI44" s="258">
        <f>+AI42</f>
        <v>39936</v>
      </c>
      <c r="AJ44" s="264"/>
      <c r="AK44" s="258">
        <f>+AK42</f>
        <v>39233</v>
      </c>
      <c r="AL44" s="264"/>
      <c r="AM44" s="258">
        <f>+AM42</f>
        <v>38256</v>
      </c>
      <c r="AN44" s="264"/>
      <c r="AO44" s="258">
        <f>+AO42</f>
        <v>36885</v>
      </c>
      <c r="AP44" s="264"/>
    </row>
    <row r="45" spans="1:42" ht="13.5" thickBot="1">
      <c r="A45" s="321" t="s">
        <v>235</v>
      </c>
      <c r="B45" s="268" t="s">
        <v>181</v>
      </c>
      <c r="C45" s="269">
        <v>8.1818911168130615E-2</v>
      </c>
      <c r="D45" s="269"/>
      <c r="E45" s="269">
        <v>5.8807063506241937E-2</v>
      </c>
      <c r="F45" s="269"/>
      <c r="G45" s="269">
        <f>+G43/G44</f>
        <v>5.860819240917424E-2</v>
      </c>
      <c r="H45" s="269"/>
      <c r="I45" s="269">
        <f>+I43/I44</f>
        <v>6.3849938865774003E-2</v>
      </c>
      <c r="J45" s="269"/>
      <c r="K45" s="269">
        <f>+K43/K44</f>
        <v>9.3744280600519717E-2</v>
      </c>
      <c r="L45" s="269"/>
      <c r="M45" s="269">
        <f>+M43/M44</f>
        <v>0.10471574383099942</v>
      </c>
      <c r="N45" s="269"/>
      <c r="O45" s="269">
        <f>(O36-W36)/W36</f>
        <v>9.7245708190102628E-2</v>
      </c>
      <c r="P45" s="271"/>
      <c r="Q45" s="269">
        <f>(Q36-Y36)/Y36</f>
        <v>9.3244004562708566E-2</v>
      </c>
      <c r="R45" s="271"/>
      <c r="S45" s="269">
        <f>S43/S44</f>
        <v>9.0606595189799591E-2</v>
      </c>
      <c r="T45" s="271"/>
      <c r="U45" s="269">
        <f>U43/U44</f>
        <v>9.3549756148901875E-2</v>
      </c>
      <c r="V45" s="271"/>
      <c r="W45" s="269">
        <f>W43/W44</f>
        <v>0.10394531338199887</v>
      </c>
      <c r="X45" s="271"/>
      <c r="Y45" s="269">
        <f>Y43/Y44</f>
        <v>0.91618156868904777</v>
      </c>
      <c r="Z45" s="271"/>
      <c r="AA45" s="269">
        <f>AA43/AA44</f>
        <v>0.8946184016550337</v>
      </c>
      <c r="AB45" s="271"/>
      <c r="AC45" s="269">
        <f>AC43/AC44</f>
        <v>0.90066411955086623</v>
      </c>
      <c r="AD45" s="271"/>
      <c r="AE45" s="269">
        <f>AE43/AE44</f>
        <v>0.88370370438165802</v>
      </c>
      <c r="AF45" s="271"/>
      <c r="AG45" s="269">
        <f>AG43/AG44</f>
        <v>9.4455226379495036E-2</v>
      </c>
      <c r="AH45" s="271"/>
      <c r="AI45" s="269">
        <f>AI43/AI44</f>
        <v>9.6232972756410337E-2</v>
      </c>
      <c r="AJ45" s="271"/>
      <c r="AK45" s="269">
        <f>AK43/AK44</f>
        <v>9.0752682690592099E-2</v>
      </c>
      <c r="AL45" s="271"/>
      <c r="AM45" s="269">
        <f>AM43/AM44</f>
        <v>0.10023760978670018</v>
      </c>
      <c r="AN45" s="271"/>
      <c r="AO45" s="269">
        <f>AO43/AO44</f>
        <v>9.7563001963128615E-2</v>
      </c>
      <c r="AP45" s="271"/>
    </row>
    <row r="46" spans="1:42">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row>
    <row r="47" spans="1:42">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row>
    <row r="48" spans="1:42">
      <c r="A48" s="252"/>
      <c r="B48" s="256" t="s">
        <v>182</v>
      </c>
      <c r="C48" s="258">
        <v>150688.15955793203</v>
      </c>
      <c r="D48" s="258"/>
      <c r="E48" s="258">
        <v>147309.94290146002</v>
      </c>
      <c r="F48" s="258"/>
      <c r="G48" s="258">
        <v>144336.62376078026</v>
      </c>
      <c r="H48" s="258"/>
      <c r="I48" s="258">
        <v>141078.62044130999</v>
      </c>
      <c r="J48" s="258"/>
      <c r="K48" s="258">
        <v>140165.15885532982</v>
      </c>
      <c r="L48" s="258"/>
      <c r="M48" s="258">
        <v>138152.57848746004</v>
      </c>
      <c r="N48" s="258"/>
      <c r="O48" s="258">
        <v>135491.78370445999</v>
      </c>
      <c r="P48" s="264"/>
      <c r="Q48" s="258">
        <f>Q39</f>
        <v>132432.8281199802</v>
      </c>
      <c r="R48" s="264"/>
      <c r="S48" s="258">
        <f>S39</f>
        <v>129535.07469605003</v>
      </c>
      <c r="T48" s="264"/>
      <c r="U48" s="258">
        <f>U39</f>
        <v>126919.19126761002</v>
      </c>
      <c r="V48" s="264"/>
      <c r="W48" s="258">
        <f>W39</f>
        <v>124393.18279451989</v>
      </c>
      <c r="X48" s="264"/>
      <c r="Y48" s="258">
        <f>Y39</f>
        <v>121701.20138468998</v>
      </c>
      <c r="Z48" s="264"/>
      <c r="AA48" s="258">
        <f>AA39</f>
        <v>119450.075145</v>
      </c>
      <c r="AB48" s="264"/>
      <c r="AC48" s="258">
        <f>AC39</f>
        <v>117625.54336599998</v>
      </c>
      <c r="AD48" s="264"/>
      <c r="AE48" s="258">
        <f>AE39</f>
        <v>115223.03667298002</v>
      </c>
      <c r="AF48" s="264"/>
      <c r="AG48" s="258">
        <f>AG39</f>
        <v>62156.303097000004</v>
      </c>
      <c r="AH48" s="264"/>
      <c r="AI48" s="258">
        <f>AI39</f>
        <v>61139.951753000001</v>
      </c>
      <c r="AJ48" s="264"/>
      <c r="AK48" s="258">
        <f>AK39</f>
        <v>59437.746741449999</v>
      </c>
      <c r="AL48" s="264"/>
      <c r="AM48" s="258">
        <f>AM39</f>
        <v>57994.606618999998</v>
      </c>
      <c r="AN48" s="264"/>
      <c r="AO48" s="258">
        <f>AO39</f>
        <v>56618.710594409997</v>
      </c>
      <c r="AP48" s="264"/>
    </row>
    <row r="49" spans="1:42">
      <c r="A49" s="252"/>
      <c r="B49" s="276" t="s">
        <v>183</v>
      </c>
      <c r="C49" s="262">
        <v>140165.15885532982</v>
      </c>
      <c r="D49" s="262"/>
      <c r="E49" s="262">
        <v>138152.57848746004</v>
      </c>
      <c r="F49" s="262"/>
      <c r="G49" s="262">
        <v>135491.78370445999</v>
      </c>
      <c r="H49" s="262"/>
      <c r="I49" s="262">
        <v>132432.8281199802</v>
      </c>
      <c r="J49" s="262"/>
      <c r="K49" s="262">
        <v>129535.07469605003</v>
      </c>
      <c r="L49" s="262"/>
      <c r="M49" s="262">
        <v>126919.19126761002</v>
      </c>
      <c r="N49" s="262"/>
      <c r="O49" s="262">
        <v>124393.18279451989</v>
      </c>
      <c r="P49" s="277"/>
      <c r="Q49" s="262">
        <f>+Y39</f>
        <v>121701.20138468998</v>
      </c>
      <c r="R49" s="277"/>
      <c r="S49" s="262">
        <f>+AA39</f>
        <v>119450.075145</v>
      </c>
      <c r="T49" s="277"/>
      <c r="U49" s="262">
        <f>+AC39</f>
        <v>117625.54336599998</v>
      </c>
      <c r="V49" s="277"/>
      <c r="W49" s="262">
        <f>+AE39</f>
        <v>115223.03667298002</v>
      </c>
      <c r="X49" s="277"/>
      <c r="Y49" s="262">
        <f>+AG39</f>
        <v>62156.303097000004</v>
      </c>
      <c r="Z49" s="277"/>
      <c r="AA49" s="262">
        <f>+AI39</f>
        <v>61139.951753000001</v>
      </c>
      <c r="AB49" s="277"/>
      <c r="AC49" s="262">
        <f>+AK39</f>
        <v>59437.746741449999</v>
      </c>
      <c r="AD49" s="277"/>
      <c r="AE49" s="262">
        <f>+AM39</f>
        <v>57994.606618999998</v>
      </c>
      <c r="AF49" s="277"/>
      <c r="AG49" s="262">
        <f>+AO39</f>
        <v>56618.710594409997</v>
      </c>
      <c r="AH49" s="277"/>
      <c r="AI49" s="278">
        <v>55930</v>
      </c>
      <c r="AJ49" s="279"/>
      <c r="AK49" s="278">
        <v>54806</v>
      </c>
      <c r="AL49" s="279"/>
      <c r="AM49" s="278">
        <v>53916</v>
      </c>
      <c r="AN49" s="279"/>
      <c r="AO49" s="278">
        <v>52579</v>
      </c>
      <c r="AP49" s="277"/>
    </row>
    <row r="50" spans="1:42">
      <c r="A50" s="252"/>
      <c r="B50" s="272" t="s">
        <v>184</v>
      </c>
      <c r="C50" s="258">
        <v>10523.000702602207</v>
      </c>
      <c r="D50" s="258"/>
      <c r="E50" s="258">
        <v>9157.3644139999815</v>
      </c>
      <c r="F50" s="258"/>
      <c r="G50" s="258">
        <f>G48-G49</f>
        <v>8844.840056320274</v>
      </c>
      <c r="H50" s="258"/>
      <c r="I50" s="258">
        <v>8645.7923213297909</v>
      </c>
      <c r="J50" s="258"/>
      <c r="K50" s="258">
        <f>K48-K49</f>
        <v>10630.084159279795</v>
      </c>
      <c r="L50" s="258"/>
      <c r="M50" s="258">
        <f>M48-M49</f>
        <v>11233.387219850018</v>
      </c>
      <c r="N50" s="258"/>
      <c r="O50" s="258">
        <f>O48-O49</f>
        <v>11098.600909940098</v>
      </c>
      <c r="P50" s="264"/>
      <c r="Q50" s="258">
        <f>Q48-Q49</f>
        <v>10731.626735290221</v>
      </c>
      <c r="R50" s="264"/>
      <c r="S50" s="258">
        <f>S48-S49</f>
        <v>10084.99955105003</v>
      </c>
      <c r="T50" s="264"/>
      <c r="U50" s="258">
        <f>U48-U49</f>
        <v>9293.6479016100348</v>
      </c>
      <c r="V50" s="264"/>
      <c r="W50" s="258">
        <f>W48-W49</f>
        <v>9170.146121539874</v>
      </c>
      <c r="X50" s="264"/>
      <c r="Y50" s="258">
        <f>Y48-Y49</f>
        <v>59544.898287689975</v>
      </c>
      <c r="Z50" s="264"/>
      <c r="AA50" s="258">
        <f>AA48-AA49</f>
        <v>58310.123391999994</v>
      </c>
      <c r="AB50" s="264"/>
      <c r="AC50" s="258">
        <f>AC48-AC49</f>
        <v>58187.796624549985</v>
      </c>
      <c r="AD50" s="264"/>
      <c r="AE50" s="258">
        <f>AE48-AE49</f>
        <v>57228.430053980017</v>
      </c>
      <c r="AF50" s="264"/>
      <c r="AG50" s="258">
        <f>AG48-AG49</f>
        <v>5537.5925025900069</v>
      </c>
      <c r="AH50" s="264"/>
      <c r="AI50" s="258">
        <f>AI48-AI49</f>
        <v>5209.9517530000012</v>
      </c>
      <c r="AJ50" s="264"/>
      <c r="AK50" s="258">
        <f>AK48-AK49</f>
        <v>4631.7467414499988</v>
      </c>
      <c r="AL50" s="264"/>
      <c r="AM50" s="258">
        <f>AM48-AM49</f>
        <v>4078.6066189999983</v>
      </c>
      <c r="AN50" s="264"/>
      <c r="AO50" s="258">
        <f>AO48-AO49</f>
        <v>4039.7105944099967</v>
      </c>
      <c r="AP50" s="264"/>
    </row>
    <row r="51" spans="1:42">
      <c r="A51" s="252"/>
      <c r="B51" s="280" t="s">
        <v>185</v>
      </c>
      <c r="C51" s="258">
        <v>140165.15885532982</v>
      </c>
      <c r="D51" s="258"/>
      <c r="E51" s="258">
        <v>138152.57848746004</v>
      </c>
      <c r="F51" s="258"/>
      <c r="G51" s="258">
        <f>+G49</f>
        <v>135491.78370445999</v>
      </c>
      <c r="H51" s="258"/>
      <c r="I51" s="258">
        <v>132432.8281199802</v>
      </c>
      <c r="J51" s="258"/>
      <c r="K51" s="258">
        <f>+K49</f>
        <v>129535.07469605003</v>
      </c>
      <c r="L51" s="258"/>
      <c r="M51" s="258">
        <f>+M49</f>
        <v>126919.19126761002</v>
      </c>
      <c r="N51" s="258"/>
      <c r="O51" s="258">
        <f>O49</f>
        <v>124393.18279451989</v>
      </c>
      <c r="P51" s="264"/>
      <c r="Q51" s="258">
        <f>Q49</f>
        <v>121701.20138468998</v>
      </c>
      <c r="R51" s="264"/>
      <c r="S51" s="258">
        <f>S49</f>
        <v>119450.075145</v>
      </c>
      <c r="T51" s="264"/>
      <c r="U51" s="258">
        <f>U49</f>
        <v>117625.54336599998</v>
      </c>
      <c r="V51" s="264"/>
      <c r="W51" s="258">
        <f>W49</f>
        <v>115223.03667298002</v>
      </c>
      <c r="X51" s="264"/>
      <c r="Y51" s="258">
        <f>Y49</f>
        <v>62156.303097000004</v>
      </c>
      <c r="Z51" s="264"/>
      <c r="AA51" s="258">
        <f>AA49</f>
        <v>61139.951753000001</v>
      </c>
      <c r="AB51" s="264"/>
      <c r="AC51" s="258">
        <f>AC49</f>
        <v>59437.746741449999</v>
      </c>
      <c r="AD51" s="264"/>
      <c r="AE51" s="258">
        <f>AE49</f>
        <v>57994.606618999998</v>
      </c>
      <c r="AF51" s="264"/>
      <c r="AG51" s="258">
        <f>AG49</f>
        <v>56618.710594409997</v>
      </c>
      <c r="AH51" s="264"/>
      <c r="AI51" s="258">
        <f>AI49</f>
        <v>55930</v>
      </c>
      <c r="AJ51" s="264"/>
      <c r="AK51" s="258">
        <f>AK49</f>
        <v>54806</v>
      </c>
      <c r="AL51" s="264"/>
      <c r="AM51" s="258">
        <f>AM49</f>
        <v>53916</v>
      </c>
      <c r="AN51" s="264"/>
      <c r="AO51" s="258">
        <f>AO49</f>
        <v>52579</v>
      </c>
      <c r="AP51" s="264"/>
    </row>
    <row r="52" spans="1:42" ht="13.5" thickBot="1">
      <c r="A52" s="321" t="s">
        <v>243</v>
      </c>
      <c r="B52" s="281" t="s">
        <v>186</v>
      </c>
      <c r="C52" s="269">
        <v>7.5075723443251863E-2</v>
      </c>
      <c r="D52" s="269"/>
      <c r="E52" s="269">
        <v>6.6284426351341574E-2</v>
      </c>
      <c r="F52" s="269"/>
      <c r="G52" s="269">
        <f>+G50/G51</f>
        <v>6.5279530717618911E-2</v>
      </c>
      <c r="H52" s="269"/>
      <c r="I52" s="269">
        <f>+I50/I51</f>
        <v>6.5284359203572701E-2</v>
      </c>
      <c r="J52" s="269"/>
      <c r="K52" s="269">
        <f>+K50/K51</f>
        <v>8.206336534118619E-2</v>
      </c>
      <c r="L52" s="269"/>
      <c r="M52" s="269">
        <f>+M50/M51</f>
        <v>8.850818467763745E-2</v>
      </c>
      <c r="N52" s="269"/>
      <c r="O52" s="269">
        <f>(O39-W39)/W39</f>
        <v>8.9221938538813911E-2</v>
      </c>
      <c r="P52" s="271"/>
      <c r="Q52" s="269">
        <f>(Q39-Y39)/Y39</f>
        <v>8.8180121586213536E-2</v>
      </c>
      <c r="R52" s="271"/>
      <c r="S52" s="269">
        <f>S50/S51</f>
        <v>8.4428574354665636E-2</v>
      </c>
      <c r="T52" s="271"/>
      <c r="U52" s="269">
        <f>(U39-AC39)/AC39</f>
        <v>7.9010456705753185E-2</v>
      </c>
      <c r="V52" s="271"/>
      <c r="W52" s="269">
        <f>(W39-AE39)/AE39</f>
        <v>7.9586047949474742E-2</v>
      </c>
      <c r="X52" s="271"/>
      <c r="Y52" s="269">
        <f>(Y39-AG39)/AG39</f>
        <v>0.95798648440794942</v>
      </c>
      <c r="Z52" s="271"/>
      <c r="AA52" s="269">
        <f>(AA39-AI39)/AI39</f>
        <v>0.95371556110426348</v>
      </c>
      <c r="AB52" s="271"/>
      <c r="AC52" s="269">
        <f>(AC39-AK39)/AK39</f>
        <v>0.97897043233591596</v>
      </c>
      <c r="AD52" s="271"/>
      <c r="AE52" s="269">
        <f>(AE39-AM39)/AM39</f>
        <v>0.98678883072604606</v>
      </c>
      <c r="AF52" s="271"/>
      <c r="AG52" s="269">
        <f>(AG39-AO39)/AO39</f>
        <v>9.7804991396902935E-2</v>
      </c>
      <c r="AH52" s="271"/>
      <c r="AI52" s="269">
        <f>AI50/AI51</f>
        <v>9.3151291846951562E-2</v>
      </c>
      <c r="AJ52" s="271"/>
      <c r="AK52" s="269">
        <f>AK50/AK51</f>
        <v>8.4511672836003332E-2</v>
      </c>
      <c r="AL52" s="271"/>
      <c r="AM52" s="269">
        <f>AM50/AM51</f>
        <v>7.5647425977446364E-2</v>
      </c>
      <c r="AN52" s="271"/>
      <c r="AO52" s="269">
        <f>AO50/AO51</f>
        <v>7.6831255718252472E-2</v>
      </c>
      <c r="AP52" s="271"/>
    </row>
    <row r="53" spans="1:42">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row>
    <row r="54" spans="1:42">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row>
    <row r="55" spans="1:42">
      <c r="A55" s="252"/>
      <c r="B55" s="255" t="s">
        <v>161</v>
      </c>
      <c r="C55" s="258">
        <v>78493.732629149992</v>
      </c>
      <c r="D55" s="258"/>
      <c r="E55" s="258">
        <v>76866.417997609999</v>
      </c>
      <c r="F55" s="258"/>
      <c r="G55" s="258">
        <v>77352.269637999998</v>
      </c>
      <c r="H55" s="258"/>
      <c r="I55" s="258">
        <v>72377.261180020068</v>
      </c>
      <c r="J55" s="258"/>
      <c r="K55" s="258">
        <v>71496.705265899989</v>
      </c>
      <c r="L55" s="258"/>
      <c r="M55" s="258">
        <v>70251.127166959704</v>
      </c>
      <c r="N55" s="258"/>
      <c r="O55" s="258">
        <v>70644.62560828017</v>
      </c>
      <c r="P55" s="264"/>
      <c r="Q55" s="258">
        <v>66109.582498999996</v>
      </c>
      <c r="R55" s="264"/>
      <c r="S55" s="258">
        <v>65985.425443</v>
      </c>
      <c r="T55" s="264"/>
      <c r="U55" s="258">
        <v>65267.820076999997</v>
      </c>
      <c r="V55" s="264"/>
      <c r="W55" s="258">
        <v>66652.514345999996</v>
      </c>
      <c r="X55" s="264"/>
      <c r="Y55" s="258">
        <v>62781.777000000002</v>
      </c>
      <c r="Z55" s="264"/>
      <c r="AA55" s="258">
        <v>63070.315360000001</v>
      </c>
      <c r="AB55" s="264"/>
      <c r="AC55" s="258">
        <v>62106.781999999999</v>
      </c>
      <c r="AD55" s="264"/>
      <c r="AE55" s="258">
        <v>62636.800000000003</v>
      </c>
      <c r="AF55" s="264"/>
      <c r="AG55" s="258">
        <v>33674.5</v>
      </c>
      <c r="AH55" s="264"/>
      <c r="AI55" s="258">
        <v>33458.199999999997</v>
      </c>
      <c r="AJ55" s="264"/>
      <c r="AK55" s="258">
        <v>33052.400000000001</v>
      </c>
      <c r="AL55" s="264"/>
      <c r="AM55" s="258">
        <v>33205</v>
      </c>
      <c r="AN55" s="264"/>
      <c r="AO55" s="258">
        <v>31054</v>
      </c>
      <c r="AP55" s="264"/>
    </row>
    <row r="56" spans="1:42">
      <c r="A56" s="252"/>
      <c r="B56" s="255" t="s">
        <v>187</v>
      </c>
      <c r="C56" s="258">
        <v>107035.45492119202</v>
      </c>
      <c r="D56" s="258"/>
      <c r="E56" s="258">
        <v>104037.30788707999</v>
      </c>
      <c r="F56" s="258"/>
      <c r="G56" s="258">
        <v>101668.24776078029</v>
      </c>
      <c r="H56" s="258"/>
      <c r="I56" s="258">
        <v>98744.151407699988</v>
      </c>
      <c r="J56" s="258"/>
      <c r="K56" s="258">
        <f>+K41</f>
        <v>98940.269777329799</v>
      </c>
      <c r="L56" s="258"/>
      <c r="M56" s="258">
        <f>+M41</f>
        <v>98258.985487460028</v>
      </c>
      <c r="N56" s="258"/>
      <c r="O56" s="258">
        <v>96039.543704459997</v>
      </c>
      <c r="P56" s="264"/>
      <c r="Q56" s="258">
        <f>+Q36</f>
        <v>92817.744119980198</v>
      </c>
      <c r="R56" s="264"/>
      <c r="S56" s="258">
        <f t="shared" ref="S56:AO56" si="40">+S36</f>
        <v>90460.14825605003</v>
      </c>
      <c r="T56" s="264"/>
      <c r="U56" s="258">
        <f t="shared" si="40"/>
        <v>88945.039514610005</v>
      </c>
      <c r="V56" s="264"/>
      <c r="W56" s="258">
        <f t="shared" si="40"/>
        <v>87527.837190519887</v>
      </c>
      <c r="X56" s="264"/>
      <c r="Y56" s="258">
        <f t="shared" si="40"/>
        <v>84901.214854689984</v>
      </c>
      <c r="Z56" s="264"/>
      <c r="AA56" s="258">
        <f t="shared" si="40"/>
        <v>82944.802144999994</v>
      </c>
      <c r="AB56" s="264"/>
      <c r="AC56" s="258">
        <f t="shared" si="40"/>
        <v>81336.069999999992</v>
      </c>
      <c r="AD56" s="264"/>
      <c r="AE56" s="258">
        <f t="shared" si="40"/>
        <v>79286.388672980014</v>
      </c>
      <c r="AF56" s="264"/>
      <c r="AG56" s="258">
        <f t="shared" si="40"/>
        <v>44307.5</v>
      </c>
      <c r="AH56" s="264"/>
      <c r="AI56" s="258">
        <f t="shared" si="40"/>
        <v>43779.16</v>
      </c>
      <c r="AJ56" s="264"/>
      <c r="AK56" s="258">
        <f t="shared" si="40"/>
        <v>42793.5</v>
      </c>
      <c r="AL56" s="264"/>
      <c r="AM56" s="258">
        <f t="shared" si="40"/>
        <v>42090.69</v>
      </c>
      <c r="AN56" s="264"/>
      <c r="AO56" s="258">
        <f t="shared" si="40"/>
        <v>40483.611327409999</v>
      </c>
      <c r="AP56" s="264"/>
    </row>
    <row r="57" spans="1:42" ht="13.5" thickBot="1">
      <c r="A57" s="321" t="s">
        <v>237</v>
      </c>
      <c r="B57" s="268" t="s">
        <v>158</v>
      </c>
      <c r="C57" s="269">
        <v>0.7333432897252905</v>
      </c>
      <c r="D57" s="269"/>
      <c r="E57" s="269">
        <v>0.73883513096128228</v>
      </c>
      <c r="F57" s="269"/>
      <c r="G57" s="269">
        <f>G55/G56</f>
        <v>0.76083016420235328</v>
      </c>
      <c r="H57" s="269"/>
      <c r="I57" s="269">
        <f>I55/I56</f>
        <v>0.73297770195203837</v>
      </c>
      <c r="J57" s="269"/>
      <c r="K57" s="269">
        <f>K55/K56</f>
        <v>0.72262492741132633</v>
      </c>
      <c r="L57" s="269"/>
      <c r="M57" s="269">
        <f>M55/M56</f>
        <v>0.71495880828044234</v>
      </c>
      <c r="N57" s="269"/>
      <c r="O57" s="269">
        <f>O55/O36</f>
        <v>0.73557852196458839</v>
      </c>
      <c r="P57" s="271"/>
      <c r="Q57" s="269">
        <f>Q55/Q36</f>
        <v>0.71225155411603103</v>
      </c>
      <c r="R57" s="271"/>
      <c r="S57" s="269">
        <f>S55/S56</f>
        <v>0.72944193343820718</v>
      </c>
      <c r="T57" s="271"/>
      <c r="U57" s="269">
        <f t="shared" ref="U57:AO57" si="41">U55/U56</f>
        <v>0.73379943876779308</v>
      </c>
      <c r="V57" s="271"/>
      <c r="W57" s="269">
        <f t="shared" si="41"/>
        <v>0.76150075776371529</v>
      </c>
      <c r="X57" s="271"/>
      <c r="Y57" s="269">
        <f t="shared" si="41"/>
        <v>0.73946853537316504</v>
      </c>
      <c r="Z57" s="271"/>
      <c r="AA57" s="269">
        <f t="shared" si="41"/>
        <v>0.7603890024325286</v>
      </c>
      <c r="AB57" s="271"/>
      <c r="AC57" s="269">
        <f t="shared" si="41"/>
        <v>0.76358228274368312</v>
      </c>
      <c r="AD57" s="271"/>
      <c r="AE57" s="269">
        <f t="shared" si="41"/>
        <v>0.79000697406396037</v>
      </c>
      <c r="AF57" s="271"/>
      <c r="AG57" s="269">
        <f t="shared" si="41"/>
        <v>0.760018055633922</v>
      </c>
      <c r="AH57" s="271"/>
      <c r="AI57" s="269">
        <f t="shared" si="41"/>
        <v>0.76424947395061926</v>
      </c>
      <c r="AJ57" s="271"/>
      <c r="AK57" s="269">
        <f t="shared" si="41"/>
        <v>0.77236963557549632</v>
      </c>
      <c r="AL57" s="271"/>
      <c r="AM57" s="269">
        <f t="shared" si="41"/>
        <v>0.78889179531150466</v>
      </c>
      <c r="AN57" s="271"/>
      <c r="AO57" s="269">
        <f t="shared" si="41"/>
        <v>0.76707583591917483</v>
      </c>
      <c r="AP57" s="271"/>
    </row>
    <row r="58" spans="1:42">
      <c r="A58" s="252"/>
      <c r="B58" s="255"/>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row>
    <row r="59" spans="1:42">
      <c r="A59" s="252"/>
      <c r="B59" s="255"/>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row>
    <row r="60" spans="1:42">
      <c r="A60" s="252"/>
      <c r="B60" s="255" t="s">
        <v>161</v>
      </c>
      <c r="C60" s="258">
        <v>78493.732629149992</v>
      </c>
      <c r="D60" s="258"/>
      <c r="E60" s="258">
        <v>76866.417997609999</v>
      </c>
      <c r="F60" s="258"/>
      <c r="G60" s="258">
        <f>+G55</f>
        <v>77352.269637999998</v>
      </c>
      <c r="H60" s="258"/>
      <c r="I60" s="258">
        <v>72377.261180020068</v>
      </c>
      <c r="J60" s="258"/>
      <c r="K60" s="258">
        <f>+K55</f>
        <v>71496.705265899989</v>
      </c>
      <c r="L60" s="258"/>
      <c r="M60" s="258">
        <f>+M55</f>
        <v>70251.127166959704</v>
      </c>
      <c r="N60" s="258"/>
      <c r="O60" s="258">
        <f>+O55</f>
        <v>70644.62560828017</v>
      </c>
      <c r="P60" s="264"/>
      <c r="Q60" s="258">
        <f>+Q55</f>
        <v>66109.582498999996</v>
      </c>
      <c r="R60" s="264"/>
      <c r="S60" s="258">
        <f>+S55</f>
        <v>65985.425443</v>
      </c>
      <c r="T60" s="264"/>
      <c r="U60" s="258">
        <f>+U55</f>
        <v>65267.820076999997</v>
      </c>
      <c r="V60" s="264"/>
      <c r="W60" s="258">
        <f>+W55</f>
        <v>66652.514345999996</v>
      </c>
      <c r="X60" s="264"/>
      <c r="Y60" s="258">
        <f>+Y55</f>
        <v>62781.777000000002</v>
      </c>
      <c r="Z60" s="264"/>
      <c r="AA60" s="258">
        <f>+AA55</f>
        <v>63070.315360000001</v>
      </c>
      <c r="AB60" s="264"/>
      <c r="AC60" s="258">
        <f>+AC55</f>
        <v>62106.781999999999</v>
      </c>
      <c r="AD60" s="264"/>
      <c r="AE60" s="258">
        <f>+AE55</f>
        <v>62636.800000000003</v>
      </c>
      <c r="AF60" s="264"/>
      <c r="AG60" s="258">
        <f>+AG55</f>
        <v>33674.5</v>
      </c>
      <c r="AH60" s="264"/>
      <c r="AI60" s="258">
        <f>+AI55</f>
        <v>33458.199999999997</v>
      </c>
      <c r="AJ60" s="264"/>
      <c r="AK60" s="258">
        <f>+AK55</f>
        <v>33052.400000000001</v>
      </c>
      <c r="AL60" s="264"/>
      <c r="AM60" s="258">
        <f>+AM55</f>
        <v>33205</v>
      </c>
      <c r="AN60" s="264"/>
      <c r="AO60" s="258">
        <f>+AO55</f>
        <v>31054</v>
      </c>
      <c r="AP60" s="264"/>
    </row>
    <row r="61" spans="1:42">
      <c r="A61" s="252"/>
      <c r="B61" s="280" t="s">
        <v>188</v>
      </c>
      <c r="C61" s="258">
        <v>150688.15955793203</v>
      </c>
      <c r="D61" s="258"/>
      <c r="E61" s="258">
        <v>147309.94290146002</v>
      </c>
      <c r="F61" s="258"/>
      <c r="G61" s="258">
        <f>+G48</f>
        <v>144336.62376078026</v>
      </c>
      <c r="H61" s="258"/>
      <c r="I61" s="258">
        <v>141078.62044130999</v>
      </c>
      <c r="J61" s="258"/>
      <c r="K61" s="258">
        <f>K48</f>
        <v>140165.15885532982</v>
      </c>
      <c r="L61" s="258"/>
      <c r="M61" s="258">
        <f>+M48</f>
        <v>138152.57848746004</v>
      </c>
      <c r="N61" s="258"/>
      <c r="O61" s="258">
        <f>+O48</f>
        <v>135491.78370445999</v>
      </c>
      <c r="P61" s="264"/>
      <c r="Q61" s="258">
        <f>+Q48</f>
        <v>132432.8281199802</v>
      </c>
      <c r="R61" s="264"/>
      <c r="S61" s="258">
        <f>+S48</f>
        <v>129535.07469605003</v>
      </c>
      <c r="T61" s="264"/>
      <c r="U61" s="258">
        <f>+U48</f>
        <v>126919.19126761002</v>
      </c>
      <c r="V61" s="264"/>
      <c r="W61" s="258">
        <f>+W48</f>
        <v>124393.18279451989</v>
      </c>
      <c r="X61" s="264"/>
      <c r="Y61" s="258">
        <f>+Y48</f>
        <v>121701.20138468998</v>
      </c>
      <c r="Z61" s="264"/>
      <c r="AA61" s="258">
        <f>+AA48</f>
        <v>119450.075145</v>
      </c>
      <c r="AB61" s="264"/>
      <c r="AC61" s="258">
        <f>+AC48</f>
        <v>117625.54336599998</v>
      </c>
      <c r="AD61" s="264"/>
      <c r="AE61" s="258">
        <f>+AE48</f>
        <v>115223.03667298002</v>
      </c>
      <c r="AF61" s="264"/>
      <c r="AG61" s="258">
        <f>+AG48</f>
        <v>62156.303097000004</v>
      </c>
      <c r="AH61" s="264"/>
      <c r="AI61" s="258">
        <f>+AI48</f>
        <v>61139.951753000001</v>
      </c>
      <c r="AJ61" s="264"/>
      <c r="AK61" s="258">
        <f>+AK48</f>
        <v>59437.746741449999</v>
      </c>
      <c r="AL61" s="264"/>
      <c r="AM61" s="258">
        <f>+AM48</f>
        <v>57994.606618999998</v>
      </c>
      <c r="AN61" s="264"/>
      <c r="AO61" s="258">
        <f>+AO48</f>
        <v>56618.710594409997</v>
      </c>
      <c r="AP61" s="264"/>
    </row>
    <row r="62" spans="1:42" ht="13.5" thickBot="1">
      <c r="A62" s="321" t="s">
        <v>238</v>
      </c>
      <c r="B62" s="268" t="s">
        <v>189</v>
      </c>
      <c r="C62" s="269">
        <v>0.52090179387301561</v>
      </c>
      <c r="D62" s="269"/>
      <c r="E62" s="269">
        <v>0.52180060954221008</v>
      </c>
      <c r="F62" s="269"/>
      <c r="G62" s="269">
        <f>G60/G61</f>
        <v>0.53591574766361183</v>
      </c>
      <c r="H62" s="269"/>
      <c r="I62" s="269">
        <f>I60/I61</f>
        <v>0.51302784896546161</v>
      </c>
      <c r="J62" s="269"/>
      <c r="K62" s="269">
        <f>K60/K61</f>
        <v>0.51008899679338038</v>
      </c>
      <c r="L62" s="269"/>
      <c r="M62" s="269">
        <f>M60/M61</f>
        <v>0.50850391600426281</v>
      </c>
      <c r="N62" s="269"/>
      <c r="O62" s="269">
        <f>O60/O61</f>
        <v>0.52139416632356839</v>
      </c>
      <c r="P62" s="271"/>
      <c r="Q62" s="269">
        <f>Q60/Q61</f>
        <v>0.49919331511297699</v>
      </c>
      <c r="R62" s="271"/>
      <c r="S62" s="269">
        <f>S60/S61</f>
        <v>0.50940199477116699</v>
      </c>
      <c r="T62" s="271"/>
      <c r="U62" s="269">
        <f>U60/U61</f>
        <v>0.51424705298808859</v>
      </c>
      <c r="V62" s="271"/>
      <c r="W62" s="269">
        <f>W60/W61</f>
        <v>0.53582127933892176</v>
      </c>
      <c r="X62" s="271"/>
      <c r="Y62" s="269">
        <f>Y60/Y61</f>
        <v>0.51586817784608952</v>
      </c>
      <c r="Z62" s="271"/>
      <c r="AA62" s="269">
        <f>AA60/AA61</f>
        <v>0.52800565661795673</v>
      </c>
      <c r="AB62" s="271"/>
      <c r="AC62" s="269">
        <f>AC60/AC61</f>
        <v>0.52800420914316604</v>
      </c>
      <c r="AD62" s="271"/>
      <c r="AE62" s="269">
        <f>AE60/AE61</f>
        <v>0.5436135152189443</v>
      </c>
      <c r="AF62" s="271"/>
      <c r="AG62" s="269">
        <f>AG60/AG61</f>
        <v>0.54177128178695222</v>
      </c>
      <c r="AH62" s="271"/>
      <c r="AI62" s="269">
        <f>AI60/AI61</f>
        <v>0.54723955516301626</v>
      </c>
      <c r="AJ62" s="271"/>
      <c r="AK62" s="269">
        <f>AK60/AK61</f>
        <v>0.55608433717677097</v>
      </c>
      <c r="AL62" s="271"/>
      <c r="AM62" s="269">
        <f>AM60/AM61</f>
        <v>0.57255324134091956</v>
      </c>
      <c r="AN62" s="271"/>
      <c r="AO62" s="269">
        <f>AO60/AO61</f>
        <v>0.54847593090659297</v>
      </c>
      <c r="AP62" s="271"/>
    </row>
    <row r="63" spans="1:42">
      <c r="A63" s="252"/>
      <c r="B63" s="255"/>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58"/>
      <c r="AL63" s="264"/>
      <c r="AM63" s="264"/>
      <c r="AN63" s="264"/>
      <c r="AO63" s="264"/>
      <c r="AP63" s="264"/>
    </row>
    <row r="64" spans="1:42">
      <c r="A64" s="252"/>
      <c r="B64" s="255"/>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row>
    <row r="65" spans="1:42">
      <c r="A65" s="252"/>
      <c r="B65" s="255" t="s">
        <v>190</v>
      </c>
      <c r="C65" s="258">
        <v>78493.732629149992</v>
      </c>
      <c r="D65" s="258"/>
      <c r="E65" s="258">
        <v>76866.417997609999</v>
      </c>
      <c r="F65" s="258"/>
      <c r="G65" s="258">
        <f>+G60</f>
        <v>77352.269637999998</v>
      </c>
      <c r="H65" s="258"/>
      <c r="I65" s="258">
        <v>72377.261180020068</v>
      </c>
      <c r="J65" s="258"/>
      <c r="K65" s="258">
        <f>+K60</f>
        <v>71496.705265899989</v>
      </c>
      <c r="L65" s="258"/>
      <c r="M65" s="258">
        <f>+M60</f>
        <v>70251.127166959704</v>
      </c>
      <c r="N65" s="258"/>
      <c r="O65" s="258">
        <f>+O55</f>
        <v>70644.62560828017</v>
      </c>
      <c r="P65" s="264"/>
      <c r="Q65" s="258">
        <f>+Q55</f>
        <v>66109.582498999996</v>
      </c>
      <c r="R65" s="264"/>
      <c r="S65" s="258">
        <f>S55</f>
        <v>65985.425443</v>
      </c>
      <c r="T65" s="264"/>
      <c r="U65" s="258">
        <f>U55</f>
        <v>65267.820076999997</v>
      </c>
      <c r="V65" s="264"/>
      <c r="W65" s="258">
        <f>W55</f>
        <v>66652.514345999996</v>
      </c>
      <c r="X65" s="264"/>
      <c r="Y65" s="258">
        <f>Y55</f>
        <v>62781.777000000002</v>
      </c>
      <c r="Z65" s="264"/>
      <c r="AA65" s="258">
        <f>AA55</f>
        <v>63070.315360000001</v>
      </c>
      <c r="AB65" s="264"/>
      <c r="AC65" s="258">
        <f>AC55</f>
        <v>62106.781999999999</v>
      </c>
      <c r="AD65" s="264"/>
      <c r="AE65" s="258">
        <f>AE55</f>
        <v>62636.800000000003</v>
      </c>
      <c r="AF65" s="264"/>
      <c r="AG65" s="258">
        <f>AG55</f>
        <v>33674.5</v>
      </c>
      <c r="AH65" s="264"/>
      <c r="AI65" s="258">
        <f>AI55</f>
        <v>33458.199999999997</v>
      </c>
      <c r="AJ65" s="264"/>
      <c r="AK65" s="258">
        <f>AK55</f>
        <v>33052.400000000001</v>
      </c>
      <c r="AL65" s="264"/>
      <c r="AM65" s="258">
        <f>AM55</f>
        <v>33205</v>
      </c>
      <c r="AN65" s="264"/>
      <c r="AO65" s="258">
        <f>AO55</f>
        <v>31054</v>
      </c>
      <c r="AP65" s="264"/>
    </row>
    <row r="66" spans="1:42">
      <c r="A66" s="252"/>
      <c r="B66" s="276" t="s">
        <v>191</v>
      </c>
      <c r="C66" s="262">
        <v>71496.705265899989</v>
      </c>
      <c r="D66" s="262"/>
      <c r="E66" s="262">
        <v>70251.127166959704</v>
      </c>
      <c r="F66" s="262"/>
      <c r="G66" s="262">
        <f>+Q65</f>
        <v>66109.582498999996</v>
      </c>
      <c r="H66" s="262"/>
      <c r="I66" s="262">
        <v>66109.582498999996</v>
      </c>
      <c r="J66" s="262"/>
      <c r="K66" s="262">
        <v>65985.425443</v>
      </c>
      <c r="L66" s="262"/>
      <c r="M66" s="262">
        <v>65268.037390600002</v>
      </c>
      <c r="N66" s="262"/>
      <c r="O66" s="262">
        <f>+W65</f>
        <v>66652.514345999996</v>
      </c>
      <c r="P66" s="277"/>
      <c r="Q66" s="262">
        <f>+Y65</f>
        <v>62781.777000000002</v>
      </c>
      <c r="R66" s="277"/>
      <c r="S66" s="262">
        <f>AA55</f>
        <v>63070.315360000001</v>
      </c>
      <c r="T66" s="277"/>
      <c r="U66" s="262">
        <f>+AC65</f>
        <v>62106.781999999999</v>
      </c>
      <c r="V66" s="277"/>
      <c r="W66" s="262">
        <f>+AE65</f>
        <v>62636.800000000003</v>
      </c>
      <c r="X66" s="277"/>
      <c r="Y66" s="262">
        <f>+AG65</f>
        <v>33674.5</v>
      </c>
      <c r="Z66" s="277"/>
      <c r="AA66" s="262">
        <f>+AI65</f>
        <v>33458.199999999997</v>
      </c>
      <c r="AB66" s="277"/>
      <c r="AC66" s="262">
        <f>+AK65</f>
        <v>33052.400000000001</v>
      </c>
      <c r="AD66" s="277"/>
      <c r="AE66" s="262">
        <f>+AM65</f>
        <v>33205</v>
      </c>
      <c r="AF66" s="277"/>
      <c r="AG66" s="262">
        <f>+AO65</f>
        <v>31054</v>
      </c>
      <c r="AH66" s="277"/>
      <c r="AI66" s="262">
        <v>31070</v>
      </c>
      <c r="AJ66" s="277"/>
      <c r="AK66" s="262">
        <v>31575</v>
      </c>
      <c r="AL66" s="277"/>
      <c r="AM66" s="262">
        <v>32052.640421</v>
      </c>
      <c r="AN66" s="277"/>
      <c r="AO66" s="262">
        <v>29948</v>
      </c>
      <c r="AP66" s="277"/>
    </row>
    <row r="67" spans="1:42">
      <c r="A67" s="252"/>
      <c r="B67" s="255" t="s">
        <v>192</v>
      </c>
      <c r="C67" s="258">
        <v>6997.027363250003</v>
      </c>
      <c r="D67" s="258"/>
      <c r="E67" s="258">
        <v>6615.2908306502941</v>
      </c>
      <c r="F67" s="258"/>
      <c r="G67" s="258">
        <f>+G65-G66</f>
        <v>11242.687139000001</v>
      </c>
      <c r="H67" s="258"/>
      <c r="I67" s="258">
        <v>6267.678681020072</v>
      </c>
      <c r="J67" s="258"/>
      <c r="K67" s="258">
        <f>+K65-K66</f>
        <v>5511.2798228999891</v>
      </c>
      <c r="L67" s="258"/>
      <c r="M67" s="258">
        <f>+M65-M66</f>
        <v>4983.0897763597022</v>
      </c>
      <c r="N67" s="258"/>
      <c r="O67" s="258">
        <f>+O65-O66</f>
        <v>3992.1112622801738</v>
      </c>
      <c r="P67" s="264"/>
      <c r="Q67" s="258">
        <f>+Q65-Q66</f>
        <v>3327.8054989999946</v>
      </c>
      <c r="R67" s="264"/>
      <c r="S67" s="258">
        <f>S65-S66</f>
        <v>2915.1100829999996</v>
      </c>
      <c r="T67" s="264"/>
      <c r="U67" s="258">
        <f>U65-U66</f>
        <v>3161.0380769999974</v>
      </c>
      <c r="V67" s="264"/>
      <c r="W67" s="258">
        <f>W65-W66</f>
        <v>4015.7143459999934</v>
      </c>
      <c r="X67" s="264"/>
      <c r="Y67" s="258">
        <f>Y65-Y66</f>
        <v>29107.277000000002</v>
      </c>
      <c r="Z67" s="264"/>
      <c r="AA67" s="258">
        <f>AA65-AA66</f>
        <v>29612.115360000003</v>
      </c>
      <c r="AB67" s="264"/>
      <c r="AC67" s="258">
        <f>AC65-AC66</f>
        <v>29054.381999999998</v>
      </c>
      <c r="AD67" s="264"/>
      <c r="AE67" s="258">
        <f>AE65-AE66</f>
        <v>29431.800000000003</v>
      </c>
      <c r="AF67" s="264"/>
      <c r="AG67" s="258">
        <f>AG65-AG66</f>
        <v>2620.5</v>
      </c>
      <c r="AH67" s="264"/>
      <c r="AI67" s="258">
        <f>AI65-AI66</f>
        <v>2388.1999999999971</v>
      </c>
      <c r="AJ67" s="264"/>
      <c r="AK67" s="258">
        <f>AK65-AK66</f>
        <v>1477.4000000000015</v>
      </c>
      <c r="AL67" s="264"/>
      <c r="AM67" s="258">
        <f>AM65-AM66</f>
        <v>1152.3595789999999</v>
      </c>
      <c r="AN67" s="264"/>
      <c r="AO67" s="258">
        <f>AO65-AO66</f>
        <v>1106</v>
      </c>
      <c r="AP67" s="264"/>
    </row>
    <row r="68" spans="1:42">
      <c r="A68" s="252"/>
      <c r="B68" s="256" t="s">
        <v>193</v>
      </c>
      <c r="C68" s="258">
        <v>71496.705265899989</v>
      </c>
      <c r="D68" s="258"/>
      <c r="E68" s="258">
        <v>70251.127166959704</v>
      </c>
      <c r="F68" s="258"/>
      <c r="G68" s="258">
        <f>+G66</f>
        <v>66109.582498999996</v>
      </c>
      <c r="H68" s="258"/>
      <c r="I68" s="258">
        <v>66109.582498999996</v>
      </c>
      <c r="J68" s="258"/>
      <c r="K68" s="258">
        <f>+K66</f>
        <v>65985.425443</v>
      </c>
      <c r="L68" s="258"/>
      <c r="M68" s="258">
        <f>+M66</f>
        <v>65268.037390600002</v>
      </c>
      <c r="N68" s="258"/>
      <c r="O68" s="258">
        <f>O66</f>
        <v>66652.514345999996</v>
      </c>
      <c r="P68" s="264"/>
      <c r="Q68" s="258">
        <f>Q66</f>
        <v>62781.777000000002</v>
      </c>
      <c r="R68" s="264"/>
      <c r="S68" s="258">
        <f>+S66</f>
        <v>63070.315360000001</v>
      </c>
      <c r="T68" s="264"/>
      <c r="U68" s="258">
        <f>+U66</f>
        <v>62106.781999999999</v>
      </c>
      <c r="V68" s="264"/>
      <c r="W68" s="258">
        <f>+W66</f>
        <v>62636.800000000003</v>
      </c>
      <c r="X68" s="264"/>
      <c r="Y68" s="258">
        <f>+Y66</f>
        <v>33674.5</v>
      </c>
      <c r="Z68" s="264"/>
      <c r="AA68" s="258">
        <f>+AA66</f>
        <v>33458.199999999997</v>
      </c>
      <c r="AB68" s="264"/>
      <c r="AC68" s="258">
        <f>+AC66</f>
        <v>33052.400000000001</v>
      </c>
      <c r="AD68" s="264"/>
      <c r="AE68" s="258">
        <f>+AE66</f>
        <v>33205</v>
      </c>
      <c r="AF68" s="264"/>
      <c r="AG68" s="258">
        <f>+AG66</f>
        <v>31054</v>
      </c>
      <c r="AH68" s="264"/>
      <c r="AI68" s="258">
        <f>+AI66</f>
        <v>31070</v>
      </c>
      <c r="AJ68" s="264"/>
      <c r="AK68" s="258">
        <f>+AK66</f>
        <v>31575</v>
      </c>
      <c r="AL68" s="264"/>
      <c r="AM68" s="258">
        <f>+AM66</f>
        <v>32052.640421</v>
      </c>
      <c r="AN68" s="264"/>
      <c r="AO68" s="258">
        <f>+AO66</f>
        <v>29948</v>
      </c>
      <c r="AP68" s="264"/>
    </row>
    <row r="69" spans="1:42" ht="13.5" thickBot="1">
      <c r="A69" s="321" t="s">
        <v>239</v>
      </c>
      <c r="B69" s="268" t="s">
        <v>194</v>
      </c>
      <c r="C69" s="269">
        <v>9.7865032202920282E-2</v>
      </c>
      <c r="D69" s="269"/>
      <c r="E69" s="269">
        <v>9.4166330099278148E-2</v>
      </c>
      <c r="F69" s="269"/>
      <c r="G69" s="269">
        <f>G67/G68</f>
        <v>0.17006138465887397</v>
      </c>
      <c r="H69" s="269"/>
      <c r="I69" s="269">
        <f>I67/I68</f>
        <v>9.4807415870685308E-2</v>
      </c>
      <c r="J69" s="269"/>
      <c r="K69" s="269">
        <f>K67/K68</f>
        <v>8.352268377296107E-2</v>
      </c>
      <c r="L69" s="269"/>
      <c r="M69" s="269">
        <f>M67/M68</f>
        <v>7.6348086683503888E-2</v>
      </c>
      <c r="N69" s="269"/>
      <c r="O69" s="269">
        <f>O67/O68</f>
        <v>5.9894383602045638E-2</v>
      </c>
      <c r="P69" s="271"/>
      <c r="Q69" s="269">
        <f>Q67/Q68</f>
        <v>5.3005914423224984E-2</v>
      </c>
      <c r="R69" s="271"/>
      <c r="S69" s="269">
        <f>S67/S68</f>
        <v>4.6220001697483179E-2</v>
      </c>
      <c r="T69" s="271"/>
      <c r="U69" s="269">
        <f>U67/U68</f>
        <v>5.089682600202982E-2</v>
      </c>
      <c r="V69" s="271"/>
      <c r="W69" s="269">
        <f>W67/W68</f>
        <v>6.4111103153417684E-2</v>
      </c>
      <c r="X69" s="271"/>
      <c r="Y69" s="269">
        <f>Y67/Y68</f>
        <v>0.86437146802476661</v>
      </c>
      <c r="Z69" s="271"/>
      <c r="AA69" s="269">
        <f>AA67/AA68</f>
        <v>0.8850480707270566</v>
      </c>
      <c r="AB69" s="271"/>
      <c r="AC69" s="269">
        <f>AC67/AC68</f>
        <v>0.87904000919751657</v>
      </c>
      <c r="AD69" s="271"/>
      <c r="AE69" s="269">
        <f>AE67/AE68</f>
        <v>0.88636651106761044</v>
      </c>
      <c r="AF69" s="271"/>
      <c r="AG69" s="269">
        <f>AG67/AG68</f>
        <v>8.4385264378179947E-2</v>
      </c>
      <c r="AH69" s="271"/>
      <c r="AI69" s="269">
        <f>AI67/AI68</f>
        <v>7.6865143224975771E-2</v>
      </c>
      <c r="AJ69" s="271"/>
      <c r="AK69" s="269">
        <f>AK67/AK68</f>
        <v>4.6790182106096645E-2</v>
      </c>
      <c r="AL69" s="271"/>
      <c r="AM69" s="269">
        <f>AM67/AM68</f>
        <v>3.5952095174193698E-2</v>
      </c>
      <c r="AN69" s="271"/>
      <c r="AO69" s="269">
        <f>AO67/AO68</f>
        <v>3.6930679845064776E-2</v>
      </c>
      <c r="AP69" s="271"/>
    </row>
    <row r="70" spans="1:42">
      <c r="A70" s="252"/>
      <c r="B70" s="255"/>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row>
    <row r="71" spans="1:42">
      <c r="A71" s="252"/>
      <c r="B71" s="255"/>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row>
    <row r="72" spans="1:42">
      <c r="A72" s="252"/>
      <c r="B72" s="255" t="s">
        <v>1</v>
      </c>
      <c r="C72" s="258">
        <v>134782.94005149015</v>
      </c>
      <c r="D72" s="258"/>
      <c r="E72" s="258">
        <v>136568.11884102001</v>
      </c>
      <c r="F72" s="258"/>
      <c r="G72" s="258">
        <v>130854.10594534002</v>
      </c>
      <c r="H72" s="258"/>
      <c r="I72" s="258">
        <v>126291.54656699001</v>
      </c>
      <c r="J72" s="258"/>
      <c r="K72" s="258">
        <v>123471.57226353404</v>
      </c>
      <c r="L72" s="258"/>
      <c r="M72" s="258">
        <v>121318.88338399999</v>
      </c>
      <c r="N72" s="258"/>
      <c r="O72" s="258">
        <v>119591.87386200001</v>
      </c>
      <c r="P72" s="264"/>
      <c r="Q72" s="258">
        <v>114088.20773600001</v>
      </c>
      <c r="R72" s="264"/>
      <c r="S72" s="258">
        <v>108321.32653799999</v>
      </c>
      <c r="T72" s="264"/>
      <c r="U72" s="258">
        <v>106311.634504</v>
      </c>
      <c r="V72" s="264"/>
      <c r="W72" s="258">
        <v>107652.02759400001</v>
      </c>
      <c r="X72" s="264"/>
      <c r="Y72" s="258">
        <v>101861.10500000003</v>
      </c>
      <c r="Z72" s="264"/>
      <c r="AA72" s="258">
        <v>101241.63347000002</v>
      </c>
      <c r="AB72" s="264"/>
      <c r="AC72" s="258">
        <v>99719.943000000014</v>
      </c>
      <c r="AD72" s="264"/>
      <c r="AE72" s="258">
        <v>100882.75</v>
      </c>
      <c r="AF72" s="264"/>
      <c r="AG72" s="258">
        <v>57184.580000000009</v>
      </c>
      <c r="AH72" s="264"/>
      <c r="AI72" s="258">
        <v>55970</v>
      </c>
      <c r="AJ72" s="264"/>
      <c r="AK72" s="258">
        <v>54500.600000000006</v>
      </c>
      <c r="AL72" s="264"/>
      <c r="AM72" s="258">
        <v>53558.399999999994</v>
      </c>
      <c r="AN72" s="258"/>
      <c r="AO72" s="258">
        <v>51101</v>
      </c>
      <c r="AP72" s="263"/>
    </row>
    <row r="73" spans="1:42">
      <c r="A73" s="252"/>
      <c r="B73" s="255" t="s">
        <v>195</v>
      </c>
      <c r="C73" s="258">
        <v>130393.65673367486</v>
      </c>
      <c r="D73" s="258"/>
      <c r="E73" s="258">
        <v>129296.33590422102</v>
      </c>
      <c r="F73" s="258"/>
      <c r="G73" s="258">
        <v>126872.40825862135</v>
      </c>
      <c r="H73" s="258"/>
      <c r="I73" s="258">
        <v>124881.55941526202</v>
      </c>
      <c r="J73" s="258"/>
      <c r="K73" s="258">
        <f>(K72+Q72+M72+O72+S72)/5</f>
        <v>117358.37275670681</v>
      </c>
      <c r="L73" s="258"/>
      <c r="M73" s="258">
        <f>(M72+Q72++O72+S72)/4</f>
        <v>115830.07287999999</v>
      </c>
      <c r="N73" s="258"/>
      <c r="O73" s="258">
        <f>(O72+Q72+S72)/3</f>
        <v>114000.46937866668</v>
      </c>
      <c r="P73" s="258"/>
      <c r="Q73" s="258">
        <v>111204.767137</v>
      </c>
      <c r="R73" s="258"/>
      <c r="S73" s="258">
        <v>105077.54542120002</v>
      </c>
      <c r="T73" s="264"/>
      <c r="U73" s="258">
        <v>104266.60014200001</v>
      </c>
      <c r="V73" s="264"/>
      <c r="W73" s="258">
        <v>103584.92202133335</v>
      </c>
      <c r="X73" s="264"/>
      <c r="Y73" s="258">
        <v>101551.36923500002</v>
      </c>
      <c r="Z73" s="264"/>
      <c r="AA73" s="258">
        <v>82999.781294000015</v>
      </c>
      <c r="AB73" s="264"/>
      <c r="AC73" s="258">
        <v>78439.318250000011</v>
      </c>
      <c r="AD73" s="264"/>
      <c r="AE73" s="258">
        <f>(AE72+AG72+AI72)/3</f>
        <v>71345.776666666672</v>
      </c>
      <c r="AF73" s="264"/>
      <c r="AG73" s="258">
        <f>(AG72+AI72)/2</f>
        <v>56577.290000000008</v>
      </c>
      <c r="AH73" s="264"/>
      <c r="AI73" s="258">
        <f>(AI72+AK72+AM72+AO72+AQ15)/5</f>
        <v>43026</v>
      </c>
      <c r="AJ73" s="264"/>
      <c r="AK73" s="258">
        <f>(AK72+AM72+AO72+49934)/4</f>
        <v>52273.5</v>
      </c>
      <c r="AL73" s="264"/>
      <c r="AM73" s="258">
        <f>(AM72+AO72+49934)/3</f>
        <v>51531.133333333331</v>
      </c>
      <c r="AN73" s="258"/>
      <c r="AO73" s="258">
        <f>(AO72+49934)/2</f>
        <v>50517.5</v>
      </c>
      <c r="AP73" s="263"/>
    </row>
    <row r="74" spans="1:42">
      <c r="A74" s="252"/>
      <c r="B74" s="255" t="s">
        <v>196</v>
      </c>
      <c r="C74" s="258"/>
      <c r="D74" s="258">
        <v>135675.52944625507</v>
      </c>
      <c r="E74" s="258"/>
      <c r="F74" s="258">
        <v>133711.11239318002</v>
      </c>
      <c r="G74" s="258"/>
      <c r="H74" s="258"/>
      <c r="I74" s="258"/>
      <c r="J74" s="258">
        <v>61735.786131767018</v>
      </c>
      <c r="K74" s="258"/>
      <c r="L74" s="258">
        <f>(K72+M72)/2</f>
        <v>122395.22782376701</v>
      </c>
      <c r="M74" s="258"/>
      <c r="N74" s="258">
        <f>(M72+O72)/2</f>
        <v>120455.378623</v>
      </c>
      <c r="O74" s="258"/>
      <c r="P74" s="258">
        <v>111204.767137</v>
      </c>
      <c r="Q74" s="258"/>
      <c r="R74" s="258">
        <v>111204.767137</v>
      </c>
      <c r="S74" s="264"/>
      <c r="T74" s="258">
        <v>107316.48052099999</v>
      </c>
      <c r="U74" s="258"/>
      <c r="V74" s="258">
        <v>106981.831049</v>
      </c>
      <c r="W74" s="258"/>
      <c r="X74" s="258">
        <v>104756.56629700001</v>
      </c>
      <c r="Y74" s="258"/>
      <c r="Z74" s="258">
        <v>101551.36923500002</v>
      </c>
      <c r="AA74" s="258"/>
      <c r="AB74" s="258">
        <v>100480.78823500001</v>
      </c>
      <c r="AC74" s="258"/>
      <c r="AD74" s="258">
        <v>100301.34650000001</v>
      </c>
      <c r="AE74" s="258"/>
      <c r="AF74" s="258">
        <f>(AE72+AG72)/2</f>
        <v>79033.665000000008</v>
      </c>
      <c r="AG74" s="258"/>
      <c r="AH74" s="258">
        <f>(AG72+AI72)/2</f>
        <v>56577.290000000008</v>
      </c>
      <c r="AI74" s="258"/>
      <c r="AJ74" s="258">
        <f>(AI72+AK72)/2</f>
        <v>55235.3</v>
      </c>
      <c r="AK74" s="264"/>
      <c r="AL74" s="258">
        <f>(AK72+AM72)/2</f>
        <v>54029.5</v>
      </c>
      <c r="AM74" s="264"/>
      <c r="AN74" s="258">
        <f>(AM72+AO72)/2</f>
        <v>52329.7</v>
      </c>
      <c r="AO74" s="258"/>
      <c r="AP74" s="258">
        <f>(AO72+49934)/2</f>
        <v>50517.5</v>
      </c>
    </row>
    <row r="75" spans="1:42">
      <c r="A75" s="252"/>
      <c r="B75" s="255"/>
      <c r="C75" s="264"/>
      <c r="D75" s="264"/>
      <c r="E75" s="264"/>
      <c r="F75" s="264"/>
      <c r="G75" s="264"/>
      <c r="H75" s="264"/>
      <c r="I75" s="264"/>
      <c r="J75" s="264"/>
      <c r="K75" s="264"/>
      <c r="L75" s="264"/>
      <c r="M75" s="264"/>
      <c r="N75" s="264"/>
      <c r="O75" s="264"/>
      <c r="P75" s="264"/>
      <c r="Q75" s="264"/>
      <c r="R75" s="264"/>
      <c r="S75" s="264"/>
      <c r="T75" s="264"/>
      <c r="U75" s="258"/>
      <c r="V75" s="264"/>
      <c r="W75" s="258"/>
      <c r="X75" s="264"/>
      <c r="Y75" s="258"/>
      <c r="Z75" s="264"/>
      <c r="AA75" s="258"/>
      <c r="AB75" s="264"/>
      <c r="AC75" s="258"/>
      <c r="AD75" s="264"/>
      <c r="AE75" s="258"/>
      <c r="AF75" s="264"/>
      <c r="AG75" s="258"/>
      <c r="AH75" s="264"/>
      <c r="AI75" s="258"/>
      <c r="AJ75" s="264"/>
      <c r="AK75" s="264"/>
      <c r="AL75" s="264"/>
      <c r="AM75" s="264"/>
      <c r="AN75" s="264"/>
      <c r="AO75" s="264"/>
      <c r="AP75" s="264"/>
    </row>
    <row r="76" spans="1:42">
      <c r="A76" s="252"/>
      <c r="B76" s="255" t="s">
        <v>1</v>
      </c>
      <c r="C76" s="258">
        <v>134782.94005149015</v>
      </c>
      <c r="D76" s="258"/>
      <c r="E76" s="258">
        <v>136568.11884102001</v>
      </c>
      <c r="F76" s="258"/>
      <c r="G76" s="258">
        <f>+G72</f>
        <v>130854.10594534002</v>
      </c>
      <c r="H76" s="258"/>
      <c r="I76" s="258">
        <v>126291.54656699001</v>
      </c>
      <c r="J76" s="258"/>
      <c r="K76" s="258">
        <f>+K72</f>
        <v>123471.57226353404</v>
      </c>
      <c r="L76" s="258"/>
      <c r="M76" s="258">
        <f>+M72</f>
        <v>121318.88338399999</v>
      </c>
      <c r="N76" s="258"/>
      <c r="O76" s="258">
        <f>O72</f>
        <v>119591.87386200001</v>
      </c>
      <c r="P76" s="264"/>
      <c r="Q76" s="258">
        <f>Q72</f>
        <v>114088.20773600001</v>
      </c>
      <c r="R76" s="264"/>
      <c r="S76" s="258">
        <f>S72</f>
        <v>108321.32653799999</v>
      </c>
      <c r="T76" s="264"/>
      <c r="U76" s="258">
        <f>U72</f>
        <v>106311.634504</v>
      </c>
      <c r="V76" s="264"/>
      <c r="W76" s="258">
        <f>W72</f>
        <v>107652.02759400001</v>
      </c>
      <c r="X76" s="264"/>
      <c r="Y76" s="258">
        <f>Y72</f>
        <v>101861.10500000003</v>
      </c>
      <c r="Z76" s="264"/>
      <c r="AA76" s="258">
        <f>AA72</f>
        <v>101241.63347000002</v>
      </c>
      <c r="AB76" s="264"/>
      <c r="AC76" s="258">
        <f>AC72</f>
        <v>99719.943000000014</v>
      </c>
      <c r="AD76" s="264"/>
      <c r="AE76" s="258">
        <f>AE72</f>
        <v>100882.75</v>
      </c>
      <c r="AF76" s="264"/>
      <c r="AG76" s="258">
        <f>AG72</f>
        <v>57184.580000000009</v>
      </c>
      <c r="AH76" s="264"/>
      <c r="AI76" s="258">
        <f>AI72</f>
        <v>55970</v>
      </c>
      <c r="AJ76" s="264"/>
      <c r="AK76" s="258">
        <f>AK72</f>
        <v>54500.600000000006</v>
      </c>
      <c r="AL76" s="264"/>
      <c r="AM76" s="258">
        <f>AM72</f>
        <v>53558.399999999994</v>
      </c>
      <c r="AN76" s="264"/>
      <c r="AO76" s="258">
        <f>AO72</f>
        <v>51101</v>
      </c>
      <c r="AP76" s="264"/>
    </row>
    <row r="77" spans="1:42">
      <c r="A77" s="252"/>
      <c r="B77" s="272" t="s">
        <v>159</v>
      </c>
      <c r="C77" s="258">
        <v>42630.288198770002</v>
      </c>
      <c r="D77" s="258"/>
      <c r="E77" s="258">
        <v>42243.659336410004</v>
      </c>
      <c r="F77" s="258"/>
      <c r="G77" s="258">
        <f>+G37</f>
        <v>41438.065000000002</v>
      </c>
      <c r="H77" s="258"/>
      <c r="I77" s="258">
        <v>40919.316098639996</v>
      </c>
      <c r="J77" s="258"/>
      <c r="K77" s="258">
        <f>+K37</f>
        <v>39791.910470000003</v>
      </c>
      <c r="L77" s="258"/>
      <c r="M77" s="258">
        <f>+M37</f>
        <v>38414.786999999997</v>
      </c>
      <c r="N77" s="258"/>
      <c r="O77" s="258">
        <f>+O37</f>
        <v>37943.764000000003</v>
      </c>
      <c r="P77" s="264"/>
      <c r="Q77" s="258">
        <f>+Q37</f>
        <v>38009.275000000001</v>
      </c>
      <c r="R77" s="264"/>
      <c r="S77" s="258">
        <f>+S37</f>
        <v>37451.131987000001</v>
      </c>
      <c r="T77" s="264"/>
      <c r="U77" s="258">
        <f>+U37</f>
        <v>36650.008250999999</v>
      </c>
      <c r="V77" s="264"/>
      <c r="W77" s="258">
        <f>+W37</f>
        <v>35532.226698999999</v>
      </c>
      <c r="X77" s="264"/>
      <c r="Y77" s="258">
        <f>+Y37</f>
        <v>35521.066979000003</v>
      </c>
      <c r="Z77" s="264"/>
      <c r="AA77" s="258">
        <f>+AA37</f>
        <v>35197.497000000003</v>
      </c>
      <c r="AB77" s="264"/>
      <c r="AC77" s="258">
        <f>+AC37</f>
        <v>35129.561126999994</v>
      </c>
      <c r="AD77" s="264"/>
      <c r="AE77" s="258">
        <f>+AE37</f>
        <v>34766.900999999998</v>
      </c>
      <c r="AF77" s="264"/>
      <c r="AG77" s="258">
        <f>+AG37</f>
        <v>17288.619168000001</v>
      </c>
      <c r="AH77" s="264"/>
      <c r="AI77" s="258">
        <f>+AI37</f>
        <v>16796.622458000002</v>
      </c>
      <c r="AJ77" s="264"/>
      <c r="AK77" s="258">
        <f>+AK37</f>
        <v>16076.098374450001</v>
      </c>
      <c r="AL77" s="264"/>
      <c r="AM77" s="258">
        <f>+AM37</f>
        <v>15329.815615</v>
      </c>
      <c r="AN77" s="264"/>
      <c r="AO77" s="258">
        <f>+AO37</f>
        <v>15533.628225</v>
      </c>
      <c r="AP77" s="264"/>
    </row>
    <row r="78" spans="1:42">
      <c r="A78" s="252"/>
      <c r="B78" s="272" t="s">
        <v>160</v>
      </c>
      <c r="C78" s="258">
        <v>1022.4164379700001</v>
      </c>
      <c r="D78" s="258"/>
      <c r="E78" s="258">
        <v>1028.9756779700001</v>
      </c>
      <c r="F78" s="258"/>
      <c r="G78" s="258">
        <f>+G38</f>
        <v>1230.3109999999999</v>
      </c>
      <c r="H78" s="258"/>
      <c r="I78" s="258">
        <v>1415.1529349700002</v>
      </c>
      <c r="J78" s="258"/>
      <c r="K78" s="258">
        <f>+K38</f>
        <v>1432.9786079999999</v>
      </c>
      <c r="L78" s="258"/>
      <c r="M78" s="258">
        <f>+M38</f>
        <v>1478.806</v>
      </c>
      <c r="N78" s="258"/>
      <c r="O78" s="258">
        <f>+O38</f>
        <v>1508.4760000000001</v>
      </c>
      <c r="P78" s="264"/>
      <c r="Q78" s="258">
        <f>+Q38</f>
        <v>1605.809</v>
      </c>
      <c r="R78" s="264"/>
      <c r="S78" s="258">
        <f>+S38</f>
        <v>1623.794453</v>
      </c>
      <c r="T78" s="264"/>
      <c r="U78" s="258">
        <f>+U38</f>
        <v>1324.1435019999999</v>
      </c>
      <c r="V78" s="264"/>
      <c r="W78" s="258">
        <f>+W38</f>
        <v>1333.118905</v>
      </c>
      <c r="X78" s="264"/>
      <c r="Y78" s="258">
        <f>+Y38</f>
        <v>1278.919551</v>
      </c>
      <c r="Z78" s="264"/>
      <c r="AA78" s="258">
        <f>+AA38</f>
        <v>1307.7759999999998</v>
      </c>
      <c r="AB78" s="264"/>
      <c r="AC78" s="258">
        <f>+AC38</f>
        <v>1159.912239</v>
      </c>
      <c r="AD78" s="264"/>
      <c r="AE78" s="258">
        <f>+AE38</f>
        <v>1169.7469999999998</v>
      </c>
      <c r="AF78" s="264"/>
      <c r="AG78" s="258">
        <f>+AG38</f>
        <v>560.18392900000003</v>
      </c>
      <c r="AH78" s="264"/>
      <c r="AI78" s="258">
        <f>+AI38</f>
        <v>564.16929500000003</v>
      </c>
      <c r="AJ78" s="264"/>
      <c r="AK78" s="258">
        <f>+AK38</f>
        <v>568.14836700000001</v>
      </c>
      <c r="AL78" s="264"/>
      <c r="AM78" s="258">
        <f>+AM38</f>
        <v>574.10100399999999</v>
      </c>
      <c r="AN78" s="264"/>
      <c r="AO78" s="258">
        <f>+AO38</f>
        <v>601.47104200000001</v>
      </c>
      <c r="AP78" s="264"/>
    </row>
    <row r="79" spans="1:42" ht="13.5" thickBot="1">
      <c r="A79" s="321" t="s">
        <v>242</v>
      </c>
      <c r="B79" s="268" t="s">
        <v>197</v>
      </c>
      <c r="C79" s="274">
        <v>178435.64468823015</v>
      </c>
      <c r="D79" s="274"/>
      <c r="E79" s="274">
        <v>179840.75385540002</v>
      </c>
      <c r="F79" s="274"/>
      <c r="G79" s="274">
        <f>+G76+G77+G78</f>
        <v>173522.48194534</v>
      </c>
      <c r="H79" s="274"/>
      <c r="I79" s="274">
        <f>+I76+I77+I78</f>
        <v>168626.01560060002</v>
      </c>
      <c r="J79" s="274"/>
      <c r="K79" s="274">
        <f>+K76+K77+K78</f>
        <v>164696.46134153404</v>
      </c>
      <c r="L79" s="274"/>
      <c r="M79" s="274">
        <f>+M76+M77+M78</f>
        <v>161212.47638400001</v>
      </c>
      <c r="N79" s="274"/>
      <c r="O79" s="274">
        <f>+O76+O77+O78</f>
        <v>159044.113862</v>
      </c>
      <c r="P79" s="275"/>
      <c r="Q79" s="274">
        <f>+Q76+Q77+Q78</f>
        <v>153703.29173600001</v>
      </c>
      <c r="R79" s="275"/>
      <c r="S79" s="274">
        <f>+S76+S77+S78</f>
        <v>147396.252978</v>
      </c>
      <c r="T79" s="275"/>
      <c r="U79" s="274">
        <f>+U76+U77+U78</f>
        <v>144285.786257</v>
      </c>
      <c r="V79" s="275"/>
      <c r="W79" s="274">
        <f>+W76+W77+W78</f>
        <v>144517.37319800002</v>
      </c>
      <c r="X79" s="275"/>
      <c r="Y79" s="274">
        <f>+Y76+Y77+Y78</f>
        <v>138661.09153000003</v>
      </c>
      <c r="Z79" s="275"/>
      <c r="AA79" s="274">
        <f>+AA76+AA77+AA78</f>
        <v>137746.90647000005</v>
      </c>
      <c r="AB79" s="275"/>
      <c r="AC79" s="274">
        <f>+AC76+AC77+AC78</f>
        <v>136009.41636599999</v>
      </c>
      <c r="AD79" s="275"/>
      <c r="AE79" s="274">
        <f>+AE76+AE77+AE78</f>
        <v>136819.39800000002</v>
      </c>
      <c r="AF79" s="275"/>
      <c r="AG79" s="274">
        <f>+AG76+AG77+AG78</f>
        <v>75033.383097000013</v>
      </c>
      <c r="AH79" s="275"/>
      <c r="AI79" s="274">
        <f>+AI76+AI77+AI78</f>
        <v>73330.791752999998</v>
      </c>
      <c r="AJ79" s="275"/>
      <c r="AK79" s="274">
        <f>+AK76+AK77+AK78</f>
        <v>71144.846741450005</v>
      </c>
      <c r="AL79" s="275"/>
      <c r="AM79" s="274">
        <f>+AM76+AM77+AM78</f>
        <v>69462.31661899999</v>
      </c>
      <c r="AN79" s="275"/>
      <c r="AO79" s="274">
        <f>+AO76+AO77+AO78</f>
        <v>67236.099266999998</v>
      </c>
      <c r="AP79" s="275"/>
    </row>
    <row r="80" spans="1:42">
      <c r="A80" s="252"/>
      <c r="B80" s="255"/>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row>
    <row r="81" spans="1:42">
      <c r="A81" s="252"/>
      <c r="B81" s="282" t="s">
        <v>31</v>
      </c>
      <c r="C81" s="262">
        <v>32.483665000000002</v>
      </c>
      <c r="D81" s="262">
        <v>32.809047120000002</v>
      </c>
      <c r="E81" s="262">
        <v>-0.325382119999997</v>
      </c>
      <c r="F81" s="262">
        <v>24.456724880000003</v>
      </c>
      <c r="G81" s="262">
        <v>-24.782107</v>
      </c>
      <c r="H81" s="262"/>
      <c r="I81" s="262">
        <v>-32.898592000000001</v>
      </c>
      <c r="J81" s="262">
        <v>-32.898592000000001</v>
      </c>
      <c r="K81" s="262">
        <v>35.339551</v>
      </c>
      <c r="L81" s="262">
        <v>11.441641000000001</v>
      </c>
      <c r="M81" s="262">
        <v>23.89791</v>
      </c>
      <c r="N81" s="262">
        <v>11.929739999999999</v>
      </c>
      <c r="O81" s="262">
        <v>11.968170000000001</v>
      </c>
      <c r="P81" s="262">
        <v>7.1308810000000005</v>
      </c>
      <c r="Q81" s="262">
        <v>4.8372890000000002</v>
      </c>
      <c r="R81" s="262">
        <v>4.8372890000000002</v>
      </c>
      <c r="S81" s="262">
        <v>-20.143094999999999</v>
      </c>
      <c r="T81" s="262">
        <v>-13</v>
      </c>
      <c r="U81" s="262">
        <v>-6.5001689999999996</v>
      </c>
      <c r="V81" s="262">
        <v>14.499831</v>
      </c>
      <c r="W81" s="262">
        <v>-20.920946000000001</v>
      </c>
      <c r="X81" s="262">
        <v>5.2380539999999982</v>
      </c>
      <c r="Y81" s="262">
        <v>-26.158999999999999</v>
      </c>
      <c r="Z81" s="262">
        <v>-26.158999999999999</v>
      </c>
      <c r="AA81" s="262">
        <v>75.163342</v>
      </c>
      <c r="AB81" s="262"/>
      <c r="AC81" s="262">
        <v>32.571090560000002</v>
      </c>
      <c r="AD81" s="262">
        <v>3.3884404799999999</v>
      </c>
      <c r="AE81" s="262">
        <v>29</v>
      </c>
      <c r="AF81" s="262">
        <v>20.2</v>
      </c>
      <c r="AG81" s="262">
        <v>8.9</v>
      </c>
      <c r="AH81" s="262">
        <v>8.9</v>
      </c>
      <c r="AI81" s="262">
        <v>55.8</v>
      </c>
      <c r="AJ81" s="262">
        <v>17.799999999999997</v>
      </c>
      <c r="AK81" s="262">
        <v>38.1</v>
      </c>
      <c r="AL81" s="262">
        <v>-2</v>
      </c>
      <c r="AM81" s="262">
        <v>40</v>
      </c>
      <c r="AN81" s="262">
        <v>35</v>
      </c>
      <c r="AO81" s="262">
        <v>5</v>
      </c>
      <c r="AP81" s="262">
        <v>5</v>
      </c>
    </row>
    <row r="82" spans="1:42">
      <c r="A82" s="252"/>
      <c r="B82" s="255" t="s">
        <v>198</v>
      </c>
      <c r="C82" s="258">
        <v>32.483665000000002</v>
      </c>
      <c r="D82" s="258">
        <v>130.1663282478261</v>
      </c>
      <c r="E82" s="258">
        <v>-0.43503470256409854</v>
      </c>
      <c r="F82" s="258">
        <v>97.029397621739136</v>
      </c>
      <c r="G82" s="258">
        <v>-49.974967154696138</v>
      </c>
      <c r="H82" s="258"/>
      <c r="I82" s="258">
        <v>-133.42206755555554</v>
      </c>
      <c r="J82" s="258">
        <v>-133.42206755555554</v>
      </c>
      <c r="K82" s="258">
        <v>35.339551</v>
      </c>
      <c r="L82" s="258">
        <v>45.393467010869564</v>
      </c>
      <c r="M82" s="258">
        <v>31.951418131868131</v>
      </c>
      <c r="N82" s="258">
        <v>47.329946739130428</v>
      </c>
      <c r="O82" s="258">
        <v>24.134707458563536</v>
      </c>
      <c r="P82" s="258">
        <v>28.601885329670331</v>
      </c>
      <c r="Q82" s="258">
        <f>Q81/Q8*$A$1</f>
        <v>19.617894277777779</v>
      </c>
      <c r="R82" s="258">
        <f t="shared" ref="R82:AP82" si="42">R81/R8*$A$1</f>
        <v>19.617894277777779</v>
      </c>
      <c r="S82" s="258">
        <f t="shared" si="42"/>
        <v>-20.143094999999999</v>
      </c>
      <c r="T82" s="258">
        <f t="shared" si="42"/>
        <v>-51.576086956521735</v>
      </c>
      <c r="U82" s="258">
        <f t="shared" si="42"/>
        <v>-8.6907021428571429</v>
      </c>
      <c r="V82" s="258">
        <f t="shared" si="42"/>
        <v>57.526503423913049</v>
      </c>
      <c r="W82" s="258">
        <f t="shared" si="42"/>
        <v>-42.188648011049722</v>
      </c>
      <c r="X82" s="258">
        <f t="shared" si="42"/>
        <v>21.009777032967026</v>
      </c>
      <c r="Y82" s="258">
        <f t="shared" si="42"/>
        <v>-106.08927777777778</v>
      </c>
      <c r="Z82" s="258">
        <f t="shared" si="42"/>
        <v>-106.08927777777778</v>
      </c>
      <c r="AA82" s="258">
        <f t="shared" si="42"/>
        <v>74.957977677595622</v>
      </c>
      <c r="AB82" s="258">
        <f t="shared" si="42"/>
        <v>0</v>
      </c>
      <c r="AC82" s="258">
        <f t="shared" si="42"/>
        <v>43.38849654890511</v>
      </c>
      <c r="AD82" s="258">
        <f t="shared" si="42"/>
        <v>13.443269295652172</v>
      </c>
      <c r="AE82" s="258">
        <f t="shared" si="42"/>
        <v>58.159340659340657</v>
      </c>
      <c r="AF82" s="258">
        <f t="shared" si="42"/>
        <v>81.021978021978015</v>
      </c>
      <c r="AG82" s="258">
        <f t="shared" si="42"/>
        <v>35.697802197802197</v>
      </c>
      <c r="AH82" s="258">
        <f t="shared" si="42"/>
        <v>35.697802197802197</v>
      </c>
      <c r="AI82" s="258">
        <f t="shared" si="42"/>
        <v>55.8</v>
      </c>
      <c r="AJ82" s="258">
        <f t="shared" si="42"/>
        <v>70.619565217391298</v>
      </c>
      <c r="AK82" s="258">
        <f t="shared" si="42"/>
        <v>50.939560439560438</v>
      </c>
      <c r="AL82" s="258">
        <f t="shared" si="42"/>
        <v>-7.9347826086956523</v>
      </c>
      <c r="AM82" s="258">
        <f t="shared" si="42"/>
        <v>80.662983425414367</v>
      </c>
      <c r="AN82" s="258">
        <f t="shared" si="42"/>
        <v>140.38461538461539</v>
      </c>
      <c r="AO82" s="258">
        <f t="shared" si="42"/>
        <v>20.277777777777775</v>
      </c>
      <c r="AP82" s="258">
        <f t="shared" si="42"/>
        <v>20.277777777777775</v>
      </c>
    </row>
    <row r="83" spans="1:42">
      <c r="A83" s="252"/>
      <c r="B83" s="255"/>
      <c r="C83" s="264"/>
      <c r="D83" s="264"/>
      <c r="E83" s="264"/>
      <c r="F83" s="264"/>
      <c r="G83" s="264"/>
      <c r="H83" s="264"/>
      <c r="I83" s="264"/>
      <c r="J83" s="264"/>
      <c r="K83" s="264"/>
      <c r="L83" s="264"/>
      <c r="M83" s="264"/>
      <c r="N83" s="264"/>
      <c r="O83" s="264"/>
      <c r="P83" s="264"/>
      <c r="Q83" s="264"/>
      <c r="R83" s="264"/>
      <c r="S83" s="264"/>
      <c r="T83" s="258"/>
      <c r="U83" s="258"/>
      <c r="V83" s="258"/>
      <c r="W83" s="258"/>
      <c r="X83" s="258"/>
      <c r="Y83" s="258"/>
      <c r="Z83" s="258"/>
      <c r="AA83" s="264"/>
      <c r="AB83" s="258"/>
      <c r="AC83" s="258"/>
      <c r="AD83" s="258"/>
      <c r="AE83" s="258"/>
      <c r="AF83" s="258"/>
      <c r="AG83" s="258"/>
      <c r="AH83" s="258"/>
      <c r="AI83" s="258"/>
      <c r="AJ83" s="258"/>
      <c r="AK83" s="258"/>
      <c r="AL83" s="258"/>
      <c r="AM83" s="258"/>
      <c r="AN83" s="258"/>
      <c r="AO83" s="258"/>
      <c r="AP83" s="258"/>
    </row>
    <row r="84" spans="1:42">
      <c r="A84" s="252"/>
      <c r="B84" s="255" t="s">
        <v>31</v>
      </c>
      <c r="C84" s="258">
        <v>32.483665000000002</v>
      </c>
      <c r="D84" s="258">
        <v>130.1663282478261</v>
      </c>
      <c r="E84" s="258">
        <v>-0.43503470256409854</v>
      </c>
      <c r="F84" s="258">
        <v>97.029397621739136</v>
      </c>
      <c r="G84" s="258">
        <f>+G82</f>
        <v>-49.974967154696138</v>
      </c>
      <c r="H84" s="258"/>
      <c r="I84" s="258">
        <v>-133.42206755555554</v>
      </c>
      <c r="J84" s="258">
        <v>-133.42206755555554</v>
      </c>
      <c r="K84" s="258">
        <v>35.339551</v>
      </c>
      <c r="L84" s="258">
        <v>45.393467010869564</v>
      </c>
      <c r="M84" s="258">
        <v>31.951418131868131</v>
      </c>
      <c r="N84" s="258">
        <v>47.329946739130428</v>
      </c>
      <c r="O84" s="258">
        <f>+O82</f>
        <v>24.134707458563536</v>
      </c>
      <c r="P84" s="258">
        <f t="shared" ref="P84" si="43">P82</f>
        <v>28.601885329670331</v>
      </c>
      <c r="Q84" s="258">
        <f>+Q82</f>
        <v>19.617894277777779</v>
      </c>
      <c r="R84" s="258">
        <f t="shared" ref="R84:AO84" si="44">R82</f>
        <v>19.617894277777779</v>
      </c>
      <c r="S84" s="258">
        <f t="shared" si="44"/>
        <v>-20.143094999999999</v>
      </c>
      <c r="T84" s="258">
        <f t="shared" si="44"/>
        <v>-51.576086956521735</v>
      </c>
      <c r="U84" s="258">
        <f t="shared" si="44"/>
        <v>-8.6907021428571429</v>
      </c>
      <c r="V84" s="258">
        <f t="shared" si="44"/>
        <v>57.526503423913049</v>
      </c>
      <c r="W84" s="258">
        <f t="shared" si="44"/>
        <v>-42.188648011049722</v>
      </c>
      <c r="X84" s="258">
        <f t="shared" si="44"/>
        <v>21.009777032967026</v>
      </c>
      <c r="Y84" s="258">
        <f t="shared" si="44"/>
        <v>-106.08927777777778</v>
      </c>
      <c r="Z84" s="258">
        <f t="shared" si="44"/>
        <v>-106.08927777777778</v>
      </c>
      <c r="AA84" s="258">
        <f t="shared" si="44"/>
        <v>74.957977677595622</v>
      </c>
      <c r="AB84" s="258">
        <f t="shared" si="44"/>
        <v>0</v>
      </c>
      <c r="AC84" s="258">
        <f t="shared" si="44"/>
        <v>43.38849654890511</v>
      </c>
      <c r="AD84" s="258">
        <f t="shared" si="44"/>
        <v>13.443269295652172</v>
      </c>
      <c r="AE84" s="258">
        <f t="shared" si="44"/>
        <v>58.159340659340657</v>
      </c>
      <c r="AF84" s="258">
        <f t="shared" si="44"/>
        <v>81.021978021978015</v>
      </c>
      <c r="AG84" s="258">
        <f t="shared" si="44"/>
        <v>35.697802197802197</v>
      </c>
      <c r="AH84" s="258">
        <f t="shared" si="44"/>
        <v>35.697802197802197</v>
      </c>
      <c r="AI84" s="258">
        <f t="shared" si="44"/>
        <v>55.8</v>
      </c>
      <c r="AJ84" s="258">
        <f t="shared" si="44"/>
        <v>70.619565217391298</v>
      </c>
      <c r="AK84" s="258">
        <f t="shared" si="44"/>
        <v>50.939560439560438</v>
      </c>
      <c r="AL84" s="258">
        <f t="shared" si="44"/>
        <v>-7.9347826086956523</v>
      </c>
      <c r="AM84" s="258">
        <f t="shared" si="44"/>
        <v>80.662983425414367</v>
      </c>
      <c r="AN84" s="258">
        <f t="shared" si="44"/>
        <v>140.38461538461539</v>
      </c>
      <c r="AO84" s="258">
        <f t="shared" si="44"/>
        <v>20.277777777777775</v>
      </c>
      <c r="AP84" s="258">
        <f t="shared" ref="AP84" si="45">+AP81</f>
        <v>5</v>
      </c>
    </row>
    <row r="85" spans="1:42">
      <c r="A85" s="252"/>
      <c r="B85" s="255" t="s">
        <v>222</v>
      </c>
      <c r="C85" s="258">
        <v>107035.45492119202</v>
      </c>
      <c r="D85" s="258">
        <v>107035.45492119202</v>
      </c>
      <c r="E85" s="258">
        <v>104037.30788707999</v>
      </c>
      <c r="F85" s="258">
        <v>104037.30788707999</v>
      </c>
      <c r="G85" s="258">
        <f>G36</f>
        <v>101668.24776078029</v>
      </c>
      <c r="H85" s="258"/>
      <c r="I85" s="258">
        <v>98744.151407699988</v>
      </c>
      <c r="J85" s="258">
        <v>98744.151407699988</v>
      </c>
      <c r="K85" s="258">
        <v>98940.269777329799</v>
      </c>
      <c r="L85" s="258">
        <v>98940.269777329799</v>
      </c>
      <c r="M85" s="258">
        <v>98258.985487460028</v>
      </c>
      <c r="N85" s="258">
        <v>98258.985487460028</v>
      </c>
      <c r="O85" s="258">
        <f>O36</f>
        <v>96039.543704459997</v>
      </c>
      <c r="P85" s="258">
        <f>+O85</f>
        <v>96039.543704459997</v>
      </c>
      <c r="Q85" s="258">
        <f>Q36</f>
        <v>92817.744119980198</v>
      </c>
      <c r="R85" s="258">
        <f>+Q85</f>
        <v>92817.744119980198</v>
      </c>
      <c r="S85" s="258">
        <f>S36</f>
        <v>90460.14825605003</v>
      </c>
      <c r="T85" s="258">
        <f>+S85</f>
        <v>90460.14825605003</v>
      </c>
      <c r="U85" s="258">
        <f>U36</f>
        <v>88945.039514610005</v>
      </c>
      <c r="V85" s="258">
        <f>+U85</f>
        <v>88945.039514610005</v>
      </c>
      <c r="W85" s="258">
        <f>W36</f>
        <v>87527.837190519887</v>
      </c>
      <c r="X85" s="258">
        <f>+W85</f>
        <v>87527.837190519887</v>
      </c>
      <c r="Y85" s="258">
        <f>Y36</f>
        <v>84901.214854689984</v>
      </c>
      <c r="Z85" s="258">
        <f>+Y85</f>
        <v>84901.214854689984</v>
      </c>
      <c r="AA85" s="258">
        <f>AA36</f>
        <v>82944.802144999994</v>
      </c>
      <c r="AB85" s="258">
        <f>+AA85</f>
        <v>82944.802144999994</v>
      </c>
      <c r="AC85" s="258">
        <f>AC36</f>
        <v>81336.069999999992</v>
      </c>
      <c r="AD85" s="258">
        <f>+AC85</f>
        <v>81336.069999999992</v>
      </c>
      <c r="AE85" s="258">
        <f>AE36</f>
        <v>79286.388672980014</v>
      </c>
      <c r="AF85" s="258">
        <f>+AE85</f>
        <v>79286.388672980014</v>
      </c>
      <c r="AG85" s="258">
        <f>AG36</f>
        <v>44307.5</v>
      </c>
      <c r="AH85" s="258">
        <f>+AG85</f>
        <v>44307.5</v>
      </c>
      <c r="AI85" s="258">
        <f>AI36</f>
        <v>43779.16</v>
      </c>
      <c r="AJ85" s="258">
        <f>+AI85</f>
        <v>43779.16</v>
      </c>
      <c r="AK85" s="258">
        <f>AK36</f>
        <v>42793.5</v>
      </c>
      <c r="AL85" s="258">
        <f>+AK85</f>
        <v>42793.5</v>
      </c>
      <c r="AM85" s="258">
        <f>AM36</f>
        <v>42090.69</v>
      </c>
      <c r="AN85" s="258">
        <f>+AM85</f>
        <v>42090.69</v>
      </c>
      <c r="AO85" s="258">
        <f>AO36</f>
        <v>40483.611327409999</v>
      </c>
      <c r="AP85" s="258">
        <f>+AO85</f>
        <v>40483.611327409999</v>
      </c>
    </row>
    <row r="86" spans="1:42" ht="13.5" thickBot="1">
      <c r="A86" s="321" t="s">
        <v>241</v>
      </c>
      <c r="B86" s="268" t="s">
        <v>199</v>
      </c>
      <c r="C86" s="269">
        <v>3.0348509308356797E-4</v>
      </c>
      <c r="D86" s="269">
        <v>1.2161047789600637E-3</v>
      </c>
      <c r="E86" s="269">
        <v>-4.1815259487132875E-6</v>
      </c>
      <c r="F86" s="269">
        <v>9.326404113325663E-4</v>
      </c>
      <c r="G86" s="269">
        <f>G84/G85</f>
        <v>-4.9154940952935908E-4</v>
      </c>
      <c r="H86" s="269"/>
      <c r="I86" s="269">
        <v>-1.3511895707592398E-3</v>
      </c>
      <c r="J86" s="269">
        <v>-1.3511895707592398E-3</v>
      </c>
      <c r="K86" s="269">
        <v>3.571806614185861E-4</v>
      </c>
      <c r="L86" s="269">
        <v>4.5879667715713644E-4</v>
      </c>
      <c r="M86" s="269">
        <v>3.2517553456671731E-4</v>
      </c>
      <c r="N86" s="269">
        <v>4.8168568507325727E-4</v>
      </c>
      <c r="O86" s="269">
        <f>O84/O85</f>
        <v>2.5129968893680552E-4</v>
      </c>
      <c r="P86" s="269">
        <f>P84/P85</f>
        <v>2.9781363203563495E-4</v>
      </c>
      <c r="Q86" s="269">
        <f>Q84/Q85</f>
        <v>2.1135930919004934E-4</v>
      </c>
      <c r="R86" s="269">
        <f>R84/R85</f>
        <v>2.1135930919004934E-4</v>
      </c>
      <c r="S86" s="269">
        <f>S84/S85</f>
        <v>-2.2267368988810845E-4</v>
      </c>
      <c r="T86" s="269">
        <f t="shared" ref="T86:AP86" si="46">T84/T85</f>
        <v>-5.7015258045492196E-4</v>
      </c>
      <c r="U86" s="269">
        <f t="shared" si="46"/>
        <v>-9.7708677069389778E-5</v>
      </c>
      <c r="V86" s="269">
        <f t="shared" si="46"/>
        <v>6.4676460584925388E-4</v>
      </c>
      <c r="W86" s="269">
        <f t="shared" si="46"/>
        <v>-4.8200263327904052E-4</v>
      </c>
      <c r="X86" s="269">
        <f t="shared" si="46"/>
        <v>2.4003537282928076E-4</v>
      </c>
      <c r="Y86" s="269">
        <f t="shared" si="46"/>
        <v>-1.2495613632779172E-3</v>
      </c>
      <c r="Z86" s="269">
        <f t="shared" si="46"/>
        <v>-1.2495613632779172E-3</v>
      </c>
      <c r="AA86" s="269">
        <f t="shared" si="46"/>
        <v>9.0370916246876808E-4</v>
      </c>
      <c r="AB86" s="269">
        <f t="shared" si="46"/>
        <v>0</v>
      </c>
      <c r="AC86" s="269">
        <f t="shared" si="46"/>
        <v>5.3344717231733861E-4</v>
      </c>
      <c r="AD86" s="269">
        <f t="shared" si="46"/>
        <v>1.6528053661373328E-4</v>
      </c>
      <c r="AE86" s="269">
        <f t="shared" si="46"/>
        <v>7.3353499425003776E-4</v>
      </c>
      <c r="AF86" s="269">
        <f t="shared" si="46"/>
        <v>1.0218901299207423E-3</v>
      </c>
      <c r="AG86" s="269">
        <f t="shared" si="46"/>
        <v>8.0568306038034641E-4</v>
      </c>
      <c r="AH86" s="269">
        <f t="shared" si="46"/>
        <v>8.0568306038034641E-4</v>
      </c>
      <c r="AI86" s="269">
        <f t="shared" si="46"/>
        <v>1.2745790462859495E-3</v>
      </c>
      <c r="AJ86" s="269">
        <f t="shared" si="46"/>
        <v>1.6130863455898032E-3</v>
      </c>
      <c r="AK86" s="269">
        <f t="shared" si="46"/>
        <v>1.1903574243649255E-3</v>
      </c>
      <c r="AL86" s="269">
        <f t="shared" si="46"/>
        <v>-1.8542027664705276E-4</v>
      </c>
      <c r="AM86" s="269">
        <f t="shared" si="46"/>
        <v>1.9164091495153528E-3</v>
      </c>
      <c r="AN86" s="269">
        <f t="shared" si="46"/>
        <v>3.3352890005988352E-3</v>
      </c>
      <c r="AO86" s="269">
        <f t="shared" si="46"/>
        <v>5.0088855991086995E-4</v>
      </c>
      <c r="AP86" s="269">
        <f t="shared" si="46"/>
        <v>1.2350676819720082E-4</v>
      </c>
    </row>
    <row r="87" spans="1:42">
      <c r="A87" s="252"/>
      <c r="B87" s="255"/>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4"/>
      <c r="AO87" s="264"/>
      <c r="AP87" s="264"/>
    </row>
    <row r="88" spans="1:42">
      <c r="A88" s="252"/>
      <c r="B88" s="255" t="s">
        <v>343</v>
      </c>
      <c r="C88" s="258">
        <v>7924.9314160481954</v>
      </c>
      <c r="D88" s="258"/>
      <c r="E88" s="258">
        <v>7330.4661390100937</v>
      </c>
      <c r="F88" s="258"/>
      <c r="G88" s="258">
        <v>6466.5740829999986</v>
      </c>
      <c r="H88" s="258"/>
      <c r="I88" s="258">
        <v>6226.2861937999987</v>
      </c>
      <c r="J88" s="258"/>
      <c r="K88" s="258">
        <v>6316.5747439999986</v>
      </c>
      <c r="L88" s="258"/>
      <c r="M88" s="258">
        <v>6312.7258069999998</v>
      </c>
      <c r="N88" s="258"/>
      <c r="O88" s="258">
        <v>5125.3235400000003</v>
      </c>
      <c r="P88" s="264"/>
      <c r="Q88" s="258">
        <v>4778.3094410895192</v>
      </c>
      <c r="R88" s="264"/>
      <c r="S88" s="258"/>
      <c r="T88" s="264"/>
      <c r="U88" s="273"/>
      <c r="V88" s="283"/>
      <c r="W88" s="273"/>
      <c r="X88" s="283"/>
      <c r="Y88" s="273"/>
      <c r="Z88" s="283"/>
      <c r="AA88" s="273"/>
      <c r="AB88" s="283"/>
      <c r="AC88" s="273"/>
      <c r="AD88" s="283"/>
      <c r="AE88" s="258"/>
      <c r="AF88" s="264"/>
      <c r="AG88" s="258"/>
      <c r="AH88" s="264"/>
      <c r="AI88" s="258"/>
      <c r="AJ88" s="264"/>
      <c r="AK88" s="258"/>
      <c r="AL88" s="264"/>
      <c r="AM88" s="258"/>
      <c r="AN88" s="264"/>
      <c r="AO88" s="258"/>
      <c r="AP88" s="264"/>
    </row>
    <row r="89" spans="1:42">
      <c r="A89" s="252"/>
      <c r="B89" s="255" t="s">
        <v>222</v>
      </c>
      <c r="C89" s="258">
        <v>107035.45492119202</v>
      </c>
      <c r="D89" s="258"/>
      <c r="E89" s="258">
        <v>104037.30788707999</v>
      </c>
      <c r="F89" s="258"/>
      <c r="G89" s="258">
        <v>101668.24776078029</v>
      </c>
      <c r="H89" s="258"/>
      <c r="I89" s="258">
        <f>+I36</f>
        <v>98744.151407699988</v>
      </c>
      <c r="J89" s="258"/>
      <c r="K89" s="258">
        <f>+K36</f>
        <v>98940.269777329799</v>
      </c>
      <c r="L89" s="258"/>
      <c r="M89" s="258">
        <f>+M36</f>
        <v>98258.985487460028</v>
      </c>
      <c r="N89" s="258"/>
      <c r="O89" s="258">
        <f>+O36</f>
        <v>96039.543704459997</v>
      </c>
      <c r="P89" s="264"/>
      <c r="Q89" s="258">
        <f>+Q36</f>
        <v>92817.744119980198</v>
      </c>
      <c r="R89" s="264"/>
      <c r="S89" s="258"/>
      <c r="T89" s="264"/>
      <c r="U89" s="258"/>
      <c r="V89" s="264"/>
      <c r="W89" s="258"/>
      <c r="X89" s="264"/>
      <c r="Y89" s="258"/>
      <c r="Z89" s="264"/>
      <c r="AA89" s="258"/>
      <c r="AB89" s="264"/>
      <c r="AC89" s="258"/>
      <c r="AD89" s="264"/>
      <c r="AE89" s="258"/>
      <c r="AF89" s="264"/>
      <c r="AG89" s="258"/>
      <c r="AH89" s="264"/>
      <c r="AI89" s="258"/>
      <c r="AJ89" s="264"/>
      <c r="AK89" s="258"/>
      <c r="AL89" s="264"/>
      <c r="AM89" s="258"/>
      <c r="AN89" s="264"/>
      <c r="AO89" s="258"/>
      <c r="AP89" s="264"/>
    </row>
    <row r="90" spans="1:42" ht="13.5" thickBot="1">
      <c r="A90" s="321" t="s">
        <v>346</v>
      </c>
      <c r="B90" s="268" t="s">
        <v>342</v>
      </c>
      <c r="C90" s="284">
        <v>7.404024602766586E-2</v>
      </c>
      <c r="D90" s="284"/>
      <c r="E90" s="284">
        <v>7.0459975252016652E-2</v>
      </c>
      <c r="F90" s="284"/>
      <c r="G90" s="284">
        <f>G88/G89</f>
        <v>6.3604657554593505E-2</v>
      </c>
      <c r="H90" s="284"/>
      <c r="I90" s="284">
        <f>I88/I89</f>
        <v>6.3054733926393117E-2</v>
      </c>
      <c r="J90" s="284"/>
      <c r="K90" s="284">
        <f>K88/K89</f>
        <v>6.3842303626377578E-2</v>
      </c>
      <c r="L90" s="284"/>
      <c r="M90" s="284">
        <f>M88/M89</f>
        <v>6.4245786537310015E-2</v>
      </c>
      <c r="N90" s="284"/>
      <c r="O90" s="284">
        <f>O88/O89</f>
        <v>5.3366804363128025E-2</v>
      </c>
      <c r="P90" s="275"/>
      <c r="Q90" s="284">
        <f>Q88/Q89</f>
        <v>5.1480559955355859E-2</v>
      </c>
      <c r="R90" s="275"/>
      <c r="S90" s="284"/>
      <c r="T90" s="275"/>
      <c r="U90" s="284"/>
      <c r="V90" s="275"/>
      <c r="W90" s="284"/>
      <c r="X90" s="275"/>
      <c r="Y90" s="284"/>
      <c r="Z90" s="275"/>
      <c r="AA90" s="284"/>
      <c r="AB90" s="275"/>
      <c r="AC90" s="284"/>
      <c r="AD90" s="275"/>
      <c r="AE90" s="284"/>
      <c r="AF90" s="275"/>
      <c r="AG90" s="284"/>
      <c r="AH90" s="275"/>
      <c r="AI90" s="284"/>
      <c r="AJ90" s="275"/>
      <c r="AK90" s="284"/>
      <c r="AL90" s="275"/>
      <c r="AM90" s="284"/>
      <c r="AN90" s="275"/>
      <c r="AO90" s="284"/>
      <c r="AP90" s="275"/>
    </row>
    <row r="91" spans="1:42" ht="15">
      <c r="A91" s="252"/>
      <c r="C91" s="374"/>
      <c r="D91" s="374"/>
      <c r="E91" s="374"/>
      <c r="F91" s="374"/>
      <c r="G91" s="374"/>
      <c r="H91" s="374"/>
      <c r="I91" s="374"/>
      <c r="J91" s="374"/>
      <c r="K91" s="373"/>
      <c r="L91" s="374"/>
      <c r="M91" s="374"/>
      <c r="N91" s="374"/>
      <c r="O91" s="374"/>
      <c r="P91" s="374"/>
      <c r="Q91" s="37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row>
    <row r="92" spans="1:42">
      <c r="A92" s="252"/>
      <c r="B92" s="255" t="s">
        <v>344</v>
      </c>
      <c r="C92" s="258">
        <v>455.73847552582748</v>
      </c>
      <c r="D92" s="258"/>
      <c r="E92" s="258">
        <v>493.5166941326089</v>
      </c>
      <c r="F92" s="258"/>
      <c r="G92" s="258">
        <v>469.47978100000034</v>
      </c>
      <c r="H92" s="258"/>
      <c r="I92" s="258">
        <v>427.0088410000003</v>
      </c>
      <c r="J92" s="258"/>
      <c r="K92" s="258">
        <v>456.23614999999995</v>
      </c>
      <c r="L92" s="258"/>
      <c r="M92" s="258">
        <v>527.34799600000008</v>
      </c>
      <c r="N92" s="258"/>
      <c r="O92" s="258">
        <v>429.91798600000004</v>
      </c>
      <c r="P92" s="264"/>
      <c r="Q92" s="258">
        <v>562.08029052990287</v>
      </c>
      <c r="R92" s="264"/>
      <c r="S92" s="258"/>
      <c r="T92" s="264"/>
      <c r="U92" s="273"/>
      <c r="V92" s="283"/>
      <c r="W92" s="273"/>
      <c r="X92" s="283"/>
      <c r="Y92" s="273"/>
      <c r="Z92" s="283"/>
      <c r="AA92" s="273"/>
      <c r="AB92" s="283"/>
      <c r="AC92" s="273"/>
      <c r="AD92" s="283"/>
      <c r="AE92" s="258"/>
      <c r="AF92" s="264"/>
      <c r="AG92" s="258"/>
      <c r="AH92" s="264"/>
      <c r="AI92" s="258"/>
      <c r="AJ92" s="264"/>
      <c r="AK92" s="258"/>
      <c r="AL92" s="264"/>
      <c r="AM92" s="258"/>
      <c r="AN92" s="264"/>
      <c r="AO92" s="258"/>
      <c r="AP92" s="264"/>
    </row>
    <row r="93" spans="1:42">
      <c r="A93" s="252"/>
      <c r="B93" s="255" t="s">
        <v>222</v>
      </c>
      <c r="C93" s="258">
        <v>107035.45492119202</v>
      </c>
      <c r="D93" s="258"/>
      <c r="E93" s="258">
        <v>104037.30788707999</v>
      </c>
      <c r="F93" s="258"/>
      <c r="G93" s="258">
        <v>101668.24776078029</v>
      </c>
      <c r="H93" s="258"/>
      <c r="I93" s="258">
        <f>I36</f>
        <v>98744.151407699988</v>
      </c>
      <c r="J93" s="258"/>
      <c r="K93" s="258">
        <f>K36</f>
        <v>98940.269777329799</v>
      </c>
      <c r="L93" s="258"/>
      <c r="M93" s="258">
        <f>M36</f>
        <v>98258.985487460028</v>
      </c>
      <c r="N93" s="258"/>
      <c r="O93" s="258">
        <f>O36</f>
        <v>96039.543704459997</v>
      </c>
      <c r="P93" s="264"/>
      <c r="Q93" s="258">
        <f>Q36</f>
        <v>92817.744119980198</v>
      </c>
      <c r="R93" s="264"/>
      <c r="S93" s="258"/>
      <c r="T93" s="264"/>
      <c r="U93" s="258"/>
      <c r="V93" s="264"/>
      <c r="W93" s="258"/>
      <c r="X93" s="264"/>
      <c r="Y93" s="258"/>
      <c r="Z93" s="264"/>
      <c r="AA93" s="258"/>
      <c r="AB93" s="264"/>
      <c r="AC93" s="258"/>
      <c r="AD93" s="264"/>
      <c r="AE93" s="258"/>
      <c r="AF93" s="264"/>
      <c r="AG93" s="258"/>
      <c r="AH93" s="264"/>
      <c r="AI93" s="258"/>
      <c r="AJ93" s="264"/>
      <c r="AK93" s="258"/>
      <c r="AL93" s="264"/>
      <c r="AM93" s="258"/>
      <c r="AN93" s="264"/>
      <c r="AO93" s="258"/>
      <c r="AP93" s="264"/>
    </row>
    <row r="94" spans="1:42" ht="13.5" thickBot="1">
      <c r="A94" s="321" t="s">
        <v>347</v>
      </c>
      <c r="B94" s="268" t="s">
        <v>345</v>
      </c>
      <c r="C94" s="284">
        <v>4.2578272392206698E-3</v>
      </c>
      <c r="D94" s="284"/>
      <c r="E94" s="284">
        <v>4.743651139726357E-3</v>
      </c>
      <c r="F94" s="284"/>
      <c r="G94" s="284">
        <f>G92/G93</f>
        <v>4.6177620972150529E-3</v>
      </c>
      <c r="H94" s="284"/>
      <c r="I94" s="284">
        <f>I92/I93</f>
        <v>4.3243962798054135E-3</v>
      </c>
      <c r="J94" s="284"/>
      <c r="K94" s="284">
        <f>K92/K93</f>
        <v>4.6112280775743083E-3</v>
      </c>
      <c r="L94" s="284"/>
      <c r="M94" s="284">
        <f>M92/M93</f>
        <v>5.3669187950989086E-3</v>
      </c>
      <c r="N94" s="284"/>
      <c r="O94" s="284">
        <f>O92/O93</f>
        <v>4.4764684359910696E-3</v>
      </c>
      <c r="P94" s="275"/>
      <c r="Q94" s="284">
        <f>Q92/Q93</f>
        <v>6.0557417750137709E-3</v>
      </c>
      <c r="R94" s="275"/>
      <c r="S94" s="284"/>
      <c r="T94" s="275"/>
      <c r="U94" s="284"/>
      <c r="V94" s="275"/>
      <c r="W94" s="284"/>
      <c r="X94" s="275"/>
      <c r="Y94" s="284"/>
      <c r="Z94" s="275"/>
      <c r="AA94" s="284"/>
      <c r="AB94" s="275"/>
      <c r="AC94" s="284"/>
      <c r="AD94" s="275"/>
      <c r="AE94" s="284"/>
      <c r="AF94" s="275"/>
      <c r="AG94" s="284"/>
      <c r="AH94" s="275"/>
      <c r="AI94" s="284"/>
      <c r="AJ94" s="275"/>
      <c r="AK94" s="284"/>
      <c r="AL94" s="275"/>
      <c r="AM94" s="284"/>
      <c r="AN94" s="275"/>
      <c r="AO94" s="284"/>
      <c r="AP94" s="275"/>
    </row>
    <row r="95" spans="1:42">
      <c r="A95" s="252"/>
      <c r="B95" s="255"/>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row>
    <row r="96" spans="1:42">
      <c r="A96" s="252"/>
      <c r="B96" s="255" t="s">
        <v>221</v>
      </c>
      <c r="C96" s="258">
        <v>406.88716299999999</v>
      </c>
      <c r="D96" s="258"/>
      <c r="E96" s="258">
        <v>306.28355399999998</v>
      </c>
      <c r="F96" s="258"/>
      <c r="G96" s="258">
        <v>341.524</v>
      </c>
      <c r="H96" s="258"/>
      <c r="I96" s="258">
        <v>307.79300000000001</v>
      </c>
      <c r="J96" s="258"/>
      <c r="K96" s="258">
        <f>66.977712+247.212</f>
        <v>314.18971199999999</v>
      </c>
      <c r="L96" s="258"/>
      <c r="M96" s="258">
        <f>277.694+73.185594</f>
        <v>350.879594</v>
      </c>
      <c r="N96" s="258"/>
      <c r="O96" s="258">
        <v>313.64925100000005</v>
      </c>
      <c r="P96" s="264"/>
      <c r="Q96" s="258">
        <v>231.518</v>
      </c>
      <c r="R96" s="264"/>
      <c r="S96" s="258">
        <v>286.57365616999999</v>
      </c>
      <c r="T96" s="264"/>
      <c r="U96" s="273">
        <v>284.02508992999998</v>
      </c>
      <c r="V96" s="283"/>
      <c r="W96" s="273">
        <v>262.17069946000004</v>
      </c>
      <c r="X96" s="283"/>
      <c r="Y96" s="273">
        <v>222.20291896000003</v>
      </c>
      <c r="Z96" s="283"/>
      <c r="AA96" s="273">
        <v>232.715</v>
      </c>
      <c r="AB96" s="283"/>
      <c r="AC96" s="273">
        <v>336.17699999999996</v>
      </c>
      <c r="AD96" s="283"/>
      <c r="AE96" s="258">
        <v>332.45699999999999</v>
      </c>
      <c r="AF96" s="264"/>
      <c r="AG96" s="258">
        <v>259.5</v>
      </c>
      <c r="AH96" s="264"/>
      <c r="AI96" s="258">
        <v>286.5</v>
      </c>
      <c r="AJ96" s="264"/>
      <c r="AK96" s="258">
        <v>331.45699999999999</v>
      </c>
      <c r="AL96" s="264"/>
      <c r="AM96" s="258">
        <v>373.90199999999999</v>
      </c>
      <c r="AN96" s="264"/>
      <c r="AO96" s="258">
        <v>300.7</v>
      </c>
      <c r="AP96" s="264"/>
    </row>
    <row r="97" spans="1:42">
      <c r="A97" s="252"/>
      <c r="B97" s="255" t="s">
        <v>222</v>
      </c>
      <c r="C97" s="258">
        <v>107035.45492119202</v>
      </c>
      <c r="D97" s="258"/>
      <c r="E97" s="258">
        <v>104037.30788707999</v>
      </c>
      <c r="F97" s="258"/>
      <c r="G97" s="258">
        <v>101668.24776078029</v>
      </c>
      <c r="H97" s="258"/>
      <c r="I97" s="258">
        <v>98744.151407699988</v>
      </c>
      <c r="J97" s="258"/>
      <c r="K97" s="258">
        <f>K36</f>
        <v>98940.269777329799</v>
      </c>
      <c r="L97" s="258"/>
      <c r="M97" s="258">
        <f>M36</f>
        <v>98258.985487460028</v>
      </c>
      <c r="N97" s="258"/>
      <c r="O97" s="258">
        <v>96039.543704459997</v>
      </c>
      <c r="P97" s="264"/>
      <c r="Q97" s="258">
        <f>Q36</f>
        <v>92817.744119980198</v>
      </c>
      <c r="R97" s="264"/>
      <c r="S97" s="258">
        <f>S36</f>
        <v>90460.14825605003</v>
      </c>
      <c r="T97" s="264"/>
      <c r="U97" s="258">
        <f>U36</f>
        <v>88945.039514610005</v>
      </c>
      <c r="V97" s="264"/>
      <c r="W97" s="258">
        <f>W36</f>
        <v>87527.837190519887</v>
      </c>
      <c r="X97" s="264"/>
      <c r="Y97" s="258">
        <f>Y36</f>
        <v>84901.214854689984</v>
      </c>
      <c r="Z97" s="264"/>
      <c r="AA97" s="258">
        <f>AA36</f>
        <v>82944.802144999994</v>
      </c>
      <c r="AB97" s="264"/>
      <c r="AC97" s="258">
        <f>AC36</f>
        <v>81336.069999999992</v>
      </c>
      <c r="AD97" s="264"/>
      <c r="AE97" s="258">
        <f>AE36</f>
        <v>79286.388672980014</v>
      </c>
      <c r="AF97" s="264"/>
      <c r="AG97" s="258">
        <f>AG36</f>
        <v>44307.5</v>
      </c>
      <c r="AH97" s="264"/>
      <c r="AI97" s="258">
        <f>AI36</f>
        <v>43779.16</v>
      </c>
      <c r="AJ97" s="264"/>
      <c r="AK97" s="258">
        <f>AK36</f>
        <v>42793.5</v>
      </c>
      <c r="AL97" s="264"/>
      <c r="AM97" s="258">
        <f>AM36</f>
        <v>42090.69</v>
      </c>
      <c r="AN97" s="264"/>
      <c r="AO97" s="258">
        <f>AO36</f>
        <v>40483.611327409999</v>
      </c>
      <c r="AP97" s="264"/>
    </row>
    <row r="98" spans="1:42" ht="13.5" thickBot="1">
      <c r="A98" s="321" t="s">
        <v>348</v>
      </c>
      <c r="B98" s="268" t="s">
        <v>246</v>
      </c>
      <c r="C98" s="284">
        <v>3.801424147723598E-3</v>
      </c>
      <c r="D98" s="284"/>
      <c r="E98" s="284">
        <v>2.9439780807518972E-3</v>
      </c>
      <c r="F98" s="284"/>
      <c r="G98" s="284">
        <f>G96/G97</f>
        <v>3.3592002175899297E-3</v>
      </c>
      <c r="H98" s="284"/>
      <c r="I98" s="284">
        <f>I96/I97</f>
        <v>3.117075751951812E-3</v>
      </c>
      <c r="J98" s="284"/>
      <c r="K98" s="284">
        <f>K96/K97</f>
        <v>3.175549376478356E-3</v>
      </c>
      <c r="L98" s="284"/>
      <c r="M98" s="284">
        <f>M96/M97</f>
        <v>3.570966993596528E-3</v>
      </c>
      <c r="N98" s="284"/>
      <c r="O98" s="284">
        <f>O96/O97</f>
        <v>3.2658344563275391E-3</v>
      </c>
      <c r="P98" s="275"/>
      <c r="Q98" s="284">
        <f>Q96/Q97</f>
        <v>2.4943290983319944E-3</v>
      </c>
      <c r="R98" s="275"/>
      <c r="S98" s="284">
        <f>S96/S97</f>
        <v>3.1679547479719476E-3</v>
      </c>
      <c r="T98" s="275"/>
      <c r="U98" s="284">
        <f>U96/U97</f>
        <v>3.193265093590142E-3</v>
      </c>
      <c r="V98" s="275"/>
      <c r="W98" s="284">
        <f>W96/W97</f>
        <v>2.9952836477535592E-3</v>
      </c>
      <c r="X98" s="275"/>
      <c r="Y98" s="284">
        <f>Y96/Y97</f>
        <v>2.6171936330982365E-3</v>
      </c>
      <c r="Z98" s="275"/>
      <c r="AA98" s="284">
        <f>AA96/AA97</f>
        <v>2.8056610418236839E-3</v>
      </c>
      <c r="AB98" s="275"/>
      <c r="AC98" s="284">
        <f>AC96/AC97</f>
        <v>4.1331846989902509E-3</v>
      </c>
      <c r="AD98" s="275"/>
      <c r="AE98" s="284">
        <f>AE96/AE97</f>
        <v>4.193115685609451E-3</v>
      </c>
      <c r="AF98" s="275"/>
      <c r="AG98" s="284">
        <f>AG96/AG97</f>
        <v>5.8567962534559611E-3</v>
      </c>
      <c r="AH98" s="275"/>
      <c r="AI98" s="284">
        <f>AI96/AI97</f>
        <v>6.5442096193714079E-3</v>
      </c>
      <c r="AJ98" s="275"/>
      <c r="AK98" s="284">
        <f>AK96/AK97</f>
        <v>7.7454987322841083E-3</v>
      </c>
      <c r="AL98" s="275"/>
      <c r="AM98" s="284">
        <f>AM96/AM97</f>
        <v>8.8832471028628887E-3</v>
      </c>
      <c r="AN98" s="275"/>
      <c r="AO98" s="284">
        <f>AO96/AO97</f>
        <v>7.4276970393796571E-3</v>
      </c>
      <c r="AP98" s="275"/>
    </row>
    <row r="99" spans="1:42">
      <c r="A99" s="252"/>
      <c r="B99" s="255"/>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58"/>
      <c r="AN99" s="264"/>
      <c r="AO99" s="264"/>
      <c r="AP99" s="264"/>
    </row>
    <row r="100" spans="1:42">
      <c r="A100" s="252"/>
      <c r="B100" s="256" t="s">
        <v>223</v>
      </c>
      <c r="C100" s="258">
        <v>83.810366000000002</v>
      </c>
      <c r="D100" s="258"/>
      <c r="E100" s="258">
        <v>98.724193</v>
      </c>
      <c r="F100" s="258"/>
      <c r="G100" s="258">
        <v>105.97900000000001</v>
      </c>
      <c r="H100" s="258"/>
      <c r="I100" s="258">
        <v>111.137</v>
      </c>
      <c r="J100" s="258"/>
      <c r="K100" s="258">
        <f>4.789461+129.191</f>
        <v>133.98046099999999</v>
      </c>
      <c r="L100" s="258"/>
      <c r="M100" s="258">
        <f>147.104+4.155131</f>
        <v>151.25913100000002</v>
      </c>
      <c r="N100" s="258"/>
      <c r="O100" s="258">
        <v>218.058446</v>
      </c>
      <c r="P100" s="264"/>
      <c r="Q100" s="258">
        <v>252.654</v>
      </c>
      <c r="R100" s="264"/>
      <c r="S100" s="258">
        <v>254.45234506</v>
      </c>
      <c r="T100" s="264"/>
      <c r="U100" s="258">
        <v>250.24210007000002</v>
      </c>
      <c r="V100" s="264"/>
      <c r="W100" s="258">
        <v>262.46432599999997</v>
      </c>
      <c r="X100" s="264"/>
      <c r="Y100" s="258">
        <v>256.79862200000002</v>
      </c>
      <c r="Z100" s="264"/>
      <c r="AA100" s="258">
        <v>272.18251900000001</v>
      </c>
      <c r="AB100" s="264"/>
      <c r="AC100" s="258">
        <v>223.315</v>
      </c>
      <c r="AD100" s="264"/>
      <c r="AE100" s="258">
        <v>232.28300000000002</v>
      </c>
      <c r="AF100" s="264"/>
      <c r="AG100" s="258">
        <v>219.3</v>
      </c>
      <c r="AH100" s="264"/>
      <c r="AI100" s="258">
        <v>256.5</v>
      </c>
      <c r="AJ100" s="264"/>
      <c r="AK100" s="258">
        <v>211.9</v>
      </c>
      <c r="AL100" s="264"/>
      <c r="AM100" s="258">
        <v>216.64699999999999</v>
      </c>
      <c r="AN100" s="264"/>
      <c r="AO100" s="263">
        <v>217.36</v>
      </c>
      <c r="AP100" s="264"/>
    </row>
    <row r="101" spans="1:42">
      <c r="A101" s="252"/>
      <c r="B101" s="255" t="s">
        <v>222</v>
      </c>
      <c r="C101" s="258">
        <v>107035.45492119202</v>
      </c>
      <c r="D101" s="258"/>
      <c r="E101" s="258">
        <v>104037.30788707999</v>
      </c>
      <c r="F101" s="258"/>
      <c r="G101" s="258">
        <v>101668.24776078029</v>
      </c>
      <c r="H101" s="258"/>
      <c r="I101" s="258">
        <v>98744.151407699988</v>
      </c>
      <c r="J101" s="258"/>
      <c r="K101" s="258">
        <f>+K85</f>
        <v>98940.269777329799</v>
      </c>
      <c r="L101" s="258"/>
      <c r="M101" s="258">
        <f>+M85</f>
        <v>98258.985487460028</v>
      </c>
      <c r="N101" s="258"/>
      <c r="O101" s="258">
        <v>96039.543704459997</v>
      </c>
      <c r="P101" s="264"/>
      <c r="Q101" s="258">
        <f>+Q85</f>
        <v>92817.744119980198</v>
      </c>
      <c r="R101" s="264"/>
      <c r="S101" s="258">
        <f>S36</f>
        <v>90460.14825605003</v>
      </c>
      <c r="T101" s="264"/>
      <c r="U101" s="258">
        <f>U36</f>
        <v>88945.039514610005</v>
      </c>
      <c r="V101" s="264"/>
      <c r="W101" s="258">
        <f>W36</f>
        <v>87527.837190519887</v>
      </c>
      <c r="X101" s="264"/>
      <c r="Y101" s="258">
        <f>Y36</f>
        <v>84901.214854689984</v>
      </c>
      <c r="Z101" s="264"/>
      <c r="AA101" s="258">
        <f>AA36</f>
        <v>82944.802144999994</v>
      </c>
      <c r="AB101" s="264"/>
      <c r="AC101" s="258">
        <f>AC36</f>
        <v>81336.069999999992</v>
      </c>
      <c r="AD101" s="264"/>
      <c r="AE101" s="258">
        <f>AE36</f>
        <v>79286.388672980014</v>
      </c>
      <c r="AF101" s="264"/>
      <c r="AG101" s="258">
        <f>AG36</f>
        <v>44307.5</v>
      </c>
      <c r="AH101" s="264"/>
      <c r="AI101" s="258">
        <f>AI36</f>
        <v>43779.16</v>
      </c>
      <c r="AJ101" s="264"/>
      <c r="AK101" s="258">
        <f>AK36</f>
        <v>42793.5</v>
      </c>
      <c r="AL101" s="264"/>
      <c r="AM101" s="258">
        <f>AM36</f>
        <v>42090.69</v>
      </c>
      <c r="AN101" s="264"/>
      <c r="AO101" s="258">
        <f>AO36</f>
        <v>40483.611327409999</v>
      </c>
      <c r="AP101" s="264"/>
    </row>
    <row r="102" spans="1:42" ht="13.5" thickBot="1">
      <c r="A102" s="321" t="s">
        <v>349</v>
      </c>
      <c r="B102" s="281" t="s">
        <v>247</v>
      </c>
      <c r="C102" s="284">
        <v>7.8301499313202178E-4</v>
      </c>
      <c r="D102" s="284"/>
      <c r="E102" s="284">
        <v>9.4893067693709704E-4</v>
      </c>
      <c r="F102" s="284"/>
      <c r="G102" s="284">
        <f>G100/G101</f>
        <v>1.0424001823004041E-3</v>
      </c>
      <c r="H102" s="284"/>
      <c r="I102" s="284">
        <f>I100/I101</f>
        <v>1.1255046341036622E-3</v>
      </c>
      <c r="J102" s="284"/>
      <c r="K102" s="284">
        <f>K100/K101</f>
        <v>1.3541549997946232E-3</v>
      </c>
      <c r="L102" s="284"/>
      <c r="M102" s="284">
        <f>M100/M101</f>
        <v>1.5393923542931752E-3</v>
      </c>
      <c r="N102" s="284"/>
      <c r="O102" s="284">
        <f>O100/O101</f>
        <v>2.2705068931920961E-3</v>
      </c>
      <c r="P102" s="275"/>
      <c r="Q102" s="284">
        <f>Q100/Q101</f>
        <v>2.7220441780335513E-3</v>
      </c>
      <c r="R102" s="275"/>
      <c r="S102" s="284">
        <f>S100/S101</f>
        <v>2.8128667702352794E-3</v>
      </c>
      <c r="T102" s="275"/>
      <c r="U102" s="284">
        <f>U100/U101</f>
        <v>2.8134463870679999E-3</v>
      </c>
      <c r="V102" s="275"/>
      <c r="W102" s="284">
        <f>W100/W101</f>
        <v>2.9986383123885461E-3</v>
      </c>
      <c r="X102" s="275"/>
      <c r="Y102" s="284">
        <f>Y100/Y101</f>
        <v>3.0246754706574654E-3</v>
      </c>
      <c r="Z102" s="275"/>
      <c r="AA102" s="284">
        <f>AA100/AA101</f>
        <v>3.2814897613979961E-3</v>
      </c>
      <c r="AB102" s="275"/>
      <c r="AC102" s="284">
        <f>AC100/AC101</f>
        <v>2.745583847363169E-3</v>
      </c>
      <c r="AD102" s="275"/>
      <c r="AE102" s="284">
        <f>AE100/AE101</f>
        <v>2.9296705763464754E-3</v>
      </c>
      <c r="AF102" s="275"/>
      <c r="AG102" s="284">
        <f>AG100/AG101</f>
        <v>4.9495006488743439E-3</v>
      </c>
      <c r="AH102" s="275"/>
      <c r="AI102" s="284">
        <f>AI100/AI101</f>
        <v>5.8589520676047687E-3</v>
      </c>
      <c r="AJ102" s="275"/>
      <c r="AK102" s="284">
        <f>AK100/AK101</f>
        <v>4.9516865879163895E-3</v>
      </c>
      <c r="AL102" s="275"/>
      <c r="AM102" s="284">
        <f>AM100/AM101</f>
        <v>5.147147742172912E-3</v>
      </c>
      <c r="AN102" s="275"/>
      <c r="AO102" s="284">
        <f>AO100/AO101</f>
        <v>5.369086227068714E-3</v>
      </c>
      <c r="AP102" s="275"/>
    </row>
    <row r="103" spans="1:42">
      <c r="A103" s="252"/>
      <c r="B103" s="285"/>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7"/>
      <c r="AN103" s="286"/>
      <c r="AO103" s="286"/>
      <c r="AP103" s="286"/>
    </row>
    <row r="104" spans="1:42">
      <c r="A104" s="252"/>
      <c r="B104" s="255" t="s">
        <v>224</v>
      </c>
      <c r="C104" s="263">
        <v>310.01256999999998</v>
      </c>
      <c r="D104" s="263"/>
      <c r="E104" s="263">
        <v>262.34312599999998</v>
      </c>
      <c r="F104" s="263"/>
      <c r="G104" s="263">
        <f>G96-G111</f>
        <v>299.95699999999999</v>
      </c>
      <c r="H104" s="263"/>
      <c r="I104" s="263">
        <v>275.22500000000002</v>
      </c>
      <c r="J104" s="263"/>
      <c r="K104" s="263">
        <f>K96-K111</f>
        <v>264.33771200000001</v>
      </c>
      <c r="L104" s="263"/>
      <c r="M104" s="263">
        <f>M96-M111</f>
        <v>286.767</v>
      </c>
      <c r="N104" s="263"/>
      <c r="O104" s="263">
        <v>257.55793400000005</v>
      </c>
      <c r="P104" s="288"/>
      <c r="Q104" s="263">
        <v>193.17000000000002</v>
      </c>
      <c r="R104" s="288"/>
      <c r="S104" s="263">
        <v>244.41251417000001</v>
      </c>
      <c r="T104" s="288"/>
      <c r="U104" s="263">
        <v>230.18639757</v>
      </c>
      <c r="V104" s="288"/>
      <c r="W104" s="263">
        <v>221.43033446000004</v>
      </c>
      <c r="X104" s="288"/>
      <c r="Y104" s="263">
        <v>176.29389296000005</v>
      </c>
      <c r="Z104" s="289"/>
      <c r="AA104" s="263">
        <v>178.596238</v>
      </c>
      <c r="AB104" s="289"/>
      <c r="AC104" s="263">
        <v>286.62699999999995</v>
      </c>
      <c r="AD104" s="289"/>
      <c r="AE104" s="263">
        <v>285.33299999999997</v>
      </c>
      <c r="AF104" s="289"/>
      <c r="AG104" s="263">
        <v>208.2</v>
      </c>
      <c r="AH104" s="288"/>
      <c r="AI104" s="263">
        <v>245.8</v>
      </c>
      <c r="AJ104" s="288"/>
      <c r="AK104" s="263">
        <v>288.25700000000001</v>
      </c>
      <c r="AL104" s="265"/>
      <c r="AM104" s="263">
        <v>323.09199999999998</v>
      </c>
      <c r="AN104" s="265"/>
      <c r="AO104" s="263">
        <v>250.7</v>
      </c>
      <c r="AP104" s="265"/>
    </row>
    <row r="105" spans="1:42">
      <c r="A105" s="252"/>
      <c r="B105" s="261" t="s">
        <v>225</v>
      </c>
      <c r="C105" s="262">
        <v>51.223824</v>
      </c>
      <c r="D105" s="262"/>
      <c r="E105" s="262">
        <v>62.184789000000002</v>
      </c>
      <c r="F105" s="262"/>
      <c r="G105" s="262">
        <f>G100-G115</f>
        <v>60.672000000000011</v>
      </c>
      <c r="H105" s="262"/>
      <c r="I105" s="262">
        <v>68.92</v>
      </c>
      <c r="J105" s="262"/>
      <c r="K105" s="262">
        <f>K100-K115</f>
        <v>90.962475999999995</v>
      </c>
      <c r="L105" s="262"/>
      <c r="M105" s="262">
        <f>M100-M115</f>
        <v>87.037519000000032</v>
      </c>
      <c r="N105" s="262"/>
      <c r="O105" s="262">
        <v>129.45849700000002</v>
      </c>
      <c r="P105" s="290"/>
      <c r="Q105" s="262">
        <v>160.41399999999999</v>
      </c>
      <c r="R105" s="290"/>
      <c r="S105" s="262">
        <v>150.86494906000001</v>
      </c>
      <c r="T105" s="290"/>
      <c r="U105" s="262">
        <v>152.74032990000001</v>
      </c>
      <c r="V105" s="290"/>
      <c r="W105" s="262">
        <v>157.60262899999998</v>
      </c>
      <c r="X105" s="290"/>
      <c r="Y105" s="262">
        <v>149.49618800000002</v>
      </c>
      <c r="Z105" s="291"/>
      <c r="AA105" s="262">
        <v>170.83889500000004</v>
      </c>
      <c r="AB105" s="291"/>
      <c r="AC105" s="262">
        <v>134.68</v>
      </c>
      <c r="AD105" s="291"/>
      <c r="AE105" s="262">
        <v>130.21000000000004</v>
      </c>
      <c r="AF105" s="291"/>
      <c r="AG105" s="262">
        <v>119.80000000000001</v>
      </c>
      <c r="AH105" s="290"/>
      <c r="AI105" s="262">
        <v>150</v>
      </c>
      <c r="AJ105" s="290"/>
      <c r="AK105" s="262">
        <v>109</v>
      </c>
      <c r="AL105" s="277"/>
      <c r="AM105" s="262">
        <v>116.38699999999999</v>
      </c>
      <c r="AN105" s="277"/>
      <c r="AO105" s="262">
        <v>131.36000000000001</v>
      </c>
      <c r="AP105" s="277"/>
    </row>
    <row r="106" spans="1:42">
      <c r="A106" s="252"/>
      <c r="B106" s="292" t="s">
        <v>226</v>
      </c>
      <c r="C106" s="263">
        <v>361.23639399999996</v>
      </c>
      <c r="D106" s="263"/>
      <c r="E106" s="263">
        <v>324.52791500000001</v>
      </c>
      <c r="F106" s="263"/>
      <c r="G106" s="263">
        <f>G104+G105</f>
        <v>360.62900000000002</v>
      </c>
      <c r="H106" s="263"/>
      <c r="I106" s="263">
        <v>344.14500000000004</v>
      </c>
      <c r="J106" s="263"/>
      <c r="K106" s="263">
        <f>K104+K105</f>
        <v>355.30018799999999</v>
      </c>
      <c r="L106" s="263"/>
      <c r="M106" s="263">
        <f>M104+M105</f>
        <v>373.80451900000003</v>
      </c>
      <c r="N106" s="263"/>
      <c r="O106" s="263">
        <f>O104+O105</f>
        <v>387.01643100000007</v>
      </c>
      <c r="P106" s="288"/>
      <c r="Q106" s="263">
        <f>Q104+Q105</f>
        <v>353.584</v>
      </c>
      <c r="R106" s="288"/>
      <c r="S106" s="263">
        <f>S104+S105</f>
        <v>395.27746323000002</v>
      </c>
      <c r="T106" s="288"/>
      <c r="U106" s="263">
        <f>U104+U105</f>
        <v>382.92672747</v>
      </c>
      <c r="V106" s="288"/>
      <c r="W106" s="263">
        <f>W104+W105</f>
        <v>379.03296346000002</v>
      </c>
      <c r="X106" s="288"/>
      <c r="Y106" s="263">
        <f>Y104+Y105</f>
        <v>325.79008096000007</v>
      </c>
      <c r="Z106" s="289"/>
      <c r="AA106" s="263">
        <f>AA104+AA105</f>
        <v>349.43513300000006</v>
      </c>
      <c r="AB106" s="289"/>
      <c r="AC106" s="263">
        <f>AC104+AC105</f>
        <v>421.30699999999996</v>
      </c>
      <c r="AD106" s="289"/>
      <c r="AE106" s="263">
        <f>AE104+AE105</f>
        <v>415.54300000000001</v>
      </c>
      <c r="AF106" s="289"/>
      <c r="AG106" s="263">
        <f>AG104+AG105</f>
        <v>328</v>
      </c>
      <c r="AH106" s="288"/>
      <c r="AI106" s="263">
        <f>AI104+AI105</f>
        <v>395.8</v>
      </c>
      <c r="AJ106" s="288"/>
      <c r="AK106" s="263">
        <f>AK104+AK105</f>
        <v>397.25700000000001</v>
      </c>
      <c r="AL106" s="288"/>
      <c r="AM106" s="263">
        <f>AM104+AM105</f>
        <v>439.47899999999998</v>
      </c>
      <c r="AN106" s="288"/>
      <c r="AO106" s="263">
        <f>AO104+AO105</f>
        <v>382.06</v>
      </c>
      <c r="AP106" s="288"/>
    </row>
    <row r="107" spans="1:42">
      <c r="A107" s="252"/>
      <c r="B107" s="255" t="s">
        <v>222</v>
      </c>
      <c r="C107" s="263">
        <v>107035.45492119202</v>
      </c>
      <c r="D107" s="263"/>
      <c r="E107" s="263">
        <v>104037.30788707999</v>
      </c>
      <c r="F107" s="263"/>
      <c r="G107" s="263">
        <f>G36</f>
        <v>101668.24776078029</v>
      </c>
      <c r="H107" s="263"/>
      <c r="I107" s="263">
        <v>98744.151407699988</v>
      </c>
      <c r="J107" s="263"/>
      <c r="K107" s="263">
        <f>K36</f>
        <v>98940.269777329799</v>
      </c>
      <c r="L107" s="263"/>
      <c r="M107" s="263">
        <f>M36</f>
        <v>98258.985487460028</v>
      </c>
      <c r="N107" s="263"/>
      <c r="O107" s="263">
        <f>O36</f>
        <v>96039.543704459997</v>
      </c>
      <c r="P107" s="288"/>
      <c r="Q107" s="263">
        <f>Q36</f>
        <v>92817.744119980198</v>
      </c>
      <c r="R107" s="288"/>
      <c r="S107" s="263">
        <f>S36</f>
        <v>90460.14825605003</v>
      </c>
      <c r="T107" s="288"/>
      <c r="U107" s="263">
        <f>U36</f>
        <v>88945.039514610005</v>
      </c>
      <c r="V107" s="288"/>
      <c r="W107" s="263">
        <f>W36</f>
        <v>87527.837190519887</v>
      </c>
      <c r="X107" s="288"/>
      <c r="Y107" s="263">
        <f>Y36</f>
        <v>84901.214854689984</v>
      </c>
      <c r="Z107" s="289"/>
      <c r="AA107" s="263">
        <f>AA36</f>
        <v>82944.802144999994</v>
      </c>
      <c r="AB107" s="289"/>
      <c r="AC107" s="263">
        <f>AC36</f>
        <v>81336.069999999992</v>
      </c>
      <c r="AD107" s="289"/>
      <c r="AE107" s="263">
        <f>AE36</f>
        <v>79286.388672980014</v>
      </c>
      <c r="AF107" s="289"/>
      <c r="AG107" s="263">
        <f>AG36</f>
        <v>44307.5</v>
      </c>
      <c r="AH107" s="288"/>
      <c r="AI107" s="263">
        <f>AI36</f>
        <v>43779.16</v>
      </c>
      <c r="AJ107" s="288"/>
      <c r="AK107" s="263">
        <f>AK36</f>
        <v>42793.5</v>
      </c>
      <c r="AL107" s="288"/>
      <c r="AM107" s="263">
        <f>AM36</f>
        <v>42090.69</v>
      </c>
      <c r="AN107" s="288"/>
      <c r="AO107" s="263">
        <f>AO36</f>
        <v>40483.611327409999</v>
      </c>
      <c r="AP107" s="288"/>
    </row>
    <row r="108" spans="1:42" ht="13.5" thickBot="1">
      <c r="A108" s="321" t="s">
        <v>350</v>
      </c>
      <c r="B108" s="281" t="s">
        <v>231</v>
      </c>
      <c r="C108" s="269">
        <v>3.3749227698987292E-3</v>
      </c>
      <c r="D108" s="269"/>
      <c r="E108" s="269">
        <v>3.1193417206857765E-3</v>
      </c>
      <c r="F108" s="269"/>
      <c r="G108" s="269">
        <f>G106/G107</f>
        <v>3.5471153279688652E-3</v>
      </c>
      <c r="H108" s="269"/>
      <c r="I108" s="269">
        <f>I106/I107</f>
        <v>3.4852190746880417E-3</v>
      </c>
      <c r="J108" s="269"/>
      <c r="K108" s="269">
        <f>K106/K107</f>
        <v>3.5910574005874603E-3</v>
      </c>
      <c r="L108" s="269"/>
      <c r="M108" s="269">
        <f>M106/M107</f>
        <v>3.8042782260122722E-3</v>
      </c>
      <c r="N108" s="269"/>
      <c r="O108" s="269">
        <f>O106/O107</f>
        <v>4.0297612428371763E-3</v>
      </c>
      <c r="P108" s="275"/>
      <c r="Q108" s="269">
        <f>Q106/Q107</f>
        <v>3.8094440168998521E-3</v>
      </c>
      <c r="R108" s="275"/>
      <c r="S108" s="269">
        <f>S106/S107</f>
        <v>4.3696309463384462E-3</v>
      </c>
      <c r="T108" s="275"/>
      <c r="U108" s="269">
        <f>U106/U107</f>
        <v>4.305206108847711E-3</v>
      </c>
      <c r="V108" s="275"/>
      <c r="W108" s="269">
        <f>W106/W107</f>
        <v>4.3304276173872251E-3</v>
      </c>
      <c r="X108" s="275"/>
      <c r="Y108" s="269">
        <f>Y106/Y107</f>
        <v>3.8372840897223422E-3</v>
      </c>
      <c r="Z108" s="274"/>
      <c r="AA108" s="269">
        <f>AA106/AA107</f>
        <v>4.2128635425416399E-3</v>
      </c>
      <c r="AB108" s="274"/>
      <c r="AC108" s="269">
        <f>AC106/AC107</f>
        <v>5.1798298098248412E-3</v>
      </c>
      <c r="AD108" s="274"/>
      <c r="AE108" s="269">
        <f>AE106/AE107</f>
        <v>5.2410383037361464E-3</v>
      </c>
      <c r="AF108" s="274"/>
      <c r="AG108" s="269">
        <f>AG106/AG107</f>
        <v>7.4028099080291144E-3</v>
      </c>
      <c r="AH108" s="275"/>
      <c r="AI108" s="269">
        <f>AI106/AI107</f>
        <v>9.0408312996411982E-3</v>
      </c>
      <c r="AJ108" s="275"/>
      <c r="AK108" s="269">
        <f>AK106/AK107</f>
        <v>9.2831154264082158E-3</v>
      </c>
      <c r="AL108" s="275"/>
      <c r="AM108" s="269">
        <f>AM106/AM107</f>
        <v>1.0441240093711933E-2</v>
      </c>
      <c r="AN108" s="275"/>
      <c r="AO108" s="269">
        <f>AO106/AO107</f>
        <v>9.4373991714845097E-3</v>
      </c>
      <c r="AP108" s="275"/>
    </row>
    <row r="109" spans="1:42">
      <c r="A109" s="252"/>
      <c r="B109" s="255"/>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58"/>
      <c r="AN109" s="264"/>
      <c r="AO109" s="258"/>
      <c r="AP109" s="264"/>
    </row>
    <row r="110" spans="1:42">
      <c r="A110" s="252"/>
      <c r="B110" s="255"/>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58"/>
      <c r="AN110" s="264"/>
      <c r="AO110" s="258"/>
      <c r="AP110" s="264"/>
    </row>
    <row r="111" spans="1:42">
      <c r="A111" s="252"/>
      <c r="B111" s="256" t="s">
        <v>228</v>
      </c>
      <c r="C111" s="258">
        <v>96.874593000000004</v>
      </c>
      <c r="D111" s="258"/>
      <c r="E111" s="258">
        <v>43.940427999999997</v>
      </c>
      <c r="F111" s="258"/>
      <c r="G111" s="258">
        <f>29.976+11.591</f>
        <v>41.567</v>
      </c>
      <c r="H111" s="258"/>
      <c r="I111" s="258">
        <v>32.567999999999998</v>
      </c>
      <c r="J111" s="258"/>
      <c r="K111" s="258">
        <f>11.644+38.208</f>
        <v>49.851999999999997</v>
      </c>
      <c r="L111" s="258"/>
      <c r="M111" s="258">
        <f>44.927+19.185594</f>
        <v>64.112594000000001</v>
      </c>
      <c r="N111" s="258"/>
      <c r="O111" s="258">
        <v>56.091317000000004</v>
      </c>
      <c r="P111" s="264"/>
      <c r="Q111" s="258">
        <v>38.347999999999999</v>
      </c>
      <c r="R111" s="264"/>
      <c r="S111" s="258">
        <v>42.161141999999998</v>
      </c>
      <c r="T111" s="264"/>
      <c r="U111" s="258">
        <v>53.838692359999996</v>
      </c>
      <c r="V111" s="264"/>
      <c r="W111" s="258">
        <v>40.740365000000004</v>
      </c>
      <c r="X111" s="264"/>
      <c r="Y111" s="258">
        <v>45.909025999999997</v>
      </c>
      <c r="Z111" s="264"/>
      <c r="AA111" s="258">
        <v>54.118761999999997</v>
      </c>
      <c r="AB111" s="264"/>
      <c r="AC111" s="258">
        <v>49.550000000000004</v>
      </c>
      <c r="AD111" s="264"/>
      <c r="AE111" s="258">
        <v>47.124000000000002</v>
      </c>
      <c r="AF111" s="264"/>
      <c r="AG111" s="258">
        <v>51.3</v>
      </c>
      <c r="AH111" s="264"/>
      <c r="AI111" s="258">
        <v>40.700000000000003</v>
      </c>
      <c r="AJ111" s="264"/>
      <c r="AK111" s="258">
        <v>43.2</v>
      </c>
      <c r="AL111" s="264"/>
      <c r="AM111" s="258">
        <v>50.81</v>
      </c>
      <c r="AN111" s="264"/>
      <c r="AO111" s="258">
        <v>50</v>
      </c>
      <c r="AP111" s="264"/>
    </row>
    <row r="112" spans="1:42">
      <c r="A112" s="252"/>
      <c r="B112" s="255" t="s">
        <v>220</v>
      </c>
      <c r="C112" s="258">
        <v>406.88716299999999</v>
      </c>
      <c r="D112" s="258"/>
      <c r="E112" s="258">
        <v>306.28355399999998</v>
      </c>
      <c r="F112" s="258"/>
      <c r="G112" s="258">
        <f>+G96</f>
        <v>341.524</v>
      </c>
      <c r="H112" s="258"/>
      <c r="I112" s="258">
        <v>307.79300000000001</v>
      </c>
      <c r="J112" s="258"/>
      <c r="K112" s="258">
        <f>+K96</f>
        <v>314.18971199999999</v>
      </c>
      <c r="L112" s="258"/>
      <c r="M112" s="258">
        <f>+M96</f>
        <v>350.879594</v>
      </c>
      <c r="N112" s="258"/>
      <c r="O112" s="258">
        <v>313.64925100000005</v>
      </c>
      <c r="P112" s="264"/>
      <c r="Q112" s="258">
        <f>+Q96</f>
        <v>231.518</v>
      </c>
      <c r="R112" s="264"/>
      <c r="S112" s="258">
        <f>+S96</f>
        <v>286.57365616999999</v>
      </c>
      <c r="T112" s="264"/>
      <c r="U112" s="258">
        <f>+U96</f>
        <v>284.02508992999998</v>
      </c>
      <c r="V112" s="264"/>
      <c r="W112" s="258">
        <f>+W96</f>
        <v>262.17069946000004</v>
      </c>
      <c r="X112" s="264"/>
      <c r="Y112" s="258">
        <f>+Y96</f>
        <v>222.20291896000003</v>
      </c>
      <c r="Z112" s="264"/>
      <c r="AA112" s="258">
        <f>+AA96</f>
        <v>232.715</v>
      </c>
      <c r="AB112" s="264"/>
      <c r="AC112" s="258">
        <f>+AC96</f>
        <v>336.17699999999996</v>
      </c>
      <c r="AD112" s="264"/>
      <c r="AE112" s="258">
        <f>+AE96</f>
        <v>332.45699999999999</v>
      </c>
      <c r="AF112" s="264"/>
      <c r="AG112" s="258">
        <f>+AG96</f>
        <v>259.5</v>
      </c>
      <c r="AH112" s="264"/>
      <c r="AI112" s="258">
        <f>+AI96</f>
        <v>286.5</v>
      </c>
      <c r="AJ112" s="264"/>
      <c r="AK112" s="258">
        <f>+AK96</f>
        <v>331.45699999999999</v>
      </c>
      <c r="AL112" s="264"/>
      <c r="AM112" s="258">
        <f>+AM96</f>
        <v>373.90199999999999</v>
      </c>
      <c r="AN112" s="264"/>
      <c r="AO112" s="258">
        <f>+AO96</f>
        <v>300.7</v>
      </c>
      <c r="AP112" s="264"/>
    </row>
    <row r="113" spans="1:42" ht="13.5" thickBot="1">
      <c r="A113" s="321" t="s">
        <v>351</v>
      </c>
      <c r="B113" s="268" t="s">
        <v>227</v>
      </c>
      <c r="C113" s="293">
        <v>0.23808712048258943</v>
      </c>
      <c r="D113" s="293"/>
      <c r="E113" s="293">
        <v>0.14346323015436865</v>
      </c>
      <c r="F113" s="293"/>
      <c r="G113" s="293">
        <f>G111/G112</f>
        <v>0.12171033368079549</v>
      </c>
      <c r="H113" s="293"/>
      <c r="I113" s="293">
        <f>I111/I112</f>
        <v>0.10581137322811109</v>
      </c>
      <c r="J113" s="293"/>
      <c r="K113" s="293">
        <f>K111/K112</f>
        <v>0.15866846715846633</v>
      </c>
      <c r="L113" s="293"/>
      <c r="M113" s="293">
        <f>M111/M112</f>
        <v>0.18271964256775788</v>
      </c>
      <c r="N113" s="293"/>
      <c r="O113" s="293">
        <f>O111/O112</f>
        <v>0.17883453195301907</v>
      </c>
      <c r="P113" s="275"/>
      <c r="Q113" s="293">
        <f>Q111/Q112</f>
        <v>0.1656372290707418</v>
      </c>
      <c r="R113" s="275"/>
      <c r="S113" s="293">
        <f>S111/S112</f>
        <v>0.14712148549687118</v>
      </c>
      <c r="T113" s="275"/>
      <c r="U113" s="293">
        <f>U111/U112</f>
        <v>0.18955611412100576</v>
      </c>
      <c r="V113" s="275"/>
      <c r="W113" s="293">
        <f>W111/W112</f>
        <v>0.15539633179418608</v>
      </c>
      <c r="X113" s="275"/>
      <c r="Y113" s="293">
        <f>Y111/Y112</f>
        <v>0.20660856398679592</v>
      </c>
      <c r="Z113" s="275"/>
      <c r="AA113" s="293">
        <f>AA111/AA112</f>
        <v>0.2325538190490514</v>
      </c>
      <c r="AB113" s="275"/>
      <c r="AC113" s="293">
        <f>AC111/AC112</f>
        <v>0.14739259378244202</v>
      </c>
      <c r="AD113" s="275"/>
      <c r="AE113" s="293">
        <f>AE111/AE112</f>
        <v>0.1417446466761115</v>
      </c>
      <c r="AF113" s="275"/>
      <c r="AG113" s="293">
        <f>AG111/AG112</f>
        <v>0.19768786127167629</v>
      </c>
      <c r="AH113" s="275"/>
      <c r="AI113" s="293">
        <f>AI111/AI112</f>
        <v>0.14205933682373473</v>
      </c>
      <c r="AJ113" s="275"/>
      <c r="AK113" s="293">
        <f>AK111/AK112</f>
        <v>0.13033364810518408</v>
      </c>
      <c r="AL113" s="275"/>
      <c r="AM113" s="293">
        <f>AM111/AM112</f>
        <v>0.13589122283379068</v>
      </c>
      <c r="AN113" s="275"/>
      <c r="AO113" s="293">
        <f>AO111/AO112</f>
        <v>0.16627868307283006</v>
      </c>
      <c r="AP113" s="275"/>
    </row>
    <row r="114" spans="1:42">
      <c r="A114" s="252"/>
      <c r="B114" s="255"/>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58"/>
      <c r="AN114" s="264"/>
      <c r="AO114" s="258"/>
      <c r="AP114" s="264"/>
    </row>
    <row r="115" spans="1:42">
      <c r="A115" s="252"/>
      <c r="B115" s="256" t="s">
        <v>229</v>
      </c>
      <c r="C115" s="258">
        <v>32.586542000000001</v>
      </c>
      <c r="D115" s="258"/>
      <c r="E115" s="258">
        <v>36.539403999999998</v>
      </c>
      <c r="F115" s="258"/>
      <c r="G115" s="258">
        <f>40.975+4.332</f>
        <v>45.307000000000002</v>
      </c>
      <c r="H115" s="258"/>
      <c r="I115" s="258">
        <v>42.216999999999999</v>
      </c>
      <c r="J115" s="258"/>
      <c r="K115" s="258">
        <f>1.361985+41.656</f>
        <v>43.017984999999996</v>
      </c>
      <c r="L115" s="258"/>
      <c r="M115" s="258">
        <f>62.407+1.814612</f>
        <v>64.221611999999993</v>
      </c>
      <c r="N115" s="258"/>
      <c r="O115" s="258">
        <v>88.599948999999995</v>
      </c>
      <c r="P115" s="264"/>
      <c r="Q115" s="258">
        <v>92.24</v>
      </c>
      <c r="R115" s="264"/>
      <c r="S115" s="258">
        <v>103.58739599999998</v>
      </c>
      <c r="T115" s="264"/>
      <c r="U115" s="258">
        <v>97.50177017</v>
      </c>
      <c r="V115" s="264"/>
      <c r="W115" s="258">
        <v>104.86169700000001</v>
      </c>
      <c r="X115" s="264"/>
      <c r="Y115" s="258">
        <v>107.30243400000001</v>
      </c>
      <c r="Z115" s="264"/>
      <c r="AA115" s="258">
        <v>101.34362399999999</v>
      </c>
      <c r="AB115" s="264"/>
      <c r="AC115" s="258">
        <v>88.635000000000005</v>
      </c>
      <c r="AD115" s="264"/>
      <c r="AE115" s="258">
        <v>102.07299999999999</v>
      </c>
      <c r="AF115" s="264"/>
      <c r="AG115" s="258">
        <v>99.5</v>
      </c>
      <c r="AH115" s="264"/>
      <c r="AI115" s="258">
        <v>106.5</v>
      </c>
      <c r="AJ115" s="264"/>
      <c r="AK115" s="258">
        <v>102.9</v>
      </c>
      <c r="AL115" s="264"/>
      <c r="AM115" s="258">
        <v>100.26</v>
      </c>
      <c r="AN115" s="264"/>
      <c r="AO115" s="258">
        <v>86</v>
      </c>
      <c r="AP115" s="264"/>
    </row>
    <row r="116" spans="1:42">
      <c r="A116" s="252"/>
      <c r="B116" s="255" t="s">
        <v>223</v>
      </c>
      <c r="C116" s="258">
        <v>83.810366000000002</v>
      </c>
      <c r="D116" s="258"/>
      <c r="E116" s="258">
        <v>98.724193</v>
      </c>
      <c r="F116" s="258"/>
      <c r="G116" s="258">
        <f>G100</f>
        <v>105.97900000000001</v>
      </c>
      <c r="H116" s="258"/>
      <c r="I116" s="258">
        <v>111.137</v>
      </c>
      <c r="J116" s="258"/>
      <c r="K116" s="258">
        <f>K100</f>
        <v>133.98046099999999</v>
      </c>
      <c r="L116" s="258"/>
      <c r="M116" s="258">
        <f>M100</f>
        <v>151.25913100000002</v>
      </c>
      <c r="N116" s="258"/>
      <c r="O116" s="258">
        <v>218.058446</v>
      </c>
      <c r="P116" s="264"/>
      <c r="Q116" s="258">
        <f>Q100</f>
        <v>252.654</v>
      </c>
      <c r="R116" s="264"/>
      <c r="S116" s="258">
        <f>S100</f>
        <v>254.45234506</v>
      </c>
      <c r="T116" s="264"/>
      <c r="U116" s="258">
        <f>U100</f>
        <v>250.24210007000002</v>
      </c>
      <c r="V116" s="264"/>
      <c r="W116" s="258">
        <f>W100</f>
        <v>262.46432599999997</v>
      </c>
      <c r="X116" s="264"/>
      <c r="Y116" s="258">
        <f>Y100</f>
        <v>256.79862200000002</v>
      </c>
      <c r="Z116" s="264"/>
      <c r="AA116" s="258">
        <f>AA100</f>
        <v>272.18251900000001</v>
      </c>
      <c r="AB116" s="264"/>
      <c r="AC116" s="258">
        <f>AC100</f>
        <v>223.315</v>
      </c>
      <c r="AD116" s="264"/>
      <c r="AE116" s="258">
        <f>AE100</f>
        <v>232.28300000000002</v>
      </c>
      <c r="AF116" s="264"/>
      <c r="AG116" s="258">
        <f>AG100</f>
        <v>219.3</v>
      </c>
      <c r="AH116" s="264"/>
      <c r="AI116" s="258">
        <f>AI100</f>
        <v>256.5</v>
      </c>
      <c r="AJ116" s="264"/>
      <c r="AK116" s="258">
        <f>AK100</f>
        <v>211.9</v>
      </c>
      <c r="AL116" s="264"/>
      <c r="AM116" s="258">
        <f>AM100</f>
        <v>216.64699999999999</v>
      </c>
      <c r="AN116" s="264"/>
      <c r="AO116" s="258">
        <f>AO100</f>
        <v>217.36</v>
      </c>
      <c r="AP116" s="264"/>
    </row>
    <row r="117" spans="1:42" ht="13.5" thickBot="1">
      <c r="A117" s="321" t="s">
        <v>352</v>
      </c>
      <c r="B117" s="268" t="s">
        <v>230</v>
      </c>
      <c r="C117" s="293">
        <v>0.38881278719150325</v>
      </c>
      <c r="D117" s="293"/>
      <c r="E117" s="293">
        <v>0.37011600591153981</v>
      </c>
      <c r="F117" s="293"/>
      <c r="G117" s="293">
        <f>G115/G116</f>
        <v>0.42750922352541537</v>
      </c>
      <c r="H117" s="293"/>
      <c r="I117" s="293">
        <f>I115/I116</f>
        <v>0.37986449157346336</v>
      </c>
      <c r="J117" s="293"/>
      <c r="K117" s="293">
        <f>K115/K116</f>
        <v>0.32107655608081537</v>
      </c>
      <c r="L117" s="293"/>
      <c r="M117" s="293">
        <f>M115/M116</f>
        <v>0.42458006716963081</v>
      </c>
      <c r="N117" s="293"/>
      <c r="O117" s="293">
        <f>O115/O116</f>
        <v>0.40631285155540359</v>
      </c>
      <c r="P117" s="275"/>
      <c r="Q117" s="293">
        <f>Q115/Q116</f>
        <v>0.36508426543810901</v>
      </c>
      <c r="R117" s="275"/>
      <c r="S117" s="293">
        <f>S115/S116</f>
        <v>0.40709939606009143</v>
      </c>
      <c r="T117" s="275"/>
      <c r="U117" s="293">
        <f>U115/U116</f>
        <v>0.38962976310830955</v>
      </c>
      <c r="V117" s="275"/>
      <c r="W117" s="293">
        <f>W115/W116</f>
        <v>0.3995274275864828</v>
      </c>
      <c r="X117" s="275"/>
      <c r="Y117" s="293">
        <f>Y115/Y116</f>
        <v>0.41784661134201878</v>
      </c>
      <c r="Z117" s="275"/>
      <c r="AA117" s="293">
        <f>AA115/AA116</f>
        <v>0.3723370052284658</v>
      </c>
      <c r="AB117" s="275"/>
      <c r="AC117" s="293">
        <f>AC115/AC116</f>
        <v>0.39690571614087727</v>
      </c>
      <c r="AD117" s="275"/>
      <c r="AE117" s="293">
        <f>AE115/AE116</f>
        <v>0.43943379412182548</v>
      </c>
      <c r="AF117" s="275"/>
      <c r="AG117" s="293">
        <f>AG115/AG116</f>
        <v>0.45371637026903783</v>
      </c>
      <c r="AH117" s="275"/>
      <c r="AI117" s="293">
        <f>AI115/AI116</f>
        <v>0.41520467836257308</v>
      </c>
      <c r="AJ117" s="275"/>
      <c r="AK117" s="293">
        <f>AK115/AK116</f>
        <v>0.48560641812175553</v>
      </c>
      <c r="AL117" s="275"/>
      <c r="AM117" s="293">
        <f>AM115/AM116</f>
        <v>0.46278046776553566</v>
      </c>
      <c r="AN117" s="275"/>
      <c r="AO117" s="293">
        <f>AO115/AO116</f>
        <v>0.39565697460434301</v>
      </c>
      <c r="AP117" s="275"/>
    </row>
    <row r="118" spans="1:42">
      <c r="A118" s="252"/>
      <c r="B118" s="255"/>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row>
    <row r="119" spans="1:42">
      <c r="A119" s="252"/>
      <c r="B119" s="255"/>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row>
    <row r="120" spans="1:42">
      <c r="A120" s="252"/>
      <c r="B120" s="255" t="s">
        <v>200</v>
      </c>
      <c r="C120" s="258">
        <v>15902.865877999999</v>
      </c>
      <c r="D120" s="258"/>
      <c r="E120" s="258">
        <v>15781.623224370029</v>
      </c>
      <c r="F120" s="258"/>
      <c r="G120" s="258">
        <f>G19</f>
        <v>15088.845469150001</v>
      </c>
      <c r="H120" s="258"/>
      <c r="I120" s="258">
        <v>14604.36419099</v>
      </c>
      <c r="J120" s="258"/>
      <c r="K120" s="258">
        <v>14761.540622534032</v>
      </c>
      <c r="L120" s="258"/>
      <c r="M120" s="258">
        <f>M19</f>
        <v>13772.911895999998</v>
      </c>
      <c r="N120" s="258"/>
      <c r="O120" s="258">
        <f>O19</f>
        <v>13419.826445000001</v>
      </c>
      <c r="P120" s="264"/>
      <c r="Q120" s="258">
        <f>Q19</f>
        <v>13006.999244000001</v>
      </c>
      <c r="R120" s="264"/>
      <c r="S120" s="258">
        <f>S19</f>
        <v>13331.214576718428</v>
      </c>
      <c r="T120" s="264"/>
      <c r="U120" s="258">
        <f>U19</f>
        <v>12991.201010299999</v>
      </c>
      <c r="V120" s="264"/>
      <c r="W120" s="258">
        <f>W19</f>
        <v>12591.153999999999</v>
      </c>
      <c r="X120" s="264"/>
      <c r="Y120" s="258">
        <f>Y19</f>
        <v>12369.748290755098</v>
      </c>
      <c r="Z120" s="264"/>
      <c r="AA120" s="258">
        <f>AA19</f>
        <v>12107.396449</v>
      </c>
      <c r="AB120" s="264"/>
      <c r="AC120" s="258">
        <f>AC19</f>
        <v>11775.9</v>
      </c>
      <c r="AD120" s="264"/>
      <c r="AE120" s="258">
        <f>AE19</f>
        <v>10950.12103489</v>
      </c>
      <c r="AF120" s="264"/>
      <c r="AG120" s="258">
        <f>AG19</f>
        <v>8995.4</v>
      </c>
      <c r="AH120" s="264"/>
      <c r="AI120" s="258">
        <f>AI19</f>
        <v>8717.7999999999993</v>
      </c>
      <c r="AJ120" s="264"/>
      <c r="AK120" s="258">
        <f>AK19</f>
        <v>8449.2000000000007</v>
      </c>
      <c r="AL120" s="264"/>
      <c r="AM120" s="258">
        <f>AM19</f>
        <v>8128</v>
      </c>
      <c r="AN120" s="264"/>
      <c r="AO120" s="258">
        <f>AO19</f>
        <v>7889</v>
      </c>
      <c r="AP120" s="264"/>
    </row>
    <row r="121" spans="1:42">
      <c r="A121" s="252"/>
      <c r="B121" s="255" t="s">
        <v>201</v>
      </c>
      <c r="C121" s="258">
        <v>134782.94005149015</v>
      </c>
      <c r="D121" s="258"/>
      <c r="E121" s="258">
        <v>136568.11884102001</v>
      </c>
      <c r="F121" s="258"/>
      <c r="G121" s="258">
        <f>+G72</f>
        <v>130854.10594534002</v>
      </c>
      <c r="H121" s="258"/>
      <c r="I121" s="258">
        <v>126291.54656699001</v>
      </c>
      <c r="J121" s="258"/>
      <c r="K121" s="258">
        <f>+K72</f>
        <v>123471.57226353404</v>
      </c>
      <c r="L121" s="258"/>
      <c r="M121" s="258">
        <f>+M72</f>
        <v>121318.88338399999</v>
      </c>
      <c r="N121" s="258"/>
      <c r="O121" s="258">
        <f>+O72</f>
        <v>119591.87386200001</v>
      </c>
      <c r="P121" s="264"/>
      <c r="Q121" s="258">
        <f>+Q72</f>
        <v>114088.20773600001</v>
      </c>
      <c r="R121" s="264"/>
      <c r="S121" s="258">
        <f>+S72</f>
        <v>108321.32653799999</v>
      </c>
      <c r="T121" s="264"/>
      <c r="U121" s="258">
        <f>+U72</f>
        <v>106311.634504</v>
      </c>
      <c r="V121" s="264"/>
      <c r="W121" s="258">
        <f>+W72</f>
        <v>107652.02759400001</v>
      </c>
      <c r="X121" s="264"/>
      <c r="Y121" s="258">
        <f>+Y72</f>
        <v>101861.10500000003</v>
      </c>
      <c r="Z121" s="264"/>
      <c r="AA121" s="258">
        <f>+AA72</f>
        <v>101241.63347000002</v>
      </c>
      <c r="AB121" s="264"/>
      <c r="AC121" s="258">
        <f>+AC72</f>
        <v>99719.943000000014</v>
      </c>
      <c r="AD121" s="264"/>
      <c r="AE121" s="258">
        <f>+AE72</f>
        <v>100882.75</v>
      </c>
      <c r="AF121" s="264"/>
      <c r="AG121" s="258">
        <f>+AG72</f>
        <v>57184.580000000009</v>
      </c>
      <c r="AH121" s="264"/>
      <c r="AI121" s="258">
        <f>+AI72</f>
        <v>55970</v>
      </c>
      <c r="AJ121" s="264"/>
      <c r="AK121" s="258">
        <f>+AK72</f>
        <v>54500.600000000006</v>
      </c>
      <c r="AL121" s="264"/>
      <c r="AM121" s="258">
        <f>+AM72</f>
        <v>53558.399999999994</v>
      </c>
      <c r="AN121" s="264"/>
      <c r="AO121" s="258">
        <f>+AO72</f>
        <v>51101</v>
      </c>
      <c r="AP121" s="264"/>
    </row>
    <row r="122" spans="1:42" ht="13.5" thickBot="1">
      <c r="A122" s="321" t="s">
        <v>353</v>
      </c>
      <c r="B122" s="268" t="s">
        <v>202</v>
      </c>
      <c r="C122" s="284">
        <v>0.11798871483234259</v>
      </c>
      <c r="D122" s="284"/>
      <c r="E122" s="284">
        <v>0.11555861908548024</v>
      </c>
      <c r="F122" s="284"/>
      <c r="G122" s="284">
        <f>G120/G121</f>
        <v>0.11531044715901285</v>
      </c>
      <c r="H122" s="284"/>
      <c r="I122" s="284">
        <f>I120/I121</f>
        <v>0.11564007717051172</v>
      </c>
      <c r="J122" s="284"/>
      <c r="K122" s="284">
        <f>K120/K121</f>
        <v>0.11955416418467112</v>
      </c>
      <c r="L122" s="284"/>
      <c r="M122" s="284">
        <f>M120/M121</f>
        <v>0.11352653034569904</v>
      </c>
      <c r="N122" s="284"/>
      <c r="O122" s="284">
        <f>O120/O121</f>
        <v>0.11221353100032086</v>
      </c>
      <c r="P122" s="275"/>
      <c r="Q122" s="284">
        <f>Q120/Q121</f>
        <v>0.11400827046120475</v>
      </c>
      <c r="R122" s="275"/>
      <c r="S122" s="284">
        <f>S120/S121</f>
        <v>0.12307100552393743</v>
      </c>
      <c r="T122" s="275"/>
      <c r="U122" s="284">
        <f>U120/U121</f>
        <v>0.12219924066552849</v>
      </c>
      <c r="V122" s="275"/>
      <c r="W122" s="284">
        <f>W120/W121</f>
        <v>0.11696160566047496</v>
      </c>
      <c r="X122" s="275"/>
      <c r="Y122" s="284">
        <f>Y120/Y121</f>
        <v>0.12143740528590471</v>
      </c>
      <c r="Z122" s="275"/>
      <c r="AA122" s="284">
        <f>AA120/AA121</f>
        <v>0.11958910612191645</v>
      </c>
      <c r="AB122" s="275"/>
      <c r="AC122" s="284">
        <f>AC120/AC121</f>
        <v>0.11808971852300396</v>
      </c>
      <c r="AD122" s="275"/>
      <c r="AE122" s="284">
        <f>AE120/AE121</f>
        <v>0.10854304660499442</v>
      </c>
      <c r="AF122" s="275"/>
      <c r="AG122" s="284">
        <f>AG120/AG121</f>
        <v>0.15730464401417302</v>
      </c>
      <c r="AH122" s="275"/>
      <c r="AI122" s="284">
        <f>AI120/AI121</f>
        <v>0.15575844202251204</v>
      </c>
      <c r="AJ122" s="275"/>
      <c r="AK122" s="284">
        <f>AK120/AK121</f>
        <v>0.15502948591391655</v>
      </c>
      <c r="AL122" s="275"/>
      <c r="AM122" s="284">
        <f>AM120/AM121</f>
        <v>0.15175957459520822</v>
      </c>
      <c r="AN122" s="275"/>
      <c r="AO122" s="284">
        <f>AO120/AO121</f>
        <v>0.154380540498229</v>
      </c>
      <c r="AP122" s="275"/>
    </row>
    <row r="123" spans="1:42">
      <c r="A123" s="252"/>
      <c r="B123" s="255"/>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row>
    <row r="124" spans="1:42">
      <c r="A124" s="252"/>
      <c r="B124" s="255"/>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row>
    <row r="125" spans="1:42">
      <c r="B125" s="255" t="s">
        <v>200</v>
      </c>
      <c r="C125" s="258">
        <v>15902.865877999999</v>
      </c>
      <c r="D125" s="258"/>
      <c r="E125" s="258">
        <v>15781.623224370029</v>
      </c>
      <c r="F125" s="258"/>
      <c r="G125" s="258">
        <v>15088.845469150001</v>
      </c>
      <c r="H125" s="258"/>
      <c r="I125" s="258">
        <v>14604.36419099</v>
      </c>
      <c r="J125" s="258"/>
      <c r="K125" s="258">
        <v>14761.540622534032</v>
      </c>
      <c r="L125" s="258"/>
      <c r="M125" s="258">
        <v>13772.911895999998</v>
      </c>
      <c r="N125" s="258"/>
      <c r="O125" s="258">
        <v>13419.826445000001</v>
      </c>
      <c r="P125" s="264"/>
      <c r="Q125" s="258">
        <v>13006.999244000001</v>
      </c>
      <c r="R125" s="264"/>
      <c r="S125" s="258">
        <v>13331.214576718428</v>
      </c>
      <c r="T125" s="264"/>
      <c r="U125" s="258">
        <v>12991.201010299999</v>
      </c>
      <c r="V125" s="258"/>
      <c r="W125" s="258">
        <v>12591.153999999999</v>
      </c>
      <c r="X125" s="264"/>
      <c r="Y125" s="258">
        <v>12369.748290755098</v>
      </c>
      <c r="Z125" s="264"/>
      <c r="AA125" s="258">
        <v>12107.396449</v>
      </c>
      <c r="AB125" s="264"/>
      <c r="AC125" s="258">
        <v>11775.9</v>
      </c>
      <c r="AD125" s="264"/>
      <c r="AE125" s="258">
        <v>10950.12103489</v>
      </c>
      <c r="AF125" s="264"/>
      <c r="AG125" s="294" t="s">
        <v>146</v>
      </c>
      <c r="AH125" s="264"/>
      <c r="AI125" s="294" t="s">
        <v>146</v>
      </c>
      <c r="AJ125" s="264"/>
      <c r="AK125" s="294" t="s">
        <v>146</v>
      </c>
      <c r="AL125" s="264"/>
      <c r="AM125" s="294" t="s">
        <v>146</v>
      </c>
      <c r="AN125" s="264"/>
      <c r="AO125" s="294" t="s">
        <v>146</v>
      </c>
      <c r="AP125" s="264"/>
    </row>
    <row r="126" spans="1:42">
      <c r="B126" s="272" t="s">
        <v>203</v>
      </c>
      <c r="C126" s="258">
        <v>113.514532</v>
      </c>
      <c r="D126" s="258"/>
      <c r="E126" s="258">
        <v>100.881528</v>
      </c>
      <c r="F126" s="258"/>
      <c r="G126" s="258">
        <v>100.21979899999999</v>
      </c>
      <c r="H126" s="258"/>
      <c r="I126" s="258">
        <v>98.409527999999995</v>
      </c>
      <c r="J126" s="258"/>
      <c r="K126" s="258">
        <v>102.476</v>
      </c>
      <c r="L126" s="258"/>
      <c r="M126" s="258">
        <v>94.432304000000002</v>
      </c>
      <c r="N126" s="258"/>
      <c r="O126" s="258">
        <v>92.616168999999999</v>
      </c>
      <c r="P126" s="264"/>
      <c r="Q126" s="258">
        <v>57.376956999999997</v>
      </c>
      <c r="R126" s="264"/>
      <c r="S126" s="258">
        <v>62.4</v>
      </c>
      <c r="T126" s="264"/>
      <c r="U126" s="258">
        <v>53.335999999999999</v>
      </c>
      <c r="V126" s="258"/>
      <c r="W126" s="258">
        <v>50.855761000000001</v>
      </c>
      <c r="X126" s="264"/>
      <c r="Y126" s="258">
        <v>49</v>
      </c>
      <c r="Z126" s="264"/>
      <c r="AA126" s="258">
        <v>47.279034750000001</v>
      </c>
      <c r="AB126" s="264"/>
      <c r="AC126" s="258">
        <v>46</v>
      </c>
      <c r="AD126" s="264"/>
      <c r="AE126" s="258">
        <v>45</v>
      </c>
      <c r="AF126" s="264"/>
      <c r="AG126" s="294" t="s">
        <v>146</v>
      </c>
      <c r="AH126" s="264"/>
      <c r="AI126" s="294" t="s">
        <v>146</v>
      </c>
      <c r="AJ126" s="264"/>
      <c r="AK126" s="294" t="s">
        <v>146</v>
      </c>
      <c r="AL126" s="264"/>
      <c r="AM126" s="294" t="s">
        <v>146</v>
      </c>
      <c r="AN126" s="264"/>
      <c r="AO126" s="294" t="s">
        <v>146</v>
      </c>
      <c r="AP126" s="264"/>
    </row>
    <row r="127" spans="1:42">
      <c r="B127" s="272" t="s">
        <v>204</v>
      </c>
      <c r="C127" s="258">
        <v>12.411659999999998</v>
      </c>
      <c r="D127" s="258"/>
      <c r="E127" s="258">
        <v>12.96165989</v>
      </c>
      <c r="F127" s="258"/>
      <c r="G127" s="258">
        <v>14.46165989</v>
      </c>
      <c r="H127" s="258"/>
      <c r="I127" s="258">
        <v>14.56165989</v>
      </c>
      <c r="J127" s="258"/>
      <c r="K127" s="258">
        <v>14.661659999999999</v>
      </c>
      <c r="L127" s="258"/>
      <c r="M127" s="258">
        <v>16.509160000000001</v>
      </c>
      <c r="N127" s="258"/>
      <c r="O127" s="258">
        <v>19.009160000000001</v>
      </c>
      <c r="P127" s="264"/>
      <c r="Q127" s="258">
        <v>19.237159999999999</v>
      </c>
      <c r="R127" s="264"/>
      <c r="S127" s="258">
        <v>19.520132000000004</v>
      </c>
      <c r="T127" s="264"/>
      <c r="U127" s="258">
        <v>23.610119999999998</v>
      </c>
      <c r="V127" s="258"/>
      <c r="W127" s="258">
        <v>27.225885000000002</v>
      </c>
      <c r="X127" s="264"/>
      <c r="Y127" s="258">
        <v>28.733000000000001</v>
      </c>
      <c r="Z127" s="264"/>
      <c r="AA127" s="258">
        <v>32.701132000000001</v>
      </c>
      <c r="AB127" s="264"/>
      <c r="AC127" s="258">
        <v>40.4</v>
      </c>
      <c r="AD127" s="264"/>
      <c r="AE127" s="258">
        <v>43.90314489</v>
      </c>
      <c r="AF127" s="264"/>
      <c r="AG127" s="294" t="s">
        <v>146</v>
      </c>
      <c r="AH127" s="264"/>
      <c r="AI127" s="294" t="s">
        <v>146</v>
      </c>
      <c r="AJ127" s="264"/>
      <c r="AK127" s="294" t="s">
        <v>146</v>
      </c>
      <c r="AL127" s="264"/>
      <c r="AM127" s="294" t="s">
        <v>146</v>
      </c>
      <c r="AN127" s="264"/>
      <c r="AO127" s="294" t="s">
        <v>146</v>
      </c>
      <c r="AP127" s="264"/>
    </row>
    <row r="128" spans="1:42">
      <c r="B128" s="272" t="s">
        <v>205</v>
      </c>
      <c r="C128" s="258">
        <v>300.00475699999998</v>
      </c>
      <c r="D128" s="258"/>
      <c r="E128" s="258">
        <v>493.44836554</v>
      </c>
      <c r="F128" s="258"/>
      <c r="G128" s="258">
        <v>200</v>
      </c>
      <c r="H128" s="258"/>
      <c r="I128" s="258">
        <v>200</v>
      </c>
      <c r="J128" s="258"/>
      <c r="K128" s="258">
        <v>400</v>
      </c>
      <c r="L128" s="258"/>
      <c r="M128" s="258">
        <v>400</v>
      </c>
      <c r="N128" s="258"/>
      <c r="O128" s="258">
        <v>400</v>
      </c>
      <c r="P128" s="264"/>
      <c r="Q128" s="258">
        <v>400</v>
      </c>
      <c r="R128" s="264"/>
      <c r="S128" s="258">
        <v>400</v>
      </c>
      <c r="T128" s="264"/>
      <c r="U128" s="258">
        <v>400</v>
      </c>
      <c r="V128" s="258"/>
      <c r="W128" s="258">
        <v>400</v>
      </c>
      <c r="X128" s="264"/>
      <c r="Y128" s="258">
        <v>400</v>
      </c>
      <c r="Z128" s="264"/>
      <c r="AA128" s="258">
        <v>400</v>
      </c>
      <c r="AB128" s="264"/>
      <c r="AC128" s="258">
        <v>400</v>
      </c>
      <c r="AD128" s="264"/>
      <c r="AE128" s="258">
        <v>400</v>
      </c>
      <c r="AF128" s="264"/>
      <c r="AG128" s="294" t="s">
        <v>146</v>
      </c>
      <c r="AH128" s="264"/>
      <c r="AI128" s="294" t="s">
        <v>146</v>
      </c>
      <c r="AJ128" s="264"/>
      <c r="AK128" s="294" t="s">
        <v>146</v>
      </c>
      <c r="AL128" s="264"/>
      <c r="AM128" s="294" t="s">
        <v>146</v>
      </c>
      <c r="AN128" s="264"/>
      <c r="AO128" s="294" t="s">
        <v>146</v>
      </c>
      <c r="AP128" s="264"/>
    </row>
    <row r="129" spans="1:42">
      <c r="B129" s="297" t="s">
        <v>206</v>
      </c>
      <c r="C129" s="258">
        <v>15476.934928999999</v>
      </c>
      <c r="D129" s="258"/>
      <c r="E129" s="258">
        <v>15174.33167094003</v>
      </c>
      <c r="F129" s="258"/>
      <c r="G129" s="258">
        <v>14774.164010260001</v>
      </c>
      <c r="H129" s="258"/>
      <c r="I129" s="258">
        <v>14291.3930031</v>
      </c>
      <c r="J129" s="258"/>
      <c r="K129" s="258">
        <v>14244.402962534032</v>
      </c>
      <c r="L129" s="258"/>
      <c r="M129" s="258">
        <v>13261.970431999998</v>
      </c>
      <c r="N129" s="258"/>
      <c r="O129" s="258">
        <v>12908.201116</v>
      </c>
      <c r="P129" s="264"/>
      <c r="Q129" s="258">
        <v>12530.385127</v>
      </c>
      <c r="R129" s="264"/>
      <c r="S129" s="258">
        <v>12849.294444718429</v>
      </c>
      <c r="T129" s="264"/>
      <c r="U129" s="258">
        <v>12514.254890300001</v>
      </c>
      <c r="V129" s="258"/>
      <c r="W129" s="258">
        <v>12113.072353999998</v>
      </c>
      <c r="X129" s="264"/>
      <c r="Y129" s="258">
        <v>11892.015290755098</v>
      </c>
      <c r="Z129" s="264"/>
      <c r="AA129" s="258">
        <v>11627.41628225</v>
      </c>
      <c r="AB129" s="258"/>
      <c r="AC129" s="258">
        <v>11289.5</v>
      </c>
      <c r="AD129" s="264"/>
      <c r="AE129" s="258">
        <v>10461.21789</v>
      </c>
      <c r="AF129" s="264"/>
      <c r="AG129" s="294" t="s">
        <v>146</v>
      </c>
      <c r="AH129" s="264"/>
      <c r="AI129" s="294" t="s">
        <v>146</v>
      </c>
      <c r="AJ129" s="264"/>
      <c r="AK129" s="294" t="s">
        <v>146</v>
      </c>
      <c r="AL129" s="264"/>
      <c r="AM129" s="294" t="s">
        <v>146</v>
      </c>
      <c r="AN129" s="264"/>
      <c r="AO129" s="294" t="s">
        <v>146</v>
      </c>
      <c r="AP129" s="264"/>
    </row>
    <row r="130" spans="1:42">
      <c r="B130" s="298" t="s">
        <v>207</v>
      </c>
      <c r="C130" s="299">
        <v>0.70099912415633248</v>
      </c>
      <c r="D130" s="299"/>
      <c r="E130" s="299">
        <v>0.69355058599999997</v>
      </c>
      <c r="F130" s="299"/>
      <c r="G130" s="299">
        <v>0.69355058599999997</v>
      </c>
      <c r="H130" s="299"/>
      <c r="I130" s="299">
        <v>0.69355058599999997</v>
      </c>
      <c r="J130" s="299"/>
      <c r="K130" s="299">
        <v>0.69255300847357781</v>
      </c>
      <c r="L130" s="299"/>
      <c r="M130" s="299">
        <v>0.67552884523400603</v>
      </c>
      <c r="N130" s="299"/>
      <c r="O130" s="299">
        <v>0.67552884523400603</v>
      </c>
      <c r="P130" s="264"/>
      <c r="Q130" s="299">
        <v>0.67552884523400603</v>
      </c>
      <c r="R130" s="264"/>
      <c r="S130" s="300">
        <v>0.67527848656046996</v>
      </c>
      <c r="T130" s="300"/>
      <c r="U130" s="300">
        <v>0.67909544299689906</v>
      </c>
      <c r="V130" s="300"/>
      <c r="W130" s="300">
        <v>0.68019204285072066</v>
      </c>
      <c r="X130" s="300"/>
      <c r="Y130" s="300">
        <v>0.67294279680764146</v>
      </c>
      <c r="Z130" s="301"/>
      <c r="AA130" s="300">
        <v>0.67300000000000004</v>
      </c>
      <c r="AB130" s="300">
        <v>0.67300000000000004</v>
      </c>
      <c r="AC130" s="300">
        <v>0.67255691881993418</v>
      </c>
      <c r="AD130" s="301"/>
      <c r="AE130" s="300">
        <v>0.67255691881993418</v>
      </c>
      <c r="AF130" s="300"/>
      <c r="AG130" s="294" t="s">
        <v>146</v>
      </c>
      <c r="AH130" s="294"/>
      <c r="AI130" s="294" t="s">
        <v>146</v>
      </c>
      <c r="AJ130" s="302"/>
      <c r="AK130" s="294" t="s">
        <v>146</v>
      </c>
      <c r="AL130" s="294"/>
      <c r="AM130" s="294" t="s">
        <v>146</v>
      </c>
      <c r="AN130" s="294"/>
      <c r="AO130" s="294" t="s">
        <v>146</v>
      </c>
      <c r="AP130" s="294"/>
    </row>
    <row r="131" spans="1:42">
      <c r="B131" s="297" t="s">
        <v>208</v>
      </c>
      <c r="C131" s="258">
        <v>10849.317829853549</v>
      </c>
      <c r="D131" s="258"/>
      <c r="E131" s="258">
        <v>10563.454521036645</v>
      </c>
      <c r="F131" s="258"/>
      <c r="G131" s="258">
        <v>10284.338953080276</v>
      </c>
      <c r="H131" s="258"/>
      <c r="I131" s="258">
        <v>9875.6371398569845</v>
      </c>
      <c r="J131" s="258"/>
      <c r="K131" s="258">
        <v>9897.943889999633</v>
      </c>
      <c r="L131" s="258"/>
      <c r="M131" s="258">
        <v>8985.8324258674093</v>
      </c>
      <c r="N131" s="258"/>
      <c r="O131" s="258">
        <v>8743.3967177522609</v>
      </c>
      <c r="P131" s="264"/>
      <c r="Q131" s="258">
        <v>8464.6365951796743</v>
      </c>
      <c r="R131" s="264"/>
      <c r="S131" s="258">
        <v>8676.8521059993145</v>
      </c>
      <c r="T131" s="258"/>
      <c r="U131" s="258">
        <v>8498.3734685043892</v>
      </c>
      <c r="V131" s="258"/>
      <c r="W131" s="258">
        <v>8239.2154296658464</v>
      </c>
      <c r="X131" s="258"/>
      <c r="Y131" s="258">
        <v>8002.6460294399731</v>
      </c>
      <c r="Z131" s="264"/>
      <c r="AA131" s="258">
        <v>7825.2511579542506</v>
      </c>
      <c r="AB131" s="258"/>
      <c r="AC131" s="258">
        <v>7592.8313350176468</v>
      </c>
      <c r="AD131" s="264"/>
      <c r="AE131" s="258">
        <v>7035.764471202373</v>
      </c>
      <c r="AF131" s="258"/>
      <c r="AG131" s="294" t="s">
        <v>146</v>
      </c>
      <c r="AH131" s="294"/>
      <c r="AI131" s="294" t="s">
        <v>146</v>
      </c>
      <c r="AJ131" s="258"/>
      <c r="AK131" s="294" t="s">
        <v>146</v>
      </c>
      <c r="AL131" s="294"/>
      <c r="AM131" s="294" t="s">
        <v>146</v>
      </c>
      <c r="AN131" s="294"/>
      <c r="AO131" s="294" t="s">
        <v>146</v>
      </c>
      <c r="AP131" s="294"/>
    </row>
    <row r="132" spans="1:42">
      <c r="B132" s="298" t="s">
        <v>209</v>
      </c>
      <c r="C132" s="258">
        <v>115829789</v>
      </c>
      <c r="D132" s="258"/>
      <c r="E132" s="258">
        <v>115829789</v>
      </c>
      <c r="F132" s="258"/>
      <c r="G132" s="258">
        <v>115829789</v>
      </c>
      <c r="H132" s="258"/>
      <c r="I132" s="258">
        <v>115829789</v>
      </c>
      <c r="J132" s="258"/>
      <c r="K132" s="258">
        <v>115319521</v>
      </c>
      <c r="L132" s="258"/>
      <c r="M132" s="258">
        <v>107179987</v>
      </c>
      <c r="N132" s="258"/>
      <c r="O132" s="258">
        <v>107179987</v>
      </c>
      <c r="P132" s="264"/>
      <c r="Q132" s="258">
        <v>107179987</v>
      </c>
      <c r="R132" s="264"/>
      <c r="S132" s="258">
        <v>107179987</v>
      </c>
      <c r="T132" s="258"/>
      <c r="U132" s="258">
        <v>107179987</v>
      </c>
      <c r="V132" s="258"/>
      <c r="W132" s="258">
        <v>107179987</v>
      </c>
      <c r="X132" s="258"/>
      <c r="Y132" s="258">
        <v>106202540</v>
      </c>
      <c r="Z132" s="264"/>
      <c r="AA132" s="258">
        <v>106202540</v>
      </c>
      <c r="AB132" s="258">
        <v>106202540</v>
      </c>
      <c r="AC132" s="258">
        <v>106202540</v>
      </c>
      <c r="AD132" s="264"/>
      <c r="AE132" s="258">
        <v>106202540</v>
      </c>
      <c r="AF132" s="258">
        <v>106202540</v>
      </c>
      <c r="AG132" s="294" t="s">
        <v>146</v>
      </c>
      <c r="AH132" s="294"/>
      <c r="AI132" s="294" t="s">
        <v>146</v>
      </c>
      <c r="AJ132" s="294"/>
      <c r="AK132" s="294" t="s">
        <v>146</v>
      </c>
      <c r="AL132" s="294"/>
      <c r="AM132" s="294" t="s">
        <v>146</v>
      </c>
      <c r="AN132" s="294"/>
      <c r="AO132" s="294" t="s">
        <v>146</v>
      </c>
      <c r="AP132" s="294"/>
    </row>
    <row r="133" spans="1:42" ht="13.5" thickBot="1">
      <c r="A133" s="321" t="s">
        <v>354</v>
      </c>
      <c r="B133" s="268" t="s">
        <v>210</v>
      </c>
      <c r="C133" s="303">
        <v>93.666041555627373</v>
      </c>
      <c r="D133" s="303"/>
      <c r="E133" s="303">
        <v>91.198081359162671</v>
      </c>
      <c r="F133" s="303"/>
      <c r="G133" s="303">
        <v>88.78837682317004</v>
      </c>
      <c r="H133" s="303"/>
      <c r="I133" s="303">
        <v>85.259907879630035</v>
      </c>
      <c r="J133" s="303"/>
      <c r="K133" s="303">
        <v>85.830601828459152</v>
      </c>
      <c r="L133" s="303"/>
      <c r="M133" s="303">
        <v>83.838715392523881</v>
      </c>
      <c r="N133" s="303"/>
      <c r="O133" s="303">
        <v>81.57676598479398</v>
      </c>
      <c r="P133" s="275"/>
      <c r="Q133" s="303">
        <v>78.975906156619274</v>
      </c>
      <c r="R133" s="275"/>
      <c r="S133" s="303">
        <v>80.955898100634357</v>
      </c>
      <c r="T133" s="275"/>
      <c r="U133" s="303">
        <v>79.29067455946219</v>
      </c>
      <c r="V133" s="274"/>
      <c r="W133" s="303">
        <v>76.872704133336455</v>
      </c>
      <c r="X133" s="275"/>
      <c r="Y133" s="303">
        <v>75.352680166029671</v>
      </c>
      <c r="Z133" s="275"/>
      <c r="AA133" s="303">
        <v>73.682335261983852</v>
      </c>
      <c r="AB133" s="275"/>
      <c r="AC133" s="303">
        <v>71.493877029849259</v>
      </c>
      <c r="AD133" s="275"/>
      <c r="AE133" s="303">
        <v>66.248551787955094</v>
      </c>
      <c r="AF133" s="275"/>
      <c r="AG133" s="304" t="s">
        <v>146</v>
      </c>
      <c r="AH133" s="304"/>
      <c r="AI133" s="304" t="s">
        <v>146</v>
      </c>
      <c r="AJ133" s="274"/>
      <c r="AK133" s="304" t="s">
        <v>146</v>
      </c>
      <c r="AL133" s="304"/>
      <c r="AM133" s="304" t="s">
        <v>146</v>
      </c>
      <c r="AN133" s="304"/>
      <c r="AO133" s="304" t="s">
        <v>146</v>
      </c>
      <c r="AP133" s="304"/>
    </row>
    <row r="134" spans="1:42">
      <c r="A134" s="252"/>
      <c r="B134" s="285"/>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7"/>
      <c r="AD134" s="286"/>
      <c r="AE134" s="286"/>
      <c r="AF134" s="286"/>
      <c r="AG134" s="288"/>
      <c r="AH134" s="286"/>
      <c r="AI134" s="286"/>
      <c r="AJ134" s="286"/>
      <c r="AK134" s="286"/>
      <c r="AL134" s="286"/>
      <c r="AM134" s="286"/>
      <c r="AN134" s="286"/>
      <c r="AO134" s="286"/>
      <c r="AP134" s="286"/>
    </row>
    <row r="135" spans="1:42">
      <c r="A135" s="252"/>
      <c r="B135" s="30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9"/>
      <c r="AD135" s="288"/>
      <c r="AE135" s="288"/>
      <c r="AF135" s="288"/>
      <c r="AG135" s="288"/>
      <c r="AH135" s="288"/>
      <c r="AI135" s="288"/>
      <c r="AJ135" s="288"/>
      <c r="AK135" s="288"/>
      <c r="AL135" s="288"/>
      <c r="AM135" s="288"/>
      <c r="AN135" s="288"/>
      <c r="AO135" s="288"/>
      <c r="AP135" s="288"/>
    </row>
    <row r="136" spans="1:42">
      <c r="A136" s="252"/>
      <c r="B136" s="298" t="s">
        <v>211</v>
      </c>
      <c r="C136" s="263">
        <v>1928.1664119999998</v>
      </c>
      <c r="D136" s="263">
        <v>291.48677683999989</v>
      </c>
      <c r="E136" s="263">
        <v>1636.6796351600001</v>
      </c>
      <c r="F136" s="263">
        <v>409.28442015999985</v>
      </c>
      <c r="G136" s="263">
        <v>1227.3952150000005</v>
      </c>
      <c r="H136" s="263">
        <v>470.82553570000027</v>
      </c>
      <c r="I136" s="263">
        <v>756.56967929999973</v>
      </c>
      <c r="J136" s="263">
        <v>756.56967929999973</v>
      </c>
      <c r="K136" s="263">
        <v>1413.5559930000002</v>
      </c>
      <c r="L136" s="263">
        <v>321.80813815000039</v>
      </c>
      <c r="M136" s="263">
        <v>1091.7478549999998</v>
      </c>
      <c r="N136" s="263">
        <v>361.66793400000006</v>
      </c>
      <c r="O136" s="263">
        <v>730.07992100000013</v>
      </c>
      <c r="P136" s="263">
        <v>416.1546219999999</v>
      </c>
      <c r="Q136" s="263">
        <v>313.925299</v>
      </c>
      <c r="R136" s="263">
        <v>313.925299</v>
      </c>
      <c r="S136" s="263">
        <v>1262.8547599999997</v>
      </c>
      <c r="T136" s="263">
        <v>336.63084299999963</v>
      </c>
      <c r="U136" s="263">
        <v>925.79183999999987</v>
      </c>
      <c r="V136" s="263">
        <v>376.79184000000026</v>
      </c>
      <c r="W136" s="263">
        <v>547.89695000000029</v>
      </c>
      <c r="X136" s="263">
        <v>274.03295000000026</v>
      </c>
      <c r="Y136" s="263">
        <v>273.86399999999986</v>
      </c>
      <c r="Z136" s="263">
        <v>273.86399999999986</v>
      </c>
      <c r="AA136" s="263">
        <v>1099.5794989999999</v>
      </c>
      <c r="AB136" s="263">
        <v>281.49246836999998</v>
      </c>
      <c r="AC136" s="263">
        <v>819.40027437000026</v>
      </c>
      <c r="AD136" s="263">
        <v>423.74120293000004</v>
      </c>
      <c r="AE136" s="263">
        <v>395.73999999999995</v>
      </c>
      <c r="AF136" s="263"/>
      <c r="AG136" s="294" t="s">
        <v>146</v>
      </c>
      <c r="AH136" s="265"/>
      <c r="AI136" s="294" t="s">
        <v>146</v>
      </c>
      <c r="AJ136" s="265"/>
      <c r="AK136" s="294" t="s">
        <v>146</v>
      </c>
      <c r="AL136" s="265"/>
      <c r="AM136" s="294" t="s">
        <v>146</v>
      </c>
      <c r="AN136" s="265"/>
      <c r="AO136" s="294" t="s">
        <v>146</v>
      </c>
      <c r="AP136" s="265"/>
    </row>
    <row r="137" spans="1:42">
      <c r="A137" s="252"/>
      <c r="B137" s="272" t="s">
        <v>374</v>
      </c>
      <c r="C137" s="263">
        <v>3.6217487999999998</v>
      </c>
      <c r="D137" s="263">
        <v>0.12670280000000034</v>
      </c>
      <c r="E137" s="263">
        <v>3.4950459999999994</v>
      </c>
      <c r="F137" s="263">
        <v>0.73119399999999946</v>
      </c>
      <c r="G137" s="263">
        <v>2.763852</v>
      </c>
      <c r="H137" s="263">
        <v>1.7856549999999998</v>
      </c>
      <c r="I137" s="263">
        <v>0.97819700000000009</v>
      </c>
      <c r="J137" s="263">
        <v>0.97819700000000009</v>
      </c>
      <c r="K137" s="263">
        <v>5.1791390000000002</v>
      </c>
      <c r="L137" s="263">
        <v>-0.15044999999999931</v>
      </c>
      <c r="M137" s="263">
        <v>5.3295889999999995</v>
      </c>
      <c r="N137" s="263">
        <v>1.4161379999999997</v>
      </c>
      <c r="O137" s="263">
        <v>3.9134509999999998</v>
      </c>
      <c r="P137" s="263">
        <v>2.2419479999999998</v>
      </c>
      <c r="Q137" s="263">
        <v>1.671503</v>
      </c>
      <c r="R137" s="263">
        <v>1.671503</v>
      </c>
      <c r="S137" s="263">
        <v>5.9205459500000011</v>
      </c>
      <c r="T137" s="263">
        <v>1.4205459500000011</v>
      </c>
      <c r="U137" s="263">
        <v>5.9305969999999997</v>
      </c>
      <c r="V137" s="263">
        <v>2.9305969999999997</v>
      </c>
      <c r="W137" s="263">
        <v>3.1739730000000002</v>
      </c>
      <c r="X137" s="263">
        <v>1.8339730000000001</v>
      </c>
      <c r="Y137" s="263">
        <v>1.34</v>
      </c>
      <c r="Z137" s="263">
        <v>1.34</v>
      </c>
      <c r="AA137" s="263">
        <v>4.2790347500000001</v>
      </c>
      <c r="AB137" s="263">
        <v>1.43</v>
      </c>
      <c r="AC137" s="263">
        <v>3.38</v>
      </c>
      <c r="AD137" s="263">
        <v>1.43</v>
      </c>
      <c r="AE137" s="263">
        <v>1.9495039999999999</v>
      </c>
      <c r="AF137" s="263"/>
      <c r="AG137" s="294"/>
      <c r="AH137" s="265"/>
      <c r="AI137" s="294"/>
      <c r="AJ137" s="265"/>
      <c r="AK137" s="294"/>
      <c r="AL137" s="265"/>
      <c r="AM137" s="294"/>
      <c r="AN137" s="265"/>
      <c r="AO137" s="294"/>
      <c r="AP137" s="265"/>
    </row>
    <row r="138" spans="1:42">
      <c r="A138" s="252"/>
      <c r="B138" s="297" t="s">
        <v>163</v>
      </c>
      <c r="C138" s="263">
        <v>15.261431999999999</v>
      </c>
      <c r="D138" s="263">
        <v>6.1594199999999999</v>
      </c>
      <c r="E138" s="263">
        <v>9.1020119999999984</v>
      </c>
      <c r="F138" s="263">
        <v>2.2946239999999998</v>
      </c>
      <c r="G138" s="263">
        <v>6.8073879999999996</v>
      </c>
      <c r="H138" s="263">
        <v>2.2233329999999998</v>
      </c>
      <c r="I138" s="263">
        <v>4.5840550000000002</v>
      </c>
      <c r="J138" s="263">
        <v>4.5840550000000002</v>
      </c>
      <c r="K138" s="263">
        <v>17.264553000000003</v>
      </c>
      <c r="L138" s="263">
        <v>4.3932770000000003</v>
      </c>
      <c r="M138" s="263">
        <v>12.871276000000002</v>
      </c>
      <c r="N138" s="263">
        <v>4.3728879999999997</v>
      </c>
      <c r="O138" s="263">
        <v>8.4983880000000021</v>
      </c>
      <c r="P138" s="263">
        <v>4.357888</v>
      </c>
      <c r="Q138" s="263">
        <v>4.140500000000003</v>
      </c>
      <c r="R138" s="263">
        <v>4.140500000000003</v>
      </c>
      <c r="S138" s="263">
        <v>17.059778000000001</v>
      </c>
      <c r="T138" s="263">
        <v>4.1101669999999997</v>
      </c>
      <c r="U138" s="263">
        <v>12.660722</v>
      </c>
      <c r="V138" s="263">
        <v>4.1961110000000001</v>
      </c>
      <c r="W138" s="263">
        <v>8.3062780000000007</v>
      </c>
      <c r="X138" s="263">
        <v>4.3544444000000002</v>
      </c>
      <c r="Y138" s="263">
        <v>4.3990559999999999</v>
      </c>
      <c r="Z138" s="263">
        <v>4.3990559999999999</v>
      </c>
      <c r="AA138" s="263">
        <v>13.238778</v>
      </c>
      <c r="AB138" s="263">
        <v>4.4033889999999998</v>
      </c>
      <c r="AC138" s="263">
        <v>8.8353889999999993</v>
      </c>
      <c r="AD138" s="263">
        <v>4.3999449999999998</v>
      </c>
      <c r="AE138" s="263">
        <v>4.4354440000000004</v>
      </c>
      <c r="AF138" s="263"/>
      <c r="AG138" s="294"/>
      <c r="AH138" s="265"/>
      <c r="AI138" s="294"/>
      <c r="AJ138" s="265"/>
      <c r="AK138" s="294"/>
      <c r="AL138" s="265"/>
      <c r="AM138" s="294"/>
      <c r="AN138" s="265"/>
      <c r="AO138" s="294"/>
      <c r="AP138" s="265"/>
    </row>
    <row r="139" spans="1:42">
      <c r="A139" s="252"/>
      <c r="B139" s="297" t="s">
        <v>211</v>
      </c>
      <c r="C139" s="263">
        <v>1909.2832311999998</v>
      </c>
      <c r="D139" s="263">
        <v>285.2006540399999</v>
      </c>
      <c r="E139" s="263">
        <v>1624.08257716</v>
      </c>
      <c r="F139" s="263">
        <v>406.25860215999984</v>
      </c>
      <c r="G139" s="263">
        <v>1217.8239750000005</v>
      </c>
      <c r="H139" s="263">
        <v>466.81654770000023</v>
      </c>
      <c r="I139" s="263">
        <v>751.00742729999968</v>
      </c>
      <c r="J139" s="263">
        <v>751.00742729999968</v>
      </c>
      <c r="K139" s="263">
        <v>1391.1123010000001</v>
      </c>
      <c r="L139" s="263">
        <v>317.56531115000035</v>
      </c>
      <c r="M139" s="263">
        <v>1073.5469899999998</v>
      </c>
      <c r="N139" s="263">
        <v>355.87890800000008</v>
      </c>
      <c r="O139" s="263">
        <v>717.66808200000014</v>
      </c>
      <c r="P139" s="263">
        <v>409.55478599999992</v>
      </c>
      <c r="Q139" s="263">
        <v>308.11329599999999</v>
      </c>
      <c r="R139" s="263">
        <v>308.11329599999999</v>
      </c>
      <c r="S139" s="263">
        <v>1239.8744360499998</v>
      </c>
      <c r="T139" s="263">
        <v>331.10013004999962</v>
      </c>
      <c r="U139" s="263">
        <v>907.20052099999987</v>
      </c>
      <c r="V139" s="263">
        <v>369.66513200000031</v>
      </c>
      <c r="W139" s="263">
        <v>536.41669900000022</v>
      </c>
      <c r="X139" s="263">
        <v>267.84453260000026</v>
      </c>
      <c r="Y139" s="263">
        <v>268.12494399999991</v>
      </c>
      <c r="Z139" s="263">
        <v>268.12494399999991</v>
      </c>
      <c r="AA139" s="263">
        <v>1082.0616862500001</v>
      </c>
      <c r="AB139" s="263">
        <v>275.65907936999997</v>
      </c>
      <c r="AC139" s="263">
        <v>807.1848853700003</v>
      </c>
      <c r="AD139" s="263">
        <v>417.91125793000003</v>
      </c>
      <c r="AE139" s="263">
        <v>389.35505199999994</v>
      </c>
      <c r="AF139" s="263"/>
      <c r="AG139" s="294"/>
      <c r="AH139" s="265"/>
      <c r="AI139" s="294"/>
      <c r="AJ139" s="265"/>
      <c r="AK139" s="294"/>
      <c r="AL139" s="265"/>
      <c r="AM139" s="294"/>
      <c r="AN139" s="265"/>
      <c r="AO139" s="294"/>
      <c r="AP139" s="265"/>
    </row>
    <row r="140" spans="1:42">
      <c r="A140" s="322"/>
      <c r="B140" s="306" t="s">
        <v>207</v>
      </c>
      <c r="C140" s="307">
        <v>0.70099912415633248</v>
      </c>
      <c r="D140" s="307">
        <v>0.70099912415633248</v>
      </c>
      <c r="E140" s="307">
        <v>0.69355058599999997</v>
      </c>
      <c r="F140" s="307">
        <v>0.69355058599999997</v>
      </c>
      <c r="G140" s="307">
        <v>0.69355058599999997</v>
      </c>
      <c r="H140" s="307">
        <v>0.69355058599999997</v>
      </c>
      <c r="I140" s="307">
        <v>0.69355058599999997</v>
      </c>
      <c r="J140" s="307">
        <v>0.69355058599999997</v>
      </c>
      <c r="K140" s="307">
        <v>0.69255300847357781</v>
      </c>
      <c r="L140" s="307">
        <v>0.69255300847357781</v>
      </c>
      <c r="M140" s="307">
        <v>0.67552884523400603</v>
      </c>
      <c r="N140" s="307">
        <v>0.67552884523400603</v>
      </c>
      <c r="O140" s="307">
        <v>0.67552884523400603</v>
      </c>
      <c r="P140" s="291">
        <v>0.67552884523400603</v>
      </c>
      <c r="Q140" s="307">
        <v>0.67552884523400603</v>
      </c>
      <c r="R140" s="291">
        <v>0.67552884523400603</v>
      </c>
      <c r="S140" s="308">
        <v>0.67527848656046996</v>
      </c>
      <c r="T140" s="308">
        <v>0.67527848656046996</v>
      </c>
      <c r="U140" s="308">
        <v>0.67909544299689906</v>
      </c>
      <c r="V140" s="308">
        <v>0.67909544299689906</v>
      </c>
      <c r="W140" s="308">
        <v>0.68019204285072066</v>
      </c>
      <c r="X140" s="308">
        <v>0.68019204285072066</v>
      </c>
      <c r="Y140" s="308">
        <v>0.67294279680764146</v>
      </c>
      <c r="Z140" s="308">
        <v>0.67294279680764146</v>
      </c>
      <c r="AA140" s="308">
        <v>0.67300000000000004</v>
      </c>
      <c r="AB140" s="308">
        <v>0.67300000000000004</v>
      </c>
      <c r="AC140" s="308">
        <v>0.67255252798887311</v>
      </c>
      <c r="AD140" s="308">
        <v>0.67255252798887311</v>
      </c>
      <c r="AE140" s="308">
        <v>0.67255691881993418</v>
      </c>
      <c r="AF140" s="308"/>
      <c r="AG140" s="309" t="str">
        <f>AG130</f>
        <v>-</v>
      </c>
      <c r="AH140" s="309"/>
      <c r="AI140" s="309" t="str">
        <f>AI130</f>
        <v>-</v>
      </c>
      <c r="AJ140" s="309"/>
      <c r="AK140" s="309" t="str">
        <f>AK130</f>
        <v>-</v>
      </c>
      <c r="AL140" s="309"/>
      <c r="AM140" s="309" t="str">
        <f>AM130</f>
        <v>-</v>
      </c>
      <c r="AN140" s="309"/>
      <c r="AO140" s="309" t="str">
        <f>AO130</f>
        <v>-</v>
      </c>
      <c r="AP140" s="309"/>
    </row>
    <row r="141" spans="1:42">
      <c r="A141" s="322"/>
      <c r="B141" s="297" t="s">
        <v>212</v>
      </c>
      <c r="C141" s="263">
        <v>1338.4058728375724</v>
      </c>
      <c r="D141" s="263">
        <v>199.92540869085312</v>
      </c>
      <c r="E141" s="263">
        <v>1126.3834231017081</v>
      </c>
      <c r="F141" s="263">
        <v>281.76089159560877</v>
      </c>
      <c r="G141" s="263">
        <v>844.62253150609968</v>
      </c>
      <c r="H141" s="263">
        <v>323.76089021183208</v>
      </c>
      <c r="I141" s="263">
        <v>520.8616412942672</v>
      </c>
      <c r="J141" s="263">
        <v>520.8616412942672</v>
      </c>
      <c r="K141" s="263">
        <v>963.4190091821514</v>
      </c>
      <c r="L141" s="263">
        <v>219.93081162378056</v>
      </c>
      <c r="M141" s="263">
        <v>725.21195845914292</v>
      </c>
      <c r="N141" s="263">
        <v>240.40646776437913</v>
      </c>
      <c r="O141" s="263">
        <v>484.80549069476405</v>
      </c>
      <c r="P141" s="263">
        <v>276.66607164664043</v>
      </c>
      <c r="Q141" s="263">
        <v>208.13941904812347</v>
      </c>
      <c r="R141" s="263">
        <v>208.13941904812347</v>
      </c>
      <c r="S141" s="263">
        <v>837.26053270086004</v>
      </c>
      <c r="T141" s="263">
        <v>223.58479472013852</v>
      </c>
      <c r="U141" s="263">
        <v>616.07573969551254</v>
      </c>
      <c r="V141" s="263">
        <v>251.03790657604739</v>
      </c>
      <c r="W141" s="263">
        <v>364.86637031205026</v>
      </c>
      <c r="X141" s="263">
        <v>182.18571979559061</v>
      </c>
      <c r="Y141" s="263">
        <v>180.43274970925219</v>
      </c>
      <c r="Z141" s="263">
        <v>180.43274970925219</v>
      </c>
      <c r="AA141" s="263">
        <v>728.22751484625007</v>
      </c>
      <c r="AB141" s="263">
        <v>185.51856041600999</v>
      </c>
      <c r="AC141" s="263">
        <v>542.87423521000244</v>
      </c>
      <c r="AD141" s="263">
        <v>281.0672729958315</v>
      </c>
      <c r="AE141" s="263">
        <v>261.86343410009522</v>
      </c>
      <c r="AF141" s="263"/>
      <c r="AG141" s="294" t="s">
        <v>146</v>
      </c>
      <c r="AH141" s="294"/>
      <c r="AI141" s="294" t="s">
        <v>146</v>
      </c>
      <c r="AJ141" s="294"/>
      <c r="AK141" s="294" t="s">
        <v>146</v>
      </c>
      <c r="AL141" s="294"/>
      <c r="AM141" s="294" t="s">
        <v>146</v>
      </c>
      <c r="AN141" s="294"/>
      <c r="AO141" s="294" t="s">
        <v>146</v>
      </c>
      <c r="AP141" s="294"/>
    </row>
    <row r="142" spans="1:42">
      <c r="A142" s="322"/>
      <c r="B142" s="306" t="s">
        <v>209</v>
      </c>
      <c r="C142" s="262">
        <v>115829789</v>
      </c>
      <c r="D142" s="262">
        <v>115829789</v>
      </c>
      <c r="E142" s="262">
        <v>115829789</v>
      </c>
      <c r="F142" s="262">
        <v>115829789</v>
      </c>
      <c r="G142" s="262">
        <v>115829789</v>
      </c>
      <c r="H142" s="262">
        <v>115829789</v>
      </c>
      <c r="I142" s="262">
        <v>115829789</v>
      </c>
      <c r="J142" s="262">
        <v>115829789</v>
      </c>
      <c r="K142" s="262">
        <v>115319521</v>
      </c>
      <c r="L142" s="262">
        <v>115319521</v>
      </c>
      <c r="M142" s="262">
        <v>107179987</v>
      </c>
      <c r="N142" s="262">
        <v>107179987</v>
      </c>
      <c r="O142" s="262">
        <v>107179987</v>
      </c>
      <c r="P142" s="262">
        <v>107179987</v>
      </c>
      <c r="Q142" s="262">
        <v>107179987</v>
      </c>
      <c r="R142" s="262">
        <v>107179987</v>
      </c>
      <c r="S142" s="262">
        <v>107179987</v>
      </c>
      <c r="T142" s="262">
        <v>107179987</v>
      </c>
      <c r="U142" s="262">
        <v>107179987</v>
      </c>
      <c r="V142" s="262">
        <v>107179987</v>
      </c>
      <c r="W142" s="262">
        <v>107179987</v>
      </c>
      <c r="X142" s="262">
        <v>107179987</v>
      </c>
      <c r="Y142" s="262">
        <v>106202540</v>
      </c>
      <c r="Z142" s="262">
        <v>106202540</v>
      </c>
      <c r="AA142" s="262">
        <v>106202540</v>
      </c>
      <c r="AB142" s="262">
        <v>106202540</v>
      </c>
      <c r="AC142" s="262">
        <v>106202540</v>
      </c>
      <c r="AD142" s="262">
        <v>106202540</v>
      </c>
      <c r="AE142" s="262">
        <v>106202540</v>
      </c>
      <c r="AF142" s="262"/>
      <c r="AG142" s="296" t="s">
        <v>146</v>
      </c>
      <c r="AH142" s="296"/>
      <c r="AI142" s="296" t="s">
        <v>146</v>
      </c>
      <c r="AJ142" s="296"/>
      <c r="AK142" s="296" t="s">
        <v>146</v>
      </c>
      <c r="AL142" s="296"/>
      <c r="AM142" s="296" t="s">
        <v>146</v>
      </c>
      <c r="AN142" s="296"/>
      <c r="AO142" s="296" t="s">
        <v>146</v>
      </c>
      <c r="AP142" s="296"/>
    </row>
    <row r="143" spans="1:42" ht="13.5" thickBot="1">
      <c r="A143" s="321" t="s">
        <v>355</v>
      </c>
      <c r="B143" s="383" t="s">
        <v>213</v>
      </c>
      <c r="C143" s="303">
        <v>11.554936639292094</v>
      </c>
      <c r="D143" s="303">
        <v>1.7260275652479442</v>
      </c>
      <c r="E143" s="303">
        <v>9.7244709916695804</v>
      </c>
      <c r="F143" s="303">
        <v>2.4325425611852642</v>
      </c>
      <c r="G143" s="303">
        <v>7.2919284304843179</v>
      </c>
      <c r="H143" s="303">
        <v>2.7951435723657592</v>
      </c>
      <c r="I143" s="303">
        <v>4.4967848581185548</v>
      </c>
      <c r="J143" s="303">
        <v>4.4967848581185548</v>
      </c>
      <c r="K143" s="303">
        <v>8.4580270438536846</v>
      </c>
      <c r="L143" s="303">
        <v>1.9071429513116045</v>
      </c>
      <c r="M143" s="303">
        <v>6.8474245725753926</v>
      </c>
      <c r="N143" s="303">
        <v>2.2430163922708739</v>
      </c>
      <c r="O143" s="303">
        <v>4.5768469530300893</v>
      </c>
      <c r="P143" s="303">
        <v>2.5813221235662254</v>
      </c>
      <c r="Q143" s="303">
        <v>1.9419616000524751</v>
      </c>
      <c r="R143" s="303">
        <v>1.9419616000524751</v>
      </c>
      <c r="S143" s="303">
        <v>7.8117245218630229</v>
      </c>
      <c r="T143" s="303">
        <v>2.0860685000842416</v>
      </c>
      <c r="U143" s="303">
        <v>5.7480482778516526</v>
      </c>
      <c r="V143" s="303">
        <v>2.3422087798540914</v>
      </c>
      <c r="W143" s="303">
        <v>3.4042397328528344</v>
      </c>
      <c r="X143" s="303">
        <v>1.6998109898594278</v>
      </c>
      <c r="Y143" s="303">
        <v>1.698949476248423</v>
      </c>
      <c r="Z143" s="303">
        <v>1.698949476248423</v>
      </c>
      <c r="AA143" s="303">
        <v>6.8569689090887094</v>
      </c>
      <c r="AB143" s="303">
        <v>1.7468373206140833</v>
      </c>
      <c r="AC143" s="303">
        <v>5.1116878674465074</v>
      </c>
      <c r="AD143" s="303">
        <v>2.6465211942749343</v>
      </c>
      <c r="AE143" s="303">
        <v>2.4656984107922013</v>
      </c>
      <c r="AF143" s="303"/>
      <c r="AG143" s="310" t="s">
        <v>146</v>
      </c>
      <c r="AH143" s="310"/>
      <c r="AI143" s="310" t="s">
        <v>146</v>
      </c>
      <c r="AJ143" s="310"/>
      <c r="AK143" s="310" t="s">
        <v>146</v>
      </c>
      <c r="AL143" s="310"/>
      <c r="AM143" s="310" t="s">
        <v>146</v>
      </c>
      <c r="AN143" s="310"/>
      <c r="AO143" s="310" t="s">
        <v>146</v>
      </c>
      <c r="AP143" s="310"/>
    </row>
    <row r="144" spans="1:42">
      <c r="A144" s="252"/>
      <c r="B144" s="298"/>
      <c r="C144" s="288"/>
      <c r="D144" s="288"/>
      <c r="E144" s="288"/>
      <c r="F144" s="288"/>
      <c r="G144" s="288"/>
      <c r="H144" s="288"/>
      <c r="I144" s="288"/>
      <c r="J144" s="288"/>
      <c r="K144" s="288"/>
      <c r="L144" s="288"/>
      <c r="M144" s="288"/>
      <c r="N144" s="288"/>
      <c r="O144" s="288"/>
      <c r="P144" s="288"/>
      <c r="Q144" s="288"/>
      <c r="R144" s="288"/>
      <c r="S144" s="289"/>
      <c r="T144" s="288"/>
      <c r="U144" s="288"/>
      <c r="V144" s="288"/>
      <c r="W144" s="289"/>
      <c r="X144" s="288"/>
      <c r="Y144" s="289"/>
      <c r="Z144" s="288"/>
      <c r="AA144" s="289"/>
      <c r="AB144" s="289"/>
      <c r="AC144" s="289"/>
      <c r="AD144" s="288"/>
      <c r="AE144" s="289"/>
      <c r="AF144" s="289"/>
      <c r="AG144" s="289"/>
      <c r="AH144" s="289"/>
      <c r="AI144" s="289"/>
      <c r="AJ144" s="289"/>
      <c r="AK144" s="289"/>
      <c r="AL144" s="289"/>
      <c r="AM144" s="289"/>
      <c r="AN144" s="289"/>
      <c r="AO144" s="289"/>
      <c r="AP144" s="289"/>
    </row>
    <row r="145" spans="1:42">
      <c r="A145" s="252"/>
      <c r="B145" s="298" t="s">
        <v>214</v>
      </c>
      <c r="C145" s="311">
        <v>11.554936639292096</v>
      </c>
      <c r="D145" s="311"/>
      <c r="E145" s="311">
        <v>13.001582095089365</v>
      </c>
      <c r="F145" s="311"/>
      <c r="G145" s="311">
        <v>14.704717553186608</v>
      </c>
      <c r="H145" s="311"/>
      <c r="I145" s="311">
        <v>18.236960813480806</v>
      </c>
      <c r="J145" s="311"/>
      <c r="K145" s="311">
        <f>K143/K8*$A$1</f>
        <v>8.4580270438536846</v>
      </c>
      <c r="L145" s="311"/>
      <c r="M145" s="311">
        <f>M143/M8*$A$1</f>
        <v>9.1549815713920086</v>
      </c>
      <c r="N145" s="311"/>
      <c r="O145" s="311">
        <f>O143/O8*$A$1</f>
        <v>9.2295532478231088</v>
      </c>
      <c r="P145" s="311"/>
      <c r="Q145" s="311">
        <f>Q143/Q8*$A$1</f>
        <v>7.8757331557683719</v>
      </c>
      <c r="R145" s="311"/>
      <c r="S145" s="311">
        <f>S143/S8*$A$1</f>
        <v>7.8117245218630229</v>
      </c>
      <c r="T145" s="311"/>
      <c r="U145" s="311">
        <f>U143/U8*$A$1</f>
        <v>7.6851194923657626</v>
      </c>
      <c r="V145" s="311"/>
      <c r="W145" s="311">
        <f>W143/W8*$A$1</f>
        <v>6.8649033286811303</v>
      </c>
      <c r="X145" s="311"/>
      <c r="Y145" s="311">
        <f>Y143/Y8*$A$1</f>
        <v>6.890183987007493</v>
      </c>
      <c r="Z145" s="311"/>
      <c r="AA145" s="311">
        <f>AA143/AA8*$A$1</f>
        <v>6.8382340213589581</v>
      </c>
      <c r="AB145" s="311"/>
      <c r="AC145" s="311">
        <f>AC143/AC8*$A$1</f>
        <v>6.8093652248831207</v>
      </c>
      <c r="AD145" s="311"/>
      <c r="AE145" s="311">
        <f>AE143/AE8*$A$1</f>
        <v>4.9449446150502938</v>
      </c>
      <c r="AF145" s="311"/>
      <c r="AG145" s="294" t="s">
        <v>146</v>
      </c>
      <c r="AH145" s="263"/>
      <c r="AI145" s="294" t="s">
        <v>146</v>
      </c>
      <c r="AJ145" s="263"/>
      <c r="AK145" s="294" t="s">
        <v>146</v>
      </c>
      <c r="AL145" s="263"/>
      <c r="AM145" s="294" t="s">
        <v>146</v>
      </c>
      <c r="AN145" s="263"/>
      <c r="AO145" s="294" t="s">
        <v>146</v>
      </c>
      <c r="AP145" s="263"/>
    </row>
    <row r="146" spans="1:42">
      <c r="A146" s="324"/>
      <c r="C146" s="288"/>
      <c r="D146" s="288"/>
      <c r="E146" s="288"/>
      <c r="F146" s="288"/>
      <c r="G146" s="288"/>
      <c r="H146" s="288"/>
      <c r="I146" s="288"/>
      <c r="J146" s="288"/>
      <c r="K146" s="288"/>
      <c r="L146" s="288"/>
      <c r="M146" s="288"/>
      <c r="N146" s="288"/>
      <c r="O146" s="288"/>
      <c r="P146" s="288"/>
      <c r="Q146" s="288"/>
      <c r="R146" s="288"/>
      <c r="S146" s="288"/>
      <c r="T146" s="288"/>
      <c r="U146" s="288"/>
      <c r="V146" s="288"/>
      <c r="W146" s="289"/>
      <c r="X146" s="288"/>
      <c r="Y146" s="288"/>
      <c r="Z146" s="288"/>
      <c r="AA146" s="288"/>
      <c r="AB146" s="288"/>
      <c r="AC146" s="288"/>
      <c r="AD146" s="288"/>
      <c r="AE146" s="288"/>
      <c r="AF146" s="288"/>
      <c r="AG146" s="288"/>
      <c r="AH146" s="288"/>
      <c r="AI146" s="288"/>
      <c r="AJ146" s="288"/>
      <c r="AK146" s="288"/>
      <c r="AL146" s="288"/>
      <c r="AM146" s="288"/>
      <c r="AN146" s="288"/>
      <c r="AO146" s="288"/>
      <c r="AP146" s="288"/>
    </row>
    <row r="147" spans="1:42">
      <c r="A147" s="323"/>
      <c r="B147" s="266" t="s">
        <v>215</v>
      </c>
      <c r="C147" s="311">
        <v>92.5</v>
      </c>
      <c r="D147" s="311"/>
      <c r="E147" s="311">
        <v>83.5</v>
      </c>
      <c r="F147" s="311"/>
      <c r="G147" s="311">
        <v>85</v>
      </c>
      <c r="H147" s="311"/>
      <c r="I147" s="311">
        <v>82.4</v>
      </c>
      <c r="J147" s="311"/>
      <c r="K147" s="311">
        <v>83</v>
      </c>
      <c r="L147" s="311"/>
      <c r="M147" s="311">
        <v>90.2</v>
      </c>
      <c r="N147" s="311"/>
      <c r="O147" s="311">
        <v>87</v>
      </c>
      <c r="P147" s="312"/>
      <c r="Q147" s="311">
        <v>84.2</v>
      </c>
      <c r="R147" s="312"/>
      <c r="S147" s="311">
        <v>90.5</v>
      </c>
      <c r="T147" s="312"/>
      <c r="U147" s="311">
        <v>85.5</v>
      </c>
      <c r="V147" s="312"/>
      <c r="W147" s="311">
        <v>79.25</v>
      </c>
      <c r="X147" s="312"/>
      <c r="Y147" s="295" t="s">
        <v>146</v>
      </c>
      <c r="Z147" s="312"/>
      <c r="AA147" s="295" t="s">
        <v>146</v>
      </c>
      <c r="AB147" s="312"/>
      <c r="AC147" s="313" t="s">
        <v>146</v>
      </c>
      <c r="AD147" s="312"/>
      <c r="AE147" s="295" t="s">
        <v>146</v>
      </c>
      <c r="AF147" s="311"/>
      <c r="AG147" s="295" t="s">
        <v>146</v>
      </c>
      <c r="AH147" s="311"/>
      <c r="AI147" s="295" t="s">
        <v>146</v>
      </c>
      <c r="AJ147" s="311"/>
      <c r="AK147" s="295" t="s">
        <v>146</v>
      </c>
      <c r="AL147" s="311"/>
      <c r="AM147" s="295" t="s">
        <v>146</v>
      </c>
      <c r="AN147" s="311"/>
      <c r="AO147" s="295" t="s">
        <v>146</v>
      </c>
      <c r="AP147" s="311"/>
    </row>
    <row r="148" spans="1:42">
      <c r="A148" s="323"/>
      <c r="B148" s="266" t="s">
        <v>216</v>
      </c>
      <c r="C148" s="311">
        <v>11.554936639292096</v>
      </c>
      <c r="D148" s="311"/>
      <c r="E148" s="311">
        <v>13.001582095089365</v>
      </c>
      <c r="F148" s="311"/>
      <c r="G148" s="311">
        <f>+G145</f>
        <v>14.704717553186608</v>
      </c>
      <c r="H148" s="311"/>
      <c r="I148" s="311">
        <v>18.236960813480806</v>
      </c>
      <c r="J148" s="311"/>
      <c r="K148" s="311">
        <f>+K145</f>
        <v>8.4580270438536846</v>
      </c>
      <c r="L148" s="311"/>
      <c r="M148" s="311">
        <f>+M145</f>
        <v>9.1549815713920086</v>
      </c>
      <c r="N148" s="311"/>
      <c r="O148" s="311">
        <f>+O145</f>
        <v>9.2295532478231088</v>
      </c>
      <c r="P148" s="265"/>
      <c r="Q148" s="311">
        <f>+Q145</f>
        <v>7.8757331557683719</v>
      </c>
      <c r="R148" s="265"/>
      <c r="S148" s="311">
        <f>+S145</f>
        <v>7.8117245218630229</v>
      </c>
      <c r="T148" s="265"/>
      <c r="U148" s="311">
        <f>+U145</f>
        <v>7.6851194923657626</v>
      </c>
      <c r="V148" s="265"/>
      <c r="W148" s="311">
        <f>+W145</f>
        <v>6.8649033286811303</v>
      </c>
      <c r="X148" s="265"/>
      <c r="Y148" s="314" t="s">
        <v>146</v>
      </c>
      <c r="Z148" s="265"/>
      <c r="AA148" s="314" t="s">
        <v>146</v>
      </c>
      <c r="AB148" s="265"/>
      <c r="AC148" s="315" t="s">
        <v>146</v>
      </c>
      <c r="AD148" s="265"/>
      <c r="AE148" s="314" t="s">
        <v>146</v>
      </c>
      <c r="AF148" s="263"/>
      <c r="AG148" s="314" t="s">
        <v>146</v>
      </c>
      <c r="AH148" s="263"/>
      <c r="AI148" s="314" t="s">
        <v>146</v>
      </c>
      <c r="AJ148" s="263"/>
      <c r="AK148" s="314" t="s">
        <v>146</v>
      </c>
      <c r="AL148" s="263"/>
      <c r="AM148" s="314" t="s">
        <v>146</v>
      </c>
      <c r="AN148" s="263"/>
      <c r="AO148" s="314" t="s">
        <v>146</v>
      </c>
      <c r="AP148" s="263"/>
    </row>
    <row r="149" spans="1:42" ht="13.5" thickBot="1">
      <c r="A149" s="321" t="s">
        <v>356</v>
      </c>
      <c r="B149" s="268" t="s">
        <v>217</v>
      </c>
      <c r="C149" s="303">
        <v>8.0052364532625369</v>
      </c>
      <c r="D149" s="303"/>
      <c r="E149" s="303">
        <v>6.4222953321609646</v>
      </c>
      <c r="F149" s="303"/>
      <c r="G149" s="303">
        <f>G147/G148</f>
        <v>5.7804578491601113</v>
      </c>
      <c r="H149" s="303"/>
      <c r="I149" s="303">
        <f>I147/I148</f>
        <v>4.5182967075901006</v>
      </c>
      <c r="J149" s="303"/>
      <c r="K149" s="303">
        <f>K147/K148</f>
        <v>9.8131632317627542</v>
      </c>
      <c r="L149" s="303"/>
      <c r="M149" s="303">
        <f>M147/M148</f>
        <v>9.8525594286133718</v>
      </c>
      <c r="N149" s="303"/>
      <c r="O149" s="303">
        <f>O147/O148</f>
        <v>9.4262417328292578</v>
      </c>
      <c r="P149" s="275"/>
      <c r="Q149" s="303">
        <f>Q147/Q148</f>
        <v>10.691068162756372</v>
      </c>
      <c r="R149" s="275"/>
      <c r="S149" s="303">
        <f>S147/S148</f>
        <v>11.585149955904564</v>
      </c>
      <c r="T149" s="275"/>
      <c r="U149" s="303">
        <f>U147/U148</f>
        <v>11.125396304499093</v>
      </c>
      <c r="V149" s="275"/>
      <c r="W149" s="303">
        <f>W147/W148</f>
        <v>11.544226656316999</v>
      </c>
      <c r="X149" s="275"/>
      <c r="Y149" s="310" t="s">
        <v>146</v>
      </c>
      <c r="Z149" s="275"/>
      <c r="AA149" s="310" t="s">
        <v>146</v>
      </c>
      <c r="AB149" s="275"/>
      <c r="AC149" s="316" t="s">
        <v>146</v>
      </c>
      <c r="AD149" s="275"/>
      <c r="AE149" s="310" t="s">
        <v>146</v>
      </c>
      <c r="AF149" s="274"/>
      <c r="AG149" s="310" t="s">
        <v>146</v>
      </c>
      <c r="AH149" s="274"/>
      <c r="AI149" s="310" t="s">
        <v>146</v>
      </c>
      <c r="AJ149" s="274"/>
      <c r="AK149" s="310" t="s">
        <v>146</v>
      </c>
      <c r="AL149" s="274"/>
      <c r="AM149" s="310" t="s">
        <v>146</v>
      </c>
      <c r="AN149" s="274"/>
      <c r="AO149" s="310" t="s">
        <v>146</v>
      </c>
      <c r="AP149" s="274"/>
    </row>
    <row r="150" spans="1:42">
      <c r="A150" s="252"/>
      <c r="B150" s="30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9"/>
      <c r="Z150" s="288"/>
      <c r="AA150" s="289"/>
      <c r="AB150" s="288"/>
      <c r="AC150" s="288"/>
      <c r="AD150" s="288"/>
      <c r="AE150" s="289"/>
      <c r="AF150" s="289"/>
      <c r="AG150" s="289"/>
      <c r="AH150" s="289"/>
      <c r="AI150" s="289"/>
      <c r="AJ150" s="289"/>
      <c r="AK150" s="289"/>
      <c r="AL150" s="289"/>
      <c r="AM150" s="289"/>
      <c r="AN150" s="289"/>
      <c r="AO150" s="289"/>
      <c r="AP150" s="289"/>
    </row>
    <row r="151" spans="1:42">
      <c r="A151" s="322"/>
      <c r="B151" s="266" t="s">
        <v>215</v>
      </c>
      <c r="C151" s="311">
        <v>92.5</v>
      </c>
      <c r="D151" s="311"/>
      <c r="E151" s="311">
        <v>83.5</v>
      </c>
      <c r="F151" s="311"/>
      <c r="G151" s="311">
        <f>+G147</f>
        <v>85</v>
      </c>
      <c r="H151" s="311"/>
      <c r="I151" s="311">
        <v>82.4</v>
      </c>
      <c r="J151" s="311"/>
      <c r="K151" s="311">
        <f>+K147</f>
        <v>83</v>
      </c>
      <c r="L151" s="311"/>
      <c r="M151" s="311">
        <f>+M147</f>
        <v>90.2</v>
      </c>
      <c r="N151" s="311"/>
      <c r="O151" s="311">
        <f>+O147</f>
        <v>87</v>
      </c>
      <c r="P151" s="265"/>
      <c r="Q151" s="311">
        <f>+Q147</f>
        <v>84.2</v>
      </c>
      <c r="R151" s="265"/>
      <c r="S151" s="311">
        <v>90.5</v>
      </c>
      <c r="T151" s="265"/>
      <c r="U151" s="311">
        <v>85.5</v>
      </c>
      <c r="V151" s="265"/>
      <c r="W151" s="311">
        <f>+W147</f>
        <v>79.25</v>
      </c>
      <c r="X151" s="313"/>
      <c r="Y151" s="295" t="s">
        <v>146</v>
      </c>
      <c r="Z151" s="313"/>
      <c r="AA151" s="295" t="s">
        <v>146</v>
      </c>
      <c r="AB151" s="313"/>
      <c r="AC151" s="313" t="s">
        <v>146</v>
      </c>
      <c r="AD151" s="313"/>
      <c r="AE151" s="295" t="s">
        <v>146</v>
      </c>
      <c r="AF151" s="295"/>
      <c r="AG151" s="295" t="s">
        <v>146</v>
      </c>
      <c r="AH151" s="295"/>
      <c r="AI151" s="295" t="s">
        <v>146</v>
      </c>
      <c r="AJ151" s="295"/>
      <c r="AK151" s="295" t="s">
        <v>146</v>
      </c>
      <c r="AL151" s="295"/>
      <c r="AM151" s="295" t="s">
        <v>146</v>
      </c>
      <c r="AN151" s="295"/>
      <c r="AO151" s="295" t="s">
        <v>146</v>
      </c>
      <c r="AP151" s="295"/>
    </row>
    <row r="152" spans="1:42">
      <c r="A152" s="322"/>
      <c r="B152" s="266" t="s">
        <v>218</v>
      </c>
      <c r="C152" s="311">
        <v>93.666041555627373</v>
      </c>
      <c r="D152" s="311"/>
      <c r="E152" s="311">
        <v>91.198081359162671</v>
      </c>
      <c r="F152" s="311"/>
      <c r="G152" s="311">
        <f>+G133</f>
        <v>88.78837682317004</v>
      </c>
      <c r="H152" s="311"/>
      <c r="I152" s="311">
        <v>85.259907879630035</v>
      </c>
      <c r="J152" s="311"/>
      <c r="K152" s="311">
        <f>+K133</f>
        <v>85.830601828459152</v>
      </c>
      <c r="L152" s="311"/>
      <c r="M152" s="311">
        <f>+M133</f>
        <v>83.838715392523881</v>
      </c>
      <c r="N152" s="311"/>
      <c r="O152" s="311">
        <f>+O133</f>
        <v>81.57676598479398</v>
      </c>
      <c r="P152" s="265"/>
      <c r="Q152" s="311">
        <f>+Q133</f>
        <v>78.975906156619274</v>
      </c>
      <c r="R152" s="265"/>
      <c r="S152" s="311">
        <f>+S133</f>
        <v>80.955898100634357</v>
      </c>
      <c r="T152" s="265"/>
      <c r="U152" s="311">
        <f>+U133</f>
        <v>79.29067455946219</v>
      </c>
      <c r="V152" s="265"/>
      <c r="W152" s="311">
        <f>+W133</f>
        <v>76.872704133336455</v>
      </c>
      <c r="X152" s="315"/>
      <c r="Y152" s="314" t="s">
        <v>146</v>
      </c>
      <c r="Z152" s="315"/>
      <c r="AA152" s="314" t="s">
        <v>146</v>
      </c>
      <c r="AB152" s="315"/>
      <c r="AC152" s="315" t="s">
        <v>146</v>
      </c>
      <c r="AD152" s="315"/>
      <c r="AE152" s="314" t="s">
        <v>146</v>
      </c>
      <c r="AF152" s="314"/>
      <c r="AG152" s="314" t="s">
        <v>146</v>
      </c>
      <c r="AH152" s="314"/>
      <c r="AI152" s="314" t="s">
        <v>146</v>
      </c>
      <c r="AJ152" s="314"/>
      <c r="AK152" s="314" t="s">
        <v>146</v>
      </c>
      <c r="AL152" s="314"/>
      <c r="AM152" s="314" t="s">
        <v>146</v>
      </c>
      <c r="AN152" s="314"/>
      <c r="AO152" s="314" t="s">
        <v>146</v>
      </c>
      <c r="AP152" s="314"/>
    </row>
    <row r="153" spans="1:42" ht="13.5" thickBot="1">
      <c r="A153" s="321" t="s">
        <v>357</v>
      </c>
      <c r="B153" s="268" t="s">
        <v>219</v>
      </c>
      <c r="C153" s="303">
        <v>0.98755107468767245</v>
      </c>
      <c r="D153" s="303"/>
      <c r="E153" s="303">
        <v>0.91558943736057841</v>
      </c>
      <c r="F153" s="303"/>
      <c r="G153" s="303">
        <f>G151/G152</f>
        <v>0.95733251402134623</v>
      </c>
      <c r="H153" s="303"/>
      <c r="I153" s="303">
        <f>I151/I152</f>
        <v>0.96645659195799682</v>
      </c>
      <c r="J153" s="303"/>
      <c r="K153" s="303">
        <f>K151/K152</f>
        <v>0.96702106511945018</v>
      </c>
      <c r="L153" s="303"/>
      <c r="M153" s="303">
        <f>M151/M152</f>
        <v>1.0758752633278463</v>
      </c>
      <c r="N153" s="303"/>
      <c r="O153" s="303">
        <f>O151/O152</f>
        <v>1.0664801300926408</v>
      </c>
      <c r="P153" s="275"/>
      <c r="Q153" s="303">
        <f>Q151/Q152</f>
        <v>1.0661479443239397</v>
      </c>
      <c r="R153" s="275"/>
      <c r="S153" s="303">
        <f>S151/S152</f>
        <v>1.1178926072502042</v>
      </c>
      <c r="T153" s="275"/>
      <c r="U153" s="303">
        <f>U151/U152</f>
        <v>1.0783109170786696</v>
      </c>
      <c r="V153" s="275"/>
      <c r="W153" s="303">
        <f>W151/W152</f>
        <v>1.0309250974512372</v>
      </c>
      <c r="X153" s="316"/>
      <c r="Y153" s="310" t="s">
        <v>146</v>
      </c>
      <c r="Z153" s="316"/>
      <c r="AA153" s="310" t="s">
        <v>146</v>
      </c>
      <c r="AB153" s="316"/>
      <c r="AC153" s="316" t="s">
        <v>146</v>
      </c>
      <c r="AD153" s="316"/>
      <c r="AE153" s="310" t="s">
        <v>146</v>
      </c>
      <c r="AF153" s="310"/>
      <c r="AG153" s="310" t="s">
        <v>146</v>
      </c>
      <c r="AH153" s="310"/>
      <c r="AI153" s="310" t="s">
        <v>146</v>
      </c>
      <c r="AJ153" s="310"/>
      <c r="AK153" s="310" t="s">
        <v>146</v>
      </c>
      <c r="AL153" s="310"/>
      <c r="AM153" s="310" t="s">
        <v>146</v>
      </c>
      <c r="AN153" s="310"/>
      <c r="AO153" s="310" t="s">
        <v>146</v>
      </c>
      <c r="AP153" s="310"/>
    </row>
  </sheetData>
  <pageMargins left="0.7" right="0.7" top="0.75" bottom="0.75" header="0.3" footer="0.3"/>
  <pageSetup paperSize="9" orientation="portrait" verticalDpi="0" r:id="rId1"/>
  <ignoredErrors>
    <ignoredError sqref="R85 P28 P84:P85 Z85 S85:Y85 AA85:AP85 N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H64"/>
  <sheetViews>
    <sheetView showGridLines="0" zoomScale="85" zoomScaleNormal="85" workbookViewId="0">
      <selection activeCell="A103" sqref="A103"/>
    </sheetView>
  </sheetViews>
  <sheetFormatPr baseColWidth="10" defaultColWidth="11.42578125" defaultRowHeight="14.25"/>
  <cols>
    <col min="1" max="1" width="3.85546875" style="19" customWidth="1"/>
    <col min="2" max="2" width="67.140625" style="19" customWidth="1"/>
    <col min="3" max="15" width="14.28515625" style="19" customWidth="1"/>
    <col min="16" max="16384" width="11.42578125" style="19"/>
  </cols>
  <sheetData>
    <row r="1" spans="1:34" ht="18.75" customHeight="1"/>
    <row r="2" spans="1:34" ht="18.75" customHeight="1">
      <c r="A2" s="20" t="s">
        <v>147</v>
      </c>
      <c r="B2" s="21"/>
      <c r="C2" s="22"/>
      <c r="D2" s="22"/>
      <c r="E2" s="22"/>
      <c r="F2" s="22"/>
      <c r="G2" s="22"/>
      <c r="H2" s="22"/>
      <c r="I2" s="22"/>
      <c r="J2" s="22"/>
      <c r="K2" s="22"/>
    </row>
    <row r="3" spans="1:34" ht="14.25" customHeight="1">
      <c r="A3" s="20"/>
      <c r="B3" s="21"/>
      <c r="C3" s="22"/>
      <c r="D3" s="22"/>
      <c r="E3" s="22"/>
      <c r="F3" s="22"/>
      <c r="G3" s="22"/>
      <c r="H3" s="22"/>
      <c r="I3" s="22"/>
      <c r="J3" s="22"/>
      <c r="K3" s="22"/>
    </row>
    <row r="4" spans="1:34" ht="14.25" customHeight="1">
      <c r="A4" s="20"/>
      <c r="B4" s="23"/>
      <c r="C4" s="22"/>
      <c r="D4" s="22"/>
      <c r="E4" s="22"/>
      <c r="F4" s="22"/>
      <c r="G4" s="22"/>
      <c r="H4" s="22"/>
      <c r="I4" s="22"/>
      <c r="J4" s="22"/>
      <c r="K4" s="22"/>
    </row>
    <row r="5" spans="1:34" ht="14.25" customHeight="1">
      <c r="A5" s="20"/>
      <c r="B5" s="21"/>
      <c r="C5" s="22"/>
      <c r="D5" s="22"/>
      <c r="E5" s="22"/>
      <c r="F5" s="22"/>
      <c r="G5" s="22"/>
      <c r="H5" s="22"/>
      <c r="I5" s="22"/>
      <c r="J5" s="22"/>
      <c r="K5" s="22"/>
    </row>
    <row r="6" spans="1:34" ht="14.25" customHeight="1">
      <c r="B6" s="25"/>
      <c r="C6" s="150" t="s">
        <v>317</v>
      </c>
      <c r="D6" s="26" t="s">
        <v>318</v>
      </c>
      <c r="E6" s="26" t="s">
        <v>319</v>
      </c>
      <c r="F6" s="26" t="s">
        <v>320</v>
      </c>
      <c r="G6" s="26" t="s">
        <v>317</v>
      </c>
      <c r="H6" s="26" t="s">
        <v>318</v>
      </c>
      <c r="I6" s="26" t="s">
        <v>319</v>
      </c>
      <c r="J6" s="26" t="s">
        <v>320</v>
      </c>
      <c r="K6" s="26" t="s">
        <v>317</v>
      </c>
      <c r="L6" s="26" t="s">
        <v>318</v>
      </c>
      <c r="M6" s="26" t="s">
        <v>319</v>
      </c>
      <c r="N6" s="26" t="s">
        <v>320</v>
      </c>
      <c r="O6" s="26" t="s">
        <v>317</v>
      </c>
      <c r="P6" s="26" t="s">
        <v>318</v>
      </c>
      <c r="Q6" s="26" t="s">
        <v>319</v>
      </c>
      <c r="R6" s="26" t="s">
        <v>320</v>
      </c>
    </row>
    <row r="7" spans="1:34" ht="14.25" customHeight="1">
      <c r="B7" s="27" t="s">
        <v>151</v>
      </c>
      <c r="C7" s="151">
        <v>2019</v>
      </c>
      <c r="D7" s="28">
        <v>2019</v>
      </c>
      <c r="E7" s="28">
        <v>2019</v>
      </c>
      <c r="F7" s="28">
        <v>2019</v>
      </c>
      <c r="G7" s="28">
        <v>2018</v>
      </c>
      <c r="H7" s="28">
        <v>2018</v>
      </c>
      <c r="I7" s="28">
        <v>2018</v>
      </c>
      <c r="J7" s="28">
        <v>2018</v>
      </c>
      <c r="K7" s="28">
        <v>2017</v>
      </c>
      <c r="L7" s="28">
        <v>2017</v>
      </c>
      <c r="M7" s="28">
        <v>2017</v>
      </c>
      <c r="N7" s="28">
        <v>2017</v>
      </c>
      <c r="O7" s="28">
        <v>2016</v>
      </c>
      <c r="P7" s="28">
        <v>2016</v>
      </c>
      <c r="Q7" s="28">
        <v>2016</v>
      </c>
      <c r="R7" s="28">
        <v>2016</v>
      </c>
    </row>
    <row r="8" spans="1:34">
      <c r="B8" s="29" t="s">
        <v>14</v>
      </c>
      <c r="C8" s="149">
        <v>1022.7381415399998</v>
      </c>
      <c r="D8" s="30">
        <v>980.96140745999992</v>
      </c>
      <c r="E8" s="30">
        <v>909.94284900000025</v>
      </c>
      <c r="F8" s="30">
        <v>874.72606599999995</v>
      </c>
      <c r="G8" s="30">
        <v>896.1855771500002</v>
      </c>
      <c r="H8" s="30">
        <v>863.88</v>
      </c>
      <c r="I8" s="30">
        <v>843.96</v>
      </c>
      <c r="J8" s="30">
        <v>810.7</v>
      </c>
      <c r="K8" s="30">
        <v>820</v>
      </c>
      <c r="L8" s="30">
        <v>808.6</v>
      </c>
      <c r="M8" s="30">
        <v>822.9</v>
      </c>
      <c r="N8" s="30">
        <v>786.8</v>
      </c>
      <c r="O8" s="30">
        <v>785.5</v>
      </c>
      <c r="P8" s="30">
        <v>765</v>
      </c>
      <c r="Q8" s="30">
        <v>472</v>
      </c>
      <c r="R8" s="30">
        <v>472</v>
      </c>
      <c r="T8" s="239"/>
      <c r="U8" s="239"/>
      <c r="V8" s="239"/>
      <c r="W8" s="239"/>
      <c r="X8" s="239"/>
      <c r="Y8" s="239"/>
      <c r="Z8" s="239"/>
      <c r="AA8" s="239"/>
      <c r="AB8" s="239"/>
      <c r="AC8" s="239"/>
      <c r="AD8" s="239"/>
      <c r="AE8" s="239"/>
      <c r="AF8" s="239"/>
      <c r="AG8" s="239"/>
      <c r="AH8" s="239"/>
    </row>
    <row r="9" spans="1:34" ht="14.25" customHeight="1">
      <c r="B9" s="31" t="s">
        <v>15</v>
      </c>
      <c r="C9" s="152">
        <v>438.38305799999989</v>
      </c>
      <c r="D9" s="32">
        <v>426.69256100000007</v>
      </c>
      <c r="E9" s="32">
        <v>390.36875300000003</v>
      </c>
      <c r="F9" s="32">
        <v>366.89113700000001</v>
      </c>
      <c r="G9" s="32">
        <v>351.86614999999995</v>
      </c>
      <c r="H9" s="32">
        <v>340.02</v>
      </c>
      <c r="I9" s="32">
        <v>332.84</v>
      </c>
      <c r="J9" s="32">
        <v>315.7</v>
      </c>
      <c r="K9" s="32">
        <v>318</v>
      </c>
      <c r="L9" s="32">
        <v>310.2</v>
      </c>
      <c r="M9" s="32">
        <v>331.5</v>
      </c>
      <c r="N9" s="32">
        <v>322.3</v>
      </c>
      <c r="O9" s="32">
        <v>333.2</v>
      </c>
      <c r="P9" s="32">
        <v>323</v>
      </c>
      <c r="Q9" s="32">
        <v>171.8</v>
      </c>
      <c r="R9" s="32">
        <v>175.7</v>
      </c>
      <c r="T9" s="239"/>
      <c r="U9" s="239"/>
      <c r="V9" s="239"/>
      <c r="W9" s="239"/>
      <c r="X9" s="239"/>
      <c r="Y9" s="239"/>
      <c r="Z9" s="239"/>
      <c r="AA9" s="239"/>
      <c r="AB9" s="239"/>
      <c r="AC9" s="239"/>
      <c r="AD9" s="239"/>
      <c r="AE9" s="239"/>
      <c r="AF9" s="239"/>
      <c r="AG9" s="239"/>
      <c r="AH9" s="239"/>
    </row>
    <row r="10" spans="1:34" ht="14.25" customHeight="1">
      <c r="B10" s="33" t="s">
        <v>16</v>
      </c>
      <c r="C10" s="153">
        <v>584.3550835399999</v>
      </c>
      <c r="D10" s="34">
        <v>554.26884645999985</v>
      </c>
      <c r="E10" s="34">
        <v>519.57409600000028</v>
      </c>
      <c r="F10" s="34">
        <v>507.83492899999993</v>
      </c>
      <c r="G10" s="34">
        <v>544.31942715000025</v>
      </c>
      <c r="H10" s="34">
        <v>523.87</v>
      </c>
      <c r="I10" s="34">
        <v>511.12</v>
      </c>
      <c r="J10" s="34">
        <v>495</v>
      </c>
      <c r="K10" s="35">
        <v>501</v>
      </c>
      <c r="L10" s="35">
        <v>498.4</v>
      </c>
      <c r="M10" s="35">
        <v>491.4</v>
      </c>
      <c r="N10" s="35">
        <v>464.5</v>
      </c>
      <c r="O10" s="35">
        <v>452.3</v>
      </c>
      <c r="P10" s="35">
        <v>442</v>
      </c>
      <c r="Q10" s="35">
        <v>300</v>
      </c>
      <c r="R10" s="35">
        <v>296.60000000000002</v>
      </c>
      <c r="T10" s="239"/>
      <c r="U10" s="239"/>
      <c r="V10" s="239"/>
      <c r="W10" s="239"/>
      <c r="X10" s="239"/>
      <c r="Y10" s="239"/>
      <c r="Z10" s="239"/>
      <c r="AA10" s="239"/>
      <c r="AB10" s="239"/>
      <c r="AC10" s="239"/>
      <c r="AD10" s="239"/>
      <c r="AE10" s="239"/>
      <c r="AF10" s="239"/>
      <c r="AG10" s="239"/>
      <c r="AH10" s="239"/>
    </row>
    <row r="11" spans="1:34" ht="14.25" customHeight="1">
      <c r="B11" s="36" t="s">
        <v>17</v>
      </c>
      <c r="C11" s="149">
        <v>332.16453217000003</v>
      </c>
      <c r="D11" s="30">
        <v>336.14364882999996</v>
      </c>
      <c r="E11" s="30">
        <v>323.14792800000004</v>
      </c>
      <c r="F11" s="30">
        <v>303.825131</v>
      </c>
      <c r="G11" s="30">
        <v>296.58041600000001</v>
      </c>
      <c r="H11" s="30">
        <v>298.82</v>
      </c>
      <c r="I11" s="30">
        <v>309.98</v>
      </c>
      <c r="J11" s="30">
        <v>304.39999999999998</v>
      </c>
      <c r="K11" s="30">
        <v>312</v>
      </c>
      <c r="L11" s="30">
        <v>310.7</v>
      </c>
      <c r="M11" s="30">
        <v>297.39999999999998</v>
      </c>
      <c r="N11" s="30">
        <v>276.89999999999998</v>
      </c>
      <c r="O11" s="30">
        <v>275</v>
      </c>
      <c r="P11" s="30">
        <v>295</v>
      </c>
      <c r="Q11" s="30">
        <v>137</v>
      </c>
      <c r="R11" s="30">
        <v>122.9</v>
      </c>
      <c r="T11" s="239"/>
      <c r="U11" s="239"/>
      <c r="V11" s="239"/>
      <c r="W11" s="239"/>
      <c r="X11" s="239"/>
      <c r="Y11" s="239"/>
      <c r="Z11" s="239"/>
      <c r="AA11" s="239"/>
      <c r="AB11" s="239"/>
      <c r="AC11" s="239"/>
      <c r="AD11" s="239"/>
      <c r="AE11" s="239"/>
      <c r="AF11" s="239"/>
      <c r="AG11" s="239"/>
      <c r="AH11" s="239"/>
    </row>
    <row r="12" spans="1:34" ht="14.25" customHeight="1">
      <c r="B12" s="36" t="s">
        <v>18</v>
      </c>
      <c r="C12" s="149">
        <v>36.705858140000004</v>
      </c>
      <c r="D12" s="30">
        <v>39.90749885999999</v>
      </c>
      <c r="E12" s="30">
        <v>36.346273000000004</v>
      </c>
      <c r="F12" s="30">
        <v>30.424996</v>
      </c>
      <c r="G12" s="30">
        <v>31.770508000000007</v>
      </c>
      <c r="H12" s="30">
        <v>22.85</v>
      </c>
      <c r="I12" s="30">
        <v>27.31</v>
      </c>
      <c r="J12" s="30">
        <v>22.5</v>
      </c>
      <c r="K12" s="30">
        <v>27</v>
      </c>
      <c r="L12" s="30">
        <v>27.5</v>
      </c>
      <c r="M12" s="30">
        <v>26.1</v>
      </c>
      <c r="N12" s="30">
        <v>22.3</v>
      </c>
      <c r="O12" s="30">
        <v>22.6</v>
      </c>
      <c r="P12" s="30">
        <v>23</v>
      </c>
      <c r="Q12" s="30">
        <v>12.9</v>
      </c>
      <c r="R12" s="30">
        <v>12.5</v>
      </c>
      <c r="T12" s="239"/>
      <c r="U12" s="239"/>
      <c r="V12" s="239"/>
      <c r="W12" s="239"/>
      <c r="X12" s="239"/>
      <c r="Y12" s="239"/>
      <c r="Z12" s="239"/>
      <c r="AA12" s="239"/>
      <c r="AB12" s="239"/>
      <c r="AC12" s="239"/>
      <c r="AD12" s="239"/>
      <c r="AE12" s="239"/>
      <c r="AF12" s="239"/>
      <c r="AG12" s="239"/>
      <c r="AH12" s="239"/>
    </row>
    <row r="13" spans="1:34" ht="14.25" customHeight="1">
      <c r="B13" s="31" t="s">
        <v>19</v>
      </c>
      <c r="C13" s="152">
        <v>37.136278129999994</v>
      </c>
      <c r="D13" s="32">
        <v>54.031640870000018</v>
      </c>
      <c r="E13" s="32">
        <v>77.601349999999996</v>
      </c>
      <c r="F13" s="32">
        <v>67.150913000000003</v>
      </c>
      <c r="G13" s="32">
        <v>48.350609999999989</v>
      </c>
      <c r="H13" s="32">
        <v>39.67</v>
      </c>
      <c r="I13" s="32">
        <v>51.12</v>
      </c>
      <c r="J13" s="32">
        <v>41.5</v>
      </c>
      <c r="K13" s="32">
        <v>29</v>
      </c>
      <c r="L13" s="32">
        <v>41.6</v>
      </c>
      <c r="M13" s="32">
        <v>44.8</v>
      </c>
      <c r="N13" s="32">
        <v>53.2</v>
      </c>
      <c r="O13" s="32">
        <v>42.8</v>
      </c>
      <c r="P13" s="32">
        <v>37</v>
      </c>
      <c r="Q13" s="32">
        <v>50.5</v>
      </c>
      <c r="R13" s="32">
        <v>49.7</v>
      </c>
      <c r="T13" s="239"/>
      <c r="U13" s="239"/>
      <c r="V13" s="239"/>
      <c r="W13" s="239"/>
      <c r="X13" s="239"/>
      <c r="Y13" s="239"/>
      <c r="Z13" s="239"/>
      <c r="AA13" s="239"/>
      <c r="AB13" s="239"/>
      <c r="AC13" s="239"/>
      <c r="AD13" s="239"/>
      <c r="AE13" s="239"/>
      <c r="AF13" s="239"/>
      <c r="AG13" s="239"/>
      <c r="AH13" s="239"/>
    </row>
    <row r="14" spans="1:34" ht="14.25" customHeight="1">
      <c r="B14" s="33" t="s">
        <v>20</v>
      </c>
      <c r="C14" s="154">
        <v>332.59495215999999</v>
      </c>
      <c r="D14" s="35">
        <v>350.26779083999998</v>
      </c>
      <c r="E14" s="35">
        <v>364.40300500000001</v>
      </c>
      <c r="F14" s="35">
        <v>340.55104799999998</v>
      </c>
      <c r="G14" s="35">
        <v>313.16051800000002</v>
      </c>
      <c r="H14" s="35">
        <v>315.64</v>
      </c>
      <c r="I14" s="35">
        <v>333.79</v>
      </c>
      <c r="J14" s="35">
        <v>323.39999999999998</v>
      </c>
      <c r="K14" s="35">
        <v>315</v>
      </c>
      <c r="L14" s="35">
        <v>324.89999999999998</v>
      </c>
      <c r="M14" s="35">
        <v>316</v>
      </c>
      <c r="N14" s="35">
        <v>307.8</v>
      </c>
      <c r="O14" s="35">
        <v>295.2</v>
      </c>
      <c r="P14" s="35">
        <v>310</v>
      </c>
      <c r="Q14" s="35">
        <v>174.6</v>
      </c>
      <c r="R14" s="35">
        <v>160.1</v>
      </c>
      <c r="T14" s="239"/>
      <c r="U14" s="239"/>
      <c r="V14" s="239"/>
      <c r="W14" s="239"/>
      <c r="X14" s="239"/>
      <c r="Y14" s="239"/>
      <c r="Z14" s="239"/>
      <c r="AA14" s="239"/>
      <c r="AB14" s="239"/>
      <c r="AC14" s="239"/>
      <c r="AD14" s="239"/>
      <c r="AE14" s="239"/>
      <c r="AF14" s="239"/>
      <c r="AG14" s="239"/>
      <c r="AH14" s="239"/>
    </row>
    <row r="15" spans="1:34" ht="14.25" customHeight="1">
      <c r="B15" s="37" t="s">
        <v>21</v>
      </c>
      <c r="C15" s="149">
        <v>0.27407664000000054</v>
      </c>
      <c r="D15" s="30">
        <v>0.21271836000000022</v>
      </c>
      <c r="E15" s="30">
        <v>6.0267499999999998</v>
      </c>
      <c r="F15" s="30">
        <v>12.376602999999999</v>
      </c>
      <c r="G15" s="30">
        <v>0.15571800000000025</v>
      </c>
      <c r="H15" s="30">
        <v>0.13</v>
      </c>
      <c r="I15" s="30">
        <v>0.43</v>
      </c>
      <c r="J15" s="30">
        <v>12.1</v>
      </c>
      <c r="K15" s="30">
        <v>0</v>
      </c>
      <c r="L15" s="30">
        <v>-0.2</v>
      </c>
      <c r="M15" s="30">
        <v>1.8</v>
      </c>
      <c r="N15" s="30">
        <v>8.6999999999999993</v>
      </c>
      <c r="O15" s="30">
        <v>0.3</v>
      </c>
      <c r="P15" s="30">
        <v>1</v>
      </c>
      <c r="Q15" s="30">
        <v>45</v>
      </c>
      <c r="R15" s="30">
        <v>0</v>
      </c>
      <c r="T15" s="239"/>
      <c r="U15" s="239"/>
      <c r="V15" s="239"/>
      <c r="W15" s="239"/>
      <c r="X15" s="239"/>
      <c r="Y15" s="239"/>
      <c r="Z15" s="239"/>
      <c r="AA15" s="239"/>
      <c r="AB15" s="239"/>
      <c r="AC15" s="239"/>
      <c r="AD15" s="239"/>
      <c r="AE15" s="239"/>
      <c r="AF15" s="239"/>
      <c r="AG15" s="239"/>
      <c r="AH15" s="239"/>
    </row>
    <row r="16" spans="1:34" ht="14.25" customHeight="1">
      <c r="B16" s="36" t="s">
        <v>22</v>
      </c>
      <c r="C16" s="149">
        <v>-0.99333745000012641</v>
      </c>
      <c r="D16" s="30">
        <v>43.530613450000089</v>
      </c>
      <c r="E16" s="30">
        <v>131.22960399999999</v>
      </c>
      <c r="F16" s="30">
        <v>345.58386999999999</v>
      </c>
      <c r="G16" s="30">
        <v>57.247618999999986</v>
      </c>
      <c r="H16" s="30">
        <v>57.58</v>
      </c>
      <c r="I16" s="30">
        <v>53.78</v>
      </c>
      <c r="J16" s="30">
        <v>29.7</v>
      </c>
      <c r="K16" s="30">
        <v>77</v>
      </c>
      <c r="L16" s="30">
        <v>81.8</v>
      </c>
      <c r="M16" s="30">
        <v>30.3</v>
      </c>
      <c r="N16" s="30">
        <v>6</v>
      </c>
      <c r="O16" s="30">
        <v>48.6</v>
      </c>
      <c r="P16" s="30">
        <v>21</v>
      </c>
      <c r="Q16" s="30">
        <v>96</v>
      </c>
      <c r="R16" s="30">
        <v>70</v>
      </c>
      <c r="T16" s="239"/>
      <c r="U16" s="239"/>
      <c r="V16" s="239"/>
      <c r="W16" s="239"/>
      <c r="X16" s="239"/>
      <c r="Y16" s="239"/>
      <c r="Z16" s="239"/>
      <c r="AA16" s="239"/>
      <c r="AB16" s="239"/>
      <c r="AC16" s="239"/>
      <c r="AD16" s="239"/>
      <c r="AE16" s="239"/>
      <c r="AF16" s="239"/>
      <c r="AG16" s="239"/>
      <c r="AH16" s="239"/>
    </row>
    <row r="17" spans="2:34" ht="14.25" customHeight="1">
      <c r="B17" s="31" t="s">
        <v>23</v>
      </c>
      <c r="C17" s="152">
        <v>12.155208039999991</v>
      </c>
      <c r="D17" s="32">
        <v>59.181588960000013</v>
      </c>
      <c r="E17" s="32">
        <v>60.766892999999996</v>
      </c>
      <c r="F17" s="32">
        <v>64.691337000000004</v>
      </c>
      <c r="G17" s="32">
        <v>-50.752992000000006</v>
      </c>
      <c r="H17" s="32">
        <v>32.340000000000003</v>
      </c>
      <c r="I17" s="32">
        <v>94.6</v>
      </c>
      <c r="J17" s="32">
        <v>3.6</v>
      </c>
      <c r="K17" s="32">
        <v>67</v>
      </c>
      <c r="L17" s="32">
        <v>18.600000000000001</v>
      </c>
      <c r="M17" s="32">
        <v>1.7</v>
      </c>
      <c r="N17" s="32">
        <v>-14.5</v>
      </c>
      <c r="O17" s="32">
        <v>17.100000000000001</v>
      </c>
      <c r="P17" s="32">
        <v>30</v>
      </c>
      <c r="Q17" s="32">
        <v>-47</v>
      </c>
      <c r="R17" s="32">
        <v>-62.7</v>
      </c>
      <c r="T17" s="239"/>
      <c r="U17" s="239"/>
      <c r="V17" s="239"/>
      <c r="W17" s="239"/>
      <c r="X17" s="239"/>
      <c r="Y17" s="239"/>
      <c r="Z17" s="239"/>
      <c r="AA17" s="239"/>
      <c r="AB17" s="239"/>
      <c r="AC17" s="239"/>
      <c r="AD17" s="239"/>
      <c r="AE17" s="239"/>
      <c r="AF17" s="239"/>
      <c r="AG17" s="239"/>
      <c r="AH17" s="239"/>
    </row>
    <row r="18" spans="2:34" ht="14.25" customHeight="1">
      <c r="B18" s="33" t="s">
        <v>24</v>
      </c>
      <c r="C18" s="154">
        <v>11.435947229999865</v>
      </c>
      <c r="D18" s="38">
        <v>102.9249207700001</v>
      </c>
      <c r="E18" s="38">
        <v>198.02324699999997</v>
      </c>
      <c r="F18" s="38">
        <v>422.65180999999995</v>
      </c>
      <c r="G18" s="38">
        <v>6.6503449999999802</v>
      </c>
      <c r="H18" s="38">
        <v>90.05</v>
      </c>
      <c r="I18" s="38">
        <v>148.81</v>
      </c>
      <c r="J18" s="38">
        <v>45.4</v>
      </c>
      <c r="K18" s="35">
        <v>143</v>
      </c>
      <c r="L18" s="35">
        <v>100.1</v>
      </c>
      <c r="M18" s="35">
        <v>33.799999999999997</v>
      </c>
      <c r="N18" s="35">
        <v>0.3</v>
      </c>
      <c r="O18" s="35">
        <v>66</v>
      </c>
      <c r="P18" s="35">
        <v>53</v>
      </c>
      <c r="Q18" s="35">
        <v>94</v>
      </c>
      <c r="R18" s="35">
        <v>7.3</v>
      </c>
      <c r="T18" s="239"/>
      <c r="U18" s="239"/>
      <c r="V18" s="239"/>
      <c r="W18" s="239"/>
      <c r="X18" s="239"/>
      <c r="Y18" s="239"/>
      <c r="Z18" s="239"/>
      <c r="AA18" s="239"/>
      <c r="AB18" s="239"/>
      <c r="AC18" s="239"/>
      <c r="AD18" s="239"/>
      <c r="AE18" s="239"/>
      <c r="AF18" s="239"/>
      <c r="AG18" s="239"/>
      <c r="AH18" s="239"/>
    </row>
    <row r="19" spans="2:34" ht="14.25" customHeight="1">
      <c r="B19" s="39" t="s">
        <v>25</v>
      </c>
      <c r="C19" s="155">
        <v>928.38598292999984</v>
      </c>
      <c r="D19" s="30">
        <v>1007.4615580699999</v>
      </c>
      <c r="E19" s="30">
        <v>1082.0003480000003</v>
      </c>
      <c r="F19" s="30">
        <v>1271.0377869999998</v>
      </c>
      <c r="G19" s="30">
        <v>864.13029015000029</v>
      </c>
      <c r="H19" s="30">
        <v>929.56</v>
      </c>
      <c r="I19" s="30">
        <v>993.72</v>
      </c>
      <c r="J19" s="30">
        <v>863.8</v>
      </c>
      <c r="K19" s="38">
        <v>959</v>
      </c>
      <c r="L19" s="38">
        <v>923.4</v>
      </c>
      <c r="M19" s="38">
        <v>841.3</v>
      </c>
      <c r="N19" s="38">
        <v>772.6</v>
      </c>
      <c r="O19" s="38">
        <v>813.5</v>
      </c>
      <c r="P19" s="38">
        <v>805</v>
      </c>
      <c r="Q19" s="38">
        <v>568.6</v>
      </c>
      <c r="R19" s="38">
        <v>464</v>
      </c>
      <c r="T19" s="239"/>
      <c r="U19" s="239"/>
      <c r="V19" s="239"/>
      <c r="W19" s="239"/>
      <c r="X19" s="239"/>
      <c r="Y19" s="239"/>
      <c r="Z19" s="239"/>
      <c r="AA19" s="239"/>
      <c r="AB19" s="239"/>
      <c r="AC19" s="239"/>
      <c r="AD19" s="239"/>
      <c r="AE19" s="239"/>
      <c r="AF19" s="239"/>
      <c r="AG19" s="239"/>
      <c r="AH19" s="239"/>
    </row>
    <row r="20" spans="2:34" ht="14.25" customHeight="1">
      <c r="B20" s="36" t="s">
        <v>26</v>
      </c>
      <c r="C20" s="149">
        <v>274.18151510999996</v>
      </c>
      <c r="D20" s="30">
        <v>266.54262888999995</v>
      </c>
      <c r="E20" s="30">
        <v>267.35213229999999</v>
      </c>
      <c r="F20" s="30">
        <v>289.6442237</v>
      </c>
      <c r="G20" s="30">
        <v>286.04699999999991</v>
      </c>
      <c r="H20" s="30">
        <v>259.49</v>
      </c>
      <c r="I20" s="30">
        <v>246.94</v>
      </c>
      <c r="J20" s="30">
        <v>257.8</v>
      </c>
      <c r="K20" s="30">
        <v>308</v>
      </c>
      <c r="L20" s="30">
        <v>233.2</v>
      </c>
      <c r="M20" s="30">
        <v>236.6</v>
      </c>
      <c r="N20" s="30">
        <v>232.5</v>
      </c>
      <c r="O20" s="30">
        <v>253.5</v>
      </c>
      <c r="P20" s="30">
        <v>27</v>
      </c>
      <c r="Q20" s="30">
        <v>145</v>
      </c>
      <c r="R20" s="30">
        <v>148.1</v>
      </c>
      <c r="T20" s="239"/>
      <c r="U20" s="239"/>
      <c r="V20" s="239"/>
      <c r="W20" s="239"/>
      <c r="X20" s="239"/>
      <c r="Y20" s="239"/>
      <c r="Z20" s="239"/>
      <c r="AA20" s="239"/>
      <c r="AB20" s="239"/>
      <c r="AC20" s="239"/>
      <c r="AD20" s="239"/>
      <c r="AE20" s="239"/>
      <c r="AF20" s="239"/>
      <c r="AG20" s="239"/>
      <c r="AH20" s="239"/>
    </row>
    <row r="21" spans="2:34" ht="14.25" customHeight="1">
      <c r="B21" s="37" t="s">
        <v>27</v>
      </c>
      <c r="C21" s="149">
        <v>32.223097900000013</v>
      </c>
      <c r="D21" s="30">
        <v>29.826711099999983</v>
      </c>
      <c r="E21" s="30">
        <v>33.348470000000006</v>
      </c>
      <c r="F21" s="30">
        <v>35.541224</v>
      </c>
      <c r="G21" s="30">
        <v>23.057108999999997</v>
      </c>
      <c r="H21" s="30">
        <v>24.36</v>
      </c>
      <c r="I21" s="30">
        <v>31.89</v>
      </c>
      <c r="J21" s="30">
        <v>23.2</v>
      </c>
      <c r="K21" s="30">
        <v>22</v>
      </c>
      <c r="L21" s="30">
        <v>20.7</v>
      </c>
      <c r="M21" s="30">
        <v>20.8</v>
      </c>
      <c r="N21" s="30">
        <v>20.5</v>
      </c>
      <c r="O21" s="30">
        <v>21.9</v>
      </c>
      <c r="P21" s="30">
        <v>19</v>
      </c>
      <c r="Q21" s="30">
        <v>12</v>
      </c>
      <c r="R21" s="30">
        <v>11</v>
      </c>
      <c r="T21" s="239"/>
      <c r="U21" s="239"/>
      <c r="V21" s="239"/>
      <c r="W21" s="239"/>
      <c r="X21" s="239"/>
      <c r="Y21" s="239"/>
      <c r="Z21" s="239"/>
      <c r="AA21" s="239"/>
      <c r="AB21" s="239"/>
      <c r="AC21" s="239"/>
      <c r="AD21" s="239"/>
      <c r="AE21" s="239"/>
      <c r="AF21" s="239"/>
      <c r="AG21" s="239"/>
      <c r="AH21" s="239"/>
    </row>
    <row r="22" spans="2:34" ht="14.25" customHeight="1">
      <c r="B22" s="31" t="s">
        <v>28</v>
      </c>
      <c r="C22" s="152">
        <v>183.28411119999998</v>
      </c>
      <c r="D22" s="32">
        <v>161.08322880000003</v>
      </c>
      <c r="E22" s="32">
        <v>188.64923399999995</v>
      </c>
      <c r="F22" s="32">
        <v>168.521896</v>
      </c>
      <c r="G22" s="32">
        <v>196.91610200000002</v>
      </c>
      <c r="H22" s="32">
        <v>173.12</v>
      </c>
      <c r="I22" s="32">
        <v>189.56</v>
      </c>
      <c r="J22" s="32">
        <v>168.5</v>
      </c>
      <c r="K22" s="32">
        <v>220</v>
      </c>
      <c r="L22" s="32">
        <v>178.9</v>
      </c>
      <c r="M22" s="32">
        <v>220.8</v>
      </c>
      <c r="N22" s="32">
        <v>184.3</v>
      </c>
      <c r="O22" s="32">
        <v>201.2</v>
      </c>
      <c r="P22" s="32">
        <v>168</v>
      </c>
      <c r="Q22" s="32">
        <v>102</v>
      </c>
      <c r="R22" s="32">
        <v>93.7</v>
      </c>
      <c r="T22" s="239"/>
      <c r="U22" s="239"/>
      <c r="V22" s="239"/>
      <c r="W22" s="239"/>
      <c r="X22" s="239"/>
      <c r="Y22" s="239"/>
      <c r="Z22" s="239"/>
      <c r="AA22" s="239"/>
      <c r="AB22" s="239"/>
      <c r="AC22" s="239"/>
      <c r="AD22" s="239"/>
      <c r="AE22" s="239"/>
      <c r="AF22" s="239"/>
      <c r="AG22" s="239"/>
      <c r="AH22" s="239"/>
    </row>
    <row r="23" spans="2:34" ht="14.25" customHeight="1">
      <c r="B23" s="33" t="s">
        <v>29</v>
      </c>
      <c r="C23" s="154">
        <v>489.68872420999998</v>
      </c>
      <c r="D23" s="38">
        <v>457.45256878999999</v>
      </c>
      <c r="E23" s="38">
        <v>489.34983629999999</v>
      </c>
      <c r="F23" s="38">
        <v>493.70734370000002</v>
      </c>
      <c r="G23" s="38">
        <v>506.0202109999999</v>
      </c>
      <c r="H23" s="38">
        <v>456.98</v>
      </c>
      <c r="I23" s="38">
        <v>468.39</v>
      </c>
      <c r="J23" s="38">
        <v>449.5</v>
      </c>
      <c r="K23" s="35">
        <v>550</v>
      </c>
      <c r="L23" s="35">
        <v>432.8</v>
      </c>
      <c r="M23" s="35">
        <v>478.1</v>
      </c>
      <c r="N23" s="35">
        <v>437.3</v>
      </c>
      <c r="O23" s="35">
        <v>476.5</v>
      </c>
      <c r="P23" s="35">
        <v>214</v>
      </c>
      <c r="Q23" s="35">
        <v>259</v>
      </c>
      <c r="R23" s="35">
        <v>252.8</v>
      </c>
      <c r="T23" s="239"/>
      <c r="U23" s="239"/>
      <c r="V23" s="239"/>
      <c r="W23" s="239"/>
      <c r="X23" s="239"/>
      <c r="Y23" s="239"/>
      <c r="Z23" s="239"/>
      <c r="AA23" s="239"/>
      <c r="AB23" s="239"/>
      <c r="AC23" s="239"/>
      <c r="AD23" s="239"/>
      <c r="AE23" s="239"/>
      <c r="AF23" s="239"/>
      <c r="AG23" s="239"/>
      <c r="AH23" s="239"/>
    </row>
    <row r="24" spans="2:34" ht="14.25" customHeight="1">
      <c r="B24" s="40" t="s">
        <v>30</v>
      </c>
      <c r="C24" s="155">
        <v>438.69725871999987</v>
      </c>
      <c r="D24" s="30">
        <v>550.00898927999992</v>
      </c>
      <c r="E24" s="30">
        <v>592.65051170000027</v>
      </c>
      <c r="F24" s="30">
        <v>777.33044329999973</v>
      </c>
      <c r="G24" s="30">
        <v>358.11007915000039</v>
      </c>
      <c r="H24" s="30">
        <v>472.58</v>
      </c>
      <c r="I24" s="30">
        <v>525.33000000000004</v>
      </c>
      <c r="J24" s="30">
        <v>414.3</v>
      </c>
      <c r="K24" s="38">
        <v>409</v>
      </c>
      <c r="L24" s="38">
        <v>490.5</v>
      </c>
      <c r="M24" s="38">
        <v>363.1</v>
      </c>
      <c r="N24" s="38">
        <v>335.3</v>
      </c>
      <c r="O24" s="38">
        <v>336.9</v>
      </c>
      <c r="P24" s="38">
        <v>590</v>
      </c>
      <c r="Q24" s="38">
        <v>309.60000000000002</v>
      </c>
      <c r="R24" s="38">
        <v>210.9</v>
      </c>
      <c r="T24" s="239"/>
      <c r="U24" s="239"/>
      <c r="V24" s="239"/>
      <c r="W24" s="239"/>
      <c r="X24" s="239"/>
      <c r="Y24" s="239"/>
      <c r="Z24" s="239"/>
      <c r="AA24" s="239"/>
      <c r="AB24" s="239"/>
      <c r="AC24" s="239"/>
      <c r="AD24" s="239"/>
      <c r="AE24" s="239"/>
      <c r="AF24" s="239"/>
      <c r="AG24" s="239"/>
      <c r="AH24" s="239"/>
    </row>
    <row r="25" spans="2:34" ht="14.25" customHeight="1">
      <c r="B25" s="31" t="s">
        <v>31</v>
      </c>
      <c r="C25" s="152">
        <v>32.809047120000002</v>
      </c>
      <c r="D25" s="32">
        <v>24.456724880000003</v>
      </c>
      <c r="E25" s="32">
        <v>8.1164850000000008</v>
      </c>
      <c r="F25" s="32">
        <v>-32.898592000000001</v>
      </c>
      <c r="G25" s="32">
        <v>11.441641000000001</v>
      </c>
      <c r="H25" s="32">
        <v>11.93</v>
      </c>
      <c r="I25" s="32">
        <v>7.13</v>
      </c>
      <c r="J25" s="32">
        <v>4.8</v>
      </c>
      <c r="K25" s="32">
        <v>-13</v>
      </c>
      <c r="L25" s="32">
        <v>14.5</v>
      </c>
      <c r="M25" s="32">
        <v>5.2</v>
      </c>
      <c r="N25" s="32">
        <v>-26.2</v>
      </c>
      <c r="O25" s="32">
        <v>42.6</v>
      </c>
      <c r="P25" s="32">
        <v>3</v>
      </c>
      <c r="Q25" s="32">
        <v>20.2</v>
      </c>
      <c r="R25" s="32">
        <v>8.9</v>
      </c>
      <c r="T25" s="239"/>
      <c r="U25" s="239"/>
      <c r="V25" s="239"/>
      <c r="W25" s="239"/>
      <c r="X25" s="239"/>
      <c r="Y25" s="239"/>
      <c r="Z25" s="239"/>
      <c r="AA25" s="239"/>
      <c r="AB25" s="239"/>
      <c r="AC25" s="239"/>
      <c r="AD25" s="239"/>
      <c r="AE25" s="239"/>
      <c r="AF25" s="239"/>
      <c r="AG25" s="239"/>
      <c r="AH25" s="239"/>
    </row>
    <row r="26" spans="2:34" ht="14.25" customHeight="1">
      <c r="B26" s="33" t="s">
        <v>32</v>
      </c>
      <c r="C26" s="154">
        <v>405.88821159999986</v>
      </c>
      <c r="D26" s="38">
        <v>525.5522643999999</v>
      </c>
      <c r="E26" s="38">
        <v>584.53402670000025</v>
      </c>
      <c r="F26" s="38">
        <v>810.22903529999974</v>
      </c>
      <c r="G26" s="38">
        <v>346.66843815000038</v>
      </c>
      <c r="H26" s="38">
        <v>460.65</v>
      </c>
      <c r="I26" s="38">
        <v>518.20000000000005</v>
      </c>
      <c r="J26" s="38">
        <v>409.5</v>
      </c>
      <c r="K26" s="35">
        <v>422</v>
      </c>
      <c r="L26" s="35">
        <v>476</v>
      </c>
      <c r="M26" s="35">
        <v>357.9</v>
      </c>
      <c r="N26" s="35">
        <v>361.4</v>
      </c>
      <c r="O26" s="35">
        <v>294.39999999999998</v>
      </c>
      <c r="P26" s="35">
        <v>587</v>
      </c>
      <c r="Q26" s="35">
        <v>289.39999999999998</v>
      </c>
      <c r="R26" s="35">
        <v>202</v>
      </c>
      <c r="T26" s="239"/>
      <c r="U26" s="239"/>
      <c r="V26" s="239"/>
      <c r="W26" s="239"/>
      <c r="X26" s="239"/>
      <c r="Y26" s="239"/>
      <c r="Z26" s="239"/>
      <c r="AA26" s="239"/>
      <c r="AB26" s="239"/>
      <c r="AC26" s="239"/>
      <c r="AD26" s="239"/>
      <c r="AE26" s="239"/>
      <c r="AF26" s="239"/>
      <c r="AG26" s="239"/>
      <c r="AH26" s="239"/>
    </row>
    <row r="27" spans="2:34" ht="14.25" customHeight="1">
      <c r="B27" s="31" t="s">
        <v>33</v>
      </c>
      <c r="C27" s="156">
        <v>114.40143475999997</v>
      </c>
      <c r="D27" s="32">
        <v>116.26784424000002</v>
      </c>
      <c r="E27" s="32">
        <v>113.70849100000001</v>
      </c>
      <c r="F27" s="32">
        <v>53.659356000000002</v>
      </c>
      <c r="G27" s="32">
        <v>24.860299999999995</v>
      </c>
      <c r="H27" s="32">
        <v>98.98</v>
      </c>
      <c r="I27" s="32">
        <v>102.05</v>
      </c>
      <c r="J27" s="32">
        <v>95.6</v>
      </c>
      <c r="K27" s="41">
        <v>85</v>
      </c>
      <c r="L27" s="41">
        <v>99.2</v>
      </c>
      <c r="M27" s="41">
        <v>83.9</v>
      </c>
      <c r="N27" s="41">
        <v>87.6</v>
      </c>
      <c r="O27" s="41">
        <v>13.5</v>
      </c>
      <c r="P27" s="41">
        <v>163</v>
      </c>
      <c r="Q27" s="41">
        <v>62.2</v>
      </c>
      <c r="R27" s="41">
        <v>33</v>
      </c>
      <c r="T27" s="239"/>
      <c r="U27" s="239"/>
      <c r="V27" s="239"/>
      <c r="W27" s="239"/>
      <c r="X27" s="239"/>
      <c r="Y27" s="239"/>
      <c r="Z27" s="239"/>
      <c r="AA27" s="239"/>
      <c r="AB27" s="239"/>
      <c r="AC27" s="239"/>
      <c r="AD27" s="239"/>
      <c r="AE27" s="239"/>
      <c r="AF27" s="239"/>
      <c r="AG27" s="239"/>
      <c r="AH27" s="239"/>
    </row>
    <row r="28" spans="2:34" ht="14.25" customHeight="1">
      <c r="B28" s="42" t="s">
        <v>34</v>
      </c>
      <c r="C28" s="157">
        <v>291.48677683999989</v>
      </c>
      <c r="D28" s="43">
        <v>409.28442015999985</v>
      </c>
      <c r="E28" s="43">
        <v>470.82553570000027</v>
      </c>
      <c r="F28" s="43">
        <v>756.56967929999973</v>
      </c>
      <c r="G28" s="43">
        <v>321.80813815000039</v>
      </c>
      <c r="H28" s="43">
        <v>361.67</v>
      </c>
      <c r="I28" s="43">
        <v>416.15</v>
      </c>
      <c r="J28" s="43">
        <v>313.89999999999998</v>
      </c>
      <c r="K28" s="44">
        <v>337</v>
      </c>
      <c r="L28" s="44">
        <v>376.8</v>
      </c>
      <c r="M28" s="44">
        <v>274</v>
      </c>
      <c r="N28" s="44">
        <v>273.89999999999998</v>
      </c>
      <c r="O28" s="44">
        <v>280.8</v>
      </c>
      <c r="P28" s="44">
        <v>424</v>
      </c>
      <c r="Q28" s="44">
        <v>227.2</v>
      </c>
      <c r="R28" s="44">
        <v>169</v>
      </c>
      <c r="T28" s="239"/>
      <c r="U28" s="239"/>
      <c r="V28" s="239"/>
      <c r="W28" s="239"/>
      <c r="X28" s="239"/>
      <c r="Y28" s="239"/>
      <c r="Z28" s="239"/>
      <c r="AA28" s="239"/>
      <c r="AB28" s="239"/>
      <c r="AC28" s="239"/>
      <c r="AD28" s="239"/>
      <c r="AE28" s="239"/>
      <c r="AF28" s="239"/>
      <c r="AG28" s="239"/>
      <c r="AH28" s="239"/>
    </row>
    <row r="29" spans="2:34" ht="14.25" customHeight="1">
      <c r="B29" s="45"/>
      <c r="C29" s="158"/>
      <c r="D29" s="46"/>
      <c r="E29" s="46"/>
      <c r="F29" s="46"/>
      <c r="G29" s="46"/>
      <c r="H29" s="46"/>
      <c r="I29" s="46"/>
      <c r="J29" s="46"/>
      <c r="K29" s="46"/>
      <c r="L29" s="46"/>
      <c r="M29" s="46"/>
      <c r="N29" s="46"/>
      <c r="O29" s="47"/>
      <c r="P29" s="47"/>
      <c r="Q29" s="47"/>
      <c r="R29" s="47"/>
      <c r="T29" s="239"/>
      <c r="U29" s="239"/>
    </row>
    <row r="30" spans="2:34" ht="14.25" customHeight="1">
      <c r="B30" s="45"/>
      <c r="C30" s="150" t="s">
        <v>317</v>
      </c>
      <c r="D30" s="26" t="s">
        <v>318</v>
      </c>
      <c r="E30" s="26" t="s">
        <v>319</v>
      </c>
      <c r="F30" s="26" t="s">
        <v>320</v>
      </c>
      <c r="G30" s="26" t="s">
        <v>317</v>
      </c>
      <c r="H30" s="26" t="s">
        <v>318</v>
      </c>
      <c r="I30" s="26" t="s">
        <v>319</v>
      </c>
      <c r="J30" s="26" t="s">
        <v>320</v>
      </c>
      <c r="K30" s="26" t="s">
        <v>317</v>
      </c>
      <c r="L30" s="26" t="s">
        <v>318</v>
      </c>
      <c r="M30" s="26" t="s">
        <v>319</v>
      </c>
      <c r="N30" s="26" t="s">
        <v>320</v>
      </c>
      <c r="O30" s="26" t="s">
        <v>317</v>
      </c>
      <c r="P30" s="26" t="s">
        <v>318</v>
      </c>
      <c r="Q30" s="26" t="s">
        <v>319</v>
      </c>
      <c r="R30" s="26" t="s">
        <v>320</v>
      </c>
      <c r="T30" s="239"/>
      <c r="U30" s="239"/>
    </row>
    <row r="31" spans="2:34" ht="14.25" customHeight="1">
      <c r="B31" s="48"/>
      <c r="C31" s="151">
        <v>2019</v>
      </c>
      <c r="D31" s="28">
        <v>2019</v>
      </c>
      <c r="E31" s="28">
        <v>2019</v>
      </c>
      <c r="F31" s="28">
        <v>2019</v>
      </c>
      <c r="G31" s="28">
        <v>2018</v>
      </c>
      <c r="H31" s="28">
        <v>2018</v>
      </c>
      <c r="I31" s="28">
        <v>2018</v>
      </c>
      <c r="J31" s="28">
        <v>2018</v>
      </c>
      <c r="K31" s="28">
        <v>2017</v>
      </c>
      <c r="L31" s="28">
        <v>2017</v>
      </c>
      <c r="M31" s="28">
        <v>2017</v>
      </c>
      <c r="N31" s="28">
        <v>2017</v>
      </c>
      <c r="O31" s="28">
        <v>2016</v>
      </c>
      <c r="P31" s="28">
        <v>2016</v>
      </c>
      <c r="Q31" s="28">
        <v>2016</v>
      </c>
      <c r="R31" s="28">
        <v>2016</v>
      </c>
      <c r="T31" s="239"/>
      <c r="U31" s="239"/>
    </row>
    <row r="32" spans="2:34" ht="14.25" customHeight="1">
      <c r="B32" s="49" t="s">
        <v>35</v>
      </c>
      <c r="C32" s="356"/>
      <c r="D32" s="50"/>
      <c r="E32" s="50"/>
      <c r="F32" s="50"/>
      <c r="G32" s="50"/>
      <c r="H32" s="50"/>
      <c r="I32" s="50"/>
      <c r="J32" s="50"/>
      <c r="K32" s="50"/>
      <c r="L32" s="50"/>
      <c r="M32" s="50"/>
      <c r="N32" s="50"/>
      <c r="O32" s="50"/>
      <c r="P32" s="50"/>
      <c r="Q32" s="50"/>
      <c r="R32" s="50"/>
      <c r="T32" s="239"/>
      <c r="U32" s="239"/>
    </row>
    <row r="33" spans="2:29" ht="14.25" customHeight="1">
      <c r="B33" s="51" t="s">
        <v>46</v>
      </c>
      <c r="C33" s="159">
        <v>7.3290211125240062E-2</v>
      </c>
      <c r="D33" s="52">
        <v>0.10703313978547846</v>
      </c>
      <c r="E33" s="52">
        <v>0.12832723401509039</v>
      </c>
      <c r="F33" s="52">
        <v>0.21203709711880703</v>
      </c>
      <c r="G33" s="52">
        <v>9.0811885264778805E-2</v>
      </c>
      <c r="H33" s="52">
        <v>0.10774679608251708</v>
      </c>
      <c r="I33" s="52">
        <v>0.1292459749133735</v>
      </c>
      <c r="J33" s="52">
        <v>9.9000000000000005E-2</v>
      </c>
      <c r="K33" s="52">
        <v>0.104</v>
      </c>
      <c r="L33" s="52">
        <v>0.11963768594542483</v>
      </c>
      <c r="M33" s="52">
        <v>8.9898277387968142E-2</v>
      </c>
      <c r="N33" s="52">
        <v>9.2999999999999999E-2</v>
      </c>
      <c r="O33" s="52">
        <v>9.6000000000000002E-2</v>
      </c>
      <c r="P33" s="52">
        <v>0.153</v>
      </c>
      <c r="Q33" s="52">
        <v>9.1999999999999998E-2</v>
      </c>
      <c r="R33" s="52">
        <v>7.6999999999999999E-2</v>
      </c>
      <c r="T33" s="239"/>
      <c r="U33" s="239"/>
    </row>
    <row r="34" spans="2:29" ht="14.25" customHeight="1">
      <c r="B34" s="51" t="s">
        <v>47</v>
      </c>
      <c r="C34" s="160">
        <v>1.7087571255849886E-2</v>
      </c>
      <c r="D34" s="53">
        <v>1.6445913599537627E-2</v>
      </c>
      <c r="E34" s="53">
        <v>1.6208759270006506E-2</v>
      </c>
      <c r="F34" s="53">
        <v>1.649204876408205E-2</v>
      </c>
      <c r="G34" s="53">
        <v>1.7643891844965856E-2</v>
      </c>
      <c r="H34" s="53">
        <v>1.725437806675021E-2</v>
      </c>
      <c r="I34" s="53">
        <v>1.7546095743363091E-2</v>
      </c>
      <c r="J34" s="53">
        <v>1.8100000000000002E-2</v>
      </c>
      <c r="K34" s="53">
        <v>1.8499999999999999E-2</v>
      </c>
      <c r="L34" s="53">
        <v>1.8482305724621995E-2</v>
      </c>
      <c r="M34" s="53">
        <v>1.8816458079217023E-2</v>
      </c>
      <c r="N34" s="53">
        <v>1.8514002321617137E-2</v>
      </c>
      <c r="O34" s="53">
        <v>1.7871202954242278E-2</v>
      </c>
      <c r="P34" s="53">
        <v>1.7531074385281023E-2</v>
      </c>
      <c r="Q34" s="53">
        <v>1.5269661810367211E-2</v>
      </c>
      <c r="R34" s="53">
        <v>2.085552428517521E-2</v>
      </c>
      <c r="T34" s="239"/>
      <c r="U34" s="239"/>
    </row>
    <row r="35" spans="2:29" ht="14.25" customHeight="1">
      <c r="B35" s="51" t="s">
        <v>48</v>
      </c>
      <c r="C35" s="159">
        <v>0.52746242749651939</v>
      </c>
      <c r="D35" s="52">
        <v>0.45406453985831935</v>
      </c>
      <c r="E35" s="52">
        <v>0.4522640285694251</v>
      </c>
      <c r="F35" s="52">
        <v>0.38842853355704376</v>
      </c>
      <c r="G35" s="52">
        <v>0.58558323526902667</v>
      </c>
      <c r="H35" s="52">
        <v>0.49160560668880687</v>
      </c>
      <c r="I35" s="52">
        <v>0.4764039777931286</v>
      </c>
      <c r="J35" s="52">
        <v>0.51967592592592593</v>
      </c>
      <c r="K35" s="52">
        <v>0.57399999999999995</v>
      </c>
      <c r="L35" s="52">
        <v>0.46874258094775179</v>
      </c>
      <c r="M35" s="52">
        <v>0.56834671267374404</v>
      </c>
      <c r="N35" s="52">
        <v>0.56606069235100342</v>
      </c>
      <c r="O35" s="52">
        <v>0.58578992165698129</v>
      </c>
      <c r="P35" s="52">
        <v>0.26583850931677017</v>
      </c>
      <c r="Q35" s="52">
        <v>0.45550474850510025</v>
      </c>
      <c r="R35" s="52">
        <v>0.5448158444861102</v>
      </c>
      <c r="T35" s="239"/>
      <c r="U35" s="239"/>
    </row>
    <row r="36" spans="2:29" ht="14.25" customHeight="1">
      <c r="B36" s="54" t="s">
        <v>376</v>
      </c>
      <c r="C36" s="161"/>
      <c r="D36" s="55"/>
      <c r="E36" s="55"/>
      <c r="F36" s="55"/>
      <c r="G36" s="55"/>
      <c r="H36" s="55"/>
      <c r="I36" s="55"/>
      <c r="J36" s="55"/>
      <c r="K36" s="55"/>
      <c r="L36" s="55"/>
      <c r="M36" s="55"/>
      <c r="N36" s="55"/>
      <c r="O36" s="55"/>
      <c r="P36" s="55"/>
      <c r="Q36" s="55"/>
      <c r="R36" s="55"/>
      <c r="T36" s="239"/>
      <c r="U36" s="239"/>
    </row>
    <row r="37" spans="2:29" ht="14.25" customHeight="1">
      <c r="B37" s="29" t="s">
        <v>36</v>
      </c>
      <c r="C37" s="149">
        <v>107035.45492119202</v>
      </c>
      <c r="D37" s="30">
        <v>104037.30788707999</v>
      </c>
      <c r="E37" s="30">
        <v>101668.24776078029</v>
      </c>
      <c r="F37" s="30">
        <v>98744.151407699988</v>
      </c>
      <c r="G37" s="30">
        <v>98940.269777329799</v>
      </c>
      <c r="H37" s="30">
        <v>98258.985487460028</v>
      </c>
      <c r="I37" s="30">
        <v>96039.576516000001</v>
      </c>
      <c r="J37" s="30">
        <v>92817.744119980198</v>
      </c>
      <c r="K37" s="30">
        <v>90460</v>
      </c>
      <c r="L37" s="56">
        <v>88945.039514610005</v>
      </c>
      <c r="M37" s="56">
        <v>87527.837190519887</v>
      </c>
      <c r="N37" s="56">
        <v>84901.425799999997</v>
      </c>
      <c r="O37" s="56">
        <v>82944.802144999994</v>
      </c>
      <c r="P37" s="56">
        <v>81336</v>
      </c>
      <c r="Q37" s="56">
        <v>79286</v>
      </c>
      <c r="R37" s="56">
        <v>44308</v>
      </c>
      <c r="T37" s="239"/>
      <c r="U37" s="239"/>
      <c r="V37" s="239"/>
      <c r="W37" s="239"/>
      <c r="X37" s="239"/>
      <c r="Y37" s="239"/>
      <c r="Z37" s="239"/>
      <c r="AA37" s="239"/>
      <c r="AB37" s="239"/>
      <c r="AC37" s="239"/>
    </row>
    <row r="38" spans="2:29" ht="14.25" customHeight="1">
      <c r="B38" s="29" t="s">
        <v>49</v>
      </c>
      <c r="C38" s="149">
        <v>150688.15955793203</v>
      </c>
      <c r="D38" s="30">
        <v>147309.94290146002</v>
      </c>
      <c r="E38" s="30">
        <v>144336.62376078026</v>
      </c>
      <c r="F38" s="30">
        <v>141078.62044130999</v>
      </c>
      <c r="G38" s="30">
        <v>140165.15885532982</v>
      </c>
      <c r="H38" s="30">
        <v>138152.57848746004</v>
      </c>
      <c r="I38" s="30">
        <v>135494.81651599999</v>
      </c>
      <c r="J38" s="30">
        <v>132432.8281199802</v>
      </c>
      <c r="K38" s="30">
        <v>129535</v>
      </c>
      <c r="L38" s="56">
        <v>126919.03735160999</v>
      </c>
      <c r="M38" s="56">
        <v>124393.18279451989</v>
      </c>
      <c r="N38" s="56">
        <v>121701.41232999999</v>
      </c>
      <c r="O38" s="56">
        <v>119450.07671999998</v>
      </c>
      <c r="P38" s="56">
        <v>117625</v>
      </c>
      <c r="Q38" s="56">
        <v>115224</v>
      </c>
      <c r="R38" s="56">
        <v>62156</v>
      </c>
      <c r="T38" s="239"/>
      <c r="U38" s="239"/>
      <c r="V38" s="239"/>
      <c r="W38" s="239"/>
      <c r="X38" s="239"/>
      <c r="Y38" s="239"/>
      <c r="Z38" s="239"/>
      <c r="AA38" s="239"/>
      <c r="AB38" s="239"/>
      <c r="AC38" s="239"/>
    </row>
    <row r="39" spans="2:29" ht="14.25" customHeight="1">
      <c r="B39" s="29" t="s">
        <v>50</v>
      </c>
      <c r="C39" s="162">
        <v>8.1818911168130615E-2</v>
      </c>
      <c r="D39" s="57">
        <v>5.8807063506241937E-2</v>
      </c>
      <c r="E39" s="57">
        <v>5.860819240917424E-2</v>
      </c>
      <c r="F39" s="57">
        <v>6.3849938865774003E-2</v>
      </c>
      <c r="G39" s="57">
        <v>9.3744280600519717E-2</v>
      </c>
      <c r="H39" s="57">
        <v>0.10471574383099942</v>
      </c>
      <c r="I39" s="57">
        <v>9.7246083059870439E-2</v>
      </c>
      <c r="J39" s="57">
        <v>9.2999999999999999E-2</v>
      </c>
      <c r="K39" s="57">
        <v>9.0999999999999998E-2</v>
      </c>
      <c r="L39" s="58">
        <v>9.3550697287916859E-2</v>
      </c>
      <c r="M39" s="58">
        <v>0.10395072510304325</v>
      </c>
      <c r="N39" s="58">
        <v>0.91618632962816671</v>
      </c>
      <c r="O39" s="58">
        <v>0.8946184016550337</v>
      </c>
      <c r="P39" s="58">
        <v>0.90100000000000002</v>
      </c>
      <c r="Q39" s="58">
        <v>0.88400000000000001</v>
      </c>
      <c r="R39" s="58">
        <v>9.4E-2</v>
      </c>
      <c r="T39" s="239"/>
      <c r="U39" s="239"/>
      <c r="V39" s="239"/>
      <c r="W39" s="239"/>
      <c r="X39" s="239"/>
      <c r="Y39" s="239"/>
      <c r="Z39" s="239"/>
      <c r="AA39" s="239"/>
      <c r="AB39" s="239"/>
      <c r="AC39" s="239"/>
    </row>
    <row r="40" spans="2:29" ht="14.25" customHeight="1">
      <c r="B40" s="29" t="s">
        <v>51</v>
      </c>
      <c r="C40" s="162">
        <v>7.5075723443251863E-2</v>
      </c>
      <c r="D40" s="57">
        <v>6.6284426351341574E-2</v>
      </c>
      <c r="E40" s="57">
        <v>6.5279530717618911E-2</v>
      </c>
      <c r="F40" s="57">
        <v>6.5284359203572701E-2</v>
      </c>
      <c r="G40" s="57">
        <v>8.206336534118619E-2</v>
      </c>
      <c r="H40" s="57">
        <v>8.850818467763745E-2</v>
      </c>
      <c r="I40" s="57">
        <v>8.9246319388888426E-2</v>
      </c>
      <c r="J40" s="57">
        <v>8.7999999999999995E-2</v>
      </c>
      <c r="K40" s="57">
        <v>8.4000000000000005E-2</v>
      </c>
      <c r="L40" s="58">
        <v>7.9014132638554668E-2</v>
      </c>
      <c r="M40" s="58">
        <v>7.9577022100603079E-2</v>
      </c>
      <c r="N40" s="58">
        <v>0.95798997575466982</v>
      </c>
      <c r="O40" s="58">
        <v>0.95371404514229607</v>
      </c>
      <c r="P40" s="58">
        <v>0.999</v>
      </c>
      <c r="Q40" s="58">
        <v>0.98699999999999999</v>
      </c>
      <c r="R40" s="58">
        <v>9.8000000000000004E-2</v>
      </c>
      <c r="T40" s="239"/>
      <c r="U40" s="239"/>
      <c r="V40" s="239"/>
      <c r="W40" s="239"/>
      <c r="X40" s="239"/>
      <c r="Y40" s="239"/>
      <c r="Z40" s="239"/>
      <c r="AA40" s="239"/>
      <c r="AB40" s="239"/>
      <c r="AC40" s="239"/>
    </row>
    <row r="41" spans="2:29" ht="14.25" customHeight="1">
      <c r="B41" s="29" t="s">
        <v>377</v>
      </c>
      <c r="C41" s="162">
        <v>2.8817998994804528E-2</v>
      </c>
      <c r="D41" s="57">
        <v>2.330186836576531E-2</v>
      </c>
      <c r="E41" s="57">
        <v>2.9612856168130364E-2</v>
      </c>
      <c r="F41" s="57">
        <v>-1.9821895581160209E-3</v>
      </c>
      <c r="G41" s="57">
        <v>6.9335571346471614E-3</v>
      </c>
      <c r="H41" s="57">
        <v>2.31093165127636E-2</v>
      </c>
      <c r="I41" s="57">
        <v>3.4711384407868362E-2</v>
      </c>
      <c r="J41" s="57">
        <v>2.6063941189257145E-2</v>
      </c>
      <c r="K41" s="57">
        <v>1.7032546094278178E-2</v>
      </c>
      <c r="L41" s="58">
        <v>1.6191446853705882E-2</v>
      </c>
      <c r="M41" s="58">
        <v>3.0934832551656521E-2</v>
      </c>
      <c r="N41" s="58">
        <v>2.3589466782734991E-2</v>
      </c>
      <c r="O41" s="58">
        <v>1.9779705726861385E-2</v>
      </c>
      <c r="P41" s="58">
        <v>2.5855762681936234E-2</v>
      </c>
      <c r="Q41" s="58">
        <v>0.78942854563509979</v>
      </c>
      <c r="R41" s="58"/>
      <c r="T41" s="239"/>
      <c r="U41" s="239"/>
      <c r="V41" s="239"/>
      <c r="W41" s="239"/>
      <c r="X41" s="239"/>
      <c r="Y41" s="239"/>
      <c r="Z41" s="239"/>
      <c r="AA41" s="239"/>
      <c r="AB41" s="239"/>
      <c r="AC41" s="239"/>
    </row>
    <row r="42" spans="2:29" ht="14.25" customHeight="1">
      <c r="B42" s="29" t="s">
        <v>378</v>
      </c>
      <c r="C42" s="162">
        <v>2.293271309413103E-2</v>
      </c>
      <c r="D42" s="57">
        <v>2.059989393688233E-2</v>
      </c>
      <c r="E42" s="57">
        <v>2.309352975864698E-2</v>
      </c>
      <c r="F42" s="57">
        <v>6.5170374252776497E-3</v>
      </c>
      <c r="G42" s="57">
        <v>1.4567808939248028E-2</v>
      </c>
      <c r="H42" s="57">
        <v>1.9615229864872408E-2</v>
      </c>
      <c r="I42" s="57">
        <v>2.3121067785743632E-2</v>
      </c>
      <c r="J42" s="57">
        <v>2.2371004901997171E-2</v>
      </c>
      <c r="K42" s="57">
        <v>2.0611270798902126E-2</v>
      </c>
      <c r="L42" s="58">
        <v>2.0305409833129451E-2</v>
      </c>
      <c r="M42" s="58">
        <v>2.2117824378414142E-2</v>
      </c>
      <c r="N42" s="58">
        <v>1.8847502419586659E-2</v>
      </c>
      <c r="O42" s="58">
        <v>1.551606138150885E-2</v>
      </c>
      <c r="P42" s="58">
        <v>2.0837672707074928E-2</v>
      </c>
      <c r="Q42" s="58">
        <v>0.85378724499646053</v>
      </c>
      <c r="R42" s="58"/>
      <c r="T42" s="239"/>
      <c r="U42" s="239"/>
      <c r="V42" s="239"/>
      <c r="W42" s="239"/>
      <c r="X42" s="239"/>
      <c r="Y42" s="239"/>
      <c r="Z42" s="239"/>
      <c r="AA42" s="239"/>
      <c r="AB42" s="239"/>
      <c r="AC42" s="239"/>
    </row>
    <row r="43" spans="2:29" ht="14.25" customHeight="1">
      <c r="B43" s="29" t="s">
        <v>37</v>
      </c>
      <c r="C43" s="149">
        <v>78493.732629149992</v>
      </c>
      <c r="D43" s="30">
        <v>76866.417997609999</v>
      </c>
      <c r="E43" s="30">
        <v>77352.269637999998</v>
      </c>
      <c r="F43" s="30">
        <v>72377.261180020068</v>
      </c>
      <c r="G43" s="30">
        <v>71496.705265899989</v>
      </c>
      <c r="H43" s="30">
        <v>70251.127166959704</v>
      </c>
      <c r="I43" s="30">
        <v>70644.658796999996</v>
      </c>
      <c r="J43" s="30">
        <v>66109.582498999996</v>
      </c>
      <c r="K43" s="30">
        <v>65985</v>
      </c>
      <c r="L43" s="56">
        <v>65267.820076999997</v>
      </c>
      <c r="M43" s="56">
        <v>66652.514345999996</v>
      </c>
      <c r="N43" s="56">
        <v>62781.777000000002</v>
      </c>
      <c r="O43" s="56">
        <v>63070.315360000001</v>
      </c>
      <c r="P43" s="56">
        <v>62107</v>
      </c>
      <c r="Q43" s="56">
        <v>62637</v>
      </c>
      <c r="R43" s="56">
        <v>33675</v>
      </c>
      <c r="T43" s="239"/>
      <c r="U43" s="239"/>
      <c r="V43" s="239"/>
      <c r="W43" s="239"/>
      <c r="X43" s="239"/>
      <c r="Y43" s="239"/>
      <c r="Z43" s="239"/>
      <c r="AA43" s="239"/>
      <c r="AB43" s="239"/>
      <c r="AC43" s="239"/>
    </row>
    <row r="44" spans="2:29" ht="14.25" customHeight="1">
      <c r="B44" s="29" t="s">
        <v>52</v>
      </c>
      <c r="C44" s="162">
        <v>0.7333432897252905</v>
      </c>
      <c r="D44" s="57">
        <v>0.73883513096128228</v>
      </c>
      <c r="E44" s="57">
        <v>0.76083016420235328</v>
      </c>
      <c r="F44" s="57">
        <v>0.73297770195203837</v>
      </c>
      <c r="G44" s="57">
        <v>0.72262492741132633</v>
      </c>
      <c r="H44" s="57">
        <v>0.71495880828044234</v>
      </c>
      <c r="I44" s="57">
        <v>0.71225155411603103</v>
      </c>
      <c r="J44" s="57">
        <v>0.71225155411603103</v>
      </c>
      <c r="K44" s="57">
        <v>0.72899999999999998</v>
      </c>
      <c r="L44" s="58">
        <v>0.73379943876779308</v>
      </c>
      <c r="M44" s="58">
        <v>0.76150075776371529</v>
      </c>
      <c r="N44" s="58">
        <v>0.73946669809637056</v>
      </c>
      <c r="O44" s="58">
        <v>0.7603890024325286</v>
      </c>
      <c r="P44" s="58">
        <v>0.76400000000000001</v>
      </c>
      <c r="Q44" s="58">
        <v>0.79</v>
      </c>
      <c r="R44" s="58">
        <v>0.76</v>
      </c>
      <c r="T44" s="239"/>
      <c r="U44" s="239"/>
      <c r="V44" s="239"/>
      <c r="W44" s="239"/>
      <c r="X44" s="239"/>
      <c r="Y44" s="239"/>
      <c r="Z44" s="239"/>
      <c r="AA44" s="239"/>
      <c r="AB44" s="239"/>
      <c r="AC44" s="239"/>
    </row>
    <row r="45" spans="2:29" ht="14.25" customHeight="1">
      <c r="B45" s="29" t="s">
        <v>155</v>
      </c>
      <c r="C45" s="162">
        <v>0.52090179387301561</v>
      </c>
      <c r="D45" s="57">
        <v>0.52180060954221008</v>
      </c>
      <c r="E45" s="57">
        <v>0.53591574766361183</v>
      </c>
      <c r="F45" s="57">
        <v>0.51302784896546161</v>
      </c>
      <c r="G45" s="57">
        <v>0.51008899679338038</v>
      </c>
      <c r="H45" s="57">
        <v>0.50850391600426281</v>
      </c>
      <c r="I45" s="57">
        <v>0.52138274078298685</v>
      </c>
      <c r="J45" s="57">
        <v>0.49919331511297699</v>
      </c>
      <c r="K45" s="57">
        <v>0.50939900413015782</v>
      </c>
      <c r="L45" s="58">
        <v>0.51424767662068993</v>
      </c>
      <c r="M45" s="58">
        <v>0.53582127933892176</v>
      </c>
      <c r="N45" s="58">
        <v>0.51586728369070856</v>
      </c>
      <c r="O45" s="58">
        <v>0.52800564965597796</v>
      </c>
      <c r="P45" s="58">
        <v>0.52800850159404888</v>
      </c>
      <c r="Q45" s="58">
        <v>0.54361070610289519</v>
      </c>
      <c r="R45" s="58">
        <v>0.5417819679516056</v>
      </c>
      <c r="T45" s="239"/>
      <c r="U45" s="239"/>
      <c r="V45" s="239"/>
      <c r="W45" s="239"/>
      <c r="X45" s="239"/>
      <c r="Y45" s="239"/>
      <c r="Z45" s="239"/>
      <c r="AA45" s="239"/>
      <c r="AB45" s="239"/>
      <c r="AC45" s="239"/>
    </row>
    <row r="46" spans="2:29" ht="14.25" customHeight="1">
      <c r="B46" s="29" t="s">
        <v>38</v>
      </c>
      <c r="C46" s="162">
        <v>9.7865032202920282E-2</v>
      </c>
      <c r="D46" s="57">
        <v>9.4166330099278148E-2</v>
      </c>
      <c r="E46" s="57">
        <v>9.4949105780718204E-2</v>
      </c>
      <c r="F46" s="57">
        <v>9.4807415870685308E-2</v>
      </c>
      <c r="G46" s="57">
        <v>8.352268377296107E-2</v>
      </c>
      <c r="H46" s="57">
        <v>7.6348086683503888E-2</v>
      </c>
      <c r="I46" s="57">
        <v>5.9894881538547391E-2</v>
      </c>
      <c r="J46" s="57">
        <v>5.2999999999999999E-2</v>
      </c>
      <c r="K46" s="57">
        <v>4.5999999999999999E-2</v>
      </c>
      <c r="L46" s="58">
        <v>5.0893137279211631E-2</v>
      </c>
      <c r="M46" s="58">
        <v>6.4107705445663049E-2</v>
      </c>
      <c r="N46" s="58">
        <v>0.86437146802476661</v>
      </c>
      <c r="O46" s="58">
        <v>0.8850480707270566</v>
      </c>
      <c r="P46" s="58">
        <v>0.879</v>
      </c>
      <c r="Q46" s="58">
        <v>0.88600000000000001</v>
      </c>
      <c r="R46" s="58">
        <v>8.4000000000000005E-2</v>
      </c>
      <c r="T46" s="239"/>
      <c r="U46" s="239"/>
      <c r="V46" s="239"/>
      <c r="W46" s="239"/>
      <c r="X46" s="239"/>
      <c r="Y46" s="239"/>
      <c r="Z46" s="239"/>
      <c r="AA46" s="239"/>
      <c r="AB46" s="239"/>
      <c r="AC46" s="239"/>
    </row>
    <row r="47" spans="2:29" ht="14.25" customHeight="1">
      <c r="B47" s="29" t="s">
        <v>379</v>
      </c>
      <c r="C47" s="162">
        <v>2.1170683816573721E-2</v>
      </c>
      <c r="D47" s="57">
        <v>-6.2810263055463889E-3</v>
      </c>
      <c r="E47" s="57">
        <v>6.8737174864987649E-2</v>
      </c>
      <c r="F47" s="57">
        <v>1.2316034855665681E-2</v>
      </c>
      <c r="G47" s="57">
        <v>1.773036461009414E-2</v>
      </c>
      <c r="H47" s="57">
        <v>-5.5705786784407962E-3</v>
      </c>
      <c r="I47" s="57">
        <v>6.8599378888356988E-2</v>
      </c>
      <c r="J47" s="57">
        <v>1.8880427218306295E-3</v>
      </c>
      <c r="K47" s="57">
        <v>1.098826224246352E-2</v>
      </c>
      <c r="L47" s="58">
        <v>-2.0774824214611187E-2</v>
      </c>
      <c r="M47" s="58">
        <v>6.1653835411507929E-2</v>
      </c>
      <c r="N47" s="58">
        <v>-4.5748678812377319E-3</v>
      </c>
      <c r="O47" s="58">
        <v>1.5510576263545239E-2</v>
      </c>
      <c r="P47" s="58">
        <v>-8.4614524961285076E-3</v>
      </c>
      <c r="Q47" s="58">
        <v>0.86004454342984404</v>
      </c>
      <c r="R47" s="58"/>
      <c r="T47" s="239"/>
      <c r="U47" s="239"/>
      <c r="V47" s="239"/>
      <c r="W47" s="239"/>
      <c r="X47" s="239"/>
      <c r="Y47" s="239"/>
      <c r="Z47" s="239"/>
      <c r="AA47" s="239"/>
      <c r="AB47" s="239"/>
      <c r="AC47" s="239"/>
    </row>
    <row r="48" spans="2:29" ht="14.25" customHeight="1">
      <c r="B48" s="29" t="s">
        <v>39</v>
      </c>
      <c r="C48" s="149">
        <v>135675.52944625507</v>
      </c>
      <c r="D48" s="30">
        <v>133711.11239318002</v>
      </c>
      <c r="E48" s="30">
        <v>128572.82625616502</v>
      </c>
      <c r="F48" s="30">
        <v>124881.55941526202</v>
      </c>
      <c r="G48" s="30">
        <v>122395.22782376701</v>
      </c>
      <c r="H48" s="30">
        <v>120455.378623</v>
      </c>
      <c r="I48" s="30">
        <v>116840.040167</v>
      </c>
      <c r="J48" s="30">
        <v>111204.767137</v>
      </c>
      <c r="K48" s="30">
        <v>107316</v>
      </c>
      <c r="L48" s="56">
        <v>106981.69634299999</v>
      </c>
      <c r="M48" s="56">
        <v>104756.56682800001</v>
      </c>
      <c r="N48" s="56">
        <v>101749</v>
      </c>
      <c r="O48" s="56">
        <v>100678.74</v>
      </c>
      <c r="P48" s="56">
        <v>100301.4</v>
      </c>
      <c r="Q48" s="56">
        <v>79019</v>
      </c>
      <c r="R48" s="56">
        <v>56577.440000000002</v>
      </c>
      <c r="T48" s="239"/>
      <c r="U48" s="239"/>
      <c r="V48" s="239"/>
      <c r="W48" s="239"/>
      <c r="X48" s="239"/>
      <c r="Y48" s="239"/>
      <c r="Z48" s="239"/>
      <c r="AA48" s="239"/>
      <c r="AB48" s="239"/>
      <c r="AC48" s="239"/>
    </row>
    <row r="49" spans="1:29" ht="14.25" customHeight="1">
      <c r="B49" s="29" t="s">
        <v>1</v>
      </c>
      <c r="C49" s="149">
        <v>134782.94005149015</v>
      </c>
      <c r="D49" s="30">
        <v>136568.11884102001</v>
      </c>
      <c r="E49" s="30">
        <v>130854.10594534002</v>
      </c>
      <c r="F49" s="30">
        <v>126291.54656699001</v>
      </c>
      <c r="G49" s="30">
        <v>123471.57226353404</v>
      </c>
      <c r="H49" s="30">
        <v>121318.88338399999</v>
      </c>
      <c r="I49" s="30">
        <v>119591.872598</v>
      </c>
      <c r="J49" s="30">
        <v>114088.20773600001</v>
      </c>
      <c r="K49" s="30">
        <v>108321</v>
      </c>
      <c r="L49" s="56">
        <v>106311.634504</v>
      </c>
      <c r="M49" s="56">
        <v>107652.02759400001</v>
      </c>
      <c r="N49" s="56">
        <v>101861.10500000003</v>
      </c>
      <c r="O49" s="56">
        <v>101639.928</v>
      </c>
      <c r="P49" s="56">
        <v>99720</v>
      </c>
      <c r="Q49" s="56">
        <v>100883</v>
      </c>
      <c r="R49" s="56">
        <v>57185</v>
      </c>
      <c r="T49" s="239"/>
      <c r="U49" s="239"/>
      <c r="V49" s="239"/>
      <c r="W49" s="239"/>
      <c r="X49" s="239"/>
      <c r="Y49" s="239"/>
      <c r="Z49" s="239"/>
      <c r="AA49" s="239"/>
      <c r="AB49" s="239"/>
      <c r="AC49" s="239"/>
    </row>
    <row r="50" spans="1:29" ht="14.25" customHeight="1">
      <c r="B50" s="59" t="s">
        <v>53</v>
      </c>
      <c r="C50" s="149">
        <v>178435.64468823015</v>
      </c>
      <c r="D50" s="30">
        <v>179840.75385540002</v>
      </c>
      <c r="E50" s="30">
        <v>173522.48194534</v>
      </c>
      <c r="F50" s="30">
        <v>168626.01560060002</v>
      </c>
      <c r="G50" s="30">
        <v>164696.46134153404</v>
      </c>
      <c r="H50" s="30">
        <v>161212.47638400001</v>
      </c>
      <c r="I50" s="30">
        <v>159047.11259800001</v>
      </c>
      <c r="J50" s="30">
        <v>153703</v>
      </c>
      <c r="K50" s="30">
        <v>147396</v>
      </c>
      <c r="L50" s="56">
        <v>144285.63234099999</v>
      </c>
      <c r="M50" s="56">
        <v>144517.37319800002</v>
      </c>
      <c r="N50" s="56">
        <v>138661.09153000003</v>
      </c>
      <c r="O50" s="56">
        <v>138145.202575</v>
      </c>
      <c r="P50" s="56">
        <v>136009</v>
      </c>
      <c r="Q50" s="56">
        <v>136821</v>
      </c>
      <c r="R50" s="56">
        <v>75033</v>
      </c>
      <c r="T50" s="239"/>
      <c r="U50" s="239"/>
      <c r="V50" s="239"/>
      <c r="W50" s="239"/>
      <c r="X50" s="239"/>
      <c r="Y50" s="239"/>
      <c r="Z50" s="239"/>
      <c r="AA50" s="239"/>
      <c r="AB50" s="239"/>
      <c r="AC50" s="239"/>
    </row>
    <row r="51" spans="1:29" ht="14.25" customHeight="1">
      <c r="B51" s="54" t="s">
        <v>40</v>
      </c>
      <c r="C51" s="161"/>
      <c r="D51" s="55"/>
      <c r="E51" s="55"/>
      <c r="F51" s="55"/>
      <c r="G51" s="55"/>
      <c r="H51" s="55"/>
      <c r="I51" s="55"/>
      <c r="J51" s="55"/>
      <c r="K51" s="55"/>
      <c r="L51" s="55"/>
      <c r="M51" s="55"/>
      <c r="N51" s="55"/>
      <c r="O51" s="55"/>
      <c r="P51" s="55"/>
      <c r="Q51" s="55"/>
      <c r="R51" s="55"/>
      <c r="T51" s="239"/>
      <c r="U51" s="239"/>
    </row>
    <row r="52" spans="1:29">
      <c r="B52" s="60" t="s">
        <v>54</v>
      </c>
      <c r="C52" s="163">
        <v>1.2161047789600637E-3</v>
      </c>
      <c r="D52" s="61">
        <v>9.326404113325663E-4</v>
      </c>
      <c r="E52" s="61">
        <v>3.2020943470430961E-4</v>
      </c>
      <c r="F52" s="61">
        <v>-6.7186221750459459E-4</v>
      </c>
      <c r="G52" s="61">
        <v>4.5879667715713644E-4</v>
      </c>
      <c r="H52" s="61">
        <v>4.8168568507325727E-4</v>
      </c>
      <c r="I52" s="61">
        <v>9.5789346750926868E-5</v>
      </c>
      <c r="J52" s="61">
        <v>2.184687633817716E-4</v>
      </c>
      <c r="K52" s="61">
        <v>-1E-3</v>
      </c>
      <c r="L52" s="62">
        <v>6.4676460584925388E-4</v>
      </c>
      <c r="M52" s="62">
        <v>2.4003537282928076E-4</v>
      </c>
      <c r="N52" s="62">
        <v>-1.249558258629124E-3</v>
      </c>
      <c r="O52" s="62">
        <v>2.0428415177094279E-3</v>
      </c>
      <c r="P52" s="62">
        <v>1.4673431947348839E-4</v>
      </c>
      <c r="Q52" s="62">
        <v>1.0246948521044831E-3</v>
      </c>
      <c r="R52" s="62">
        <v>8.0788129447513751E-4</v>
      </c>
      <c r="T52" s="239"/>
      <c r="U52" s="239"/>
    </row>
    <row r="53" spans="1:29" hidden="1">
      <c r="B53" s="63" t="s">
        <v>55</v>
      </c>
      <c r="C53" s="163">
        <v>3.801424147723598E-3</v>
      </c>
      <c r="D53" s="61">
        <v>2.9439780807518972E-3</v>
      </c>
      <c r="E53" s="61">
        <v>3.3592002175899297E-3</v>
      </c>
      <c r="F53" s="61">
        <v>3.117075751951812E-3</v>
      </c>
      <c r="G53" s="61">
        <v>3.175549376478356E-3</v>
      </c>
      <c r="H53" s="61">
        <v>3.570966993596528E-3</v>
      </c>
      <c r="I53" s="61">
        <v>3.2658333405681636E-3</v>
      </c>
      <c r="J53" s="61">
        <v>2E-3</v>
      </c>
      <c r="K53" s="61">
        <v>3.0000000000000001E-3</v>
      </c>
      <c r="L53" s="62">
        <v>3.193265093590142E-3</v>
      </c>
      <c r="M53" s="62">
        <v>2.9952836477535592E-3</v>
      </c>
      <c r="N53" s="62">
        <v>2.6147970768236497E-3</v>
      </c>
      <c r="O53" s="62">
        <v>2.6764787456109739E-3</v>
      </c>
      <c r="P53" s="62">
        <v>4.1310120979640014E-3</v>
      </c>
      <c r="Q53" s="62">
        <v>6.3842303626377578E-2</v>
      </c>
      <c r="R53" s="62">
        <v>5.8680148054527396E-3</v>
      </c>
      <c r="T53" s="239"/>
      <c r="U53" s="239"/>
    </row>
    <row r="54" spans="1:29" hidden="1">
      <c r="B54" s="63" t="s">
        <v>56</v>
      </c>
      <c r="C54" s="162">
        <v>7.8301499313202178E-4</v>
      </c>
      <c r="D54" s="57">
        <v>9.4893067693709704E-4</v>
      </c>
      <c r="E54" s="57">
        <v>1.0424001823004041E-3</v>
      </c>
      <c r="F54" s="57">
        <v>1.1255046341036622E-3</v>
      </c>
      <c r="G54" s="57">
        <v>1.3541549997946232E-3</v>
      </c>
      <c r="H54" s="57">
        <v>1.5393923542931752E-3</v>
      </c>
      <c r="I54" s="57">
        <v>2.2705061174824307E-3</v>
      </c>
      <c r="J54" s="57">
        <v>3.0000000000000001E-3</v>
      </c>
      <c r="K54" s="57">
        <v>3.0000000000000001E-3</v>
      </c>
      <c r="L54" s="58">
        <v>2.8134463870679999E-3</v>
      </c>
      <c r="M54" s="58">
        <v>2.9986383123885461E-3</v>
      </c>
      <c r="N54" s="58">
        <v>2.9917047635730047E-3</v>
      </c>
      <c r="O54" s="58">
        <v>3.0622774837170603E-3</v>
      </c>
      <c r="P54" s="58">
        <v>2.7417133864463461E-3</v>
      </c>
      <c r="Q54" s="58">
        <v>4.6112280775743083E-3</v>
      </c>
      <c r="R54" s="58">
        <v>4.9426740092082698E-3</v>
      </c>
      <c r="T54" s="239"/>
      <c r="U54" s="239"/>
    </row>
    <row r="55" spans="1:29" ht="25.5" hidden="1">
      <c r="B55" s="63" t="s">
        <v>57</v>
      </c>
      <c r="C55" s="162">
        <v>3.3749227698987292E-3</v>
      </c>
      <c r="D55" s="57">
        <v>3.1193417206857765E-3</v>
      </c>
      <c r="E55" s="57">
        <v>3.5471153279688652E-3</v>
      </c>
      <c r="F55" s="57">
        <v>3.4852190746880417E-3</v>
      </c>
      <c r="G55" s="57">
        <v>3.5910574005874603E-3</v>
      </c>
      <c r="H55" s="57">
        <v>3.8042782260122722E-3</v>
      </c>
      <c r="I55" s="57">
        <v>4.0297598660852477E-3</v>
      </c>
      <c r="J55" s="57">
        <v>4.0000000000000001E-3</v>
      </c>
      <c r="K55" s="57">
        <v>4.0000000000000001E-3</v>
      </c>
      <c r="L55" s="58">
        <v>4.305206108847711E-3</v>
      </c>
      <c r="M55" s="58">
        <v>4.3304276173872251E-3</v>
      </c>
      <c r="N55" s="58">
        <v>3.8279686935481362E-3</v>
      </c>
      <c r="O55" s="58">
        <v>4.219673698035319E-3</v>
      </c>
      <c r="P55" s="58">
        <v>5.1883544801809775E-3</v>
      </c>
      <c r="Q55" s="58" t="e">
        <v>#REF!</v>
      </c>
      <c r="R55" s="58">
        <v>7.402726369955764E-3</v>
      </c>
      <c r="T55" s="239"/>
      <c r="U55" s="239"/>
    </row>
    <row r="56" spans="1:29" ht="14.25" customHeight="1">
      <c r="B56" s="64" t="s">
        <v>41</v>
      </c>
      <c r="C56" s="164"/>
      <c r="D56" s="65"/>
      <c r="E56" s="65"/>
      <c r="F56" s="65"/>
      <c r="G56" s="65"/>
      <c r="H56" s="65"/>
      <c r="I56" s="65"/>
      <c r="J56" s="65"/>
      <c r="K56" s="65"/>
      <c r="L56" s="65"/>
      <c r="M56" s="65"/>
      <c r="N56" s="65"/>
      <c r="O56" s="65"/>
      <c r="P56" s="65"/>
      <c r="Q56" s="65"/>
      <c r="R56" s="65"/>
      <c r="T56" s="239"/>
      <c r="U56" s="239"/>
    </row>
    <row r="57" spans="1:29" ht="14.25" customHeight="1">
      <c r="B57" s="51" t="s">
        <v>42</v>
      </c>
      <c r="C57" s="163">
        <v>0.17245604062068776</v>
      </c>
      <c r="D57" s="61">
        <v>0.16745151867093996</v>
      </c>
      <c r="E57" s="61">
        <v>0.16683419365963417</v>
      </c>
      <c r="F57" s="61">
        <v>0.16903123341467879</v>
      </c>
      <c r="G57" s="61">
        <v>0.16755392786221213</v>
      </c>
      <c r="H57" s="61">
        <v>0.15853129392997001</v>
      </c>
      <c r="I57" s="61">
        <v>0.16073137456060585</v>
      </c>
      <c r="J57" s="61">
        <v>0.16174675708985606</v>
      </c>
      <c r="K57" s="61">
        <v>0.16800000000000001</v>
      </c>
      <c r="L57" s="62">
        <v>0.16904691016046353</v>
      </c>
      <c r="M57" s="62">
        <v>0.16728993952436366</v>
      </c>
      <c r="N57" s="62">
        <v>0.1671850404112834</v>
      </c>
      <c r="O57" s="62">
        <v>0.16912237515982342</v>
      </c>
      <c r="P57" s="62">
        <v>0.17499999999999999</v>
      </c>
      <c r="Q57" s="62">
        <v>0.16</v>
      </c>
      <c r="R57" s="62">
        <v>0.16900000000000001</v>
      </c>
      <c r="T57" s="239"/>
      <c r="U57" s="239"/>
    </row>
    <row r="58" spans="1:29" ht="14.25" customHeight="1">
      <c r="B58" s="51" t="s">
        <v>43</v>
      </c>
      <c r="C58" s="163">
        <v>0.17860755466420439</v>
      </c>
      <c r="D58" s="61">
        <v>0.17721126030525525</v>
      </c>
      <c r="E58" s="61">
        <v>0.17315969229951719</v>
      </c>
      <c r="F58" s="61">
        <v>0.17488388213557288</v>
      </c>
      <c r="G58" s="61">
        <v>0.17614814863582226</v>
      </c>
      <c r="H58" s="61">
        <v>0.16730043809209208</v>
      </c>
      <c r="I58" s="61">
        <v>0.16920918599169135</v>
      </c>
      <c r="J58" s="61">
        <v>0.17027611418028196</v>
      </c>
      <c r="K58" s="61">
        <v>0.17699999999999999</v>
      </c>
      <c r="L58" s="62">
        <v>0.17823123747045869</v>
      </c>
      <c r="M58" s="62">
        <v>0.17645196408748351</v>
      </c>
      <c r="N58" s="62">
        <v>0.17577394801537041</v>
      </c>
      <c r="O58" s="62">
        <v>0.17905896998433671</v>
      </c>
      <c r="P58" s="62">
        <v>0.183</v>
      </c>
      <c r="Q58" s="62">
        <v>0.16700000000000001</v>
      </c>
      <c r="R58" s="62">
        <v>0.17299999999999999</v>
      </c>
      <c r="T58" s="239"/>
      <c r="U58" s="239"/>
    </row>
    <row r="59" spans="1:29" ht="14.25" customHeight="1">
      <c r="A59" s="68"/>
      <c r="B59" s="51" t="s">
        <v>44</v>
      </c>
      <c r="C59" s="163">
        <v>0.19832292584471245</v>
      </c>
      <c r="D59" s="61">
        <v>0.19704139804878543</v>
      </c>
      <c r="E59" s="61">
        <v>0.19099224797868575</v>
      </c>
      <c r="F59" s="61">
        <v>0.19378931454724868</v>
      </c>
      <c r="G59" s="61">
        <v>0.19563394435957501</v>
      </c>
      <c r="H59" s="61">
        <v>0.18718469017240807</v>
      </c>
      <c r="I59" s="61">
        <v>0.19320302052973704</v>
      </c>
      <c r="J59" s="61">
        <v>0.1943736619626909</v>
      </c>
      <c r="K59" s="61">
        <v>0.20499999999999999</v>
      </c>
      <c r="L59" s="62">
        <v>0.19922772977857001</v>
      </c>
      <c r="M59" s="62">
        <v>0.19899450243251088</v>
      </c>
      <c r="N59" s="62">
        <v>0.192948041099678</v>
      </c>
      <c r="O59" s="62">
        <v>0.20325903515439406</v>
      </c>
      <c r="P59" s="62">
        <v>0.20200000000000001</v>
      </c>
      <c r="Q59" s="62">
        <v>0.186</v>
      </c>
      <c r="R59" s="62">
        <v>0.188</v>
      </c>
      <c r="T59" s="239"/>
      <c r="U59" s="239"/>
    </row>
    <row r="60" spans="1:29" ht="14.25" customHeight="1">
      <c r="A60" s="68"/>
      <c r="B60" s="66" t="s">
        <v>45</v>
      </c>
      <c r="C60" s="156">
        <v>15444.079992212821</v>
      </c>
      <c r="D60" s="41">
        <v>15685.437575662983</v>
      </c>
      <c r="E60" s="41">
        <v>14981.635857309137</v>
      </c>
      <c r="F60" s="41">
        <v>14676.088655760017</v>
      </c>
      <c r="G60" s="41">
        <v>14672.323747520619</v>
      </c>
      <c r="H60" s="41">
        <v>14076.975417950534</v>
      </c>
      <c r="I60" s="41">
        <v>14288.335436423937</v>
      </c>
      <c r="J60" s="41">
        <v>14028</v>
      </c>
      <c r="K60" s="41">
        <v>14138</v>
      </c>
      <c r="L60" s="67">
        <v>13423.270844741101</v>
      </c>
      <c r="M60" s="67">
        <v>13440.194272883036</v>
      </c>
      <c r="N60" s="67">
        <v>12648.510290755101</v>
      </c>
      <c r="O60" s="67">
        <v>12655.881342749999</v>
      </c>
      <c r="P60" s="67">
        <v>9608</v>
      </c>
      <c r="Q60" s="67">
        <v>9305</v>
      </c>
      <c r="R60" s="67">
        <v>7229</v>
      </c>
      <c r="T60" s="239"/>
      <c r="U60" s="239"/>
    </row>
    <row r="61" spans="1:29" s="68" customFormat="1" ht="14.25" customHeight="1">
      <c r="B61" s="69"/>
      <c r="C61" s="70"/>
      <c r="D61" s="70"/>
      <c r="E61" s="70"/>
      <c r="F61" s="70"/>
      <c r="G61" s="70"/>
      <c r="H61" s="70"/>
      <c r="I61" s="70"/>
      <c r="J61" s="70"/>
      <c r="K61" s="70"/>
      <c r="L61" s="70"/>
      <c r="M61" s="70"/>
      <c r="N61" s="70"/>
      <c r="O61" s="70"/>
    </row>
    <row r="62" spans="1:29" s="68" customFormat="1" ht="14.25" customHeight="1">
      <c r="B62" s="248" t="s">
        <v>152</v>
      </c>
      <c r="C62" s="71"/>
      <c r="D62" s="71"/>
      <c r="E62" s="71"/>
      <c r="F62" s="71"/>
      <c r="G62" s="71"/>
      <c r="H62" s="71"/>
      <c r="I62" s="71"/>
      <c r="J62" s="71"/>
      <c r="K62" s="71"/>
      <c r="L62" s="71"/>
      <c r="M62" s="71"/>
      <c r="N62" s="71"/>
      <c r="O62" s="71"/>
    </row>
    <row r="63" spans="1:29" s="68" customFormat="1" ht="14.25" customHeight="1">
      <c r="B63" s="248" t="s">
        <v>153</v>
      </c>
      <c r="C63" s="71"/>
      <c r="D63" s="71"/>
      <c r="E63" s="71"/>
      <c r="F63" s="71"/>
      <c r="G63" s="71"/>
      <c r="H63" s="71"/>
      <c r="I63" s="71"/>
      <c r="J63" s="71"/>
      <c r="K63" s="71"/>
      <c r="L63" s="71"/>
      <c r="M63" s="71"/>
      <c r="N63" s="71"/>
      <c r="O63" s="71"/>
    </row>
    <row r="64" spans="1:29" s="68" customFormat="1" ht="14.25" customHeight="1">
      <c r="B64" s="248" t="s">
        <v>154</v>
      </c>
      <c r="C64" s="70"/>
      <c r="D64" s="70"/>
      <c r="E64" s="70"/>
      <c r="F64" s="70"/>
      <c r="G64" s="70"/>
      <c r="H64" s="70"/>
      <c r="I64" s="70"/>
      <c r="J64" s="70"/>
      <c r="K64" s="70"/>
      <c r="L64" s="70"/>
      <c r="M64" s="70"/>
      <c r="N64" s="70"/>
      <c r="O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4"/>
  <sheetViews>
    <sheetView showGridLines="0" zoomScale="85" zoomScaleNormal="85" workbookViewId="0">
      <selection activeCell="A148" sqref="A148"/>
    </sheetView>
  </sheetViews>
  <sheetFormatPr baseColWidth="10" defaultColWidth="11.42578125" defaultRowHeight="14.25"/>
  <cols>
    <col min="1" max="2" width="4.28515625" style="19" customWidth="1"/>
    <col min="3" max="3" width="67.85546875" style="19" bestFit="1"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136</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78</v>
      </c>
      <c r="D4" s="234" t="s">
        <v>380</v>
      </c>
      <c r="E4" s="235" t="s">
        <v>362</v>
      </c>
      <c r="F4" s="235" t="s">
        <v>359</v>
      </c>
      <c r="G4" s="235" t="s">
        <v>340</v>
      </c>
      <c r="H4" s="235" t="s">
        <v>267</v>
      </c>
    </row>
    <row r="5" spans="1:16" ht="14.25" customHeight="1">
      <c r="A5" s="20"/>
      <c r="B5" s="104"/>
      <c r="C5" s="104" t="s">
        <v>16</v>
      </c>
      <c r="D5" s="165">
        <v>584.3550835399999</v>
      </c>
      <c r="E5" s="105">
        <v>554.26884645999985</v>
      </c>
      <c r="F5" s="105">
        <v>519.57409600000028</v>
      </c>
      <c r="G5" s="105">
        <v>508</v>
      </c>
      <c r="H5" s="105">
        <v>544.31942715000025</v>
      </c>
    </row>
    <row r="6" spans="1:16" ht="14.25" customHeight="1">
      <c r="B6" s="104"/>
      <c r="C6" s="109" t="s">
        <v>73</v>
      </c>
      <c r="D6" s="166">
        <v>82.263999999999996</v>
      </c>
      <c r="E6" s="182">
        <v>83.344999999999999</v>
      </c>
      <c r="F6" s="182">
        <v>82.096999999999994</v>
      </c>
      <c r="G6" s="112">
        <v>84.153999999999996</v>
      </c>
      <c r="H6" s="112">
        <v>88.946337</v>
      </c>
    </row>
    <row r="7" spans="1:16" ht="14.25" customHeight="1">
      <c r="B7" s="104"/>
      <c r="C7" s="110" t="s">
        <v>74</v>
      </c>
      <c r="D7" s="167">
        <v>666.61908353999991</v>
      </c>
      <c r="E7" s="183">
        <v>637.61384645999988</v>
      </c>
      <c r="F7" s="183">
        <v>601.67109600000026</v>
      </c>
      <c r="G7" s="111">
        <v>592.154</v>
      </c>
      <c r="H7" s="111">
        <v>633.26576415000022</v>
      </c>
    </row>
    <row r="8" spans="1:16" ht="15">
      <c r="B8" s="106"/>
      <c r="C8" s="106" t="s">
        <v>75</v>
      </c>
      <c r="D8" s="168">
        <v>1.7087571255849886E-2</v>
      </c>
      <c r="E8" s="184">
        <v>1.6445913599537627E-2</v>
      </c>
      <c r="F8" s="184">
        <v>1.6199999999999999E-2</v>
      </c>
      <c r="G8" s="107">
        <v>1.6500000000000001E-2</v>
      </c>
      <c r="H8" s="107">
        <v>1.7600000000000001E-2</v>
      </c>
    </row>
    <row r="9" spans="1:16" ht="15">
      <c r="B9" s="106"/>
      <c r="C9" s="185"/>
      <c r="D9" s="186">
        <f>H8</f>
        <v>1.7600000000000001E-2</v>
      </c>
      <c r="E9" s="186">
        <f>G8</f>
        <v>1.6500000000000001E-2</v>
      </c>
      <c r="F9" s="186">
        <f>F8</f>
        <v>1.6199999999999999E-2</v>
      </c>
      <c r="G9" s="186">
        <f>E8</f>
        <v>1.6445913599537627E-2</v>
      </c>
      <c r="H9" s="186">
        <f>D8</f>
        <v>1.7087571255849886E-2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137</v>
      </c>
    </row>
    <row r="44" spans="1:10">
      <c r="D44" s="190"/>
      <c r="E44" s="190"/>
      <c r="F44" s="190"/>
      <c r="G44" s="190"/>
      <c r="H44" s="190"/>
    </row>
    <row r="45" spans="1:10">
      <c r="C45" s="108" t="s">
        <v>79</v>
      </c>
      <c r="D45" s="234" t="s">
        <v>380</v>
      </c>
      <c r="E45" s="170" t="s">
        <v>362</v>
      </c>
      <c r="F45" s="170" t="s">
        <v>359</v>
      </c>
      <c r="G45" s="170" t="s">
        <v>340</v>
      </c>
      <c r="H45" s="170" t="s">
        <v>267</v>
      </c>
    </row>
    <row r="46" spans="1:10" ht="15">
      <c r="C46" s="144" t="s">
        <v>73</v>
      </c>
      <c r="D46" s="376">
        <v>82.3</v>
      </c>
      <c r="E46" s="378">
        <v>83.344999999999999</v>
      </c>
      <c r="F46" s="378">
        <v>82.096999999999994</v>
      </c>
      <c r="G46" s="379">
        <v>84.153999999999996</v>
      </c>
      <c r="H46" s="379">
        <v>88.946337</v>
      </c>
      <c r="I46" s="190"/>
      <c r="J46" s="190"/>
    </row>
    <row r="47" spans="1:10" ht="15">
      <c r="C47" s="144" t="s">
        <v>89</v>
      </c>
      <c r="D47" s="376">
        <v>14.8</v>
      </c>
      <c r="E47" s="380">
        <v>15</v>
      </c>
      <c r="F47" s="380">
        <v>16.079999999999998</v>
      </c>
      <c r="G47" s="380">
        <v>14.80790277</v>
      </c>
      <c r="H47" s="380">
        <v>15.971810999999999</v>
      </c>
      <c r="I47" s="190"/>
      <c r="J47" s="190"/>
    </row>
    <row r="48" spans="1:10">
      <c r="C48" s="144" t="s">
        <v>90</v>
      </c>
      <c r="D48" s="377">
        <v>34.4</v>
      </c>
      <c r="E48" s="145">
        <v>38</v>
      </c>
      <c r="F48" s="145">
        <v>27.71</v>
      </c>
      <c r="G48" s="145">
        <v>24.66450884</v>
      </c>
      <c r="H48" s="145">
        <v>30.263821640000003</v>
      </c>
      <c r="I48" s="190"/>
      <c r="J48" s="190"/>
    </row>
    <row r="49" spans="3:10">
      <c r="C49" s="144" t="s">
        <v>91</v>
      </c>
      <c r="D49" s="171">
        <v>49.1</v>
      </c>
      <c r="E49" s="145">
        <v>51</v>
      </c>
      <c r="F49" s="145">
        <v>52.19</v>
      </c>
      <c r="G49" s="145">
        <v>48.808728039999998</v>
      </c>
      <c r="H49" s="145">
        <v>49.714386750000003</v>
      </c>
      <c r="I49" s="190"/>
      <c r="J49" s="190"/>
    </row>
    <row r="50" spans="3:10">
      <c r="C50" s="144" t="s">
        <v>92</v>
      </c>
      <c r="D50" s="171">
        <v>69.7</v>
      </c>
      <c r="E50" s="145">
        <v>89</v>
      </c>
      <c r="F50" s="145">
        <v>80.63</v>
      </c>
      <c r="G50" s="145">
        <v>77.601096179999999</v>
      </c>
      <c r="H50" s="145">
        <v>74.631453999999991</v>
      </c>
      <c r="I50" s="190"/>
      <c r="J50" s="190"/>
    </row>
    <row r="51" spans="3:10">
      <c r="C51" s="144" t="s">
        <v>93</v>
      </c>
      <c r="D51" s="171">
        <v>44.5</v>
      </c>
      <c r="E51" s="145">
        <v>38</v>
      </c>
      <c r="F51" s="145">
        <v>49.6</v>
      </c>
      <c r="G51" s="145">
        <v>52.707405899999998</v>
      </c>
      <c r="H51" s="145">
        <v>42.743109000000004</v>
      </c>
      <c r="I51" s="190"/>
      <c r="J51" s="190"/>
    </row>
    <row r="52" spans="3:10">
      <c r="C52" s="146" t="s">
        <v>94</v>
      </c>
      <c r="D52" s="172">
        <v>37.799999999999997</v>
      </c>
      <c r="E52" s="178">
        <v>35</v>
      </c>
      <c r="F52" s="178">
        <v>56.1</v>
      </c>
      <c r="G52" s="147">
        <v>37.80791842999983</v>
      </c>
      <c r="H52" s="147">
        <v>10.108732509999996</v>
      </c>
      <c r="I52" s="190"/>
      <c r="J52" s="190"/>
    </row>
    <row r="53" spans="3:10">
      <c r="C53" s="142" t="s">
        <v>95</v>
      </c>
      <c r="D53" s="173">
        <f>SUM(D46:D52)</f>
        <v>332.6</v>
      </c>
      <c r="E53" s="181">
        <v>349.34500000000003</v>
      </c>
      <c r="F53" s="181">
        <v>364.40700000000004</v>
      </c>
      <c r="G53" s="148">
        <v>340.55156015999989</v>
      </c>
      <c r="H53" s="148">
        <v>312.3796519</v>
      </c>
    </row>
    <row r="54" spans="3:10">
      <c r="C54" s="236" t="s">
        <v>156</v>
      </c>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138</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100</v>
      </c>
      <c r="D93" s="169" t="s">
        <v>380</v>
      </c>
      <c r="E93" s="179" t="s">
        <v>362</v>
      </c>
      <c r="F93" s="179" t="s">
        <v>359</v>
      </c>
      <c r="G93" s="179" t="s">
        <v>340</v>
      </c>
      <c r="H93" s="179" t="s">
        <v>267</v>
      </c>
      <c r="K93" s="190"/>
      <c r="L93" s="190"/>
      <c r="M93" s="190"/>
      <c r="N93" s="190"/>
      <c r="O93" s="190"/>
      <c r="P93" s="190"/>
    </row>
    <row r="94" spans="1:16">
      <c r="C94" s="144" t="s">
        <v>21</v>
      </c>
      <c r="D94" s="171">
        <v>0.27407750000000419</v>
      </c>
      <c r="E94" s="180">
        <v>0.20607135999999748</v>
      </c>
      <c r="F94" s="180">
        <v>6.03</v>
      </c>
      <c r="G94" s="180">
        <v>12.38</v>
      </c>
      <c r="H94" s="180">
        <v>0.15603900000000159</v>
      </c>
      <c r="I94" s="190"/>
      <c r="J94" s="190"/>
      <c r="K94" s="190"/>
      <c r="L94" s="190"/>
    </row>
    <row r="95" spans="1:16">
      <c r="C95" s="144" t="s">
        <v>22</v>
      </c>
      <c r="D95" s="171">
        <v>-0.9933827200001133</v>
      </c>
      <c r="E95" s="180">
        <v>43.53413345000007</v>
      </c>
      <c r="F95" s="180">
        <v>131.22999999999999</v>
      </c>
      <c r="G95" s="180">
        <v>345.58</v>
      </c>
      <c r="H95" s="180">
        <v>57.251693000000017</v>
      </c>
      <c r="J95" s="190"/>
      <c r="K95" s="190"/>
      <c r="L95" s="190"/>
    </row>
    <row r="96" spans="1:16">
      <c r="C96" s="146" t="s">
        <v>23</v>
      </c>
      <c r="D96" s="172">
        <v>12.155208319999616</v>
      </c>
      <c r="E96" s="178">
        <v>59.179818960000006</v>
      </c>
      <c r="F96" s="178">
        <v>60.77</v>
      </c>
      <c r="G96" s="178">
        <v>64.69</v>
      </c>
      <c r="H96" s="178">
        <v>-50.752263999999997</v>
      </c>
      <c r="J96" s="190"/>
      <c r="K96" s="190"/>
      <c r="L96" s="190"/>
    </row>
    <row r="97" spans="1:16">
      <c r="C97" s="142" t="s">
        <v>20</v>
      </c>
      <c r="D97" s="173">
        <f>SUM(D94:D96)</f>
        <v>11.435903099999507</v>
      </c>
      <c r="E97" s="181">
        <f>SUM(E94:E96)</f>
        <v>102.92002377000007</v>
      </c>
      <c r="F97" s="181">
        <v>198.03</v>
      </c>
      <c r="G97" s="181">
        <v>422.65</v>
      </c>
      <c r="H97" s="181">
        <v>6.6554680000000204</v>
      </c>
    </row>
    <row r="98" spans="1:16">
      <c r="D98" s="190"/>
      <c r="E98" s="190"/>
      <c r="F98" s="190"/>
      <c r="G98" s="190"/>
      <c r="H98" s="190"/>
    </row>
    <row r="99" spans="1:16">
      <c r="E99" s="190"/>
      <c r="G99" s="190"/>
    </row>
    <row r="103" spans="1:16" ht="15">
      <c r="A103" s="20" t="s">
        <v>139</v>
      </c>
    </row>
    <row r="104" spans="1:16">
      <c r="A104" s="237"/>
    </row>
    <row r="106" spans="1:16">
      <c r="C106" s="108" t="s">
        <v>101</v>
      </c>
      <c r="D106" s="169" t="s">
        <v>380</v>
      </c>
      <c r="E106" s="179" t="s">
        <v>362</v>
      </c>
      <c r="F106" s="179" t="s">
        <v>359</v>
      </c>
      <c r="G106" s="179" t="s">
        <v>340</v>
      </c>
      <c r="H106" s="179" t="s">
        <v>267</v>
      </c>
    </row>
    <row r="107" spans="1:16">
      <c r="C107" s="144" t="s">
        <v>102</v>
      </c>
      <c r="D107" s="171">
        <v>281.766974</v>
      </c>
      <c r="E107" s="180">
        <v>323.82000000000016</v>
      </c>
      <c r="F107" s="180">
        <v>531.16</v>
      </c>
      <c r="G107" s="180">
        <v>719.17</v>
      </c>
      <c r="H107" s="180">
        <v>252.88969262000001</v>
      </c>
      <c r="I107" s="190"/>
      <c r="J107" s="190"/>
      <c r="K107" s="190"/>
      <c r="M107" s="190"/>
      <c r="N107" s="190"/>
      <c r="O107" s="190"/>
      <c r="P107" s="190"/>
    </row>
    <row r="108" spans="1:16">
      <c r="C108" s="144" t="s">
        <v>103</v>
      </c>
      <c r="D108" s="171">
        <v>0</v>
      </c>
      <c r="E108" s="180">
        <v>0</v>
      </c>
      <c r="F108" s="180">
        <v>-240.68000000000006</v>
      </c>
      <c r="G108" s="180">
        <v>-341.4</v>
      </c>
      <c r="H108" s="180">
        <v>-4.2840471800000159</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104</v>
      </c>
      <c r="D110" s="171"/>
      <c r="E110" s="188"/>
      <c r="F110" s="188"/>
      <c r="G110" s="188"/>
      <c r="H110" s="191"/>
      <c r="I110" s="190"/>
      <c r="K110" s="190"/>
      <c r="M110" s="190"/>
      <c r="N110" s="190"/>
      <c r="O110" s="190"/>
      <c r="P110" s="190"/>
    </row>
    <row r="111" spans="1:16">
      <c r="C111" s="249" t="s">
        <v>11</v>
      </c>
      <c r="D111" s="171">
        <v>-7.6764957039999899</v>
      </c>
      <c r="E111" s="191">
        <v>25.579999999999984</v>
      </c>
      <c r="F111" s="191">
        <v>118.30000000000001</v>
      </c>
      <c r="G111" s="191">
        <v>315.07</v>
      </c>
      <c r="H111" s="191">
        <v>63.22</v>
      </c>
      <c r="I111" s="190"/>
      <c r="J111" s="190"/>
      <c r="K111" s="190"/>
      <c r="M111" s="190"/>
      <c r="N111" s="190"/>
      <c r="O111" s="190"/>
      <c r="P111" s="190"/>
    </row>
    <row r="112" spans="1:16">
      <c r="C112" s="249" t="s">
        <v>8</v>
      </c>
      <c r="D112" s="171">
        <v>3.9999999999999147E-2</v>
      </c>
      <c r="E112" s="191">
        <v>3.1300000000000026</v>
      </c>
      <c r="F112" s="191">
        <v>8.4399999999999977</v>
      </c>
      <c r="G112" s="191">
        <v>15.14</v>
      </c>
      <c r="H112" s="191">
        <v>-9.52</v>
      </c>
      <c r="I112" s="190"/>
      <c r="J112" s="190"/>
      <c r="K112" s="190"/>
      <c r="M112" s="190"/>
      <c r="N112" s="190"/>
      <c r="O112" s="190"/>
      <c r="P112" s="190"/>
    </row>
    <row r="113" spans="3:16">
      <c r="C113" s="249" t="s">
        <v>9</v>
      </c>
      <c r="D113" s="171">
        <v>1.5699999999999994</v>
      </c>
      <c r="E113" s="191">
        <v>1.4300000000000002</v>
      </c>
      <c r="F113" s="191">
        <v>1.1400000000000001</v>
      </c>
      <c r="G113" s="191">
        <v>1.54</v>
      </c>
      <c r="H113" s="191">
        <v>0.7</v>
      </c>
      <c r="I113" s="190"/>
      <c r="J113" s="190"/>
      <c r="K113" s="190"/>
      <c r="M113" s="190"/>
      <c r="N113" s="190"/>
      <c r="O113" s="190"/>
      <c r="P113" s="190"/>
    </row>
    <row r="114" spans="3:16">
      <c r="C114" s="249" t="s">
        <v>7</v>
      </c>
      <c r="D114" s="171">
        <v>-5.9399999999999995</v>
      </c>
      <c r="E114" s="191">
        <v>4.6999999999999993</v>
      </c>
      <c r="F114" s="191">
        <v>8.6300000000000008</v>
      </c>
      <c r="G114" s="191">
        <v>-1.98</v>
      </c>
      <c r="H114" s="191">
        <v>-4.4099999999999984</v>
      </c>
      <c r="I114" s="190"/>
      <c r="J114" s="190"/>
      <c r="K114" s="190"/>
      <c r="M114" s="190"/>
      <c r="N114" s="190"/>
      <c r="O114" s="190"/>
      <c r="P114" s="190"/>
    </row>
    <row r="115" spans="3:16">
      <c r="C115" s="249" t="s">
        <v>265</v>
      </c>
      <c r="D115" s="171">
        <v>-3.28</v>
      </c>
      <c r="E115" s="192">
        <v>1.8399999999999999</v>
      </c>
      <c r="F115" s="192">
        <v>5.0600000000000005</v>
      </c>
      <c r="G115" s="192">
        <v>3.28</v>
      </c>
      <c r="H115" s="192">
        <v>-0.92999999999999972</v>
      </c>
      <c r="I115" s="190"/>
      <c r="J115" s="190"/>
      <c r="K115" s="190"/>
      <c r="M115" s="190"/>
      <c r="N115" s="190"/>
      <c r="O115" s="190"/>
      <c r="P115" s="190"/>
    </row>
    <row r="116" spans="3:16">
      <c r="C116" s="249" t="s">
        <v>6</v>
      </c>
      <c r="D116" s="171">
        <v>26.460000000000008</v>
      </c>
      <c r="E116" s="191">
        <v>28.629999999999995</v>
      </c>
      <c r="F116" s="191">
        <v>34.159999999999997</v>
      </c>
      <c r="G116" s="191">
        <v>29.06</v>
      </c>
      <c r="H116" s="191">
        <v>32.599999999999994</v>
      </c>
      <c r="I116" s="190"/>
      <c r="J116" s="190"/>
      <c r="K116" s="190"/>
      <c r="M116" s="190"/>
      <c r="N116" s="190"/>
      <c r="O116" s="190"/>
      <c r="P116" s="190"/>
    </row>
    <row r="117" spans="3:16">
      <c r="C117" s="251" t="s">
        <v>266</v>
      </c>
      <c r="D117" s="171">
        <v>-3.0299999999999994</v>
      </c>
      <c r="E117" s="191">
        <v>-3.2</v>
      </c>
      <c r="F117" s="191">
        <v>0.72999999999999987</v>
      </c>
      <c r="G117" s="191">
        <v>-1.3599999999999999</v>
      </c>
      <c r="H117" s="191">
        <v>-6.0900000000000016</v>
      </c>
      <c r="I117" s="190"/>
      <c r="J117" s="190"/>
      <c r="K117" s="190"/>
      <c r="M117" s="190"/>
      <c r="N117" s="190"/>
      <c r="O117" s="190"/>
      <c r="P117" s="190"/>
    </row>
    <row r="118" spans="3:16">
      <c r="C118" s="251" t="s">
        <v>10</v>
      </c>
      <c r="D118" s="171">
        <v>0.38999999999999879</v>
      </c>
      <c r="E118" s="191">
        <v>5.98</v>
      </c>
      <c r="F118" s="191">
        <v>5.5600000000000005</v>
      </c>
      <c r="G118" s="191">
        <v>3.69</v>
      </c>
      <c r="H118" s="191">
        <v>7.129999999999999</v>
      </c>
      <c r="I118" s="190"/>
      <c r="J118" s="190"/>
      <c r="K118" s="190"/>
      <c r="M118" s="190"/>
      <c r="N118" s="190"/>
      <c r="O118" s="190"/>
      <c r="P118" s="190"/>
    </row>
    <row r="119" spans="3:16">
      <c r="C119" s="144" t="s">
        <v>12</v>
      </c>
      <c r="D119" s="171">
        <v>-4.2000000000000011</v>
      </c>
      <c r="E119" s="180">
        <v>-2.17</v>
      </c>
      <c r="F119" s="180">
        <v>-1.75</v>
      </c>
      <c r="G119" s="180">
        <v>10.75</v>
      </c>
      <c r="H119" s="180">
        <v>-3.3300000000000018</v>
      </c>
      <c r="I119" s="190"/>
      <c r="J119" s="190"/>
      <c r="K119" s="190"/>
      <c r="M119" s="190"/>
      <c r="N119" s="190"/>
      <c r="O119" s="190"/>
      <c r="P119" s="190"/>
    </row>
    <row r="120" spans="3:16">
      <c r="C120" s="144" t="s">
        <v>360</v>
      </c>
      <c r="D120" s="171">
        <v>8.6800000000000015</v>
      </c>
      <c r="E120" s="180">
        <v>8.74</v>
      </c>
      <c r="F120" s="180">
        <v>2.5</v>
      </c>
      <c r="G120" s="180">
        <v>0</v>
      </c>
      <c r="H120" s="180">
        <v>0</v>
      </c>
      <c r="I120" s="190"/>
      <c r="J120" s="190"/>
      <c r="K120" s="190"/>
      <c r="M120" s="190"/>
      <c r="N120" s="190"/>
      <c r="O120" s="190"/>
      <c r="P120" s="190"/>
    </row>
    <row r="121" spans="3:16">
      <c r="C121" s="144"/>
      <c r="D121" s="171">
        <v>7.5460000000000003</v>
      </c>
      <c r="E121" s="180">
        <v>0</v>
      </c>
      <c r="F121" s="180">
        <v>0</v>
      </c>
      <c r="G121" s="180"/>
      <c r="H121" s="180"/>
      <c r="I121" s="190"/>
      <c r="J121" s="190"/>
      <c r="M121" s="190"/>
      <c r="N121" s="190"/>
      <c r="O121" s="190"/>
      <c r="P121" s="190"/>
    </row>
    <row r="122" spans="3:16">
      <c r="C122" s="146" t="s">
        <v>105</v>
      </c>
      <c r="D122" s="172">
        <v>-10.809999999999999</v>
      </c>
      <c r="E122" s="178">
        <v>10.82</v>
      </c>
      <c r="F122" s="178">
        <v>-2.4400000000000004</v>
      </c>
      <c r="G122" s="178">
        <v>3.5999999999999996</v>
      </c>
      <c r="H122" s="178">
        <v>-6.2000000000000011</v>
      </c>
      <c r="I122" s="190"/>
      <c r="J122" s="181"/>
      <c r="K122" s="190"/>
      <c r="M122" s="190"/>
      <c r="N122" s="190"/>
      <c r="O122" s="190"/>
      <c r="P122" s="190"/>
    </row>
    <row r="123" spans="3:16">
      <c r="C123" s="142" t="s">
        <v>106</v>
      </c>
      <c r="D123" s="173">
        <f>SUM(D107:D122)</f>
        <v>291.51647829600006</v>
      </c>
      <c r="E123" s="181">
        <f t="shared" ref="E123:H123" si="0">SUM(E107:E122)</f>
        <v>409.30000000000013</v>
      </c>
      <c r="F123" s="181">
        <f t="shared" si="0"/>
        <v>470.80999999999995</v>
      </c>
      <c r="G123" s="181">
        <f t="shared" si="0"/>
        <v>756.55999999999983</v>
      </c>
      <c r="H123" s="181">
        <f t="shared" si="0"/>
        <v>321.77564544000001</v>
      </c>
      <c r="I123" s="181"/>
      <c r="K123" s="190"/>
      <c r="M123" s="190"/>
      <c r="N123" s="190"/>
      <c r="O123" s="190"/>
      <c r="P123" s="190"/>
    </row>
    <row r="124" spans="3:16">
      <c r="C124" s="357"/>
      <c r="D124"/>
      <c r="H124" s="193"/>
      <c r="K124" s="190"/>
      <c r="L124" s="190"/>
      <c r="M124" s="190"/>
      <c r="N124" s="190"/>
      <c r="O124" s="190"/>
      <c r="P124" s="190"/>
    </row>
    <row r="125" spans="3:16">
      <c r="C125"/>
      <c r="D125"/>
      <c r="H125" s="193"/>
      <c r="K125" s="190"/>
      <c r="L125" s="190"/>
      <c r="M125" s="190"/>
      <c r="N125" s="190"/>
      <c r="O125" s="190"/>
      <c r="P125" s="190"/>
    </row>
    <row r="126" spans="3:16">
      <c r="C126" s="108" t="s">
        <v>107</v>
      </c>
      <c r="D126" s="169" t="s">
        <v>380</v>
      </c>
      <c r="E126" s="179" t="s">
        <v>362</v>
      </c>
      <c r="F126" s="179" t="s">
        <v>359</v>
      </c>
      <c r="G126" s="179" t="s">
        <v>340</v>
      </c>
      <c r="H126" s="179" t="s">
        <v>267</v>
      </c>
      <c r="K126" s="190"/>
      <c r="L126" s="190"/>
      <c r="M126" s="190"/>
      <c r="N126" s="190"/>
      <c r="O126" s="190"/>
      <c r="P126" s="190"/>
    </row>
    <row r="127" spans="3:16">
      <c r="C127" s="144" t="s">
        <v>11</v>
      </c>
      <c r="D127" s="171">
        <v>-7.6764957039999899</v>
      </c>
      <c r="E127" s="180">
        <v>25.579999999999984</v>
      </c>
      <c r="F127" s="180">
        <v>118.30000000000001</v>
      </c>
      <c r="G127" s="180">
        <v>315.07</v>
      </c>
      <c r="H127" s="180">
        <v>63.22</v>
      </c>
      <c r="I127" s="190"/>
      <c r="J127" s="190"/>
      <c r="K127" s="190"/>
      <c r="M127" s="190"/>
      <c r="N127" s="190"/>
      <c r="O127" s="190"/>
      <c r="P127" s="190"/>
    </row>
    <row r="128" spans="3:16">
      <c r="C128" s="144" t="s">
        <v>8</v>
      </c>
      <c r="D128" s="171">
        <v>3.9999999999999147E-2</v>
      </c>
      <c r="E128" s="180">
        <v>3.1300000000000026</v>
      </c>
      <c r="F128" s="180">
        <v>8.4399999999999977</v>
      </c>
      <c r="G128" s="180">
        <v>15.14</v>
      </c>
      <c r="H128" s="180">
        <v>-9.52</v>
      </c>
      <c r="I128" s="190"/>
      <c r="J128" s="190"/>
      <c r="K128" s="190"/>
      <c r="M128" s="190"/>
      <c r="N128" s="190"/>
      <c r="O128" s="190"/>
      <c r="P128" s="190"/>
    </row>
    <row r="129" spans="3:16">
      <c r="C129" s="189" t="s">
        <v>9</v>
      </c>
      <c r="D129" s="171">
        <v>1.5699999999999994</v>
      </c>
      <c r="E129" s="191">
        <v>1.4300000000000002</v>
      </c>
      <c r="F129" s="191">
        <v>1.1400000000000001</v>
      </c>
      <c r="G129" s="191">
        <v>1.54</v>
      </c>
      <c r="H129" s="191">
        <v>0.7</v>
      </c>
      <c r="I129" s="190"/>
      <c r="J129" s="190"/>
      <c r="K129" s="190"/>
      <c r="M129" s="190"/>
      <c r="N129" s="190"/>
      <c r="O129" s="190"/>
      <c r="P129" s="190"/>
    </row>
    <row r="130" spans="3:16">
      <c r="C130" s="189" t="s">
        <v>10</v>
      </c>
      <c r="D130" s="171">
        <v>0.38999999999999879</v>
      </c>
      <c r="E130" s="191">
        <v>5.98</v>
      </c>
      <c r="F130" s="191">
        <v>5.5600000000000005</v>
      </c>
      <c r="G130" s="191">
        <v>3.69</v>
      </c>
      <c r="H130" s="191">
        <v>7.129999999999999</v>
      </c>
      <c r="I130" s="190"/>
      <c r="J130" s="190"/>
      <c r="K130" s="190"/>
      <c r="M130" s="190"/>
      <c r="N130" s="190"/>
      <c r="O130" s="190"/>
      <c r="P130" s="190"/>
    </row>
    <row r="131" spans="3:16">
      <c r="C131" s="144" t="s">
        <v>12</v>
      </c>
      <c r="D131" s="171">
        <v>-4.2000000000000011</v>
      </c>
      <c r="E131" s="180">
        <v>-2.17</v>
      </c>
      <c r="F131" s="180">
        <v>-1.75</v>
      </c>
      <c r="G131" s="180">
        <v>10.75</v>
      </c>
      <c r="H131" s="180">
        <v>-3.3300000000000018</v>
      </c>
      <c r="I131" s="190"/>
      <c r="J131" s="190"/>
      <c r="K131" s="190"/>
      <c r="M131" s="190"/>
      <c r="N131" s="190"/>
      <c r="O131" s="190"/>
      <c r="P131" s="190"/>
    </row>
    <row r="132" spans="3:16">
      <c r="C132" s="144" t="s">
        <v>360</v>
      </c>
      <c r="D132" s="171">
        <v>8.6800000000000015</v>
      </c>
      <c r="E132" s="180">
        <v>8.74</v>
      </c>
      <c r="F132" s="180">
        <v>2.5</v>
      </c>
      <c r="G132" s="180">
        <v>0</v>
      </c>
      <c r="H132" s="180">
        <v>0</v>
      </c>
      <c r="I132" s="190"/>
      <c r="J132" s="190"/>
      <c r="K132" s="190"/>
      <c r="M132" s="190"/>
      <c r="N132" s="190"/>
      <c r="O132" s="190"/>
      <c r="P132" s="190"/>
    </row>
    <row r="133" spans="3:16">
      <c r="C133" s="146" t="s">
        <v>105</v>
      </c>
      <c r="D133" s="172">
        <v>0.20311298399992062</v>
      </c>
      <c r="E133" s="178">
        <v>0.84065945000004128</v>
      </c>
      <c r="F133" s="178">
        <v>-2.9565260000000104</v>
      </c>
      <c r="G133" s="178">
        <v>-0.61</v>
      </c>
      <c r="H133" s="178">
        <v>-0.86830699999995709</v>
      </c>
      <c r="I133" s="190"/>
      <c r="J133" s="190"/>
      <c r="K133" s="190"/>
      <c r="M133" s="190"/>
      <c r="N133" s="190"/>
      <c r="O133" s="190"/>
      <c r="P133" s="190"/>
    </row>
    <row r="134" spans="3:16">
      <c r="C134" s="142" t="s">
        <v>22</v>
      </c>
      <c r="D134" s="173">
        <f>SUM(D127:D133)</f>
        <v>-0.99338272000007066</v>
      </c>
      <c r="E134" s="181">
        <f t="shared" ref="E134:H134" si="1">SUM(E127:E133)</f>
        <v>43.53065945000003</v>
      </c>
      <c r="F134" s="181">
        <f t="shared" si="1"/>
        <v>131.233474</v>
      </c>
      <c r="G134" s="181">
        <f t="shared" si="1"/>
        <v>345.58</v>
      </c>
      <c r="H134" s="181">
        <f t="shared" si="1"/>
        <v>57.331693000000044</v>
      </c>
      <c r="I134" s="190"/>
      <c r="K134" s="190"/>
      <c r="M134" s="190"/>
      <c r="N134" s="190"/>
      <c r="O134" s="190"/>
      <c r="P134" s="190"/>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A105" sqref="A105"/>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140</v>
      </c>
      <c r="B2" s="98"/>
      <c r="C2" s="98"/>
      <c r="D2" s="97"/>
    </row>
    <row r="3" spans="1:22" ht="18.75" customHeight="1">
      <c r="A3" s="138"/>
      <c r="B3" s="98"/>
      <c r="C3" s="98"/>
      <c r="D3" s="97"/>
    </row>
    <row r="4" spans="1:22" ht="14.25" customHeight="1">
      <c r="A4" s="138"/>
      <c r="B4" s="98"/>
      <c r="F4" s="97"/>
      <c r="G4" s="98"/>
    </row>
    <row r="5" spans="1:22" ht="14.25" customHeight="1">
      <c r="A5" s="138"/>
      <c r="B5" s="108" t="s">
        <v>78</v>
      </c>
      <c r="C5" s="169" t="s">
        <v>380</v>
      </c>
      <c r="D5" s="170" t="s">
        <v>362</v>
      </c>
      <c r="E5" s="170" t="s">
        <v>359</v>
      </c>
      <c r="F5" s="170" t="s">
        <v>340</v>
      </c>
      <c r="G5" s="170" t="s">
        <v>267</v>
      </c>
      <c r="Q5" s="240"/>
      <c r="R5" s="240"/>
      <c r="S5" s="240"/>
      <c r="T5" s="240"/>
      <c r="U5" s="240"/>
      <c r="V5" s="240"/>
    </row>
    <row r="6" spans="1:22" ht="14.25" customHeight="1">
      <c r="B6" s="144" t="s">
        <v>80</v>
      </c>
      <c r="C6" s="171">
        <v>202.12170139</v>
      </c>
      <c r="D6" s="145">
        <v>197.11515806</v>
      </c>
      <c r="E6" s="145">
        <v>196.87</v>
      </c>
      <c r="F6" s="145">
        <v>211.17362027999999</v>
      </c>
      <c r="G6" s="145">
        <v>210.90219309999989</v>
      </c>
      <c r="Q6" s="240"/>
      <c r="R6" s="240"/>
      <c r="S6" s="240"/>
      <c r="T6" s="240"/>
      <c r="U6" s="240"/>
      <c r="V6" s="240"/>
    </row>
    <row r="7" spans="1:22" ht="14.25" customHeight="1">
      <c r="B7" s="144" t="s">
        <v>81</v>
      </c>
      <c r="C7" s="171">
        <v>22.717490010000002</v>
      </c>
      <c r="D7" s="145">
        <v>17.531400999999999</v>
      </c>
      <c r="E7" s="145">
        <v>17.260000000000002</v>
      </c>
      <c r="F7" s="145">
        <v>17.185057430000001</v>
      </c>
      <c r="G7" s="145">
        <v>16.925746</v>
      </c>
      <c r="Q7" s="240"/>
      <c r="R7" s="240"/>
      <c r="S7" s="240"/>
      <c r="T7" s="240"/>
      <c r="U7" s="240"/>
      <c r="V7" s="240"/>
    </row>
    <row r="8" spans="1:22">
      <c r="B8" s="144" t="s">
        <v>82</v>
      </c>
      <c r="C8" s="171">
        <v>50.526934359999998</v>
      </c>
      <c r="D8" s="145">
        <v>51.896038429999997</v>
      </c>
      <c r="E8" s="145">
        <v>52.39</v>
      </c>
      <c r="F8" s="145">
        <v>61.240273479999999</v>
      </c>
      <c r="G8" s="145">
        <v>58.219060340000006</v>
      </c>
      <c r="Q8" s="240"/>
      <c r="R8" s="240"/>
      <c r="S8" s="240"/>
      <c r="T8" s="240"/>
      <c r="U8" s="240"/>
      <c r="V8" s="240"/>
    </row>
    <row r="9" spans="1:22" ht="14.25" customHeight="1">
      <c r="B9" s="144" t="s">
        <v>83</v>
      </c>
      <c r="C9" s="171">
        <v>137.06293785</v>
      </c>
      <c r="D9" s="145">
        <v>120.88261667</v>
      </c>
      <c r="E9" s="145">
        <v>145.58000000000001</v>
      </c>
      <c r="F9" s="145">
        <v>130.25227405000001</v>
      </c>
      <c r="G9" s="145">
        <v>127.17934142999995</v>
      </c>
      <c r="Q9" s="240"/>
      <c r="R9" s="240"/>
      <c r="S9" s="240"/>
      <c r="T9" s="240"/>
      <c r="U9" s="240"/>
      <c r="V9" s="240"/>
    </row>
    <row r="10" spans="1:22" ht="14.25" customHeight="1">
      <c r="B10" s="144" t="s">
        <v>27</v>
      </c>
      <c r="C10" s="171">
        <v>32.223098</v>
      </c>
      <c r="D10" s="145">
        <v>29.826710510000002</v>
      </c>
      <c r="E10" s="145">
        <v>33.35</v>
      </c>
      <c r="F10" s="145">
        <v>35.542704020000002</v>
      </c>
      <c r="G10" s="145">
        <v>23.057109349999994</v>
      </c>
      <c r="Q10" s="240"/>
      <c r="R10" s="240"/>
      <c r="S10" s="240"/>
      <c r="T10" s="240"/>
      <c r="U10" s="240"/>
      <c r="V10" s="240"/>
    </row>
    <row r="11" spans="1:22" ht="14.25" customHeight="1">
      <c r="B11" s="146" t="s">
        <v>28</v>
      </c>
      <c r="C11" s="172">
        <v>45.051782619999997</v>
      </c>
      <c r="D11" s="147">
        <v>40.200610829999995</v>
      </c>
      <c r="E11" s="147">
        <v>43.87</v>
      </c>
      <c r="F11" s="147">
        <v>38.33102968</v>
      </c>
      <c r="G11" s="147">
        <v>69.672460819999998</v>
      </c>
      <c r="Q11" s="240"/>
      <c r="R11" s="240"/>
      <c r="S11" s="240"/>
      <c r="T11" s="240"/>
      <c r="U11" s="240"/>
      <c r="V11" s="240"/>
    </row>
    <row r="12" spans="1:22" ht="14.25" customHeight="1">
      <c r="B12" s="142" t="s">
        <v>157</v>
      </c>
      <c r="C12" s="173">
        <f>SUM(C6:C11)</f>
        <v>489.70394422999993</v>
      </c>
      <c r="D12" s="148">
        <v>457.45253550000001</v>
      </c>
      <c r="E12" s="148">
        <v>489.32000000000005</v>
      </c>
      <c r="F12" s="148">
        <v>493.72495893999996</v>
      </c>
      <c r="G12" s="148">
        <v>505.95591103999993</v>
      </c>
      <c r="Q12" s="240"/>
      <c r="R12" s="240"/>
      <c r="S12" s="240"/>
      <c r="T12" s="240"/>
      <c r="U12" s="240"/>
      <c r="V12" s="240"/>
    </row>
    <row r="13" spans="1:22" ht="14.25" customHeight="1">
      <c r="B13" s="177" t="s">
        <v>96</v>
      </c>
      <c r="C13" s="171">
        <v>1</v>
      </c>
      <c r="D13" s="145"/>
      <c r="E13" s="145">
        <v>3.75</v>
      </c>
      <c r="F13" s="145">
        <v>0</v>
      </c>
      <c r="G13" s="145">
        <v>0</v>
      </c>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244</v>
      </c>
    </row>
    <row r="46" spans="1:41">
      <c r="B46" s="95"/>
      <c r="F46" s="97"/>
      <c r="G46" s="96"/>
    </row>
    <row r="47" spans="1:41">
      <c r="B47" s="108" t="s">
        <v>245</v>
      </c>
      <c r="C47" s="169" t="s">
        <v>380</v>
      </c>
      <c r="D47" s="170" t="s">
        <v>362</v>
      </c>
      <c r="E47" s="170" t="s">
        <v>359</v>
      </c>
      <c r="F47" s="170" t="s">
        <v>340</v>
      </c>
      <c r="G47" s="170" t="s">
        <v>267</v>
      </c>
      <c r="Q47" s="240"/>
      <c r="R47" s="240"/>
      <c r="S47" s="240"/>
      <c r="T47" s="240"/>
      <c r="U47" s="240"/>
      <c r="V47" s="240"/>
    </row>
    <row r="48" spans="1:41">
      <c r="B48" s="144" t="s">
        <v>80</v>
      </c>
      <c r="C48" s="171">
        <v>120.22301395999999</v>
      </c>
      <c r="D48" s="145">
        <v>122.03100000000001</v>
      </c>
      <c r="E48" s="145">
        <v>123.15</v>
      </c>
      <c r="F48" s="145">
        <v>127.28858074</v>
      </c>
      <c r="G48" s="145">
        <v>119.56283809999999</v>
      </c>
      <c r="Q48" s="240"/>
      <c r="R48" s="240"/>
      <c r="S48" s="240"/>
      <c r="T48" s="240"/>
      <c r="U48" s="240"/>
      <c r="V48" s="240"/>
    </row>
    <row r="49" spans="2:22">
      <c r="B49" s="144" t="s">
        <v>81</v>
      </c>
      <c r="C49" s="171">
        <v>12.540430880000001</v>
      </c>
      <c r="D49" s="145">
        <v>13.58</v>
      </c>
      <c r="E49" s="145">
        <v>13.54</v>
      </c>
      <c r="F49" s="145">
        <v>12.805268</v>
      </c>
      <c r="G49" s="145">
        <v>13.071230999999999</v>
      </c>
      <c r="Q49" s="240"/>
      <c r="R49" s="240"/>
      <c r="S49" s="240"/>
      <c r="T49" s="240"/>
      <c r="U49" s="240"/>
      <c r="V49" s="240"/>
    </row>
    <row r="50" spans="2:22">
      <c r="B50" s="144" t="s">
        <v>82</v>
      </c>
      <c r="C50" s="171">
        <v>36.79934832</v>
      </c>
      <c r="D50" s="145">
        <v>35.843000000000004</v>
      </c>
      <c r="E50" s="145">
        <v>37.28</v>
      </c>
      <c r="F50" s="145">
        <v>44.275988859999998</v>
      </c>
      <c r="G50" s="145">
        <v>43.330400340000004</v>
      </c>
      <c r="Q50" s="240"/>
      <c r="R50" s="240"/>
      <c r="S50" s="240"/>
      <c r="T50" s="240"/>
      <c r="U50" s="240"/>
      <c r="V50" s="240"/>
    </row>
    <row r="51" spans="2:22">
      <c r="B51" s="144" t="s">
        <v>83</v>
      </c>
      <c r="C51" s="171">
        <v>115.19625534000001</v>
      </c>
      <c r="D51" s="145">
        <v>104.32</v>
      </c>
      <c r="E51" s="145">
        <v>122.97</v>
      </c>
      <c r="F51" s="145">
        <v>112.05875111</v>
      </c>
      <c r="G51" s="145">
        <v>117.05244643</v>
      </c>
      <c r="Q51" s="240"/>
      <c r="R51" s="240"/>
      <c r="S51" s="240"/>
      <c r="T51" s="240"/>
      <c r="U51" s="240"/>
      <c r="V51" s="240"/>
    </row>
    <row r="52" spans="2:22">
      <c r="B52" s="144" t="s">
        <v>27</v>
      </c>
      <c r="C52" s="171">
        <v>25.973653149999997</v>
      </c>
      <c r="D52" s="145">
        <v>26.181000000000001</v>
      </c>
      <c r="E52" s="145">
        <v>27.2</v>
      </c>
      <c r="F52" s="145">
        <v>24.32968318</v>
      </c>
      <c r="G52" s="145">
        <v>17.876335350000002</v>
      </c>
      <c r="Q52" s="240"/>
      <c r="R52" s="240"/>
      <c r="S52" s="240"/>
      <c r="T52" s="240"/>
      <c r="U52" s="240"/>
      <c r="V52" s="240"/>
    </row>
    <row r="53" spans="2:22">
      <c r="B53" s="146" t="s">
        <v>28</v>
      </c>
      <c r="C53" s="172">
        <v>27.80233625</v>
      </c>
      <c r="D53" s="178">
        <v>17.805</v>
      </c>
      <c r="E53" s="147">
        <v>20.83</v>
      </c>
      <c r="F53" s="147">
        <v>22.209913149999998</v>
      </c>
      <c r="G53" s="147">
        <v>38.941807820000001</v>
      </c>
      <c r="Q53" s="240"/>
      <c r="R53" s="240"/>
      <c r="S53" s="240"/>
      <c r="T53" s="240"/>
      <c r="U53" s="240"/>
      <c r="V53" s="240"/>
    </row>
    <row r="54" spans="2:22">
      <c r="B54" s="142" t="s">
        <v>157</v>
      </c>
      <c r="C54" s="173">
        <f>SUM(C48:C53)</f>
        <v>338.53503790000002</v>
      </c>
      <c r="D54" s="148">
        <v>319.76</v>
      </c>
      <c r="E54" s="148">
        <v>344.96999999999997</v>
      </c>
      <c r="F54" s="148">
        <v>342.96818503999998</v>
      </c>
      <c r="G54" s="148">
        <v>349.83505904000003</v>
      </c>
      <c r="Q54" s="240"/>
      <c r="R54" s="240"/>
      <c r="S54" s="240"/>
      <c r="T54" s="240"/>
      <c r="U54" s="240"/>
      <c r="V54" s="240"/>
    </row>
    <row r="55" spans="2:22">
      <c r="B55" s="177" t="s">
        <v>96</v>
      </c>
      <c r="C55" s="171">
        <v>1</v>
      </c>
      <c r="D55" s="145">
        <v>0</v>
      </c>
      <c r="E55" s="145">
        <v>3.75</v>
      </c>
      <c r="F55" s="145">
        <v>0</v>
      </c>
      <c r="G55" s="145">
        <v>0</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A93" sqref="A93:A94"/>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141</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380</v>
      </c>
      <c r="F5" s="170" t="s">
        <v>362</v>
      </c>
      <c r="G5" s="170" t="s">
        <v>359</v>
      </c>
      <c r="H5" s="170" t="s">
        <v>340</v>
      </c>
      <c r="I5" s="170" t="s">
        <v>267</v>
      </c>
    </row>
    <row r="6" spans="1:9" s="123" customFormat="1" ht="14.25" customHeight="1">
      <c r="A6" s="119"/>
      <c r="B6" s="120"/>
      <c r="C6" s="121"/>
      <c r="D6" s="144" t="s">
        <v>76</v>
      </c>
      <c r="E6" s="174">
        <v>6.5522000000000011E-3</v>
      </c>
      <c r="F6" s="175">
        <v>5.1999999999999998E-3</v>
      </c>
      <c r="G6" s="175">
        <v>4.2000000000000006E-3</v>
      </c>
      <c r="H6" s="175">
        <v>2.8999999999999998E-3</v>
      </c>
      <c r="I6" s="175">
        <v>2.8E-3</v>
      </c>
    </row>
    <row r="7" spans="1:9" s="123" customFormat="1" ht="14.25" customHeight="1">
      <c r="A7" s="119"/>
      <c r="B7" s="124"/>
      <c r="C7" s="124"/>
      <c r="D7" s="144" t="s">
        <v>77</v>
      </c>
      <c r="E7" s="174">
        <v>5.3522000000000014E-3</v>
      </c>
      <c r="F7" s="175">
        <v>4.1999999999999997E-3</v>
      </c>
      <c r="G7" s="175">
        <v>3.6000000000000008E-3</v>
      </c>
      <c r="H7" s="175">
        <v>3.2000000000000002E-3</v>
      </c>
      <c r="I7" s="175">
        <v>3.3E-3</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142</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380</v>
      </c>
      <c r="F34" s="179" t="s">
        <v>362</v>
      </c>
      <c r="G34" s="170" t="s">
        <v>359</v>
      </c>
      <c r="H34" s="170" t="s">
        <v>340</v>
      </c>
      <c r="I34" s="170" t="s">
        <v>267</v>
      </c>
    </row>
    <row r="35" spans="1:9" s="123" customFormat="1" ht="14.25" customHeight="1">
      <c r="A35" s="119"/>
      <c r="B35" s="125"/>
      <c r="C35" s="126"/>
      <c r="D35" s="144" t="s">
        <v>84</v>
      </c>
      <c r="E35" s="174">
        <v>1.2488002196116899E-2</v>
      </c>
      <c r="F35" s="381">
        <v>1.35E-2</v>
      </c>
      <c r="G35" s="175">
        <v>1.37E-2</v>
      </c>
      <c r="H35" s="175">
        <v>1.5299999999999999E-2</v>
      </c>
      <c r="I35" s="175">
        <v>1.55E-2</v>
      </c>
    </row>
    <row r="36" spans="1:9" s="123" customFormat="1" ht="14.25" customHeight="1">
      <c r="A36" s="119"/>
      <c r="B36" s="125"/>
      <c r="C36" s="126"/>
      <c r="D36" s="144" t="s">
        <v>85</v>
      </c>
      <c r="E36" s="174">
        <v>2.3970315828402498E-2</v>
      </c>
      <c r="F36" s="381">
        <v>2.4299999999999999E-2</v>
      </c>
      <c r="G36" s="175">
        <v>2.4400000000000002E-2</v>
      </c>
      <c r="H36" s="175">
        <v>2.4799999999999999E-2</v>
      </c>
      <c r="I36" s="175">
        <v>2.5000000000000001E-2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2020-02-06T13:58:37Z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