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801073\AppData\Local\Microsoft\Windows\INetCache\Content.Outlook\ZON2QN2H\"/>
    </mc:Choice>
  </mc:AlternateContent>
  <bookViews>
    <workbookView xWindow="0" yWindow="0" windowWidth="19200" windowHeight="7020"/>
  </bookViews>
  <sheets>
    <sheet name="Front" sheetId="87" r:id="rId1"/>
    <sheet name="Contact info" sheetId="95" r:id="rId2"/>
    <sheet name="Contents" sheetId="1" r:id="rId3"/>
    <sheet name="1 APM" sheetId="96" r:id="rId4"/>
    <sheet name="2 Results and key figures" sheetId="5" r:id="rId5"/>
    <sheet name="3 Income" sheetId="6" r:id="rId6"/>
    <sheet name="4 Expences" sheetId="7" r:id="rId7"/>
    <sheet name="5 Margins" sheetId="57" r:id="rId8"/>
    <sheet name="6 Lending" sheetId="86" r:id="rId9"/>
    <sheet name="7 Deposits" sheetId="3" r:id="rId10"/>
  </sheets>
  <externalReferences>
    <externalReference r:id="rId11"/>
    <externalReference r:id="rId12"/>
    <externalReference r:id="rId13"/>
  </externalReferences>
  <definedNames>
    <definedName name="__123Graph_ABALADAGS" localSheetId="4" hidden="1">[1]Tabell!#REF!</definedName>
    <definedName name="__123Graph_ABALADAGS" localSheetId="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hidden="1">[1]Tabell!#REF!</definedName>
    <definedName name="__123Graph_BBALADAGS" localSheetId="4" hidden="1">[1]Tabell!#REF!</definedName>
    <definedName name="__123Graph_BBALADAGS" localSheetId="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hidden="1">[1]Tabell!#REF!</definedName>
    <definedName name="__123Graph_CBALADAGS" localSheetId="4" hidden="1">[1]Tabell!#REF!</definedName>
    <definedName name="__123Graph_CBALADAGS" localSheetId="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hidden="1">[1]Tabell!#REF!</definedName>
    <definedName name="__123Graph_DBALADAGS" localSheetId="4" hidden="1">[1]Tabell!#REF!</definedName>
    <definedName name="__123Graph_DBALADAGS" localSheetId="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hidden="1">[1]Tabell!#REF!</definedName>
    <definedName name="__123Graph_EBALADAGS" localSheetId="4" hidden="1">[1]Tabell!#REF!</definedName>
    <definedName name="__123Graph_EBALADAGS" localSheetId="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hidden="1">[1]Tabell!#REF!</definedName>
    <definedName name="__123Graph_FBALADAGS" localSheetId="4" hidden="1">[1]Tabell!#REF!</definedName>
    <definedName name="__123Graph_FBALADAGS" localSheetId="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hidden="1">[1]Tabell!#REF!</definedName>
    <definedName name="__123Graph_LBL_ABALADAGS" localSheetId="4" hidden="1">[1]Tabell!#REF!</definedName>
    <definedName name="__123Graph_LBL_ABALADAGS" localSheetId="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hidden="1">[1]Tabell!#REF!</definedName>
    <definedName name="__123Graph_LBL_BBALADAGS" localSheetId="4" hidden="1">[1]Tabell!#REF!</definedName>
    <definedName name="__123Graph_LBL_BBALADAGS" localSheetId="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hidden="1">[1]Tabell!#REF!</definedName>
    <definedName name="__123Graph_LBL_CBALADAGS" localSheetId="4" hidden="1">[1]Tabell!#REF!</definedName>
    <definedName name="__123Graph_LBL_CBALADAGS" localSheetId="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hidden="1">[1]Tabell!#REF!</definedName>
    <definedName name="__123Graph_LBL_DBALADAGS" localSheetId="4" hidden="1">[1]Tabell!#REF!</definedName>
    <definedName name="__123Graph_LBL_DBALADAGS" localSheetId="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hidden="1">[1]Tabell!#REF!</definedName>
    <definedName name="__123Graph_LBL_EBALADAGS" localSheetId="4" hidden="1">[1]Tabell!#REF!</definedName>
    <definedName name="__123Graph_LBL_EBALADAGS" localSheetId="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hidden="1">[1]Tabell!#REF!</definedName>
    <definedName name="__123Graph_LBL_FBALADAGS" localSheetId="4" hidden="1">[1]Tabell!#REF!</definedName>
    <definedName name="__123Graph_LBL_FBALADAGS" localSheetId="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hidden="1">[1]Tabell!#REF!</definedName>
    <definedName name="__123Graph_XBALADAGS" localSheetId="4" hidden="1">[1]Tabell!#REF!</definedName>
    <definedName name="__123Graph_XBALADAGS" localSheetId="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hidden="1">[1]Tabell!#REF!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4" hidden="1">'[2]Market Cap'!#REF!</definedName>
    <definedName name="_GSRATESR_2" localSheetId="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hidden="1">#REF!</definedName>
    <definedName name="_Order1" hidden="1">255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4" hidden="1">[1]Tabell!#REF!</definedName>
    <definedName name="ads" localSheetId="5" hidden="1">[1]Tabell!#REF!</definedName>
    <definedName name="ads" localSheetId="6" hidden="1">[1]Tabell!#REF!</definedName>
    <definedName name="ads" localSheetId="7" hidden="1">[1]Tabell!#REF!</definedName>
    <definedName name="ads" localSheetId="8" hidden="1">[1]Tabell!#REF!</definedName>
    <definedName name="ads" localSheetId="9" hidden="1">[1]Tabell!#REF!</definedName>
    <definedName name="ads" hidden="1">[1]Tabell!#REF!</definedName>
    <definedName name="AS2DocOpenMode" hidden="1">"AS2DocumentEdit"</definedName>
    <definedName name="BLPB1" localSheetId="4" hidden="1">#REF!</definedName>
    <definedName name="BLPB1" localSheetId="5" hidden="1">#REF!</definedName>
    <definedName name="BLPB1" localSheetId="6" hidden="1">#REF!</definedName>
    <definedName name="BLPB1" localSheetId="7" hidden="1">#REF!</definedName>
    <definedName name="BLPB1" localSheetId="8" hidden="1">#REF!</definedName>
    <definedName name="BLPB1" localSheetId="9" hidden="1">#REF!</definedName>
    <definedName name="BLPB1" hidden="1">#REF!</definedName>
    <definedName name="BLPB2" localSheetId="4" hidden="1">#REF!</definedName>
    <definedName name="BLPB2" localSheetId="5" hidden="1">#REF!</definedName>
    <definedName name="BLPB2" localSheetId="6" hidden="1">#REF!</definedName>
    <definedName name="BLPB2" localSheetId="7" hidden="1">#REF!</definedName>
    <definedName name="BLPB2" localSheetId="8" hidden="1">#REF!</definedName>
    <definedName name="BLPB2" localSheetId="9" hidden="1">#REF!</definedName>
    <definedName name="BLPB2" hidden="1">#REF!</definedName>
    <definedName name="BLPH1" localSheetId="4" hidden="1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localSheetId="8" hidden="1">#REF!</definedName>
    <definedName name="BLPH1" localSheetId="9" hidden="1">#REF!</definedName>
    <definedName name="BLPH1" hidden="1">#REF!</definedName>
    <definedName name="BLPH2" localSheetId="4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localSheetId="8" hidden="1">#REF!</definedName>
    <definedName name="BLPH2" localSheetId="9" hidden="1">#REF!</definedName>
    <definedName name="BLPH2" hidden="1">#REF!</definedName>
    <definedName name="BLPH3" localSheetId="4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localSheetId="8" hidden="1">#REF!</definedName>
    <definedName name="BLPH3" localSheetId="9" hidden="1">#REF!</definedName>
    <definedName name="BLPH3" hidden="1">#REF!</definedName>
    <definedName name="BLPH4" localSheetId="4" hidden="1">#REF!</definedName>
    <definedName name="BLPH4" localSheetId="5" hidden="1">#REF!</definedName>
    <definedName name="BLPH4" localSheetId="6" hidden="1">#REF!</definedName>
    <definedName name="BLPH4" localSheetId="7" hidden="1">#REF!</definedName>
    <definedName name="BLPH4" localSheetId="8" hidden="1">#REF!</definedName>
    <definedName name="BLPH4" localSheetId="9" hidden="1">#REF!</definedName>
    <definedName name="BLPH4" hidden="1">#REF!</definedName>
    <definedName name="BLPH5" localSheetId="4" hidden="1">#REF!</definedName>
    <definedName name="BLPH5" localSheetId="5" hidden="1">#REF!</definedName>
    <definedName name="BLPH5" localSheetId="6" hidden="1">#REF!</definedName>
    <definedName name="BLPH5" localSheetId="7" hidden="1">#REF!</definedName>
    <definedName name="BLPH5" localSheetId="8" hidden="1">#REF!</definedName>
    <definedName name="BLPH5" localSheetId="9" hidden="1">#REF!</definedName>
    <definedName name="BLPH5" hidden="1">#REF!</definedName>
    <definedName name="BLPH6" localSheetId="4" hidden="1">#REF!</definedName>
    <definedName name="BLPH6" localSheetId="5" hidden="1">#REF!</definedName>
    <definedName name="BLPH6" localSheetId="6" hidden="1">#REF!</definedName>
    <definedName name="BLPH6" localSheetId="7" hidden="1">#REF!</definedName>
    <definedName name="BLPH6" localSheetId="8" hidden="1">#REF!</definedName>
    <definedName name="BLPH6" localSheetId="9" hidden="1">#REF!</definedName>
    <definedName name="BLPH6" hidden="1">#REF!</definedName>
    <definedName name="BLPH7" localSheetId="4" hidden="1">#REF!</definedName>
    <definedName name="BLPH7" localSheetId="5" hidden="1">#REF!</definedName>
    <definedName name="BLPH7" localSheetId="6" hidden="1">#REF!</definedName>
    <definedName name="BLPH7" localSheetId="7" hidden="1">#REF!</definedName>
    <definedName name="BLPH7" localSheetId="8" hidden="1">#REF!</definedName>
    <definedName name="BLPH7" localSheetId="9" hidden="1">#REF!</definedName>
    <definedName name="BLPH7" hidden="1">#REF!</definedName>
    <definedName name="BLPH8" localSheetId="4" hidden="1">#REF!</definedName>
    <definedName name="BLPH8" localSheetId="5" hidden="1">#REF!</definedName>
    <definedName name="BLPH8" localSheetId="6" hidden="1">#REF!</definedName>
    <definedName name="BLPH8" localSheetId="7" hidden="1">#REF!</definedName>
    <definedName name="BLPH8" localSheetId="8" hidden="1">#REF!</definedName>
    <definedName name="BLPH8" localSheetId="9" hidden="1">#REF!</definedName>
    <definedName name="BLPH8" hidden="1">#REF!</definedName>
    <definedName name="business_model" hidden="1">{#N/A,#N/A,FALSE,"Annual Earnings Model";#N/A,#N/A,FALSE,"Quarterly Earnings Model";#N/A,#N/A,FALSE,"Header";#N/A,#N/A,FALSE,"Notes"}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5" hidden="1">[1]Tabell!#REF!</definedName>
    <definedName name="dfhgd" localSheetId="7" hidden="1">[1]Tabell!#REF!</definedName>
    <definedName name="dfhgd" localSheetId="8" hidden="1">[1]Tabell!#REF!</definedName>
    <definedName name="dfhgd" hidden="1">[1]Tabell!#REF!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5" hidden="1">[1]Tabell!#REF!</definedName>
    <definedName name="LI" localSheetId="7" hidden="1">[1]Tabell!#REF!</definedName>
    <definedName name="LI" localSheetId="8" hidden="1">[1]Tabell!#REF!</definedName>
    <definedName name="LI" hidden="1">[1]Tabell!#REF!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rint_A">#N/A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hidden="1">{#N/A,#N/A,FALSE,"Annual Earnings Model";#N/A,#N/A,FALSE,"Quarterly Earnings Model";#N/A,#N/A,FALSE,"Header";#N/A,#N/A,FALSE,"Notes"}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5" hidden="1">[1]Tabell!#REF!</definedName>
    <definedName name="TEST" localSheetId="7" hidden="1">[1]Tabell!#REF!</definedName>
    <definedName name="TEST" localSheetId="8" hidden="1">[1]Tabell!#REF!</definedName>
    <definedName name="TEST" hidden="1">[1]Tabell!#REF!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hidden="1">{#N/A,#N/A,FALSE,"Annual Earnings Model";#N/A,#N/A,FALSE,"Quarterly Earnings Model";#N/A,#N/A,FALSE,"Header";#N/A,#N/A,FALSE,"Notes"}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4" hidden="1">[3]In99!#REF!</definedName>
    <definedName name="xxxxxxx" localSheetId="5" hidden="1">[3]In99!#REF!</definedName>
    <definedName name="xxxxxxx" localSheetId="6" hidden="1">[3]In99!#REF!</definedName>
    <definedName name="xxxxxxx" localSheetId="7" hidden="1">[3]In99!#REF!</definedName>
    <definedName name="xxxxxxx" localSheetId="8" hidden="1">[3]In99!#REF!</definedName>
    <definedName name="xxxxxxx" localSheetId="9" hidden="1">[3]In99!#REF!</definedName>
    <definedName name="xxxxxxx" hidden="1">[3]In99!#REF!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3" i="96" l="1"/>
  <c r="I142" i="96"/>
  <c r="C142" i="96"/>
  <c r="Q133" i="96"/>
  <c r="O133" i="96"/>
  <c r="M133" i="96"/>
  <c r="K133" i="96"/>
  <c r="I133" i="96"/>
  <c r="G133" i="96"/>
  <c r="E133" i="96"/>
  <c r="O132" i="96"/>
  <c r="G132" i="96"/>
  <c r="AA131" i="96"/>
  <c r="Y131" i="96"/>
  <c r="W131" i="96"/>
  <c r="U131" i="96"/>
  <c r="S131" i="96"/>
  <c r="Q131" i="96"/>
  <c r="Q132" i="96"/>
  <c r="M131" i="96"/>
  <c r="M132" i="96"/>
  <c r="M134" i="96"/>
  <c r="K131" i="96"/>
  <c r="I131" i="96"/>
  <c r="I132" i="96"/>
  <c r="E131" i="96"/>
  <c r="E132" i="96"/>
  <c r="E134" i="96"/>
  <c r="C131" i="96"/>
  <c r="C132" i="96"/>
  <c r="K132" i="96"/>
  <c r="R126" i="96"/>
  <c r="N126" i="96"/>
  <c r="C133" i="96"/>
  <c r="N124" i="96"/>
  <c r="O121" i="96"/>
  <c r="M121" i="96"/>
  <c r="I117" i="96"/>
  <c r="I123" i="96"/>
  <c r="I125" i="96"/>
  <c r="I127" i="96"/>
  <c r="I143" i="96"/>
  <c r="G117" i="96"/>
  <c r="G123" i="96"/>
  <c r="G125" i="96"/>
  <c r="G127" i="96"/>
  <c r="G143" i="96"/>
  <c r="G144" i="96"/>
  <c r="E117" i="96"/>
  <c r="E123" i="96"/>
  <c r="E125" i="96"/>
  <c r="E127" i="96"/>
  <c r="E143" i="96"/>
  <c r="E144" i="96"/>
  <c r="AA113" i="96"/>
  <c r="Y113" i="96"/>
  <c r="W113" i="96"/>
  <c r="U113" i="96"/>
  <c r="S113" i="96"/>
  <c r="Q113" i="96"/>
  <c r="O113" i="96"/>
  <c r="M113" i="96"/>
  <c r="K113" i="96"/>
  <c r="I113" i="96"/>
  <c r="G113" i="96"/>
  <c r="E113" i="96"/>
  <c r="AA112" i="96"/>
  <c r="Y112" i="96"/>
  <c r="Y114" i="96"/>
  <c r="W112" i="96"/>
  <c r="W114" i="96"/>
  <c r="U112" i="96"/>
  <c r="U114" i="96"/>
  <c r="S112" i="96"/>
  <c r="O112" i="96"/>
  <c r="O117" i="96"/>
  <c r="O123" i="96"/>
  <c r="O125" i="96"/>
  <c r="O127" i="96"/>
  <c r="M112" i="96"/>
  <c r="K112" i="96"/>
  <c r="I112" i="96"/>
  <c r="I114" i="96"/>
  <c r="G112" i="96"/>
  <c r="E112" i="96"/>
  <c r="E114" i="96"/>
  <c r="Q109" i="96"/>
  <c r="AA108" i="96"/>
  <c r="AA109" i="96"/>
  <c r="Y108" i="96"/>
  <c r="Y109" i="96"/>
  <c r="W108" i="96"/>
  <c r="W109" i="96"/>
  <c r="U108" i="96"/>
  <c r="U109" i="96"/>
  <c r="S108" i="96"/>
  <c r="S109" i="96"/>
  <c r="Q108" i="96"/>
  <c r="O108" i="96"/>
  <c r="O109" i="96"/>
  <c r="M108" i="96"/>
  <c r="M109" i="96"/>
  <c r="K108" i="96"/>
  <c r="K109" i="96"/>
  <c r="I108" i="96"/>
  <c r="I109" i="96"/>
  <c r="G108" i="96"/>
  <c r="G109" i="96"/>
  <c r="E108" i="96"/>
  <c r="E109" i="96"/>
  <c r="AA104" i="96"/>
  <c r="AA105" i="96"/>
  <c r="Y104" i="96"/>
  <c r="Y105" i="96"/>
  <c r="W104" i="96"/>
  <c r="W105" i="96"/>
  <c r="U104" i="96"/>
  <c r="U105" i="96"/>
  <c r="S104" i="96"/>
  <c r="S105" i="96"/>
  <c r="Q104" i="96"/>
  <c r="Q105" i="96"/>
  <c r="O104" i="96"/>
  <c r="O105" i="96"/>
  <c r="M104" i="96"/>
  <c r="M105" i="96"/>
  <c r="K104" i="96"/>
  <c r="K105" i="96"/>
  <c r="I104" i="96"/>
  <c r="I105" i="96"/>
  <c r="G104" i="96"/>
  <c r="G105" i="96"/>
  <c r="E104" i="96"/>
  <c r="E105" i="96"/>
  <c r="AA99" i="96"/>
  <c r="Y99" i="96"/>
  <c r="W99" i="96"/>
  <c r="U99" i="96"/>
  <c r="S99" i="96"/>
  <c r="Q99" i="96"/>
  <c r="O99" i="96"/>
  <c r="M99" i="96"/>
  <c r="I99" i="96"/>
  <c r="G99" i="96"/>
  <c r="E99" i="96"/>
  <c r="AA98" i="96"/>
  <c r="Y98" i="96"/>
  <c r="W98" i="96"/>
  <c r="U98" i="96"/>
  <c r="S98" i="96"/>
  <c r="Q98" i="96"/>
  <c r="O98" i="96"/>
  <c r="M98" i="96"/>
  <c r="K98" i="96"/>
  <c r="I98" i="96"/>
  <c r="I100" i="96"/>
  <c r="G98" i="96"/>
  <c r="E98" i="96"/>
  <c r="E100" i="96"/>
  <c r="S94" i="96"/>
  <c r="AA93" i="96"/>
  <c r="AA94" i="96"/>
  <c r="Y93" i="96"/>
  <c r="Y94" i="96"/>
  <c r="W93" i="96"/>
  <c r="W94" i="96"/>
  <c r="U93" i="96"/>
  <c r="U94" i="96"/>
  <c r="S93" i="96"/>
  <c r="Q93" i="96"/>
  <c r="Q94" i="96"/>
  <c r="O93" i="96"/>
  <c r="O94" i="96"/>
  <c r="M93" i="96"/>
  <c r="M94" i="96"/>
  <c r="I93" i="96"/>
  <c r="I94" i="96"/>
  <c r="G93" i="96"/>
  <c r="G94" i="96"/>
  <c r="E93" i="96"/>
  <c r="E94" i="96"/>
  <c r="C108" i="96"/>
  <c r="AA89" i="96"/>
  <c r="AA90" i="96"/>
  <c r="Y89" i="96"/>
  <c r="Y90" i="96"/>
  <c r="W89" i="96"/>
  <c r="W90" i="96"/>
  <c r="U89" i="96"/>
  <c r="U90" i="96"/>
  <c r="S89" i="96"/>
  <c r="S90" i="96"/>
  <c r="Q89" i="96"/>
  <c r="Q90" i="96"/>
  <c r="O89" i="96"/>
  <c r="O90" i="96"/>
  <c r="M89" i="96"/>
  <c r="M90" i="96"/>
  <c r="I89" i="96"/>
  <c r="I90" i="96"/>
  <c r="G89" i="96"/>
  <c r="G90" i="96"/>
  <c r="E89" i="96"/>
  <c r="E90" i="96"/>
  <c r="C104" i="96"/>
  <c r="AA84" i="96"/>
  <c r="AB84" i="96"/>
  <c r="Z84" i="96"/>
  <c r="Y84" i="96"/>
  <c r="W84" i="96"/>
  <c r="X84" i="96"/>
  <c r="V84" i="96"/>
  <c r="U84" i="96"/>
  <c r="S84" i="96"/>
  <c r="T84" i="96"/>
  <c r="R84" i="96"/>
  <c r="Q84" i="96"/>
  <c r="O84" i="96"/>
  <c r="P84" i="96"/>
  <c r="N84" i="96"/>
  <c r="M84" i="96"/>
  <c r="I84" i="96"/>
  <c r="J84" i="96"/>
  <c r="H84" i="96"/>
  <c r="G84" i="96"/>
  <c r="E84" i="96"/>
  <c r="F84" i="96"/>
  <c r="AB83" i="96"/>
  <c r="C81" i="96"/>
  <c r="AA77" i="96"/>
  <c r="Y77" i="96"/>
  <c r="W77" i="96"/>
  <c r="U77" i="96"/>
  <c r="S77" i="96"/>
  <c r="Q77" i="96"/>
  <c r="O77" i="96"/>
  <c r="M77" i="96"/>
  <c r="I77" i="96"/>
  <c r="G77" i="96"/>
  <c r="E77" i="96"/>
  <c r="AA76" i="96"/>
  <c r="Y76" i="96"/>
  <c r="W76" i="96"/>
  <c r="U76" i="96"/>
  <c r="S76" i="96"/>
  <c r="Q76" i="96"/>
  <c r="O76" i="96"/>
  <c r="M76" i="96"/>
  <c r="I76" i="96"/>
  <c r="G76" i="96"/>
  <c r="E76" i="96"/>
  <c r="AA75" i="96"/>
  <c r="Y75" i="96"/>
  <c r="Y78" i="96"/>
  <c r="W75" i="96"/>
  <c r="U75" i="96"/>
  <c r="S75" i="96"/>
  <c r="Q75" i="96"/>
  <c r="Q78" i="96"/>
  <c r="O75" i="96"/>
  <c r="O78" i="96"/>
  <c r="M75" i="96"/>
  <c r="K75" i="96"/>
  <c r="I75" i="96"/>
  <c r="G75" i="96"/>
  <c r="E75" i="96"/>
  <c r="AB73" i="96"/>
  <c r="Z73" i="96"/>
  <c r="X73" i="96"/>
  <c r="V73" i="96"/>
  <c r="T73" i="96"/>
  <c r="R73" i="96"/>
  <c r="AA72" i="96"/>
  <c r="Y72" i="96"/>
  <c r="W72" i="96"/>
  <c r="U72" i="96"/>
  <c r="S72" i="96"/>
  <c r="Q72" i="96"/>
  <c r="AA67" i="96"/>
  <c r="Y67" i="96"/>
  <c r="W67" i="96"/>
  <c r="U67" i="96"/>
  <c r="S65" i="96"/>
  <c r="S67" i="96"/>
  <c r="E65" i="96"/>
  <c r="E67" i="96"/>
  <c r="AA64" i="96"/>
  <c r="AA66" i="96"/>
  <c r="Y64" i="96"/>
  <c r="W64" i="96"/>
  <c r="W66" i="96"/>
  <c r="U64" i="96"/>
  <c r="M65" i="96"/>
  <c r="M67" i="96"/>
  <c r="S64" i="96"/>
  <c r="K65" i="96"/>
  <c r="K67" i="96"/>
  <c r="Q64" i="96"/>
  <c r="O64" i="96"/>
  <c r="G65" i="96"/>
  <c r="G67" i="96"/>
  <c r="M64" i="96"/>
  <c r="M66" i="96"/>
  <c r="M68" i="96"/>
  <c r="I64" i="96"/>
  <c r="G64" i="96"/>
  <c r="E64" i="96"/>
  <c r="AA59" i="96"/>
  <c r="Y59" i="96"/>
  <c r="W59" i="96"/>
  <c r="U59" i="96"/>
  <c r="S59" i="96"/>
  <c r="Q59" i="96"/>
  <c r="O59" i="96"/>
  <c r="M59" i="96"/>
  <c r="K59" i="96"/>
  <c r="I59" i="96"/>
  <c r="G59" i="96"/>
  <c r="E59" i="96"/>
  <c r="C59" i="96"/>
  <c r="Q56" i="96"/>
  <c r="AA55" i="96"/>
  <c r="AA56" i="96"/>
  <c r="Y55" i="96"/>
  <c r="Y56" i="96"/>
  <c r="W55" i="96"/>
  <c r="W56" i="96"/>
  <c r="U55" i="96"/>
  <c r="U56" i="96"/>
  <c r="S55" i="96"/>
  <c r="S56" i="96"/>
  <c r="Q55" i="96"/>
  <c r="O55" i="96"/>
  <c r="O56" i="96"/>
  <c r="M55" i="96"/>
  <c r="M56" i="96"/>
  <c r="I55" i="96"/>
  <c r="I56" i="96"/>
  <c r="G55" i="96"/>
  <c r="G56" i="96"/>
  <c r="E55" i="96"/>
  <c r="E56" i="96"/>
  <c r="K64" i="96"/>
  <c r="AA50" i="96"/>
  <c r="Y50" i="96"/>
  <c r="W50" i="96"/>
  <c r="U50" i="96"/>
  <c r="AA43" i="96"/>
  <c r="Y43" i="96"/>
  <c r="W43" i="96"/>
  <c r="U43" i="96"/>
  <c r="AA42" i="96"/>
  <c r="AA40" i="96"/>
  <c r="S41" i="96"/>
  <c r="S43" i="96"/>
  <c r="Y40" i="96"/>
  <c r="Y42" i="96"/>
  <c r="W40" i="96"/>
  <c r="U40" i="96"/>
  <c r="U42" i="96"/>
  <c r="U44" i="96"/>
  <c r="S40" i="96"/>
  <c r="K41" i="96"/>
  <c r="K43" i="96"/>
  <c r="Q40" i="96"/>
  <c r="O40" i="96"/>
  <c r="M40" i="96"/>
  <c r="I40" i="96"/>
  <c r="G40" i="96"/>
  <c r="E40" i="96"/>
  <c r="C40" i="96"/>
  <c r="AA38" i="96"/>
  <c r="AA47" i="96"/>
  <c r="Y38" i="96"/>
  <c r="W38" i="96"/>
  <c r="W47" i="96"/>
  <c r="U38" i="96"/>
  <c r="M48" i="96"/>
  <c r="M50" i="96"/>
  <c r="S38" i="96"/>
  <c r="S51" i="96"/>
  <c r="Q38" i="96"/>
  <c r="O38" i="96"/>
  <c r="G48" i="96"/>
  <c r="G50" i="96"/>
  <c r="M38" i="96"/>
  <c r="E48" i="96"/>
  <c r="E50" i="96"/>
  <c r="I38" i="96"/>
  <c r="G38" i="96"/>
  <c r="E38" i="96"/>
  <c r="E47" i="96"/>
  <c r="K77" i="96"/>
  <c r="C77" i="96"/>
  <c r="K76" i="96"/>
  <c r="C76" i="96"/>
  <c r="C84" i="96"/>
  <c r="C93" i="96"/>
  <c r="AB33" i="96"/>
  <c r="AA33" i="96"/>
  <c r="Z33" i="96"/>
  <c r="Y33" i="96"/>
  <c r="X33" i="96"/>
  <c r="W33" i="96"/>
  <c r="V33" i="96"/>
  <c r="U33" i="96"/>
  <c r="T33" i="96"/>
  <c r="S33" i="96"/>
  <c r="R33" i="96"/>
  <c r="Q33" i="96"/>
  <c r="P33" i="96"/>
  <c r="O33" i="96"/>
  <c r="N33" i="96"/>
  <c r="M33" i="96"/>
  <c r="L33" i="96"/>
  <c r="K33" i="96"/>
  <c r="J33" i="96"/>
  <c r="I33" i="96"/>
  <c r="H33" i="96"/>
  <c r="G33" i="96"/>
  <c r="F33" i="96"/>
  <c r="E33" i="96"/>
  <c r="D33" i="96"/>
  <c r="C33" i="96"/>
  <c r="AB20" i="96"/>
  <c r="AA20" i="96"/>
  <c r="AB24" i="96"/>
  <c r="AB27" i="96"/>
  <c r="Y20" i="96"/>
  <c r="Z24" i="96"/>
  <c r="Z27" i="96"/>
  <c r="W20" i="96"/>
  <c r="U20" i="96"/>
  <c r="U23" i="96"/>
  <c r="U27" i="96"/>
  <c r="S20" i="96"/>
  <c r="P20" i="96"/>
  <c r="O20" i="96"/>
  <c r="N20" i="96"/>
  <c r="M20" i="96"/>
  <c r="J20" i="96"/>
  <c r="I20" i="96"/>
  <c r="H20" i="96"/>
  <c r="G20" i="96"/>
  <c r="F20" i="96"/>
  <c r="E20" i="96"/>
  <c r="D20" i="96"/>
  <c r="AB18" i="96"/>
  <c r="Z18" i="96"/>
  <c r="Z20" i="96"/>
  <c r="X18" i="96"/>
  <c r="X20" i="96"/>
  <c r="V18" i="96"/>
  <c r="V20" i="96"/>
  <c r="T18" i="96"/>
  <c r="T20" i="96"/>
  <c r="R18" i="96"/>
  <c r="R20" i="96"/>
  <c r="Q18" i="96"/>
  <c r="Q112" i="96"/>
  <c r="L20" i="96"/>
  <c r="K117" i="96"/>
  <c r="K123" i="96"/>
  <c r="K125" i="96"/>
  <c r="K127" i="96"/>
  <c r="C117" i="96"/>
  <c r="AA13" i="96"/>
  <c r="Z13" i="96"/>
  <c r="Y13" i="96"/>
  <c r="X13" i="96"/>
  <c r="W13" i="96"/>
  <c r="V13" i="96"/>
  <c r="V26" i="96"/>
  <c r="U13" i="96"/>
  <c r="T13" i="96"/>
  <c r="S13" i="96"/>
  <c r="P11" i="96"/>
  <c r="P12" i="96"/>
  <c r="P13" i="96"/>
  <c r="P26" i="96"/>
  <c r="O11" i="96"/>
  <c r="O12" i="96"/>
  <c r="O13" i="96"/>
  <c r="N11" i="96"/>
  <c r="N12" i="96"/>
  <c r="N13" i="96"/>
  <c r="M11" i="96"/>
  <c r="M12" i="96"/>
  <c r="M13" i="96"/>
  <c r="L11" i="96"/>
  <c r="L12" i="96"/>
  <c r="K11" i="96"/>
  <c r="K12" i="96"/>
  <c r="J11" i="96"/>
  <c r="J12" i="96"/>
  <c r="J13" i="96"/>
  <c r="I11" i="96"/>
  <c r="I12" i="96"/>
  <c r="I13" i="96"/>
  <c r="H11" i="96"/>
  <c r="H12" i="96"/>
  <c r="H13" i="96"/>
  <c r="H26" i="96"/>
  <c r="G11" i="96"/>
  <c r="G12" i="96"/>
  <c r="G13" i="96"/>
  <c r="F11" i="96"/>
  <c r="F12" i="96"/>
  <c r="F13" i="96"/>
  <c r="E11" i="96"/>
  <c r="E12" i="96"/>
  <c r="E13" i="96"/>
  <c r="R10" i="96"/>
  <c r="R13" i="96"/>
  <c r="Q10" i="96"/>
  <c r="Q13" i="96"/>
  <c r="AB7" i="96"/>
  <c r="AB81" i="96"/>
  <c r="Z7" i="96"/>
  <c r="Z81" i="96"/>
  <c r="X7" i="96"/>
  <c r="X81" i="96"/>
  <c r="X83" i="96"/>
  <c r="V7" i="96"/>
  <c r="T7" i="96"/>
  <c r="R7" i="96"/>
  <c r="R81" i="96"/>
  <c r="P7" i="96"/>
  <c r="P81" i="96"/>
  <c r="P83" i="96"/>
  <c r="N7" i="96"/>
  <c r="L7" i="96"/>
  <c r="L81" i="96"/>
  <c r="K7" i="96"/>
  <c r="K81" i="96"/>
  <c r="J7" i="96"/>
  <c r="H7" i="96"/>
  <c r="F7" i="96"/>
  <c r="F81" i="96"/>
  <c r="D7" i="96"/>
  <c r="D81" i="96"/>
  <c r="C7" i="96"/>
  <c r="AB85" i="96"/>
  <c r="AA7" i="96"/>
  <c r="AA81" i="96"/>
  <c r="AA83" i="96"/>
  <c r="AA85" i="96"/>
  <c r="N24" i="96"/>
  <c r="N27" i="96"/>
  <c r="G51" i="96"/>
  <c r="K114" i="96"/>
  <c r="Q134" i="96"/>
  <c r="R26" i="96"/>
  <c r="Z26" i="96"/>
  <c r="O51" i="96"/>
  <c r="J26" i="96"/>
  <c r="O48" i="96"/>
  <c r="O50" i="96"/>
  <c r="W78" i="96"/>
  <c r="M114" i="96"/>
  <c r="Q121" i="96"/>
  <c r="P85" i="96"/>
  <c r="X85" i="96"/>
  <c r="M41" i="96"/>
  <c r="M43" i="96"/>
  <c r="S78" i="96"/>
  <c r="AA78" i="96"/>
  <c r="I134" i="96"/>
  <c r="K134" i="96"/>
  <c r="K136" i="96"/>
  <c r="G114" i="96"/>
  <c r="C123" i="96"/>
  <c r="C125" i="96"/>
  <c r="C127" i="96"/>
  <c r="C143" i="96"/>
  <c r="C144" i="96"/>
  <c r="V24" i="96"/>
  <c r="V27" i="96"/>
  <c r="Y23" i="96"/>
  <c r="Y27" i="96"/>
  <c r="Q41" i="96"/>
  <c r="Q43" i="96"/>
  <c r="K48" i="96"/>
  <c r="K50" i="96"/>
  <c r="S66" i="96"/>
  <c r="O65" i="96"/>
  <c r="O67" i="96"/>
  <c r="M100" i="96"/>
  <c r="U100" i="96"/>
  <c r="S114" i="96"/>
  <c r="AA114" i="96"/>
  <c r="AB26" i="96"/>
  <c r="AB28" i="96"/>
  <c r="X26" i="96"/>
  <c r="X28" i="96"/>
  <c r="T26" i="96"/>
  <c r="V81" i="96"/>
  <c r="V83" i="96"/>
  <c r="V85" i="96"/>
  <c r="N81" i="96"/>
  <c r="N83" i="96"/>
  <c r="N85" i="96"/>
  <c r="J81" i="96"/>
  <c r="J83" i="96"/>
  <c r="J85" i="96"/>
  <c r="K83" i="96"/>
  <c r="D83" i="96"/>
  <c r="F24" i="96"/>
  <c r="F27" i="96"/>
  <c r="T24" i="96"/>
  <c r="T27" i="96"/>
  <c r="H24" i="96"/>
  <c r="H27" i="96"/>
  <c r="H28" i="96"/>
  <c r="M42" i="96"/>
  <c r="M44" i="96"/>
  <c r="AA44" i="96"/>
  <c r="M47" i="96"/>
  <c r="M60" i="96"/>
  <c r="M78" i="96"/>
  <c r="U78" i="96"/>
  <c r="G66" i="96"/>
  <c r="G68" i="96"/>
  <c r="O114" i="96"/>
  <c r="R83" i="96"/>
  <c r="R85" i="96"/>
  <c r="E41" i="96"/>
  <c r="E43" i="96"/>
  <c r="M51" i="96"/>
  <c r="F83" i="96"/>
  <c r="F85" i="96"/>
  <c r="L83" i="96"/>
  <c r="S7" i="96"/>
  <c r="S81" i="96"/>
  <c r="S83" i="96"/>
  <c r="S85" i="96"/>
  <c r="Z83" i="96"/>
  <c r="Z85" i="96"/>
  <c r="X24" i="96"/>
  <c r="X27" i="96"/>
  <c r="I41" i="96"/>
  <c r="I43" i="96"/>
  <c r="U47" i="96"/>
  <c r="U60" i="96"/>
  <c r="U61" i="96"/>
  <c r="S48" i="96"/>
  <c r="S50" i="96"/>
  <c r="K66" i="96"/>
  <c r="E66" i="96"/>
  <c r="E68" i="96"/>
  <c r="U66" i="96"/>
  <c r="U68" i="96"/>
  <c r="G78" i="96"/>
  <c r="C98" i="96"/>
  <c r="Q100" i="96"/>
  <c r="Y100" i="96"/>
  <c r="M117" i="96"/>
  <c r="M123" i="96"/>
  <c r="M125" i="96"/>
  <c r="M127" i="96"/>
  <c r="N26" i="96"/>
  <c r="N28" i="96"/>
  <c r="F26" i="96"/>
  <c r="F28" i="96"/>
  <c r="T81" i="96"/>
  <c r="T83" i="96"/>
  <c r="T85" i="96"/>
  <c r="H81" i="96"/>
  <c r="H83" i="96"/>
  <c r="H85" i="96"/>
  <c r="Z28" i="96"/>
  <c r="C134" i="96"/>
  <c r="K13" i="96"/>
  <c r="K26" i="96"/>
  <c r="K20" i="96"/>
  <c r="E23" i="96"/>
  <c r="E27" i="96"/>
  <c r="C65" i="96"/>
  <c r="C67" i="96"/>
  <c r="D84" i="96"/>
  <c r="D85" i="96"/>
  <c r="L13" i="96"/>
  <c r="L26" i="96"/>
  <c r="C105" i="96"/>
  <c r="D11" i="96"/>
  <c r="D12" i="96"/>
  <c r="D13" i="96"/>
  <c r="D26" i="96"/>
  <c r="Q117" i="96"/>
  <c r="Q123" i="96"/>
  <c r="Q125" i="96"/>
  <c r="Q127" i="96"/>
  <c r="Q114" i="96"/>
  <c r="C112" i="96"/>
  <c r="C114" i="96"/>
  <c r="Q11" i="96"/>
  <c r="Q12" i="96"/>
  <c r="Q20" i="96"/>
  <c r="M23" i="96"/>
  <c r="M27" i="96"/>
  <c r="S23" i="96"/>
  <c r="S27" i="96"/>
  <c r="AA23" i="96"/>
  <c r="AA27" i="96"/>
  <c r="W60" i="96"/>
  <c r="W49" i="96"/>
  <c r="W51" i="96"/>
  <c r="O42" i="96"/>
  <c r="O44" i="96"/>
  <c r="G41" i="96"/>
  <c r="G43" i="96"/>
  <c r="W42" i="96"/>
  <c r="W44" i="96"/>
  <c r="O41" i="96"/>
  <c r="O43" i="96"/>
  <c r="E49" i="96"/>
  <c r="E51" i="96"/>
  <c r="E60" i="96"/>
  <c r="C64" i="96"/>
  <c r="C56" i="96"/>
  <c r="I65" i="96"/>
  <c r="I67" i="96"/>
  <c r="Q65" i="96"/>
  <c r="Q67" i="96"/>
  <c r="Y66" i="96"/>
  <c r="Y68" i="96"/>
  <c r="G134" i="96"/>
  <c r="R11" i="96"/>
  <c r="R12" i="96"/>
  <c r="K78" i="96"/>
  <c r="I48" i="96"/>
  <c r="I50" i="96"/>
  <c r="Q51" i="96"/>
  <c r="Q47" i="96"/>
  <c r="Q48" i="96"/>
  <c r="Q50" i="96"/>
  <c r="Y47" i="96"/>
  <c r="G42" i="96"/>
  <c r="G44" i="96"/>
  <c r="Y44" i="96"/>
  <c r="S42" i="96"/>
  <c r="S44" i="96"/>
  <c r="M49" i="96"/>
  <c r="W61" i="96"/>
  <c r="O134" i="96"/>
  <c r="I7" i="96"/>
  <c r="I81" i="96"/>
  <c r="Y7" i="96"/>
  <c r="Y81" i="96"/>
  <c r="C11" i="96"/>
  <c r="C12" i="96"/>
  <c r="C13" i="96"/>
  <c r="C26" i="96"/>
  <c r="C20" i="96"/>
  <c r="G23" i="96"/>
  <c r="G27" i="96"/>
  <c r="W23" i="96"/>
  <c r="W27" i="96"/>
  <c r="V28" i="96"/>
  <c r="I51" i="96"/>
  <c r="I47" i="96"/>
  <c r="AA60" i="96"/>
  <c r="AA61" i="96"/>
  <c r="AA49" i="96"/>
  <c r="AA51" i="96"/>
  <c r="K93" i="96"/>
  <c r="K94" i="96"/>
  <c r="K84" i="96"/>
  <c r="L84" i="96"/>
  <c r="K99" i="96"/>
  <c r="K89" i="96"/>
  <c r="K90" i="96"/>
  <c r="K55" i="96"/>
  <c r="K56" i="96"/>
  <c r="C44" i="96"/>
  <c r="K40" i="96"/>
  <c r="K38" i="96"/>
  <c r="C38" i="96"/>
  <c r="G47" i="96"/>
  <c r="O47" i="96"/>
  <c r="K68" i="96"/>
  <c r="E61" i="96"/>
  <c r="M61" i="96"/>
  <c r="S68" i="96"/>
  <c r="AA68" i="96"/>
  <c r="C75" i="96"/>
  <c r="C78" i="96"/>
  <c r="I78" i="96"/>
  <c r="C94" i="96"/>
  <c r="K100" i="96"/>
  <c r="S100" i="96"/>
  <c r="AA100" i="96"/>
  <c r="C109" i="96"/>
  <c r="I144" i="96"/>
  <c r="C55" i="96"/>
  <c r="C83" i="96"/>
  <c r="C85" i="96"/>
  <c r="C89" i="96"/>
  <c r="C90" i="96"/>
  <c r="C99" i="96"/>
  <c r="C100" i="96"/>
  <c r="S47" i="96"/>
  <c r="W68" i="96"/>
  <c r="E78" i="96"/>
  <c r="G100" i="96"/>
  <c r="O100" i="96"/>
  <c r="W100" i="96"/>
  <c r="E42" i="96"/>
  <c r="E44" i="96"/>
  <c r="I42" i="96"/>
  <c r="I44" i="96"/>
  <c r="I136" i="96"/>
  <c r="Q7" i="96"/>
  <c r="Q136" i="96"/>
  <c r="T28" i="96"/>
  <c r="C136" i="96"/>
  <c r="C139" i="96"/>
  <c r="C140" i="96"/>
  <c r="U49" i="96"/>
  <c r="U51" i="96"/>
  <c r="Q42" i="96"/>
  <c r="Q44" i="96"/>
  <c r="AA26" i="96"/>
  <c r="AA28" i="96"/>
  <c r="L85" i="96"/>
  <c r="O66" i="96"/>
  <c r="O68" i="96"/>
  <c r="O23" i="96"/>
  <c r="O27" i="96"/>
  <c r="I66" i="96"/>
  <c r="I68" i="96"/>
  <c r="K23" i="96"/>
  <c r="K27" i="96"/>
  <c r="K28" i="96"/>
  <c r="Y26" i="96"/>
  <c r="S26" i="96"/>
  <c r="S28" i="96"/>
  <c r="I139" i="96"/>
  <c r="I140" i="96"/>
  <c r="Q81" i="96"/>
  <c r="Q83" i="96"/>
  <c r="Q85" i="96"/>
  <c r="I26" i="96"/>
  <c r="C66" i="96"/>
  <c r="C68" i="96"/>
  <c r="L24" i="96"/>
  <c r="L27" i="96"/>
  <c r="L28" i="96"/>
  <c r="I23" i="96"/>
  <c r="I27" i="96"/>
  <c r="I28" i="96"/>
  <c r="J24" i="96"/>
  <c r="J27" i="96"/>
  <c r="J28" i="96"/>
  <c r="O60" i="96"/>
  <c r="O61" i="96"/>
  <c r="O49" i="96"/>
  <c r="D24" i="96"/>
  <c r="D27" i="96"/>
  <c r="D28" i="96"/>
  <c r="C23" i="96"/>
  <c r="C27" i="96"/>
  <c r="C28" i="96"/>
  <c r="S60" i="96"/>
  <c r="S61" i="96"/>
  <c r="S49" i="96"/>
  <c r="G49" i="96"/>
  <c r="G60" i="96"/>
  <c r="G61" i="96"/>
  <c r="C41" i="96"/>
  <c r="K42" i="96"/>
  <c r="K44" i="96"/>
  <c r="Q66" i="96"/>
  <c r="Q68" i="96"/>
  <c r="Q23" i="96"/>
  <c r="Q27" i="96"/>
  <c r="R24" i="96"/>
  <c r="R27" i="96"/>
  <c r="R28" i="96"/>
  <c r="P24" i="96"/>
  <c r="P27" i="96"/>
  <c r="P28" i="96"/>
  <c r="Q60" i="96"/>
  <c r="Q61" i="96"/>
  <c r="Q49" i="96"/>
  <c r="C51" i="96"/>
  <c r="C47" i="96"/>
  <c r="I60" i="96"/>
  <c r="I61" i="96"/>
  <c r="I49" i="96"/>
  <c r="Y83" i="96"/>
  <c r="Y85" i="96"/>
  <c r="W7" i="96"/>
  <c r="I83" i="96"/>
  <c r="I85" i="96"/>
  <c r="G7" i="96"/>
  <c r="G136" i="96"/>
  <c r="G139" i="96"/>
  <c r="G140" i="96"/>
  <c r="Y60" i="96"/>
  <c r="Y61" i="96"/>
  <c r="Y49" i="96"/>
  <c r="Y51" i="96"/>
  <c r="Y28" i="96"/>
  <c r="K51" i="96"/>
  <c r="K47" i="96"/>
  <c r="C48" i="96"/>
  <c r="C50" i="96"/>
  <c r="O7" i="96"/>
  <c r="O136" i="96"/>
  <c r="K85" i="96"/>
  <c r="Q26" i="96"/>
  <c r="Q28" i="96"/>
  <c r="W81" i="96"/>
  <c r="W83" i="96"/>
  <c r="W85" i="96"/>
  <c r="W26" i="96"/>
  <c r="W28" i="96"/>
  <c r="O81" i="96"/>
  <c r="O26" i="96"/>
  <c r="O28" i="96"/>
  <c r="G81" i="96"/>
  <c r="G83" i="96"/>
  <c r="G85" i="96"/>
  <c r="G26" i="96"/>
  <c r="G28" i="96"/>
  <c r="E7" i="96"/>
  <c r="E136" i="96"/>
  <c r="C43" i="96"/>
  <c r="C42" i="96"/>
  <c r="O83" i="96"/>
  <c r="O85" i="96"/>
  <c r="M7" i="96"/>
  <c r="M136" i="96"/>
  <c r="K60" i="96"/>
  <c r="K61" i="96"/>
  <c r="K49" i="96"/>
  <c r="U7" i="96"/>
  <c r="C60" i="96"/>
  <c r="C61" i="96"/>
  <c r="C49" i="96"/>
  <c r="E81" i="96"/>
  <c r="E83" i="96"/>
  <c r="E85" i="96"/>
  <c r="E26" i="96"/>
  <c r="U81" i="96"/>
  <c r="U26" i="96"/>
  <c r="U28" i="96"/>
  <c r="M81" i="96"/>
  <c r="M26" i="96"/>
  <c r="M28" i="96"/>
  <c r="E139" i="96"/>
  <c r="E140" i="96"/>
  <c r="E28" i="96"/>
  <c r="M83" i="96"/>
  <c r="M85" i="96"/>
  <c r="U83" i="96"/>
  <c r="U85" i="96"/>
  <c r="H19" i="3"/>
  <c r="G19" i="3"/>
  <c r="F19" i="3"/>
  <c r="E19" i="3"/>
  <c r="D19" i="3"/>
  <c r="D132" i="6"/>
  <c r="D122" i="6"/>
  <c r="G97" i="6"/>
  <c r="H97" i="6"/>
  <c r="D9" i="6"/>
  <c r="F97" i="6"/>
  <c r="E97" i="6"/>
  <c r="E132" i="6"/>
  <c r="E122" i="6"/>
  <c r="H122" i="6"/>
  <c r="G122" i="6"/>
  <c r="F122" i="6"/>
  <c r="H132" i="6"/>
  <c r="G132" i="6"/>
  <c r="F132" i="6"/>
  <c r="H18" i="86"/>
  <c r="G18" i="86"/>
  <c r="F18" i="86"/>
  <c r="E18" i="86"/>
  <c r="D18" i="86"/>
  <c r="G20" i="86"/>
  <c r="F20" i="86"/>
  <c r="D20" i="86"/>
  <c r="H20" i="86"/>
  <c r="H25" i="86"/>
  <c r="E20" i="86"/>
  <c r="H93" i="6"/>
  <c r="H106" i="6"/>
  <c r="H125" i="6"/>
  <c r="G106" i="6"/>
  <c r="G125" i="6"/>
  <c r="F93" i="6"/>
  <c r="F106" i="6"/>
  <c r="F125" i="6"/>
  <c r="E93" i="6"/>
  <c r="E106" i="6"/>
  <c r="E125" i="6"/>
  <c r="D93" i="6"/>
  <c r="D106" i="6"/>
  <c r="D125" i="6"/>
  <c r="E25" i="86"/>
  <c r="D25" i="86"/>
  <c r="F25" i="86"/>
  <c r="G25" i="86"/>
  <c r="E9" i="6"/>
  <c r="F9" i="6"/>
  <c r="G9" i="6"/>
  <c r="H9" i="6"/>
  <c r="D28" i="86"/>
  <c r="F28" i="86"/>
  <c r="E28" i="86"/>
  <c r="G28" i="86"/>
  <c r="H28" i="86"/>
  <c r="G7" i="6"/>
  <c r="E7" i="6"/>
  <c r="H7" i="6"/>
  <c r="F7" i="6"/>
  <c r="D7" i="6"/>
</calcChain>
</file>

<file path=xl/sharedStrings.xml><?xml version="1.0" encoding="utf-8"?>
<sst xmlns="http://schemas.openxmlformats.org/spreadsheetml/2006/main" count="592" uniqueCount="329">
  <si>
    <t>Other</t>
  </si>
  <si>
    <t>Total assets</t>
  </si>
  <si>
    <t xml:space="preserve"> </t>
  </si>
  <si>
    <t>Name</t>
  </si>
  <si>
    <t>No.</t>
  </si>
  <si>
    <t>Contents (linked)</t>
  </si>
  <si>
    <t>SpareBank 1 Finans Østlandet AS</t>
  </si>
  <si>
    <t>EiendomsMegler 1 Hedmark Eiendom AS</t>
  </si>
  <si>
    <t>SpareBank 1 Regnskapshuset Østlandet AS</t>
  </si>
  <si>
    <t>SpareBank 1 Boligkreditt AS</t>
  </si>
  <si>
    <t>SpareBank 1 Næringskreditt AS</t>
  </si>
  <si>
    <t>SpareBank 1 Kredittkort AS</t>
  </si>
  <si>
    <t>SpareBank 1 Gruppen AS</t>
  </si>
  <si>
    <t>SpareBank 1 Betaling AS</t>
  </si>
  <si>
    <t>Results from the quarterly accounts Group</t>
  </si>
  <si>
    <t>Q1</t>
  </si>
  <si>
    <t>Q4</t>
  </si>
  <si>
    <t>Q3</t>
  </si>
  <si>
    <t>Q2</t>
  </si>
  <si>
    <t xml:space="preserve">Q1 </t>
  </si>
  <si>
    <t>Interest income</t>
  </si>
  <si>
    <t>Interest expense</t>
  </si>
  <si>
    <t>Net interest income</t>
  </si>
  <si>
    <t>Commission income</t>
  </si>
  <si>
    <t>Commission expenses</t>
  </si>
  <si>
    <t>Other operating income</t>
  </si>
  <si>
    <t>Net commission and other operating income</t>
  </si>
  <si>
    <t>Dividends from other than Group companies</t>
  </si>
  <si>
    <t>Net profit from ownership interests</t>
  </si>
  <si>
    <t>Net profit from other financial assets and liabilities</t>
  </si>
  <si>
    <t>Net income from financial assets and liabilities</t>
  </si>
  <si>
    <t>Total income</t>
  </si>
  <si>
    <t>Personnel expenses</t>
  </si>
  <si>
    <t>Depreciation</t>
  </si>
  <si>
    <t>Other operating expenses</t>
  </si>
  <si>
    <t>Total operating expenses</t>
  </si>
  <si>
    <t>Operating profit before losses on loans and guarantees</t>
  </si>
  <si>
    <t>Losses on loans and guarantees</t>
  </si>
  <si>
    <t>Pre-tax operating profit</t>
  </si>
  <si>
    <t>Tax expense</t>
  </si>
  <si>
    <t>Profit after tax</t>
  </si>
  <si>
    <t>Profitability</t>
  </si>
  <si>
    <t>From the balance sheet</t>
  </si>
  <si>
    <t>Gross loans to customers</t>
  </si>
  <si>
    <t>Deposits from customers</t>
  </si>
  <si>
    <t>Growth in deposits in the last 12 months</t>
  </si>
  <si>
    <t>Average total assets</t>
  </si>
  <si>
    <t>Losses and commitments in default</t>
  </si>
  <si>
    <t>Financial strength</t>
  </si>
  <si>
    <t>Common equity Tier 1 capital ratio</t>
  </si>
  <si>
    <t xml:space="preserve">Tier 1 capital ratio </t>
  </si>
  <si>
    <t>Capital ratio</t>
  </si>
  <si>
    <t>Net subordinated capital</t>
  </si>
  <si>
    <t>Return on equity capital 1)</t>
  </si>
  <si>
    <t>Net interest income 2)</t>
  </si>
  <si>
    <t>Cost-income-ratio 3)</t>
  </si>
  <si>
    <t>Gross loans to customers including loans transferred to covered bond companies 1)</t>
  </si>
  <si>
    <t>Growth in loans during the last 12 months 1)</t>
  </si>
  <si>
    <t>Growth in loans including loans transferred to covered bond companies in the last 12 months 1)</t>
  </si>
  <si>
    <t>Deposit-to-loan-ratio 1)</t>
  </si>
  <si>
    <t>Total assets including loans transferred to covered bond companies 1)</t>
  </si>
  <si>
    <t>Losses on loans as a percentage of gross loans 1)</t>
  </si>
  <si>
    <t>Commitments in default, percentage of gross loans 1)</t>
  </si>
  <si>
    <t>Other doubtful commitments, percentage of gross loans 1)</t>
  </si>
  <si>
    <t>Net commitments in default and other doutful commitments,  percentage of gross loans 1)</t>
  </si>
  <si>
    <t>Contact information</t>
  </si>
  <si>
    <t>For further information, please contact</t>
  </si>
  <si>
    <t>Address</t>
  </si>
  <si>
    <t>Telephone number</t>
  </si>
  <si>
    <t>Information on the Internet</t>
  </si>
  <si>
    <t>Financial calendar</t>
  </si>
  <si>
    <t>2018</t>
  </si>
  <si>
    <t>Annual report 2017</t>
  </si>
  <si>
    <t>4. quarter 2017</t>
  </si>
  <si>
    <t>Friday 9 February</t>
  </si>
  <si>
    <t>Friday 23 March</t>
  </si>
  <si>
    <t>Ex. Dividend</t>
  </si>
  <si>
    <t>Dividend payment date</t>
  </si>
  <si>
    <t>Friday 6 April</t>
  </si>
  <si>
    <t>1. quarter 2018</t>
  </si>
  <si>
    <t>Friday 27 April</t>
  </si>
  <si>
    <t>2. quarter 2018</t>
  </si>
  <si>
    <t>Tuesday 7 August</t>
  </si>
  <si>
    <t>3. quarter 2018</t>
  </si>
  <si>
    <t>Friday 26 October</t>
  </si>
  <si>
    <t>+47 918 82 071</t>
  </si>
  <si>
    <t>Geir-Egil Bolstad, CFO</t>
  </si>
  <si>
    <t>geir-egil.bolstad@sb1ostlandet.no</t>
  </si>
  <si>
    <t>Richard Heiberg</t>
  </si>
  <si>
    <t>Chief Executive Officer</t>
  </si>
  <si>
    <t>+47 915 07040</t>
  </si>
  <si>
    <t>Visiting address: SpareBank 1 Østlandet, Strandgata 15, Hamar</t>
  </si>
  <si>
    <t>SpareBank 1 Østlandet, Postboks 203, 2302 Hamar</t>
  </si>
  <si>
    <t>Q1-17</t>
  </si>
  <si>
    <t>Q3-17</t>
  </si>
  <si>
    <t>Q4-17</t>
  </si>
  <si>
    <t>Q1-18</t>
  </si>
  <si>
    <t>Commission fees from covered bond companies</t>
  </si>
  <si>
    <t>Net interest income an commission fees from covered bond companies (MNOK)</t>
  </si>
  <si>
    <t xml:space="preserve">Net interest income in % of average of average total assets </t>
  </si>
  <si>
    <t>Q2-17</t>
  </si>
  <si>
    <t>Deposit margin RM</t>
  </si>
  <si>
    <t>Deposit margin CM</t>
  </si>
  <si>
    <t>Group</t>
  </si>
  <si>
    <t>Payrolls</t>
  </si>
  <si>
    <t>Pensions</t>
  </si>
  <si>
    <t>Social security</t>
  </si>
  <si>
    <t>Admin. and other operating costs</t>
  </si>
  <si>
    <t>Lending margin, RM, incl. covered bond companies</t>
  </si>
  <si>
    <t>Lending margin, CM, incl. covered bond companies</t>
  </si>
  <si>
    <t>Income</t>
  </si>
  <si>
    <t>Expences</t>
  </si>
  <si>
    <t>Margins</t>
  </si>
  <si>
    <t>Q2-17*</t>
  </si>
  <si>
    <t>Commission income from credit cards</t>
  </si>
  <si>
    <t>Payment transmission</t>
  </si>
  <si>
    <t>Mutual fund and insurance commisions</t>
  </si>
  <si>
    <t>Income from real estate brokerage</t>
  </si>
  <si>
    <t>Income from accounting services</t>
  </si>
  <si>
    <t>Other income</t>
  </si>
  <si>
    <t>Sum</t>
  </si>
  <si>
    <t xml:space="preserve">of which restructuring costs and non-recurring effects </t>
  </si>
  <si>
    <t>Runar Hauge, Investor relations</t>
  </si>
  <si>
    <t>runar.hauge@sb1ostlandet.no</t>
  </si>
  <si>
    <t>+47 482 95 659</t>
  </si>
  <si>
    <t>NOK million</t>
  </si>
  <si>
    <t>Specification of the consolidated profit after tax in NOK millions:</t>
  </si>
  <si>
    <t>Parent Bank's profit after tax</t>
  </si>
  <si>
    <t>Dividends received from subsidiaries/associated companies</t>
  </si>
  <si>
    <t>Share of the result from:</t>
  </si>
  <si>
    <t>Bank 1 Oslo Akershus AS (Q1-17)</t>
  </si>
  <si>
    <t>EiendomsMegler 1 Oslo Akershus AS - Konsern</t>
  </si>
  <si>
    <t>Other associated companies/joint ventures</t>
  </si>
  <si>
    <t>Consolidated profit after tax</t>
  </si>
  <si>
    <t>Contribution from Associated companies and joint ventures</t>
  </si>
  <si>
    <t>Public sector</t>
  </si>
  <si>
    <t>Primary industries</t>
  </si>
  <si>
    <t>Paper and pulp industries</t>
  </si>
  <si>
    <t>Other industry</t>
  </si>
  <si>
    <t>Building and constructions</t>
  </si>
  <si>
    <t>Power and water supply</t>
  </si>
  <si>
    <t>Wholesale and retail trade</t>
  </si>
  <si>
    <t>Hotel and restaurants</t>
  </si>
  <si>
    <t>Real estate</t>
  </si>
  <si>
    <t>Commercial services</t>
  </si>
  <si>
    <t>Transport and communication</t>
  </si>
  <si>
    <t>Gross corporate loans by sector and industry</t>
  </si>
  <si>
    <t>Private customers</t>
  </si>
  <si>
    <t>Total gross loans by sector and industry</t>
  </si>
  <si>
    <t>Loan loss allowance for loans at amortised cost</t>
  </si>
  <si>
    <t>Fair value adjustments for loans at fair value through OCI</t>
  </si>
  <si>
    <t>Individual loan impairments to cover losses on loans</t>
  </si>
  <si>
    <t>Collective loan impairments to cover losses on loans</t>
  </si>
  <si>
    <t>Total loans to customers</t>
  </si>
  <si>
    <t>Loans transferred to SpareBank 1 Boligkreditt AS</t>
  </si>
  <si>
    <t>Loans transferred to SpareBank 1 Næringskreditt AS</t>
  </si>
  <si>
    <t>Total loans including loans transferred to covered bond companies</t>
  </si>
  <si>
    <t>Building and construction</t>
  </si>
  <si>
    <t>Transport and communications</t>
  </si>
  <si>
    <t>Other operations</t>
  </si>
  <si>
    <t>Total deposits by sector and industry</t>
  </si>
  <si>
    <t>Lending</t>
  </si>
  <si>
    <t>Deposits</t>
  </si>
  <si>
    <t>+47 902 06 018</t>
  </si>
  <si>
    <t>richard.heiberg@sb1ostlandet.no</t>
  </si>
  <si>
    <t>3.1 Net interest income and commissionfees from covered bonds companies</t>
  </si>
  <si>
    <t>3.2 Net commision and other income</t>
  </si>
  <si>
    <t>3.3 Net income from financial assets and liabilities</t>
  </si>
  <si>
    <t>3.4 Specification of the consolidated profit after tax in NOK millions:</t>
  </si>
  <si>
    <t>4.1 Expences Group</t>
  </si>
  <si>
    <t>5.1 Deposit margins</t>
  </si>
  <si>
    <t>5.2 Lending margins</t>
  </si>
  <si>
    <t>6.1 Development in volumes - Loans to customers</t>
  </si>
  <si>
    <t>7.1 Development in volumes - Deposits from customers</t>
  </si>
  <si>
    <t>APM</t>
  </si>
  <si>
    <t>01.01.2018-31.12.2018</t>
  </si>
  <si>
    <t>01.10.2018-31.12.2018</t>
  </si>
  <si>
    <t>01.01.2017-31.12.2017</t>
  </si>
  <si>
    <t>01.10.2017-31.12.2017</t>
  </si>
  <si>
    <t>01.01.2017-30.09.2017</t>
  </si>
  <si>
    <t>01.07.2017-30.09.2017</t>
  </si>
  <si>
    <t>01.01.2017-30.06.2017</t>
  </si>
  <si>
    <t>01.04.2017-30.06.2017</t>
  </si>
  <si>
    <t>01.01.2017-31.03.2017</t>
  </si>
  <si>
    <t>01.01.2016-31.12.2016</t>
  </si>
  <si>
    <t>01.10.2016-31.12.2016</t>
  </si>
  <si>
    <t>01.01.2016-30.09.2016</t>
  </si>
  <si>
    <t>01.07.2016-30.09.2016</t>
  </si>
  <si>
    <t>01.01.2016-30.06.2016</t>
  </si>
  <si>
    <t>01.04.2016-30.06.2016</t>
  </si>
  <si>
    <t>01.01.2016-31.03.2016</t>
  </si>
  <si>
    <t>01.01.2015-31.12.2015</t>
  </si>
  <si>
    <t>01.10.2015-31.12.2015</t>
  </si>
  <si>
    <t>01.01.2015-30.09.2015</t>
  </si>
  <si>
    <t>01.07.2015-30.09.2015</t>
  </si>
  <si>
    <t>01.01.2015-30.06.2015</t>
  </si>
  <si>
    <t>01.04.2015-30.06.2015</t>
  </si>
  <si>
    <t>01.01.2015-31.03.2015</t>
  </si>
  <si>
    <t>-</t>
  </si>
  <si>
    <t>2.1 Results from the quarterly accounts Group</t>
  </si>
  <si>
    <t>Alternative performance measures</t>
  </si>
  <si>
    <t>Q1 2018</t>
  </si>
  <si>
    <t>Q4 2017</t>
  </si>
  <si>
    <t>Q3 2017</t>
  </si>
  <si>
    <t>Q2 2017</t>
  </si>
  <si>
    <t>Q1 2017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</si>
  <si>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</si>
  <si>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</si>
  <si>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</si>
  <si>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</si>
  <si>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</si>
  <si>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</si>
  <si>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</si>
  <si>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</si>
  <si>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 xml:space="preserve">SpareBank 1 Østlandet Investor Relations: </t>
  </si>
  <si>
    <t>Link IR</t>
  </si>
  <si>
    <t>(NOK million, excluding percentages)</t>
  </si>
  <si>
    <t>1) See attachment Alternative performance measures.</t>
  </si>
  <si>
    <t xml:space="preserve">2) Net interest income as a percentage of average total assets for the period.  </t>
  </si>
  <si>
    <t>3) Total operating costs as a percentage of total operating income (isolated for the quarter).</t>
  </si>
  <si>
    <t>Deposit-to-loan-ratio including loans transferred to covered bond companies1)</t>
  </si>
  <si>
    <t>* Deviates from reported figures by 9 million due to repostings, this has been corrected in net interest income.</t>
  </si>
  <si>
    <t>Total operating expences</t>
  </si>
  <si>
    <t>+ Loans transferred to SpareBank 1 Boligkreditt AS</t>
  </si>
  <si>
    <t>+ Loans transferred to SpareBank 1 Næringskreditt AS</t>
  </si>
  <si>
    <t>Deposits from and liabilities to customers</t>
  </si>
  <si>
    <t>Number of days</t>
  </si>
  <si>
    <t>Interest expenses on hybrid capital</t>
  </si>
  <si>
    <t>Tax on interest expenses on hybrid capital</t>
  </si>
  <si>
    <t>- Interest expenses on hybrid capital after tax</t>
  </si>
  <si>
    <t>Profit after tax excl. interest on hybrid capital</t>
  </si>
  <si>
    <t>Equity</t>
  </si>
  <si>
    <t>- Hybrid capital</t>
  </si>
  <si>
    <t>Equity excl. hybrid capital</t>
  </si>
  <si>
    <t>Accumulated average equity excl. hybrid capital</t>
  </si>
  <si>
    <t>Isolated averege equity excl. hybrid capital</t>
  </si>
  <si>
    <t>Annualized profit after tax excl. interest on hybrid capital after tax</t>
  </si>
  <si>
    <t>Diveded by average equity excl. hybrid capital</t>
  </si>
  <si>
    <t xml:space="preserve">Return on equity capital </t>
  </si>
  <si>
    <t xml:space="preserve">Cost-income-ratio </t>
  </si>
  <si>
    <t>Gross loans including loans transferred to covered bond companies</t>
  </si>
  <si>
    <t xml:space="preserve">Gross loans to customers at the end of the period </t>
  </si>
  <si>
    <t>-Gross loans to customers at the end of the same period last year</t>
  </si>
  <si>
    <t>Growth in loans during the last 12 month in NOK mill.</t>
  </si>
  <si>
    <t>Dividet by gross loans to customers at the end of the same period last year</t>
  </si>
  <si>
    <t>Growth in loans during the last 12 months in per cent</t>
  </si>
  <si>
    <t>Gross loans to customers  incl. Loans transferred to covered bond companies at the end of the period</t>
  </si>
  <si>
    <t>-Gross loans to customers  incl. Loans transferred to covered bond companies at the end of the same period last year</t>
  </si>
  <si>
    <t>Growth in loans  incl. Loans transferred to coverd bond companies in NOK mill.</t>
  </si>
  <si>
    <t>Divided by gross loans to customers  incl. Loans transferred to covered bond companies at the end of the same period last year</t>
  </si>
  <si>
    <t>Growth in loans incl. Loans transferred to covered bond companies during the last 12 months in per cent</t>
  </si>
  <si>
    <t>Dividet by gross loans to and receivables from customers</t>
  </si>
  <si>
    <t xml:space="preserve">Divided by gross loans to customers  incl. Loans transferred to covered bond companies </t>
  </si>
  <si>
    <t>Deposits from customers at the end of the period</t>
  </si>
  <si>
    <t>- Deposits from customers at the end of the same period last year</t>
  </si>
  <si>
    <t>Growth in deposits in the last 12 months in NOK mill</t>
  </si>
  <si>
    <t>Diveded by deposits from customers at the end of the same period last year</t>
  </si>
  <si>
    <t>Growth in deposits in the last 12 months in per cent</t>
  </si>
  <si>
    <t>Accumulated average total assets</t>
  </si>
  <si>
    <t>Isolated averege total assets</t>
  </si>
  <si>
    <t>Total assets incl. Loans transferred to covered bond companies (Business capital)</t>
  </si>
  <si>
    <t>Losses on loans and guarantess annulized</t>
  </si>
  <si>
    <t>Losses on loans and guarantees as a percentageof gross loans</t>
  </si>
  <si>
    <t>Total equity capital</t>
  </si>
  <si>
    <t>Divided by total assets</t>
  </si>
  <si>
    <t>Equity ratio</t>
  </si>
  <si>
    <t>- Minority interest</t>
  </si>
  <si>
    <t>- Provision for gifts</t>
  </si>
  <si>
    <t>-Hybrid capital</t>
  </si>
  <si>
    <t xml:space="preserve">+ Interest expenses for hybrid capital </t>
  </si>
  <si>
    <t>- Tax on interest expenses for hybrid capital</t>
  </si>
  <si>
    <t>= Book equity</t>
  </si>
  <si>
    <t>Multiply by equity capital certificate ratio</t>
  </si>
  <si>
    <t>= Equity certificate owners share of equity</t>
  </si>
  <si>
    <t>Divided by number of EC's issued</t>
  </si>
  <si>
    <t>Book equity per EC</t>
  </si>
  <si>
    <t>Profit after tax for majority interest</t>
  </si>
  <si>
    <t>= Equity capital owner's share of profit after tax</t>
  </si>
  <si>
    <t>Dividetd by number of EC's issued</t>
  </si>
  <si>
    <t>Earnings per equity certificate (in NOK)</t>
  </si>
  <si>
    <t>Earnings per equity certificate annualized</t>
  </si>
  <si>
    <t>Market price (in NOK)</t>
  </si>
  <si>
    <t>Divided by earnings per EC</t>
  </si>
  <si>
    <t>Price/Earnings per EC</t>
  </si>
  <si>
    <t>Divided by book equity per EC</t>
  </si>
  <si>
    <t>Price/Book equity</t>
  </si>
  <si>
    <t>Gross defaulted commitments for more than 90 days 2)</t>
  </si>
  <si>
    <t>Gross defaulted commitments for more than 90 days</t>
  </si>
  <si>
    <t>Divided by gross loans to customers</t>
  </si>
  <si>
    <t>Gross doubtful commitments (not in default)</t>
  </si>
  <si>
    <t>Net defaulted commitments</t>
  </si>
  <si>
    <t>+ Net doubtful commitments</t>
  </si>
  <si>
    <t>= Net defaulted and doubtful commitments</t>
  </si>
  <si>
    <t>Loan loss impairment ratio on defaulted commitments</t>
  </si>
  <si>
    <t>Individual impairments on defaulted commitments</t>
  </si>
  <si>
    <t>Individual impairments on doubtful commitments</t>
  </si>
  <si>
    <t>Loan loss impairment ratio on doubtful commitments</t>
  </si>
  <si>
    <t>Net commitments in default and other doutful commitments,  percentage of gross loans</t>
  </si>
  <si>
    <t xml:space="preserve">1.1 Return on equity capital </t>
  </si>
  <si>
    <t xml:space="preserve">1.2 Cost-income-ratio </t>
  </si>
  <si>
    <t>1.3 Gross loans including loans transferred to covered bond companies</t>
  </si>
  <si>
    <t>1.4 Growth in loans during the last 12 months in per cent</t>
  </si>
  <si>
    <t>1.5 Growth in loans incl. Loans transferred to covered bond companies during the last 12 months in per cent</t>
  </si>
  <si>
    <t>1.6 Cost-income-ratio</t>
  </si>
  <si>
    <t>1.7 Cost-income-ratio incl. loans transferred to covered bond companies</t>
  </si>
  <si>
    <t>1.8 Growth in deposits in the last 12 months in per cent</t>
  </si>
  <si>
    <t>1.9 Total assets incl. Loans transferred to covered bond companies (Business capital)</t>
  </si>
  <si>
    <t>1.10 Losses on loans and guarantees as a percentageof gross loans</t>
  </si>
  <si>
    <t>1.13 Net commitments in default and other doutful commitments,  percentage of gross loans</t>
  </si>
  <si>
    <t>1.14 Loan loss impairment ratio on defaulted commitments</t>
  </si>
  <si>
    <t>1.15 Loan loss impairment ratio on doubtful commitments</t>
  </si>
  <si>
    <t>1.16 Equity ratio</t>
  </si>
  <si>
    <t>1.17 Book equity per EC</t>
  </si>
  <si>
    <t>1.18 Earnings per equity certificate (in NOK)</t>
  </si>
  <si>
    <t>1.19 Price/Earnings per EC</t>
  </si>
  <si>
    <t>1.20 Price/Book equity</t>
  </si>
  <si>
    <t>1.13 Net commitments in default and other doutful commitments</t>
  </si>
  <si>
    <t>1.9 Total assets incl. Loans transferred to CB companies (Business capital)</t>
  </si>
  <si>
    <t>1.5 Growth in loans incl. Loans transferred to CB companies on last 12 months</t>
  </si>
  <si>
    <t>4.2 Expences Parent bank (adjusted)</t>
  </si>
  <si>
    <t>Parent bank (adjusted)</t>
  </si>
  <si>
    <t>Gross defaulted commitments in percentage of gross loans</t>
  </si>
  <si>
    <t>Gross doubtful commitments (not in default) in percentage of gross loans</t>
  </si>
  <si>
    <t>1.12 Gross doubtful commitments (not in default) in percentage of gross loans</t>
  </si>
  <si>
    <t>1.11 Gross defaulted commitments in percentage of gross loans</t>
  </si>
  <si>
    <t>Deposit-to-loan-ratio</t>
  </si>
  <si>
    <t>Deposit-to-loan-ratio including loans transferred to covered bond companies</t>
  </si>
  <si>
    <t>1.6 Deposit-to-loan-ratio</t>
  </si>
  <si>
    <t>1.7 Deposit-to-loan-ratio including loans transferred to covered bond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</si>
</sst>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dd/mm/yy;@"/>
    <numFmt numFmtId="168" formatCode="0.0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i/>
      <sz val="7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4"/>
      <name val="Arial"/>
      <family val="2"/>
    </font>
    <font>
      <b/>
      <sz val="11"/>
      <name val="Arial"/>
      <family val="2"/>
    </font>
    <font>
      <b/>
      <u/>
      <sz val="10"/>
      <color indexed="59"/>
      <name val="Arial"/>
      <family val="2"/>
    </font>
    <font>
      <u/>
      <sz val="10"/>
      <color theme="4"/>
      <name val="Arial"/>
      <family val="2"/>
    </font>
    <font>
      <u/>
      <sz val="10"/>
      <color theme="5"/>
      <name val="Arial"/>
      <family val="2"/>
    </font>
    <font>
      <sz val="10"/>
      <color theme="5"/>
      <name val="Arial"/>
      <family val="2"/>
    </font>
    <font>
      <sz val="8"/>
      <name val="Arial"/>
      <family val="2"/>
    </font>
    <font>
      <b/>
      <u/>
      <sz val="8"/>
      <color indexed="59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Gill Sans"/>
    </font>
    <font>
      <sz val="8"/>
      <name val="Calibri"/>
      <family val="2"/>
    </font>
    <font>
      <u/>
      <sz val="8"/>
      <color theme="10"/>
      <name val="Arial"/>
      <family val="2"/>
    </font>
    <font>
      <sz val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0"/>
      <color rgb="FF002060"/>
      <name val="Verdana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DB4E2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9" fillId="0" borderId="0"/>
    <xf numFmtId="0" fontId="16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6" fillId="0" borderId="0" applyProtection="0"/>
    <xf numFmtId="0" fontId="16" fillId="0" borderId="0"/>
    <xf numFmtId="0" fontId="16" fillId="0" borderId="0"/>
    <xf numFmtId="0" fontId="51" fillId="0" borderId="0"/>
    <xf numFmtId="0" fontId="54" fillId="0" borderId="0"/>
  </cellStyleXfs>
  <cellXfs count="344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0" fontId="5" fillId="0" borderId="0" xfId="0" applyFont="1"/>
    <xf numFmtId="49" fontId="5" fillId="0" borderId="0" xfId="0" applyNumberFormat="1" applyFont="1"/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3" fillId="0" borderId="0" xfId="5" applyFont="1" applyAlignment="1">
      <alignment vertical="center"/>
    </xf>
    <xf numFmtId="0" fontId="25" fillId="3" borderId="0" xfId="0" applyFont="1" applyFill="1"/>
    <xf numFmtId="0" fontId="26" fillId="3" borderId="0" xfId="0" applyFont="1" applyFill="1"/>
    <xf numFmtId="0" fontId="5" fillId="3" borderId="0" xfId="0" applyFont="1" applyFill="1"/>
    <xf numFmtId="0" fontId="27" fillId="3" borderId="0" xfId="0" applyFont="1" applyFill="1"/>
    <xf numFmtId="0" fontId="8" fillId="0" borderId="5" xfId="5" applyFont="1" applyBorder="1" applyAlignment="1">
      <alignment horizontal="center" vertical="center"/>
    </xf>
    <xf numFmtId="0" fontId="8" fillId="0" borderId="5" xfId="5" applyFont="1" applyBorder="1" applyAlignment="1">
      <alignment vertical="center"/>
    </xf>
    <xf numFmtId="0" fontId="28" fillId="0" borderId="0" xfId="0" applyFont="1" applyFill="1" applyAlignment="1">
      <alignment horizontal="left"/>
    </xf>
    <xf numFmtId="49" fontId="7" fillId="0" borderId="0" xfId="0" applyNumberFormat="1" applyFont="1"/>
    <xf numFmtId="0" fontId="11" fillId="0" borderId="0" xfId="3" applyFont="1" applyFill="1"/>
    <xf numFmtId="0" fontId="12" fillId="0" borderId="0" xfId="3" applyFont="1" applyFill="1"/>
    <xf numFmtId="0" fontId="13" fillId="0" borderId="0" xfId="3" applyFont="1" applyFill="1" applyAlignment="1">
      <alignment vertical="top" wrapText="1"/>
    </xf>
    <xf numFmtId="0" fontId="11" fillId="0" borderId="0" xfId="3" applyFont="1" applyFill="1" applyAlignment="1">
      <alignment vertical="top" wrapText="1"/>
    </xf>
    <xf numFmtId="0" fontId="9" fillId="0" borderId="0" xfId="3" applyFont="1" applyFill="1" applyAlignment="1">
      <alignment vertical="top"/>
    </xf>
    <xf numFmtId="0" fontId="15" fillId="0" borderId="0" xfId="3" applyFont="1" applyFill="1" applyBorder="1"/>
    <xf numFmtId="0" fontId="31" fillId="4" borderId="0" xfId="0" applyFont="1" applyFill="1" applyAlignment="1">
      <alignment vertical="center"/>
    </xf>
    <xf numFmtId="0" fontId="32" fillId="2" borderId="0" xfId="0" applyFont="1" applyFill="1" applyAlignment="1">
      <alignment horizontal="right" vertical="center"/>
    </xf>
    <xf numFmtId="0" fontId="33" fillId="4" borderId="3" xfId="0" applyFont="1" applyFill="1" applyBorder="1" applyAlignment="1">
      <alignment vertical="center"/>
    </xf>
    <xf numFmtId="0" fontId="32" fillId="2" borderId="3" xfId="0" applyFont="1" applyFill="1" applyBorder="1" applyAlignment="1">
      <alignment horizontal="right" vertical="center"/>
    </xf>
    <xf numFmtId="0" fontId="31" fillId="4" borderId="0" xfId="0" applyFont="1" applyFill="1" applyAlignment="1">
      <alignment wrapText="1"/>
    </xf>
    <xf numFmtId="3" fontId="31" fillId="2" borderId="0" xfId="1" applyNumberFormat="1" applyFont="1" applyFill="1" applyAlignment="1">
      <alignment horizontal="right"/>
    </xf>
    <xf numFmtId="0" fontId="31" fillId="4" borderId="3" xfId="0" applyFont="1" applyFill="1" applyBorder="1" applyAlignment="1"/>
    <xf numFmtId="3" fontId="31" fillId="2" borderId="3" xfId="1" applyNumberFormat="1" applyFont="1" applyFill="1" applyBorder="1" applyAlignment="1">
      <alignment horizontal="right"/>
    </xf>
    <xf numFmtId="0" fontId="32" fillId="4" borderId="0" xfId="0" applyFont="1" applyFill="1" applyBorder="1" applyAlignment="1">
      <alignment vertical="top"/>
    </xf>
    <xf numFmtId="3" fontId="32" fillId="2" borderId="0" xfId="1" applyNumberFormat="1" applyFont="1" applyFill="1" applyBorder="1" applyAlignment="1">
      <alignment horizontal="right" vertical="top"/>
    </xf>
    <xf numFmtId="3" fontId="32" fillId="2" borderId="0" xfId="1" applyNumberFormat="1" applyFont="1" applyFill="1" applyAlignment="1">
      <alignment horizontal="right" vertical="top"/>
    </xf>
    <xf numFmtId="0" fontId="31" fillId="4" borderId="0" xfId="0" applyFont="1" applyFill="1" applyAlignment="1"/>
    <xf numFmtId="0" fontId="34" fillId="4" borderId="0" xfId="0" applyFont="1" applyFill="1" applyAlignment="1"/>
    <xf numFmtId="3" fontId="32" fillId="2" borderId="0" xfId="1" applyNumberFormat="1" applyFont="1" applyFill="1" applyAlignment="1">
      <alignment horizontal="right"/>
    </xf>
    <xf numFmtId="0" fontId="32" fillId="4" borderId="0" xfId="0" applyFont="1" applyFill="1" applyBorder="1" applyAlignment="1"/>
    <xf numFmtId="0" fontId="32" fillId="4" borderId="0" xfId="0" applyFont="1" applyFill="1" applyAlignment="1"/>
    <xf numFmtId="3" fontId="31" fillId="2" borderId="3" xfId="1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/>
    <xf numFmtId="3" fontId="32" fillId="2" borderId="3" xfId="1" applyNumberFormat="1" applyFont="1" applyFill="1" applyBorder="1" applyAlignment="1">
      <alignment horizontal="right"/>
    </xf>
    <xf numFmtId="3" fontId="32" fillId="2" borderId="3" xfId="1" applyNumberFormat="1" applyFont="1" applyFill="1" applyBorder="1" applyAlignment="1">
      <alignment horizontal="right" vertical="center"/>
    </xf>
    <xf numFmtId="0" fontId="32" fillId="4" borderId="0" xfId="0" applyFont="1" applyFill="1" applyBorder="1" applyAlignment="1">
      <alignment vertical="center" wrapText="1"/>
    </xf>
    <xf numFmtId="3" fontId="31" fillId="2" borderId="0" xfId="1" applyNumberFormat="1" applyFont="1" applyFill="1" applyBorder="1" applyAlignment="1">
      <alignment horizontal="right" vertical="center"/>
    </xf>
    <xf numFmtId="3" fontId="32" fillId="2" borderId="0" xfId="1" applyNumberFormat="1" applyFont="1" applyFill="1" applyBorder="1" applyAlignment="1">
      <alignment horizontal="right" vertical="center"/>
    </xf>
    <xf numFmtId="0" fontId="31" fillId="2" borderId="3" xfId="0" applyFont="1" applyFill="1" applyBorder="1" applyAlignment="1">
      <alignment vertical="center"/>
    </xf>
    <xf numFmtId="0" fontId="32" fillId="4" borderId="3" xfId="0" applyFont="1" applyFill="1" applyBorder="1" applyAlignment="1">
      <alignment vertical="center" wrapText="1"/>
    </xf>
    <xf numFmtId="0" fontId="31" fillId="2" borderId="4" xfId="0" applyFont="1" applyFill="1" applyBorder="1"/>
    <xf numFmtId="0" fontId="31" fillId="4" borderId="0" xfId="0" applyFont="1" applyFill="1" applyAlignment="1">
      <alignment vertical="center" wrapText="1"/>
    </xf>
    <xf numFmtId="166" fontId="34" fillId="2" borderId="0" xfId="0" applyNumberFormat="1" applyFont="1" applyFill="1"/>
    <xf numFmtId="10" fontId="34" fillId="2" borderId="0" xfId="0" applyNumberFormat="1" applyFont="1" applyFill="1"/>
    <xf numFmtId="0" fontId="32" fillId="4" borderId="3" xfId="0" applyFont="1" applyFill="1" applyBorder="1" applyAlignment="1">
      <alignment wrapText="1"/>
    </xf>
    <xf numFmtId="0" fontId="34" fillId="2" borderId="3" xfId="0" applyFont="1" applyFill="1" applyBorder="1" applyAlignment="1"/>
    <xf numFmtId="3" fontId="34" fillId="2" borderId="0" xfId="0" applyNumberFormat="1" applyFont="1" applyFill="1" applyAlignment="1"/>
    <xf numFmtId="166" fontId="31" fillId="2" borderId="0" xfId="2" applyNumberFormat="1" applyFont="1" applyFill="1" applyAlignment="1">
      <alignment horizontal="right"/>
    </xf>
    <xf numFmtId="166" fontId="34" fillId="2" borderId="0" xfId="2" applyNumberFormat="1" applyFont="1" applyFill="1" applyAlignment="1"/>
    <xf numFmtId="0" fontId="31" fillId="2" borderId="0" xfId="0" applyFont="1" applyFill="1" applyBorder="1" applyAlignment="1"/>
    <xf numFmtId="0" fontId="34" fillId="4" borderId="0" xfId="0" applyFont="1" applyFill="1" applyAlignment="1">
      <alignment vertical="center" wrapText="1"/>
    </xf>
    <xf numFmtId="166" fontId="31" fillId="2" borderId="0" xfId="2" applyNumberFormat="1" applyFont="1" applyFill="1" applyAlignment="1">
      <alignment horizontal="right" vertical="center"/>
    </xf>
    <xf numFmtId="166" fontId="34" fillId="2" borderId="0" xfId="2" applyNumberFormat="1" applyFont="1" applyFill="1"/>
    <xf numFmtId="0" fontId="34" fillId="2" borderId="0" xfId="0" applyFont="1" applyFill="1" applyAlignment="1">
      <alignment vertical="center" wrapText="1"/>
    </xf>
    <xf numFmtId="0" fontId="31" fillId="2" borderId="0" xfId="0" applyFont="1" applyFill="1"/>
    <xf numFmtId="0" fontId="34" fillId="2" borderId="0" xfId="0" applyFont="1" applyFill="1"/>
    <xf numFmtId="0" fontId="32" fillId="2" borderId="3" xfId="0" applyFont="1" applyFill="1" applyBorder="1"/>
    <xf numFmtId="0" fontId="34" fillId="2" borderId="3" xfId="0" applyFont="1" applyFill="1" applyBorder="1"/>
    <xf numFmtId="0" fontId="31" fillId="4" borderId="3" xfId="0" applyFont="1" applyFill="1" applyBorder="1" applyAlignment="1">
      <alignment vertical="center" wrapText="1"/>
    </xf>
    <xf numFmtId="165" fontId="34" fillId="2" borderId="3" xfId="1" applyNumberFormat="1" applyFont="1" applyFill="1" applyBorder="1"/>
    <xf numFmtId="0" fontId="11" fillId="0" borderId="0" xfId="3" applyFont="1" applyFill="1" applyBorder="1"/>
    <xf numFmtId="0" fontId="19" fillId="0" borderId="0" xfId="3" applyFont="1" applyFill="1" applyBorder="1" applyAlignment="1">
      <alignment horizontal="left" vertical="center"/>
    </xf>
    <xf numFmtId="165" fontId="19" fillId="0" borderId="0" xfId="1" applyNumberFormat="1" applyFont="1" applyFill="1" applyBorder="1"/>
    <xf numFmtId="0" fontId="10" fillId="0" borderId="0" xfId="3" applyFont="1" applyFill="1" applyBorder="1" applyAlignment="1">
      <alignment horizontal="left" vertical="center"/>
    </xf>
    <xf numFmtId="165" fontId="10" fillId="0" borderId="0" xfId="1" applyNumberFormat="1" applyFont="1" applyFill="1" applyBorder="1"/>
    <xf numFmtId="0" fontId="16" fillId="0" borderId="0" xfId="12" applyBorder="1"/>
    <xf numFmtId="49" fontId="16" fillId="0" borderId="0" xfId="12" applyNumberFormat="1" applyBorder="1"/>
    <xf numFmtId="0" fontId="35" fillId="0" borderId="6" xfId="12" applyFont="1" applyBorder="1" applyAlignment="1">
      <alignment vertical="center"/>
    </xf>
    <xf numFmtId="49" fontId="36" fillId="0" borderId="6" xfId="12" applyNumberFormat="1" applyFont="1" applyBorder="1" applyAlignment="1">
      <alignment vertical="center"/>
    </xf>
    <xf numFmtId="0" fontId="16" fillId="0" borderId="6" xfId="12" applyBorder="1"/>
    <xf numFmtId="0" fontId="16" fillId="0" borderId="0" xfId="12"/>
    <xf numFmtId="0" fontId="37" fillId="0" borderId="0" xfId="13" applyFont="1" applyFill="1"/>
    <xf numFmtId="0" fontId="38" fillId="0" borderId="0" xfId="13" applyFont="1"/>
    <xf numFmtId="0" fontId="39" fillId="0" borderId="0" xfId="13" applyFont="1"/>
    <xf numFmtId="0" fontId="40" fillId="0" borderId="0" xfId="13" applyFont="1"/>
    <xf numFmtId="0" fontId="41" fillId="0" borderId="0" xfId="12" applyFont="1" applyAlignment="1">
      <alignment vertical="center"/>
    </xf>
    <xf numFmtId="0" fontId="42" fillId="0" borderId="0" xfId="13" applyFont="1" applyFill="1" applyAlignment="1"/>
    <xf numFmtId="0" fontId="41" fillId="0" borderId="0" xfId="12" applyFont="1" applyFill="1" applyAlignment="1">
      <alignment vertical="center"/>
    </xf>
    <xf numFmtId="49" fontId="41" fillId="0" borderId="0" xfId="12" applyNumberFormat="1" applyFont="1" applyFill="1" applyAlignment="1">
      <alignment horizontal="left" vertical="center"/>
    </xf>
    <xf numFmtId="49" fontId="41" fillId="0" borderId="0" xfId="12" quotePrefix="1" applyNumberFormat="1" applyFont="1" applyFill="1" applyAlignment="1">
      <alignment horizontal="left" vertical="center"/>
    </xf>
    <xf numFmtId="49" fontId="41" fillId="0" borderId="0" xfId="12" applyNumberFormat="1" applyFont="1" applyAlignment="1">
      <alignment horizontal="left" vertical="center"/>
    </xf>
    <xf numFmtId="0" fontId="41" fillId="0" borderId="0" xfId="12" quotePrefix="1" applyFont="1" applyAlignment="1">
      <alignment vertical="center"/>
    </xf>
    <xf numFmtId="0" fontId="43" fillId="0" borderId="0" xfId="13" applyFont="1"/>
    <xf numFmtId="0" fontId="44" fillId="0" borderId="6" xfId="12" applyFont="1" applyBorder="1"/>
    <xf numFmtId="0" fontId="44" fillId="0" borderId="0" xfId="12" applyFont="1"/>
    <xf numFmtId="0" fontId="38" fillId="0" borderId="0" xfId="13" quotePrefix="1" applyFont="1"/>
    <xf numFmtId="49" fontId="41" fillId="0" borderId="0" xfId="12" applyNumberFormat="1" applyFont="1" applyFill="1" applyAlignment="1">
      <alignment vertical="center"/>
    </xf>
    <xf numFmtId="49" fontId="41" fillId="0" borderId="0" xfId="12" applyNumberFormat="1" applyFont="1" applyAlignment="1">
      <alignment vertical="center"/>
    </xf>
    <xf numFmtId="0" fontId="10" fillId="0" borderId="0" xfId="3" applyFont="1" applyFill="1" applyBorder="1"/>
    <xf numFmtId="0" fontId="9" fillId="0" borderId="0" xfId="3" applyFont="1" applyFill="1" applyBorder="1" applyAlignment="1">
      <alignment vertical="top"/>
    </xf>
    <xf numFmtId="0" fontId="14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 wrapText="1"/>
    </xf>
    <xf numFmtId="0" fontId="13" fillId="0" borderId="0" xfId="3" applyFont="1" applyFill="1" applyBorder="1" applyAlignment="1">
      <alignment vertical="top" wrapText="1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/>
    <xf numFmtId="0" fontId="15" fillId="0" borderId="0" xfId="3" applyFont="1" applyFill="1" applyBorder="1" applyAlignment="1">
      <alignment horizontal="center" vertical="center"/>
    </xf>
    <xf numFmtId="0" fontId="20" fillId="0" borderId="0" xfId="3" applyFont="1" applyFill="1" applyBorder="1"/>
    <xf numFmtId="0" fontId="46" fillId="2" borderId="0" xfId="0" applyFont="1" applyFill="1"/>
    <xf numFmtId="0" fontId="0" fillId="0" borderId="0" xfId="0" applyFont="1"/>
    <xf numFmtId="1" fontId="47" fillId="0" borderId="0" xfId="0" applyNumberFormat="1" applyFont="1"/>
    <xf numFmtId="0" fontId="0" fillId="2" borderId="0" xfId="0" applyFont="1" applyFill="1"/>
    <xf numFmtId="10" fontId="47" fillId="0" borderId="0" xfId="2" applyNumberFormat="1" applyFont="1"/>
    <xf numFmtId="0" fontId="46" fillId="2" borderId="3" xfId="0" applyFont="1" applyFill="1" applyBorder="1"/>
    <xf numFmtId="0" fontId="0" fillId="0" borderId="3" xfId="0" applyFont="1" applyBorder="1"/>
    <xf numFmtId="0" fontId="44" fillId="0" borderId="0" xfId="0" applyFont="1"/>
    <xf numFmtId="1" fontId="48" fillId="0" borderId="0" xfId="0" applyNumberFormat="1" applyFont="1"/>
    <xf numFmtId="1" fontId="47" fillId="0" borderId="3" xfId="0" applyNumberFormat="1" applyFont="1" applyBorder="1"/>
    <xf numFmtId="0" fontId="11" fillId="0" borderId="0" xfId="8" applyFont="1" applyFill="1" applyBorder="1"/>
    <xf numFmtId="0" fontId="12" fillId="0" borderId="0" xfId="8" applyFont="1" applyFill="1" applyBorder="1"/>
    <xf numFmtId="0" fontId="13" fillId="0" borderId="0" xfId="8" applyFont="1" applyFill="1" applyBorder="1" applyAlignment="1">
      <alignment vertical="top" wrapText="1"/>
    </xf>
    <xf numFmtId="0" fontId="11" fillId="0" borderId="0" xfId="8" applyFont="1" applyFill="1" applyBorder="1" applyAlignment="1">
      <alignment vertical="top" wrapText="1"/>
    </xf>
    <xf numFmtId="0" fontId="9" fillId="0" borderId="0" xfId="8" applyFont="1" applyFill="1" applyBorder="1" applyAlignment="1">
      <alignment vertical="top"/>
    </xf>
    <xf numFmtId="0" fontId="14" fillId="0" borderId="0" xfId="8" applyFont="1" applyFill="1" applyBorder="1" applyAlignment="1">
      <alignment vertical="top" wrapText="1"/>
    </xf>
    <xf numFmtId="0" fontId="21" fillId="0" borderId="0" xfId="8" applyFont="1" applyFill="1" applyBorder="1"/>
    <xf numFmtId="0" fontId="17" fillId="0" borderId="0" xfId="8" applyFont="1" applyFill="1" applyBorder="1" applyAlignment="1">
      <alignment vertical="top"/>
    </xf>
    <xf numFmtId="0" fontId="10" fillId="0" borderId="0" xfId="8" applyFont="1" applyFill="1" applyBorder="1" applyAlignment="1">
      <alignment vertical="top" wrapText="1"/>
    </xf>
    <xf numFmtId="0" fontId="15" fillId="0" borderId="0" xfId="8" applyFont="1" applyFill="1" applyBorder="1" applyAlignment="1">
      <alignment vertical="top" wrapText="1"/>
    </xf>
    <xf numFmtId="0" fontId="15" fillId="0" borderId="0" xfId="8" applyFont="1" applyFill="1" applyBorder="1"/>
    <xf numFmtId="0" fontId="1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165" fontId="20" fillId="0" borderId="0" xfId="1" applyNumberFormat="1" applyFont="1" applyFill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165" fontId="19" fillId="0" borderId="0" xfId="1" applyNumberFormat="1" applyFont="1" applyFill="1" applyBorder="1" applyAlignment="1">
      <alignment vertical="center"/>
    </xf>
    <xf numFmtId="166" fontId="10" fillId="0" borderId="0" xfId="2" applyNumberFormat="1" applyFont="1" applyFill="1" applyBorder="1" applyAlignment="1">
      <alignment vertical="center"/>
    </xf>
    <xf numFmtId="0" fontId="10" fillId="0" borderId="0" xfId="8" applyFont="1" applyFill="1" applyBorder="1"/>
    <xf numFmtId="0" fontId="10" fillId="0" borderId="0" xfId="8" applyFont="1" applyFill="1" applyBorder="1" applyAlignment="1">
      <alignment vertical="top"/>
    </xf>
    <xf numFmtId="0" fontId="24" fillId="0" borderId="0" xfId="8" applyFont="1" applyFill="1" applyBorder="1"/>
    <xf numFmtId="0" fontId="14" fillId="0" borderId="0" xfId="8" applyFont="1" applyFill="1" applyBorder="1"/>
    <xf numFmtId="0" fontId="22" fillId="0" borderId="0" xfId="8" applyFont="1" applyFill="1" applyBorder="1"/>
    <xf numFmtId="0" fontId="12" fillId="0" borderId="0" xfId="3" applyFont="1" applyFill="1" applyBorder="1"/>
    <xf numFmtId="165" fontId="10" fillId="0" borderId="0" xfId="1" applyNumberFormat="1" applyFont="1" applyFill="1" applyBorder="1" applyAlignment="1">
      <alignment horizontal="left" vertical="center"/>
    </xf>
    <xf numFmtId="165" fontId="10" fillId="0" borderId="0" xfId="4" applyNumberFormat="1" applyFont="1" applyFill="1" applyBorder="1" applyAlignment="1">
      <alignment vertical="center"/>
    </xf>
    <xf numFmtId="165" fontId="10" fillId="0" borderId="0" xfId="4" applyNumberFormat="1" applyFont="1" applyFill="1" applyBorder="1" applyAlignment="1">
      <alignment horizontal="left" vertical="center"/>
    </xf>
    <xf numFmtId="0" fontId="46" fillId="0" borderId="0" xfId="0" applyFont="1"/>
    <xf numFmtId="17" fontId="11" fillId="0" borderId="0" xfId="3" applyNumberFormat="1" applyFont="1" applyFill="1" applyBorder="1"/>
    <xf numFmtId="0" fontId="49" fillId="0" borderId="0" xfId="0" applyFont="1"/>
    <xf numFmtId="1" fontId="49" fillId="0" borderId="0" xfId="0" applyNumberFormat="1" applyFont="1"/>
    <xf numFmtId="0" fontId="49" fillId="0" borderId="3" xfId="0" applyFont="1" applyBorder="1"/>
    <xf numFmtId="1" fontId="49" fillId="0" borderId="3" xfId="0" applyNumberFormat="1" applyFont="1" applyBorder="1"/>
    <xf numFmtId="1" fontId="46" fillId="0" borderId="0" xfId="0" applyNumberFormat="1" applyFont="1"/>
    <xf numFmtId="3" fontId="31" fillId="5" borderId="0" xfId="1" applyNumberFormat="1" applyFont="1" applyFill="1" applyAlignment="1">
      <alignment horizontal="right"/>
    </xf>
    <xf numFmtId="0" fontId="32" fillId="5" borderId="0" xfId="0" applyFont="1" applyFill="1" applyAlignment="1">
      <alignment horizontal="right" vertical="center"/>
    </xf>
    <xf numFmtId="0" fontId="32" fillId="5" borderId="3" xfId="0" applyFont="1" applyFill="1" applyBorder="1" applyAlignment="1">
      <alignment horizontal="right" vertical="center"/>
    </xf>
    <xf numFmtId="3" fontId="31" fillId="5" borderId="3" xfId="1" applyNumberFormat="1" applyFont="1" applyFill="1" applyBorder="1" applyAlignment="1">
      <alignment horizontal="right"/>
    </xf>
    <xf numFmtId="3" fontId="32" fillId="5" borderId="0" xfId="1" applyNumberFormat="1" applyFont="1" applyFill="1" applyBorder="1" applyAlignment="1">
      <alignment horizontal="right" vertical="top"/>
    </xf>
    <xf numFmtId="3" fontId="32" fillId="5" borderId="0" xfId="1" applyNumberFormat="1" applyFont="1" applyFill="1" applyAlignment="1">
      <alignment horizontal="right" vertical="top"/>
    </xf>
    <xf numFmtId="3" fontId="32" fillId="5" borderId="0" xfId="1" applyNumberFormat="1" applyFont="1" applyFill="1" applyAlignment="1">
      <alignment horizontal="right"/>
    </xf>
    <xf numFmtId="3" fontId="31" fillId="5" borderId="3" xfId="1" applyNumberFormat="1" applyFont="1" applyFill="1" applyBorder="1" applyAlignment="1">
      <alignment horizontal="right" vertical="center"/>
    </xf>
    <xf numFmtId="3" fontId="32" fillId="5" borderId="3" xfId="1" applyNumberFormat="1" applyFont="1" applyFill="1" applyBorder="1" applyAlignment="1">
      <alignment horizontal="right" vertical="center"/>
    </xf>
    <xf numFmtId="3" fontId="31" fillId="5" borderId="0" xfId="1" applyNumberFormat="1" applyFont="1" applyFill="1" applyBorder="1" applyAlignment="1">
      <alignment horizontal="right" vertical="center"/>
    </xf>
    <xf numFmtId="0" fontId="31" fillId="5" borderId="4" xfId="0" applyFont="1" applyFill="1" applyBorder="1"/>
    <xf numFmtId="166" fontId="34" fillId="5" borderId="0" xfId="0" applyNumberFormat="1" applyFont="1" applyFill="1"/>
    <xf numFmtId="10" fontId="34" fillId="5" borderId="0" xfId="0" applyNumberFormat="1" applyFont="1" applyFill="1"/>
    <xf numFmtId="0" fontId="34" fillId="5" borderId="3" xfId="0" applyFont="1" applyFill="1" applyBorder="1" applyAlignment="1"/>
    <xf numFmtId="166" fontId="31" fillId="5" borderId="0" xfId="2" applyNumberFormat="1" applyFont="1" applyFill="1" applyAlignment="1">
      <alignment horizontal="right"/>
    </xf>
    <xf numFmtId="166" fontId="31" fillId="5" borderId="0" xfId="2" applyNumberFormat="1" applyFont="1" applyFill="1" applyAlignment="1">
      <alignment horizontal="right" vertical="center"/>
    </xf>
    <xf numFmtId="0" fontId="34" fillId="5" borderId="0" xfId="0" applyFont="1" applyFill="1"/>
    <xf numFmtId="0" fontId="34" fillId="5" borderId="3" xfId="0" applyFont="1" applyFill="1" applyBorder="1"/>
    <xf numFmtId="1" fontId="47" fillId="5" borderId="0" xfId="0" applyNumberFormat="1" applyFont="1" applyFill="1"/>
    <xf numFmtId="1" fontId="47" fillId="5" borderId="3" xfId="0" applyNumberFormat="1" applyFont="1" applyFill="1" applyBorder="1"/>
    <xf numFmtId="1" fontId="48" fillId="5" borderId="0" xfId="0" applyNumberFormat="1" applyFont="1" applyFill="1"/>
    <xf numFmtId="10" fontId="47" fillId="5" borderId="0" xfId="2" applyNumberFormat="1" applyFont="1" applyFill="1"/>
    <xf numFmtId="0" fontId="46" fillId="5" borderId="3" xfId="0" applyFont="1" applyFill="1" applyBorder="1" applyAlignment="1">
      <alignment horizontal="right"/>
    </xf>
    <xf numFmtId="0" fontId="46" fillId="0" borderId="3" xfId="0" applyFont="1" applyBorder="1" applyAlignment="1">
      <alignment horizontal="right"/>
    </xf>
    <xf numFmtId="1" fontId="49" fillId="5" borderId="0" xfId="0" applyNumberFormat="1" applyFont="1" applyFill="1"/>
    <xf numFmtId="1" fontId="49" fillId="5" borderId="3" xfId="0" applyNumberFormat="1" applyFont="1" applyFill="1" applyBorder="1"/>
    <xf numFmtId="1" fontId="46" fillId="5" borderId="0" xfId="0" applyNumberFormat="1" applyFont="1" applyFill="1"/>
    <xf numFmtId="10" fontId="49" fillId="5" borderId="0" xfId="2" applyNumberFormat="1" applyFont="1" applyFill="1"/>
    <xf numFmtId="10" fontId="49" fillId="0" borderId="0" xfId="2" applyNumberFormat="1" applyFont="1"/>
    <xf numFmtId="0" fontId="30" fillId="0" borderId="0" xfId="11"/>
    <xf numFmtId="0" fontId="49" fillId="0" borderId="0" xfId="0" applyFont="1" applyBorder="1"/>
    <xf numFmtId="1" fontId="49" fillId="0" borderId="3" xfId="0" applyNumberFormat="1" applyFont="1" applyFill="1" applyBorder="1"/>
    <xf numFmtId="0" fontId="46" fillId="0" borderId="3" xfId="0" applyFont="1" applyFill="1" applyBorder="1" applyAlignment="1">
      <alignment horizontal="right"/>
    </xf>
    <xf numFmtId="1" fontId="49" fillId="0" borderId="0" xfId="0" applyNumberFormat="1" applyFont="1" applyFill="1"/>
    <xf numFmtId="1" fontId="46" fillId="0" borderId="0" xfId="0" applyNumberFormat="1" applyFont="1" applyFill="1"/>
    <xf numFmtId="1" fontId="47" fillId="0" borderId="3" xfId="0" applyNumberFormat="1" applyFont="1" applyFill="1" applyBorder="1"/>
    <xf numFmtId="1" fontId="48" fillId="0" borderId="0" xfId="0" applyNumberFormat="1" applyFont="1" applyFill="1"/>
    <xf numFmtId="10" fontId="47" fillId="0" borderId="0" xfId="2" applyNumberFormat="1" applyFont="1" applyFill="1"/>
    <xf numFmtId="0" fontId="0" fillId="0" borderId="0" xfId="0" applyFont="1" applyFill="1"/>
    <xf numFmtId="10" fontId="29" fillId="0" borderId="0" xfId="2" applyNumberFormat="1" applyFont="1" applyFill="1"/>
    <xf numFmtId="9" fontId="11" fillId="0" borderId="0" xfId="2" applyFont="1" applyFill="1"/>
    <xf numFmtId="0" fontId="53" fillId="0" borderId="0" xfId="3" applyFont="1" applyFill="1"/>
    <xf numFmtId="4" fontId="52" fillId="6" borderId="0" xfId="15" quotePrefix="1" applyNumberFormat="1" applyFont="1" applyFill="1" applyAlignment="1" applyProtection="1">
      <alignment wrapText="1"/>
    </xf>
    <xf numFmtId="1" fontId="11" fillId="0" borderId="0" xfId="3" applyNumberFormat="1" applyFont="1" applyFill="1"/>
    <xf numFmtId="3" fontId="52" fillId="0" borderId="0" xfId="14" applyNumberFormat="1" applyFont="1" applyFill="1" applyAlignment="1"/>
    <xf numFmtId="3" fontId="52" fillId="0" borderId="0" xfId="14" applyNumberFormat="1" applyFont="1" applyFill="1" applyAlignment="1">
      <alignment horizontal="right"/>
    </xf>
    <xf numFmtId="0" fontId="0" fillId="0" borderId="0" xfId="0" applyFill="1"/>
    <xf numFmtId="49" fontId="10" fillId="0" borderId="0" xfId="1" applyNumberFormat="1" applyFont="1" applyFill="1" applyBorder="1" applyAlignment="1">
      <alignment horizontal="left" vertical="center" wrapText="1"/>
    </xf>
    <xf numFmtId="49" fontId="20" fillId="0" borderId="0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vertical="center" wrapText="1"/>
    </xf>
    <xf numFmtId="14" fontId="10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horizontal="left" vertical="center"/>
    </xf>
    <xf numFmtId="3" fontId="34" fillId="6" borderId="0" xfId="16" applyNumberFormat="1" applyFont="1" applyFill="1" applyAlignment="1"/>
    <xf numFmtId="3" fontId="34" fillId="2" borderId="0" xfId="0" applyNumberFormat="1" applyFont="1" applyFill="1" applyAlignment="1">
      <alignment horizontal="right" vertical="center" wrapText="1"/>
    </xf>
    <xf numFmtId="3" fontId="34" fillId="6" borderId="3" xfId="16" applyNumberFormat="1" applyFont="1" applyFill="1" applyBorder="1" applyAlignment="1"/>
    <xf numFmtId="3" fontId="50" fillId="2" borderId="3" xfId="0" applyNumberFormat="1" applyFont="1" applyFill="1" applyBorder="1" applyAlignment="1">
      <alignment horizontal="right" vertical="center" wrapText="1"/>
    </xf>
    <xf numFmtId="3" fontId="50" fillId="6" borderId="3" xfId="16" applyNumberFormat="1" applyFont="1" applyFill="1" applyBorder="1" applyAlignment="1"/>
    <xf numFmtId="3" fontId="34" fillId="2" borderId="0" xfId="0" quotePrefix="1" applyNumberFormat="1" applyFont="1" applyFill="1" applyAlignment="1">
      <alignment horizontal="right" vertical="center" wrapText="1"/>
    </xf>
    <xf numFmtId="3" fontId="34" fillId="2" borderId="3" xfId="0" applyNumberFormat="1" applyFont="1" applyFill="1" applyBorder="1" applyAlignment="1">
      <alignment horizontal="right" vertical="center" wrapText="1"/>
    </xf>
    <xf numFmtId="3" fontId="50" fillId="6" borderId="7" xfId="16" applyNumberFormat="1" applyFont="1" applyFill="1" applyBorder="1" applyAlignment="1"/>
    <xf numFmtId="3" fontId="34" fillId="5" borderId="0" xfId="0" applyNumberFormat="1" applyFont="1" applyFill="1" applyAlignment="1">
      <alignment horizontal="right" vertical="center" wrapText="1"/>
    </xf>
    <xf numFmtId="3" fontId="50" fillId="5" borderId="3" xfId="0" applyNumberFormat="1" applyFont="1" applyFill="1" applyBorder="1" applyAlignment="1">
      <alignment horizontal="right" vertical="center" wrapText="1"/>
    </xf>
    <xf numFmtId="3" fontId="34" fillId="5" borderId="3" xfId="0" applyNumberFormat="1" applyFont="1" applyFill="1" applyBorder="1" applyAlignment="1">
      <alignment horizontal="right" vertical="center" wrapText="1"/>
    </xf>
    <xf numFmtId="3" fontId="31" fillId="2" borderId="0" xfId="0" applyNumberFormat="1" applyFont="1" applyFill="1" applyAlignment="1">
      <alignment vertical="center"/>
    </xf>
    <xf numFmtId="3" fontId="31" fillId="2" borderId="0" xfId="0" applyNumberFormat="1" applyFont="1" applyFill="1" applyAlignment="1">
      <alignment horizontal="right" vertical="center"/>
    </xf>
    <xf numFmtId="0" fontId="31" fillId="4" borderId="3" xfId="0" applyFont="1" applyFill="1" applyBorder="1" applyAlignment="1">
      <alignment vertical="center"/>
    </xf>
    <xf numFmtId="3" fontId="31" fillId="2" borderId="3" xfId="0" applyNumberFormat="1" applyFont="1" applyFill="1" applyBorder="1" applyAlignment="1">
      <alignment horizontal="right" vertical="center"/>
    </xf>
    <xf numFmtId="0" fontId="32" fillId="4" borderId="8" xfId="0" applyFont="1" applyFill="1" applyBorder="1" applyAlignment="1">
      <alignment vertical="center"/>
    </xf>
    <xf numFmtId="0" fontId="31" fillId="4" borderId="8" xfId="0" applyFont="1" applyFill="1" applyBorder="1" applyAlignment="1">
      <alignment vertical="center"/>
    </xf>
    <xf numFmtId="3" fontId="32" fillId="2" borderId="8" xfId="0" applyNumberFormat="1" applyFont="1" applyFill="1" applyBorder="1" applyAlignment="1">
      <alignment horizontal="right" vertical="center"/>
    </xf>
    <xf numFmtId="3" fontId="50" fillId="6" borderId="0" xfId="16" applyNumberFormat="1" applyFont="1" applyFill="1" applyBorder="1" applyAlignment="1"/>
    <xf numFmtId="3" fontId="50" fillId="5" borderId="0" xfId="0" applyNumberFormat="1" applyFont="1" applyFill="1" applyBorder="1" applyAlignment="1">
      <alignment horizontal="right" vertical="center" wrapText="1"/>
    </xf>
    <xf numFmtId="3" fontId="50" fillId="2" borderId="0" xfId="0" applyNumberFormat="1" applyFont="1" applyFill="1" applyBorder="1" applyAlignment="1">
      <alignment horizontal="right" vertical="center" wrapText="1"/>
    </xf>
    <xf numFmtId="3" fontId="34" fillId="6" borderId="0" xfId="16" applyNumberFormat="1" applyFont="1" applyFill="1" applyBorder="1" applyAlignment="1"/>
    <xf numFmtId="3" fontId="34" fillId="5" borderId="0" xfId="0" applyNumberFormat="1" applyFont="1" applyFill="1" applyBorder="1" applyAlignment="1">
      <alignment horizontal="right" vertical="center" wrapText="1"/>
    </xf>
    <xf numFmtId="3" fontId="34" fillId="2" borderId="0" xfId="0" quotePrefix="1" applyNumberFormat="1" applyFont="1" applyFill="1" applyBorder="1" applyAlignment="1">
      <alignment horizontal="right" vertical="center" wrapText="1"/>
    </xf>
    <xf numFmtId="3" fontId="34" fillId="2" borderId="0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Alignment="1">
      <alignment vertical="center"/>
    </xf>
    <xf numFmtId="3" fontId="32" fillId="0" borderId="8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7" fontId="32" fillId="0" borderId="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46" fillId="0" borderId="0" xfId="0" applyFont="1" applyFill="1" applyBorder="1"/>
    <xf numFmtId="0" fontId="46" fillId="0" borderId="0" xfId="0" applyFont="1" applyFill="1" applyBorder="1" applyAlignment="1">
      <alignment horizontal="right"/>
    </xf>
    <xf numFmtId="0" fontId="44" fillId="5" borderId="3" xfId="0" applyFont="1" applyFill="1" applyBorder="1" applyAlignment="1">
      <alignment horizontal="right"/>
    </xf>
    <xf numFmtId="0" fontId="44" fillId="0" borderId="3" xfId="0" applyFont="1" applyBorder="1" applyAlignment="1">
      <alignment horizontal="right"/>
    </xf>
    <xf numFmtId="0" fontId="55" fillId="0" borderId="0" xfId="0" applyFont="1"/>
    <xf numFmtId="0" fontId="46" fillId="2" borderId="0" xfId="0" applyFont="1" applyFill="1" applyBorder="1"/>
    <xf numFmtId="1" fontId="14" fillId="0" borderId="0" xfId="3" applyNumberFormat="1" applyFont="1" applyFill="1" applyBorder="1" applyAlignment="1">
      <alignment vertical="top" wrapText="1"/>
    </xf>
    <xf numFmtId="3" fontId="11" fillId="0" borderId="0" xfId="3" applyNumberFormat="1" applyFont="1" applyFill="1"/>
    <xf numFmtId="1" fontId="11" fillId="0" borderId="0" xfId="3" applyNumberFormat="1" applyFont="1" applyFill="1" applyBorder="1"/>
    <xf numFmtId="168" fontId="11" fillId="0" borderId="0" xfId="8" applyNumberFormat="1" applyFont="1" applyFill="1" applyBorder="1"/>
    <xf numFmtId="168" fontId="15" fillId="0" borderId="0" xfId="8" applyNumberFormat="1" applyFont="1" applyFill="1" applyBorder="1"/>
    <xf numFmtId="168" fontId="10" fillId="0" borderId="0" xfId="1" applyNumberFormat="1" applyFont="1" applyFill="1" applyBorder="1" applyAlignment="1">
      <alignment horizontal="left" vertical="center" wrapText="1"/>
    </xf>
    <xf numFmtId="168" fontId="10" fillId="0" borderId="0" xfId="1" applyNumberFormat="1" applyFont="1" applyFill="1" applyBorder="1" applyAlignment="1">
      <alignment vertical="center"/>
    </xf>
    <xf numFmtId="168" fontId="10" fillId="0" borderId="0" xfId="1" applyNumberFormat="1" applyFont="1" applyFill="1" applyBorder="1" applyAlignment="1">
      <alignment horizontal="left" vertical="center"/>
    </xf>
    <xf numFmtId="0" fontId="47" fillId="0" borderId="0" xfId="0" applyFont="1" applyBorder="1"/>
    <xf numFmtId="0" fontId="29" fillId="0" borderId="0" xfId="0" applyFont="1" applyBorder="1"/>
    <xf numFmtId="0" fontId="0" fillId="0" borderId="0" xfId="0" applyFont="1" applyBorder="1"/>
    <xf numFmtId="0" fontId="56" fillId="0" borderId="0" xfId="11" applyFont="1" applyAlignment="1">
      <alignment vertical="center"/>
    </xf>
    <xf numFmtId="0" fontId="57" fillId="0" borderId="0" xfId="3" applyFont="1" applyFill="1" applyBorder="1" applyAlignment="1">
      <alignment horizontal="left" vertical="center"/>
    </xf>
    <xf numFmtId="4" fontId="58" fillId="6" borderId="0" xfId="15" quotePrefix="1" applyNumberFormat="1" applyFont="1" applyFill="1" applyAlignment="1" applyProtection="1"/>
    <xf numFmtId="4" fontId="59" fillId="6" borderId="0" xfId="15" quotePrefix="1" applyNumberFormat="1" applyFont="1" applyFill="1" applyAlignment="1" applyProtection="1"/>
    <xf numFmtId="4" fontId="58" fillId="6" borderId="0" xfId="15" quotePrefix="1" applyNumberFormat="1" applyFont="1" applyFill="1" applyAlignment="1" applyProtection="1">
      <alignment wrapText="1"/>
    </xf>
    <xf numFmtId="0" fontId="16" fillId="0" borderId="0" xfId="0" applyFont="1"/>
    <xf numFmtId="0" fontId="60" fillId="0" borderId="0" xfId="0" applyFont="1" applyFill="1" applyAlignment="1">
      <alignment vertical="center"/>
    </xf>
    <xf numFmtId="14" fontId="60" fillId="0" borderId="0" xfId="0" applyNumberFormat="1" applyFont="1"/>
    <xf numFmtId="0" fontId="60" fillId="0" borderId="0" xfId="0" applyFont="1"/>
    <xf numFmtId="0" fontId="61" fillId="0" borderId="0" xfId="0" applyFont="1"/>
    <xf numFmtId="14" fontId="61" fillId="0" borderId="0" xfId="0" applyNumberFormat="1" applyFont="1" applyAlignment="1">
      <alignment wrapText="1"/>
    </xf>
    <xf numFmtId="0" fontId="61" fillId="0" borderId="0" xfId="0" applyFont="1" applyAlignment="1">
      <alignment wrapText="1"/>
    </xf>
    <xf numFmtId="0" fontId="62" fillId="0" borderId="0" xfId="0" applyFont="1"/>
    <xf numFmtId="3" fontId="61" fillId="0" borderId="0" xfId="0" applyNumberFormat="1" applyFont="1"/>
    <xf numFmtId="0" fontId="63" fillId="0" borderId="0" xfId="0" quotePrefix="1" applyFont="1" applyBorder="1"/>
    <xf numFmtId="3" fontId="64" fillId="0" borderId="0" xfId="0" applyNumberFormat="1" applyFont="1" applyBorder="1"/>
    <xf numFmtId="0" fontId="61" fillId="0" borderId="3" xfId="0" quotePrefix="1" applyFont="1" applyBorder="1"/>
    <xf numFmtId="3" fontId="61" fillId="0" borderId="3" xfId="0" applyNumberFormat="1" applyFont="1" applyBorder="1"/>
    <xf numFmtId="3" fontId="61" fillId="0" borderId="0" xfId="0" applyNumberFormat="1" applyFont="1" applyBorder="1"/>
    <xf numFmtId="3" fontId="62" fillId="0" borderId="0" xfId="0" applyNumberFormat="1" applyFont="1"/>
    <xf numFmtId="3" fontId="62" fillId="0" borderId="0" xfId="0" applyNumberFormat="1" applyFont="1" applyBorder="1"/>
    <xf numFmtId="0" fontId="61" fillId="0" borderId="0" xfId="0" applyFont="1" applyBorder="1"/>
    <xf numFmtId="165" fontId="61" fillId="0" borderId="0" xfId="1" applyNumberFormat="1" applyFont="1"/>
    <xf numFmtId="0" fontId="65" fillId="7" borderId="9" xfId="0" applyFont="1" applyFill="1" applyBorder="1"/>
    <xf numFmtId="166" fontId="60" fillId="7" borderId="9" xfId="0" applyNumberFormat="1" applyFont="1" applyFill="1" applyBorder="1"/>
    <xf numFmtId="165" fontId="61" fillId="0" borderId="0" xfId="0" applyNumberFormat="1" applyFont="1"/>
    <xf numFmtId="166" fontId="66" fillId="7" borderId="9" xfId="0" applyNumberFormat="1" applyFont="1" applyFill="1" applyBorder="1"/>
    <xf numFmtId="0" fontId="61" fillId="0" borderId="0" xfId="0" quotePrefix="1" applyFont="1"/>
    <xf numFmtId="3" fontId="61" fillId="0" borderId="0" xfId="0" applyNumberFormat="1" applyFont="1" applyFill="1"/>
    <xf numFmtId="3" fontId="60" fillId="7" borderId="9" xfId="0" applyNumberFormat="1" applyFont="1" applyFill="1" applyBorder="1"/>
    <xf numFmtId="3" fontId="66" fillId="7" borderId="9" xfId="0" applyNumberFormat="1" applyFont="1" applyFill="1" applyBorder="1"/>
    <xf numFmtId="0" fontId="61" fillId="0" borderId="3" xfId="0" quotePrefix="1" applyFont="1" applyBorder="1" applyAlignment="1">
      <alignment wrapText="1"/>
    </xf>
    <xf numFmtId="3" fontId="62" fillId="0" borderId="3" xfId="0" applyNumberFormat="1" applyFont="1" applyBorder="1"/>
    <xf numFmtId="3" fontId="61" fillId="0" borderId="3" xfId="0" applyNumberFormat="1" applyFont="1" applyFill="1" applyBorder="1"/>
    <xf numFmtId="3" fontId="62" fillId="0" borderId="3" xfId="0" applyNumberFormat="1" applyFont="1" applyFill="1" applyBorder="1"/>
    <xf numFmtId="0" fontId="61" fillId="0" borderId="0" xfId="0" quotePrefix="1" applyFont="1" applyAlignment="1">
      <alignment wrapText="1"/>
    </xf>
    <xf numFmtId="0" fontId="65" fillId="7" borderId="9" xfId="0" applyFont="1" applyFill="1" applyBorder="1" applyAlignment="1">
      <alignment wrapText="1"/>
    </xf>
    <xf numFmtId="0" fontId="61" fillId="0" borderId="3" xfId="0" applyFont="1" applyBorder="1"/>
    <xf numFmtId="3" fontId="62" fillId="0" borderId="0" xfId="0" applyNumberFormat="1" applyFont="1" applyFill="1"/>
    <xf numFmtId="166" fontId="60" fillId="7" borderId="9" xfId="2" applyNumberFormat="1" applyFont="1" applyFill="1" applyBorder="1"/>
    <xf numFmtId="0" fontId="65" fillId="0" borderId="8" xfId="0" applyFont="1" applyBorder="1"/>
    <xf numFmtId="3" fontId="66" fillId="0" borderId="8" xfId="0" applyNumberFormat="1" applyFont="1" applyBorder="1"/>
    <xf numFmtId="3" fontId="60" fillId="0" borderId="8" xfId="0" applyNumberFormat="1" applyFont="1" applyBorder="1"/>
    <xf numFmtId="3" fontId="66" fillId="0" borderId="0" xfId="0" applyNumberFormat="1" applyFont="1" applyBorder="1"/>
    <xf numFmtId="3" fontId="60" fillId="0" borderId="0" xfId="0" applyNumberFormat="1" applyFont="1" applyBorder="1"/>
    <xf numFmtId="3" fontId="66" fillId="0" borderId="3" xfId="0" applyNumberFormat="1" applyFont="1" applyBorder="1"/>
    <xf numFmtId="3" fontId="60" fillId="0" borderId="3" xfId="0" applyNumberFormat="1" applyFont="1" applyBorder="1"/>
    <xf numFmtId="0" fontId="61" fillId="0" borderId="0" xfId="0" quotePrefix="1" applyFont="1" applyBorder="1"/>
    <xf numFmtId="9" fontId="60" fillId="7" borderId="9" xfId="2" applyNumberFormat="1" applyFont="1" applyFill="1" applyBorder="1"/>
    <xf numFmtId="3" fontId="61" fillId="0" borderId="0" xfId="0" applyNumberFormat="1" applyFont="1" applyAlignment="1">
      <alignment horizontal="center"/>
    </xf>
    <xf numFmtId="3" fontId="61" fillId="0" borderId="0" xfId="0" applyNumberFormat="1" applyFont="1" applyBorder="1" applyAlignment="1">
      <alignment horizontal="center"/>
    </xf>
    <xf numFmtId="3" fontId="61" fillId="0" borderId="3" xfId="0" applyNumberFormat="1" applyFont="1" applyBorder="1" applyAlignment="1">
      <alignment horizontal="center"/>
    </xf>
    <xf numFmtId="0" fontId="61" fillId="0" borderId="0" xfId="0" quotePrefix="1" applyFont="1" applyFill="1" applyBorder="1"/>
    <xf numFmtId="0" fontId="61" fillId="0" borderId="0" xfId="0" applyFont="1" applyFill="1" applyBorder="1"/>
    <xf numFmtId="10" fontId="61" fillId="0" borderId="0" xfId="0" applyNumberFormat="1" applyFont="1" applyFill="1"/>
    <xf numFmtId="10" fontId="61" fillId="0" borderId="0" xfId="0" applyNumberFormat="1" applyFont="1"/>
    <xf numFmtId="10" fontId="62" fillId="0" borderId="0" xfId="0" applyNumberFormat="1" applyFont="1"/>
    <xf numFmtId="10" fontId="61" fillId="0" borderId="0" xfId="0" applyNumberFormat="1" applyFont="1" applyAlignment="1">
      <alignment horizontal="center"/>
    </xf>
    <xf numFmtId="4" fontId="60" fillId="7" borderId="9" xfId="0" applyNumberFormat="1" applyFont="1" applyFill="1" applyBorder="1"/>
    <xf numFmtId="3" fontId="61" fillId="7" borderId="9" xfId="0" applyNumberFormat="1" applyFont="1" applyFill="1" applyBorder="1" applyAlignment="1">
      <alignment horizontal="center"/>
    </xf>
    <xf numFmtId="0" fontId="65" fillId="0" borderId="0" xfId="0" applyFont="1" applyBorder="1"/>
    <xf numFmtId="0" fontId="61" fillId="0" borderId="3" xfId="0" applyFont="1" applyFill="1" applyBorder="1"/>
    <xf numFmtId="10" fontId="61" fillId="0" borderId="3" xfId="0" applyNumberFormat="1" applyFont="1" applyFill="1" applyBorder="1"/>
    <xf numFmtId="10" fontId="61" fillId="0" borderId="3" xfId="0" applyNumberFormat="1" applyFont="1" applyBorder="1"/>
    <xf numFmtId="10" fontId="62" fillId="0" borderId="3" xfId="0" applyNumberFormat="1" applyFont="1" applyBorder="1"/>
    <xf numFmtId="10" fontId="61" fillId="0" borderId="3" xfId="0" applyNumberFormat="1" applyFont="1" applyBorder="1" applyAlignment="1">
      <alignment horizontal="center"/>
    </xf>
    <xf numFmtId="4" fontId="66" fillId="7" borderId="9" xfId="0" applyNumberFormat="1" applyFont="1" applyFill="1" applyBorder="1"/>
    <xf numFmtId="3" fontId="60" fillId="7" borderId="9" xfId="0" applyNumberFormat="1" applyFont="1" applyFill="1" applyBorder="1" applyAlignment="1">
      <alignment horizontal="center"/>
    </xf>
    <xf numFmtId="4" fontId="61" fillId="0" borderId="0" xfId="0" applyNumberFormat="1" applyFont="1" applyBorder="1"/>
    <xf numFmtId="4" fontId="62" fillId="0" borderId="0" xfId="0" applyNumberFormat="1" applyFont="1" applyBorder="1"/>
    <xf numFmtId="3" fontId="62" fillId="0" borderId="0" xfId="0" applyNumberFormat="1" applyFont="1" applyBorder="1" applyAlignment="1">
      <alignment horizontal="center"/>
    </xf>
    <xf numFmtId="3" fontId="61" fillId="0" borderId="0" xfId="0" applyNumberFormat="1" applyFont="1" applyBorder="1" applyAlignment="1">
      <alignment horizontal="center" vertical="center"/>
    </xf>
    <xf numFmtId="3" fontId="62" fillId="0" borderId="0" xfId="0" applyNumberFormat="1" applyFont="1" applyBorder="1" applyAlignment="1">
      <alignment horizontal="center" vertical="center"/>
    </xf>
    <xf numFmtId="3" fontId="66" fillId="7" borderId="9" xfId="0" applyNumberFormat="1" applyFont="1" applyFill="1" applyBorder="1" applyAlignment="1">
      <alignment horizontal="center"/>
    </xf>
    <xf numFmtId="16" fontId="5" fillId="0" borderId="0" xfId="0" quotePrefix="1" applyNumberFormat="1" applyFont="1"/>
    <xf numFmtId="0" fontId="7" fillId="0" borderId="0" xfId="5" applyFill="1" applyAlignment="1">
      <alignment horizontal="center"/>
    </xf>
    <xf numFmtId="0" fontId="30" fillId="0" borderId="0" xfId="11" applyFill="1" applyBorder="1"/>
    <xf numFmtId="0" fontId="30" fillId="0" borderId="0" xfId="11" applyFill="1"/>
    <xf numFmtId="0" fontId="67" fillId="0" borderId="0" xfId="3" applyFont="1" applyFill="1"/>
    <xf numFmtId="0" fontId="16" fillId="0" borderId="0" xfId="0" applyFont="1" applyBorder="1"/>
    <xf numFmtId="0" fontId="16" fillId="0" borderId="0" xfId="0" applyFont="1" applyFill="1" applyBorder="1"/>
    <xf numFmtId="0" fontId="68" fillId="0" borderId="0" xfId="0" applyFont="1" applyBorder="1"/>
    <xf numFmtId="0" fontId="46" fillId="0" borderId="3" xfId="0" applyFont="1" applyFill="1" applyBorder="1"/>
    <xf numFmtId="0" fontId="45" fillId="0" borderId="0" xfId="13" applyFont="1" applyAlignment="1">
      <alignment horizontal="left"/>
    </xf>
    <xf numFmtId="0" fontId="10" fillId="0" borderId="0" xfId="3" applyFont="1" applyFill="1" applyBorder="1" applyAlignment="1">
      <alignment horizontal="center" vertical="center"/>
    </xf>
  </cellXfs>
  <cellStyles count="17">
    <cellStyle name="Comma 2" xfId="9"/>
    <cellStyle name="Hyperkobling" xfId="11" builtinId="8"/>
    <cellStyle name="Komma" xfId="1" builtinId="3"/>
    <cellStyle name="Komma 55" xfId="4"/>
    <cellStyle name="Normal" xfId="0" builtinId="0"/>
    <cellStyle name="Normal 2" xfId="7"/>
    <cellStyle name="Normal 2 2" xfId="14"/>
    <cellStyle name="Normal 20 2" xfId="12"/>
    <cellStyle name="Normal 35" xfId="3"/>
    <cellStyle name="Normal 35 2" xfId="8"/>
    <cellStyle name="Normal 35 3" xfId="10"/>
    <cellStyle name="Normal_Note 5 til 7" xfId="16"/>
    <cellStyle name="Normal_Noter" xfId="15"/>
    <cellStyle name="Normal_tabeller.xls 2 2" xfId="13"/>
    <cellStyle name="Overskrift" xfId="6"/>
    <cellStyle name="Prosent" xfId="2" builtinId="5"/>
    <cellStyle name="Vanli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798138452588714E-2"/>
          <c:y val="3.3371251228429918E-2"/>
          <c:w val="0.61759922679822088"/>
          <c:h val="0.88779185512147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 Income'!$C$5</c:f>
              <c:strCache>
                <c:ptCount val="1"/>
                <c:pt idx="0">
                  <c:v>Net interest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'3 Income'!$D$5:$H$5</c:f>
              <c:numCache>
                <c:formatCode>0</c:formatCode>
                <c:ptCount val="5"/>
                <c:pt idx="0">
                  <c:v>495</c:v>
                </c:pt>
                <c:pt idx="1">
                  <c:v>501.2</c:v>
                </c:pt>
                <c:pt idx="2">
                  <c:v>498</c:v>
                </c:pt>
                <c:pt idx="3">
                  <c:v>482.5</c:v>
                </c:pt>
                <c:pt idx="4">
                  <c:v>464.5</c:v>
                </c:pt>
              </c:numCache>
            </c:numRef>
          </c:val>
        </c:ser>
        <c:ser>
          <c:idx val="1"/>
          <c:order val="1"/>
          <c:tx>
            <c:strRef>
              <c:f>'3 Income'!$C$6</c:f>
              <c:strCache>
                <c:ptCount val="1"/>
                <c:pt idx="0">
                  <c:v>Commission fees from covered bond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'3 Income'!$D$6:$H$6</c:f>
              <c:numCache>
                <c:formatCode>0</c:formatCode>
                <c:ptCount val="5"/>
                <c:pt idx="0">
                  <c:v>106.7</c:v>
                </c:pt>
                <c:pt idx="1">
                  <c:v>109.3</c:v>
                </c:pt>
                <c:pt idx="2">
                  <c:v>100.5</c:v>
                </c:pt>
                <c:pt idx="3">
                  <c:v>90.8</c:v>
                </c:pt>
                <c:pt idx="4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356560"/>
        <c:axId val="188355776"/>
      </c:barChart>
      <c:lineChart>
        <c:grouping val="stacked"/>
        <c:varyColors val="0"/>
        <c:ser>
          <c:idx val="2"/>
          <c:order val="2"/>
          <c:tx>
            <c:strRef>
              <c:f>'3 Income'!$C$7</c:f>
              <c:strCache>
                <c:ptCount val="1"/>
                <c:pt idx="0">
                  <c:v>Net interest income an commission fees from covered bond companies (MNOK)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579586537935308E-2"/>
                  <c:y val="-3.033750111675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132355081778484E-2"/>
                  <c:y val="-3.03375011167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948098900497441E-2"/>
                  <c:y val="-3.6405001340105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763842719216352E-2"/>
                  <c:y val="-2.7303751005079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4740494502486977E-3"/>
                  <c:y val="-4.5506251675131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'3 Income'!$D$7:$H$7</c:f>
              <c:numCache>
                <c:formatCode>0</c:formatCode>
                <c:ptCount val="5"/>
                <c:pt idx="0">
                  <c:v>601.70000000000005</c:v>
                </c:pt>
                <c:pt idx="1">
                  <c:v>610.5</c:v>
                </c:pt>
                <c:pt idx="2">
                  <c:v>598.5</c:v>
                </c:pt>
                <c:pt idx="3">
                  <c:v>573.29999999999995</c:v>
                </c:pt>
                <c:pt idx="4">
                  <c:v>540.5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56560"/>
        <c:axId val="188355776"/>
      </c:lineChart>
      <c:lineChart>
        <c:grouping val="standard"/>
        <c:varyColors val="0"/>
        <c:ser>
          <c:idx val="3"/>
          <c:order val="3"/>
          <c:tx>
            <c:strRef>
              <c:f>'3 Income'!$C$8</c:f>
              <c:strCache>
                <c:ptCount val="1"/>
                <c:pt idx="0">
                  <c:v>Net interest income in % of average of average total assets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'3 Income'!$D$9:$H$9</c:f>
              <c:numCache>
                <c:formatCode>0.00%</c:formatCode>
                <c:ptCount val="5"/>
                <c:pt idx="0">
                  <c:v>1.8499999999999999E-2</c:v>
                </c:pt>
                <c:pt idx="1">
                  <c:v>1.84E-2</c:v>
                </c:pt>
                <c:pt idx="2">
                  <c:v>1.8599999999999998E-2</c:v>
                </c:pt>
                <c:pt idx="3">
                  <c:v>1.8596715041282436E-2</c:v>
                </c:pt>
                <c:pt idx="4">
                  <c:v>1.8100000000000002E-2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357344"/>
        <c:axId val="188356952"/>
      </c:lineChart>
      <c:catAx>
        <c:axId val="1883565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355776"/>
        <c:crosses val="autoZero"/>
        <c:auto val="1"/>
        <c:lblAlgn val="ctr"/>
        <c:lblOffset val="100"/>
        <c:noMultiLvlLbl val="0"/>
      </c:catAx>
      <c:valAx>
        <c:axId val="188355776"/>
        <c:scaling>
          <c:orientation val="minMax"/>
        </c:scaling>
        <c:delete val="0"/>
        <c:axPos val="r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356560"/>
        <c:crosses val="autoZero"/>
        <c:crossBetween val="between"/>
      </c:valAx>
      <c:valAx>
        <c:axId val="188356952"/>
        <c:scaling>
          <c:orientation val="minMax"/>
          <c:max val="1.8800000000000001E-2"/>
          <c:min val="1.5000000000000003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357344"/>
        <c:crosses val="autoZero"/>
        <c:crossBetween val="between"/>
      </c:valAx>
      <c:catAx>
        <c:axId val="18835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356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03199534613143"/>
          <c:y val="0.3316254355342434"/>
          <c:w val="0.30419913929752718"/>
          <c:h val="0.336749128931513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658170183806762E-2"/>
          <c:y val="5.1171920963561879E-2"/>
          <c:w val="0.66160866056775125"/>
          <c:h val="0.86141925838325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 Income'!$C$46</c:f>
              <c:strCache>
                <c:ptCount val="1"/>
                <c:pt idx="0">
                  <c:v>Commission fees from covered bond companies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Q2-17*</c:v>
                </c:pt>
                <c:pt idx="4">
                  <c:v>Q1-17</c:v>
                </c:pt>
              </c:strCache>
            </c:strRef>
          </c:cat>
          <c:val>
            <c:numRef>
              <c:f>'3 Income'!$D$46:$H$46</c:f>
              <c:numCache>
                <c:formatCode>0</c:formatCode>
                <c:ptCount val="5"/>
                <c:pt idx="0">
                  <c:v>106.7</c:v>
                </c:pt>
                <c:pt idx="1">
                  <c:v>108.8</c:v>
                </c:pt>
                <c:pt idx="2">
                  <c:v>100.5</c:v>
                </c:pt>
                <c:pt idx="3">
                  <c:v>90.8</c:v>
                </c:pt>
                <c:pt idx="4">
                  <c:v>76</c:v>
                </c:pt>
              </c:numCache>
            </c:numRef>
          </c:val>
        </c:ser>
        <c:ser>
          <c:idx val="1"/>
          <c:order val="1"/>
          <c:tx>
            <c:strRef>
              <c:f>'3 Income'!$C$47</c:f>
              <c:strCache>
                <c:ptCount val="1"/>
                <c:pt idx="0">
                  <c:v>Commission income from credit cards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Q2-17*</c:v>
                </c:pt>
                <c:pt idx="4">
                  <c:v>Q1-17</c:v>
                </c:pt>
              </c:strCache>
            </c:strRef>
          </c:cat>
          <c:val>
            <c:numRef>
              <c:f>'3 Income'!$D$47:$H$47</c:f>
              <c:numCache>
                <c:formatCode>0</c:formatCode>
                <c:ptCount val="5"/>
                <c:pt idx="0">
                  <c:v>16.100000000000001</c:v>
                </c:pt>
                <c:pt idx="1">
                  <c:v>14.8</c:v>
                </c:pt>
                <c:pt idx="2">
                  <c:v>16</c:v>
                </c:pt>
                <c:pt idx="3">
                  <c:v>15.5</c:v>
                </c:pt>
                <c:pt idx="4">
                  <c:v>14.8</c:v>
                </c:pt>
              </c:numCache>
            </c:numRef>
          </c:val>
        </c:ser>
        <c:ser>
          <c:idx val="2"/>
          <c:order val="2"/>
          <c:tx>
            <c:strRef>
              <c:f>'3 Income'!$C$48</c:f>
              <c:strCache>
                <c:ptCount val="1"/>
                <c:pt idx="0">
                  <c:v>Payment transmission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Q2-17*</c:v>
                </c:pt>
                <c:pt idx="4">
                  <c:v>Q1-17</c:v>
                </c:pt>
              </c:strCache>
            </c:strRef>
          </c:cat>
          <c:val>
            <c:numRef>
              <c:f>'3 Income'!$D$48:$H$48</c:f>
              <c:numCache>
                <c:formatCode>0</c:formatCode>
                <c:ptCount val="5"/>
                <c:pt idx="0">
                  <c:v>33.6</c:v>
                </c:pt>
                <c:pt idx="1">
                  <c:v>37.6</c:v>
                </c:pt>
                <c:pt idx="2">
                  <c:v>41</c:v>
                </c:pt>
                <c:pt idx="3">
                  <c:v>36.4</c:v>
                </c:pt>
                <c:pt idx="4">
                  <c:v>36.200000000000003</c:v>
                </c:pt>
              </c:numCache>
            </c:numRef>
          </c:val>
        </c:ser>
        <c:ser>
          <c:idx val="3"/>
          <c:order val="3"/>
          <c:tx>
            <c:strRef>
              <c:f>'3 Income'!$C$49</c:f>
              <c:strCache>
                <c:ptCount val="1"/>
                <c:pt idx="0">
                  <c:v>Mutual fund and insurance commisions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Q2-17*</c:v>
                </c:pt>
                <c:pt idx="4">
                  <c:v>Q1-17</c:v>
                </c:pt>
              </c:strCache>
            </c:strRef>
          </c:cat>
          <c:val>
            <c:numRef>
              <c:f>'3 Income'!$D$49:$H$49</c:f>
              <c:numCache>
                <c:formatCode>0</c:formatCode>
                <c:ptCount val="5"/>
                <c:pt idx="0">
                  <c:v>53.7</c:v>
                </c:pt>
                <c:pt idx="1">
                  <c:v>52.5</c:v>
                </c:pt>
                <c:pt idx="2">
                  <c:v>49.5</c:v>
                </c:pt>
                <c:pt idx="3">
                  <c:v>47.1</c:v>
                </c:pt>
                <c:pt idx="4">
                  <c:v>47.9</c:v>
                </c:pt>
              </c:numCache>
            </c:numRef>
          </c:val>
        </c:ser>
        <c:ser>
          <c:idx val="4"/>
          <c:order val="4"/>
          <c:tx>
            <c:strRef>
              <c:f>'3 Income'!$C$50</c:f>
              <c:strCache>
                <c:ptCount val="1"/>
                <c:pt idx="0">
                  <c:v>Income from real estate brokerage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Q2-17*</c:v>
                </c:pt>
                <c:pt idx="4">
                  <c:v>Q1-17</c:v>
                </c:pt>
              </c:strCache>
            </c:strRef>
          </c:cat>
          <c:val>
            <c:numRef>
              <c:f>'3 Income'!$D$50:$H$50</c:f>
              <c:numCache>
                <c:formatCode>0</c:formatCode>
                <c:ptCount val="5"/>
                <c:pt idx="0">
                  <c:v>66.599999999999994</c:v>
                </c:pt>
                <c:pt idx="1">
                  <c:v>68.7</c:v>
                </c:pt>
                <c:pt idx="2">
                  <c:v>72.900000000000006</c:v>
                </c:pt>
                <c:pt idx="3">
                  <c:v>83.3</c:v>
                </c:pt>
                <c:pt idx="4">
                  <c:v>70.7</c:v>
                </c:pt>
              </c:numCache>
            </c:numRef>
          </c:val>
        </c:ser>
        <c:ser>
          <c:idx val="5"/>
          <c:order val="5"/>
          <c:tx>
            <c:strRef>
              <c:f>'3 Income'!$C$51</c:f>
              <c:strCache>
                <c:ptCount val="1"/>
                <c:pt idx="0">
                  <c:v>Income from accounting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Q2-17*</c:v>
                </c:pt>
                <c:pt idx="4">
                  <c:v>Q1-17</c:v>
                </c:pt>
              </c:strCache>
            </c:strRef>
          </c:cat>
          <c:val>
            <c:numRef>
              <c:f>'3 Income'!$D$51:$H$51</c:f>
              <c:numCache>
                <c:formatCode>0</c:formatCode>
                <c:ptCount val="5"/>
                <c:pt idx="0">
                  <c:v>37.299999999999997</c:v>
                </c:pt>
                <c:pt idx="1">
                  <c:v>32.700000000000003</c:v>
                </c:pt>
                <c:pt idx="2">
                  <c:v>28.6</c:v>
                </c:pt>
                <c:pt idx="3">
                  <c:v>41.1</c:v>
                </c:pt>
                <c:pt idx="4">
                  <c:v>45.9</c:v>
                </c:pt>
              </c:numCache>
            </c:numRef>
          </c:val>
        </c:ser>
        <c:ser>
          <c:idx val="6"/>
          <c:order val="6"/>
          <c:tx>
            <c:strRef>
              <c:f>'3 Income'!$C$52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Q2-17*</c:v>
                </c:pt>
                <c:pt idx="4">
                  <c:v>Q1-17</c:v>
                </c:pt>
              </c:strCache>
            </c:strRef>
          </c:cat>
          <c:val>
            <c:numRef>
              <c:f>'3 Income'!$D$52:$H$52</c:f>
              <c:numCache>
                <c:formatCode>0</c:formatCode>
                <c:ptCount val="5"/>
                <c:pt idx="0">
                  <c:v>9.4</c:v>
                </c:pt>
                <c:pt idx="1">
                  <c:v>0</c:v>
                </c:pt>
                <c:pt idx="2">
                  <c:v>16.899999999999999</c:v>
                </c:pt>
                <c:pt idx="3">
                  <c:v>10.4</c:v>
                </c:pt>
                <c:pt idx="4">
                  <c:v>16.399999999999999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351856"/>
        <c:axId val="188352248"/>
      </c:barChart>
      <c:lineChart>
        <c:grouping val="standard"/>
        <c:varyColors val="0"/>
        <c:ser>
          <c:idx val="7"/>
          <c:order val="7"/>
          <c:tx>
            <c:strRef>
              <c:f>'3 Income'!$C$53</c:f>
              <c:strCache>
                <c:ptCount val="1"/>
                <c:pt idx="0">
                  <c:v>Sum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50588647806342069"/>
                  <c:y val="-2.1851648965571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3940863710779145"/>
                  <c:y val="-3.2725685260315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858627450782176E-2"/>
                  <c:y val="-1.965330836293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8873118020788358"/>
                  <c:y val="-2.88142556690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55520902116351289"/>
                  <c:y val="-3.0983179592042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Q2-17*</c:v>
                </c:pt>
                <c:pt idx="4">
                  <c:v>Q1-17</c:v>
                </c:pt>
              </c:strCache>
            </c:strRef>
          </c:cat>
          <c:val>
            <c:numRef>
              <c:f>'3 Income'!$D$53:$H$53</c:f>
              <c:numCache>
                <c:formatCode>0</c:formatCode>
                <c:ptCount val="5"/>
                <c:pt idx="0">
                  <c:v>323.39999999999998</c:v>
                </c:pt>
                <c:pt idx="1">
                  <c:v>315.2</c:v>
                </c:pt>
                <c:pt idx="2">
                  <c:v>325.3</c:v>
                </c:pt>
                <c:pt idx="3">
                  <c:v>324.5</c:v>
                </c:pt>
                <c:pt idx="4">
                  <c:v>307.8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6152720"/>
        <c:axId val="188358912"/>
      </c:lineChart>
      <c:catAx>
        <c:axId val="1883518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8352248"/>
        <c:crosses val="autoZero"/>
        <c:auto val="1"/>
        <c:lblAlgn val="ctr"/>
        <c:lblOffset val="100"/>
        <c:noMultiLvlLbl val="0"/>
      </c:catAx>
      <c:valAx>
        <c:axId val="188352248"/>
        <c:scaling>
          <c:orientation val="minMax"/>
        </c:scaling>
        <c:delete val="1"/>
        <c:axPos val="r"/>
        <c:numFmt formatCode="0" sourceLinked="1"/>
        <c:majorTickMark val="none"/>
        <c:minorTickMark val="none"/>
        <c:tickLblPos val="nextTo"/>
        <c:crossAx val="188351856"/>
        <c:crosses val="autoZero"/>
        <c:crossBetween val="between"/>
      </c:valAx>
      <c:valAx>
        <c:axId val="188358912"/>
        <c:scaling>
          <c:orientation val="minMax"/>
          <c:max val="33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152720"/>
        <c:crosses val="max"/>
        <c:crossBetween val="between"/>
      </c:valAx>
      <c:catAx>
        <c:axId val="7615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358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658170183806762E-2"/>
          <c:y val="3.9812644412269234E-2"/>
          <c:w val="0.6992606320639001"/>
          <c:h val="0.893695850623794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 Expences'!$B$6</c:f>
              <c:strCache>
                <c:ptCount val="1"/>
                <c:pt idx="0">
                  <c:v>Payrolls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Expences'!$C$6:$G$6</c:f>
              <c:numCache>
                <c:formatCode>0</c:formatCode>
                <c:ptCount val="5"/>
                <c:pt idx="0">
                  <c:v>189.7</c:v>
                </c:pt>
                <c:pt idx="1">
                  <c:v>216.6</c:v>
                </c:pt>
                <c:pt idx="2">
                  <c:v>165.7</c:v>
                </c:pt>
                <c:pt idx="3">
                  <c:v>161</c:v>
                </c:pt>
                <c:pt idx="4">
                  <c:v>208.9</c:v>
                </c:pt>
              </c:numCache>
            </c:numRef>
          </c:val>
        </c:ser>
        <c:ser>
          <c:idx val="1"/>
          <c:order val="1"/>
          <c:tx>
            <c:strRef>
              <c:f>'4 Expences'!$B$7</c:f>
              <c:strCache>
                <c:ptCount val="1"/>
                <c:pt idx="0">
                  <c:v>Pensions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Expences'!$C$7:$G$7</c:f>
              <c:numCache>
                <c:formatCode>0</c:formatCode>
                <c:ptCount val="5"/>
                <c:pt idx="0">
                  <c:v>16.399999999999999</c:v>
                </c:pt>
                <c:pt idx="1">
                  <c:v>30.4</c:v>
                </c:pt>
                <c:pt idx="2">
                  <c:v>16.2</c:v>
                </c:pt>
                <c:pt idx="3">
                  <c:v>10.7</c:v>
                </c:pt>
                <c:pt idx="4">
                  <c:v>-26.2</c:v>
                </c:pt>
              </c:numCache>
            </c:numRef>
          </c:val>
        </c:ser>
        <c:ser>
          <c:idx val="2"/>
          <c:order val="2"/>
          <c:tx>
            <c:strRef>
              <c:f>'4 Expences'!$B$8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Expences'!$C$8:$G$8</c:f>
              <c:numCache>
                <c:formatCode>0</c:formatCode>
                <c:ptCount val="5"/>
                <c:pt idx="0">
                  <c:v>51.6</c:v>
                </c:pt>
                <c:pt idx="1">
                  <c:v>60.6</c:v>
                </c:pt>
                <c:pt idx="2">
                  <c:v>50.5</c:v>
                </c:pt>
                <c:pt idx="3">
                  <c:v>64.8</c:v>
                </c:pt>
                <c:pt idx="4">
                  <c:v>49.9</c:v>
                </c:pt>
              </c:numCache>
            </c:numRef>
          </c:val>
        </c:ser>
        <c:ser>
          <c:idx val="3"/>
          <c:order val="3"/>
          <c:tx>
            <c:strRef>
              <c:f>'4 Expences'!$B$9</c:f>
              <c:strCache>
                <c:ptCount val="1"/>
                <c:pt idx="0">
                  <c:v>Admin. and other operating costs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Expences'!$C$9:$G$9</c:f>
              <c:numCache>
                <c:formatCode>0</c:formatCode>
                <c:ptCount val="5"/>
                <c:pt idx="0">
                  <c:v>121.4</c:v>
                </c:pt>
                <c:pt idx="1">
                  <c:v>131.80000000000001</c:v>
                </c:pt>
                <c:pt idx="2">
                  <c:v>153.4</c:v>
                </c:pt>
                <c:pt idx="3">
                  <c:v>141</c:v>
                </c:pt>
                <c:pt idx="4">
                  <c:v>121.6</c:v>
                </c:pt>
              </c:numCache>
            </c:numRef>
          </c:val>
        </c:ser>
        <c:ser>
          <c:idx val="4"/>
          <c:order val="4"/>
          <c:tx>
            <c:strRef>
              <c:f>'4 Expences'!$B$10</c:f>
              <c:strCache>
                <c:ptCount val="1"/>
                <c:pt idx="0">
                  <c:v>Depreciation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Expences'!$C$10:$G$10</c:f>
              <c:numCache>
                <c:formatCode>0</c:formatCode>
                <c:ptCount val="5"/>
                <c:pt idx="0">
                  <c:v>23.2</c:v>
                </c:pt>
                <c:pt idx="1">
                  <c:v>22</c:v>
                </c:pt>
                <c:pt idx="2">
                  <c:v>20.399999999999999</c:v>
                </c:pt>
                <c:pt idx="3">
                  <c:v>20.8</c:v>
                </c:pt>
                <c:pt idx="4">
                  <c:v>20.5</c:v>
                </c:pt>
              </c:numCache>
            </c:numRef>
          </c:val>
        </c:ser>
        <c:ser>
          <c:idx val="5"/>
          <c:order val="5"/>
          <c:tx>
            <c:strRef>
              <c:f>'4 Expences'!$B$11</c:f>
              <c:strCache>
                <c:ptCount val="1"/>
                <c:pt idx="0">
                  <c:v>Other operating expenses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Expences'!$C$11:$G$11</c:f>
              <c:numCache>
                <c:formatCode>0</c:formatCode>
                <c:ptCount val="5"/>
                <c:pt idx="0">
                  <c:v>47.1</c:v>
                </c:pt>
                <c:pt idx="1">
                  <c:v>88.4</c:v>
                </c:pt>
                <c:pt idx="2">
                  <c:v>26.6</c:v>
                </c:pt>
                <c:pt idx="3">
                  <c:v>79.8</c:v>
                </c:pt>
                <c:pt idx="4">
                  <c:v>62.8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76154680"/>
        <c:axId val="187735720"/>
      </c:barChart>
      <c:lineChart>
        <c:grouping val="standard"/>
        <c:varyColors val="0"/>
        <c:ser>
          <c:idx val="6"/>
          <c:order val="6"/>
          <c:tx>
            <c:strRef>
              <c:f>'4 Expences'!$B$12</c:f>
              <c:strCache>
                <c:ptCount val="1"/>
                <c:pt idx="0">
                  <c:v>Total operating expences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52996580104133906"/>
                  <c:y val="-3.3747747085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5385623089454235"/>
                  <c:y val="-3.1093570790852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30478406219316245"/>
                  <c:y val="-3.3747747085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58410420873701485"/>
                  <c:y val="-6.8252038908970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Expences'!$C$12:$G$12</c:f>
              <c:numCache>
                <c:formatCode>0</c:formatCode>
                <c:ptCount val="5"/>
                <c:pt idx="0">
                  <c:v>449.4</c:v>
                </c:pt>
                <c:pt idx="1">
                  <c:v>549.79999999999995</c:v>
                </c:pt>
                <c:pt idx="2">
                  <c:v>432.9</c:v>
                </c:pt>
                <c:pt idx="3">
                  <c:v>478.2</c:v>
                </c:pt>
                <c:pt idx="4">
                  <c:v>437.3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2595048"/>
        <c:axId val="542593872"/>
      </c:lineChart>
      <c:catAx>
        <c:axId val="761546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7735720"/>
        <c:crosses val="autoZero"/>
        <c:auto val="1"/>
        <c:lblAlgn val="ctr"/>
        <c:lblOffset val="100"/>
        <c:noMultiLvlLbl val="0"/>
      </c:catAx>
      <c:valAx>
        <c:axId val="187735720"/>
        <c:scaling>
          <c:orientation val="minMax"/>
        </c:scaling>
        <c:delete val="1"/>
        <c:axPos val="r"/>
        <c:numFmt formatCode="0" sourceLinked="1"/>
        <c:majorTickMark val="none"/>
        <c:minorTickMark val="none"/>
        <c:tickLblPos val="nextTo"/>
        <c:crossAx val="76154680"/>
        <c:crosses val="autoZero"/>
        <c:crossBetween val="between"/>
      </c:valAx>
      <c:valAx>
        <c:axId val="542593872"/>
        <c:scaling>
          <c:orientation val="minMax"/>
          <c:min val="-1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2595048"/>
        <c:crosses val="max"/>
        <c:crossBetween val="between"/>
      </c:valAx>
      <c:catAx>
        <c:axId val="542595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2593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 Expences'!$B$48</c:f>
              <c:strCache>
                <c:ptCount val="1"/>
                <c:pt idx="0">
                  <c:v>Payrolls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Expences'!$C$48:$G$48</c:f>
              <c:numCache>
                <c:formatCode>0</c:formatCode>
                <c:ptCount val="5"/>
                <c:pt idx="0">
                  <c:v>117.7</c:v>
                </c:pt>
                <c:pt idx="1">
                  <c:v>151.80000000000001</c:v>
                </c:pt>
                <c:pt idx="2">
                  <c:v>117.8</c:v>
                </c:pt>
                <c:pt idx="3">
                  <c:v>114.9</c:v>
                </c:pt>
                <c:pt idx="4">
                  <c:v>138.30000000000001</c:v>
                </c:pt>
              </c:numCache>
            </c:numRef>
          </c:val>
        </c:ser>
        <c:ser>
          <c:idx val="1"/>
          <c:order val="1"/>
          <c:tx>
            <c:strRef>
              <c:f>'4 Expences'!$B$49</c:f>
              <c:strCache>
                <c:ptCount val="1"/>
                <c:pt idx="0">
                  <c:v>Pensions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Expences'!$C$49:$G$49</c:f>
              <c:numCache>
                <c:formatCode>0</c:formatCode>
                <c:ptCount val="5"/>
                <c:pt idx="0">
                  <c:v>13</c:v>
                </c:pt>
                <c:pt idx="1">
                  <c:v>27.4</c:v>
                </c:pt>
                <c:pt idx="2">
                  <c:v>12.6</c:v>
                </c:pt>
                <c:pt idx="3">
                  <c:v>8.4</c:v>
                </c:pt>
                <c:pt idx="4">
                  <c:v>-29.7</c:v>
                </c:pt>
              </c:numCache>
            </c:numRef>
          </c:val>
        </c:ser>
        <c:ser>
          <c:idx val="2"/>
          <c:order val="2"/>
          <c:tx>
            <c:strRef>
              <c:f>'4 Expences'!$B$50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Expences'!$C$50:$G$50</c:f>
              <c:numCache>
                <c:formatCode>0</c:formatCode>
                <c:ptCount val="5"/>
                <c:pt idx="0">
                  <c:v>35.9</c:v>
                </c:pt>
                <c:pt idx="1">
                  <c:v>45.2</c:v>
                </c:pt>
                <c:pt idx="2">
                  <c:v>36.799999999999997</c:v>
                </c:pt>
                <c:pt idx="3">
                  <c:v>53.3</c:v>
                </c:pt>
                <c:pt idx="4">
                  <c:v>34.9</c:v>
                </c:pt>
              </c:numCache>
            </c:numRef>
          </c:val>
        </c:ser>
        <c:ser>
          <c:idx val="3"/>
          <c:order val="3"/>
          <c:tx>
            <c:strRef>
              <c:f>'4 Expences'!$B$51</c:f>
              <c:strCache>
                <c:ptCount val="1"/>
                <c:pt idx="0">
                  <c:v>Admin. and other operating costs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Expences'!$C$51:$G$51</c:f>
              <c:numCache>
                <c:formatCode>0</c:formatCode>
                <c:ptCount val="5"/>
                <c:pt idx="0">
                  <c:v>107</c:v>
                </c:pt>
                <c:pt idx="1">
                  <c:v>136</c:v>
                </c:pt>
                <c:pt idx="2">
                  <c:v>102.6</c:v>
                </c:pt>
                <c:pt idx="3">
                  <c:v>137.4</c:v>
                </c:pt>
                <c:pt idx="4">
                  <c:v>106.3</c:v>
                </c:pt>
              </c:numCache>
            </c:numRef>
          </c:val>
        </c:ser>
        <c:ser>
          <c:idx val="4"/>
          <c:order val="4"/>
          <c:tx>
            <c:strRef>
              <c:f>'4 Expences'!$B$52</c:f>
              <c:strCache>
                <c:ptCount val="1"/>
                <c:pt idx="0">
                  <c:v>Depreciation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Expences'!$C$52:$G$52</c:f>
              <c:numCache>
                <c:formatCode>0</c:formatCode>
                <c:ptCount val="5"/>
                <c:pt idx="0">
                  <c:v>16.7</c:v>
                </c:pt>
                <c:pt idx="1">
                  <c:v>16.399999999999999</c:v>
                </c:pt>
                <c:pt idx="2">
                  <c:v>14.8</c:v>
                </c:pt>
                <c:pt idx="3">
                  <c:v>15.1</c:v>
                </c:pt>
                <c:pt idx="4">
                  <c:v>14.8</c:v>
                </c:pt>
              </c:numCache>
            </c:numRef>
          </c:val>
        </c:ser>
        <c:ser>
          <c:idx val="5"/>
          <c:order val="5"/>
          <c:tx>
            <c:strRef>
              <c:f>'4 Expences'!$B$53</c:f>
              <c:strCache>
                <c:ptCount val="1"/>
                <c:pt idx="0">
                  <c:v>Other operating expenses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Expences'!$C$53:$G$53</c:f>
              <c:numCache>
                <c:formatCode>0</c:formatCode>
                <c:ptCount val="5"/>
                <c:pt idx="0">
                  <c:v>27.8</c:v>
                </c:pt>
                <c:pt idx="1">
                  <c:v>33.9</c:v>
                </c:pt>
                <c:pt idx="2">
                  <c:v>25.6</c:v>
                </c:pt>
                <c:pt idx="3">
                  <c:v>27.4</c:v>
                </c:pt>
                <c:pt idx="4">
                  <c:v>40.1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542594656"/>
        <c:axId val="542593088"/>
      </c:barChart>
      <c:lineChart>
        <c:grouping val="standard"/>
        <c:varyColors val="0"/>
        <c:ser>
          <c:idx val="6"/>
          <c:order val="6"/>
          <c:tx>
            <c:strRef>
              <c:f>'4 Expences'!$B$54</c:f>
              <c:strCache>
                <c:ptCount val="1"/>
                <c:pt idx="0">
                  <c:v>Total operating expences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55243983582072953"/>
                  <c:y val="-3.9056091510963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6188267188718178"/>
                  <c:y val="-3.9056091510963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31441579138432973"/>
                  <c:y val="-4.171026725041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60976632059855251"/>
                  <c:y val="-8.9485430560597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'4 Expences'!$C$54:$G$54</c:f>
              <c:numCache>
                <c:formatCode>0</c:formatCode>
                <c:ptCount val="5"/>
                <c:pt idx="0">
                  <c:v>318.10000000000002</c:v>
                </c:pt>
                <c:pt idx="1">
                  <c:v>410.7</c:v>
                </c:pt>
                <c:pt idx="2">
                  <c:v>310.39999999999998</c:v>
                </c:pt>
                <c:pt idx="3">
                  <c:v>356.5</c:v>
                </c:pt>
                <c:pt idx="4">
                  <c:v>304.7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2591520"/>
        <c:axId val="542592304"/>
      </c:lineChart>
      <c:catAx>
        <c:axId val="54259465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2593088"/>
        <c:crosses val="autoZero"/>
        <c:auto val="1"/>
        <c:lblAlgn val="ctr"/>
        <c:lblOffset val="100"/>
        <c:noMultiLvlLbl val="0"/>
      </c:catAx>
      <c:valAx>
        <c:axId val="542593088"/>
        <c:scaling>
          <c:orientation val="minMax"/>
        </c:scaling>
        <c:delete val="1"/>
        <c:axPos val="r"/>
        <c:numFmt formatCode="0" sourceLinked="1"/>
        <c:majorTickMark val="none"/>
        <c:minorTickMark val="none"/>
        <c:tickLblPos val="nextTo"/>
        <c:crossAx val="542594656"/>
        <c:crosses val="autoZero"/>
        <c:crossBetween val="between"/>
      </c:valAx>
      <c:valAx>
        <c:axId val="542592304"/>
        <c:scaling>
          <c:orientation val="minMax"/>
          <c:min val="-1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2591520"/>
        <c:crosses val="max"/>
        <c:crossBetween val="between"/>
      </c:valAx>
      <c:catAx>
        <c:axId val="54259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2592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 Margins'!$D$6</c:f>
              <c:strCache>
                <c:ptCount val="1"/>
                <c:pt idx="0">
                  <c:v>Deposit margin RM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'5 Margins'!$E$6:$I$6</c:f>
              <c:numCache>
                <c:formatCode>0.00%</c:formatCode>
                <c:ptCount val="5"/>
                <c:pt idx="0">
                  <c:v>8.0000000000000004E-4</c:v>
                </c:pt>
                <c:pt idx="1">
                  <c:v>-4.0000000000000002E-4</c:v>
                </c:pt>
                <c:pt idx="2">
                  <c:v>-5.0000000000000001E-4</c:v>
                </c:pt>
                <c:pt idx="3">
                  <c:v>5.9999999999999995E-4</c:v>
                </c:pt>
                <c:pt idx="4">
                  <c:v>1.6000000000000001E-3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Margins'!$D$7</c:f>
              <c:strCache>
                <c:ptCount val="1"/>
                <c:pt idx="0">
                  <c:v>Deposit margin CM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'5 Margins'!$E$7:$I$7</c:f>
              <c:numCache>
                <c:formatCode>0.00%</c:formatCode>
                <c:ptCount val="5"/>
                <c:pt idx="0">
                  <c:v>2.3E-3</c:v>
                </c:pt>
                <c:pt idx="1">
                  <c:v>1.1000000000000001E-3</c:v>
                </c:pt>
                <c:pt idx="2">
                  <c:v>8.9999999999999998E-4</c:v>
                </c:pt>
                <c:pt idx="3">
                  <c:v>1.2999999999999999E-3</c:v>
                </c:pt>
                <c:pt idx="4">
                  <c:v>2.3E-3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2589168"/>
        <c:axId val="542593480"/>
      </c:lineChart>
      <c:catAx>
        <c:axId val="5425891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2593480"/>
        <c:crosses val="autoZero"/>
        <c:auto val="1"/>
        <c:lblAlgn val="ctr"/>
        <c:lblOffset val="100"/>
        <c:noMultiLvlLbl val="0"/>
      </c:catAx>
      <c:valAx>
        <c:axId val="54259348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258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 Margins'!$D$35</c:f>
              <c:strCache>
                <c:ptCount val="1"/>
                <c:pt idx="0">
                  <c:v>Lending margin, RM, incl. covered bond companies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'5 Margins'!$E$35:$I$35</c:f>
              <c:numCache>
                <c:formatCode>0.00%</c:formatCode>
                <c:ptCount val="5"/>
                <c:pt idx="0">
                  <c:v>1.7600000000000001E-2</c:v>
                </c:pt>
                <c:pt idx="1">
                  <c:v>1.9300000000000001E-2</c:v>
                </c:pt>
                <c:pt idx="2">
                  <c:v>1.9199999999999998E-2</c:v>
                </c:pt>
                <c:pt idx="3">
                  <c:v>1.8499999999999999E-2</c:v>
                </c:pt>
                <c:pt idx="4">
                  <c:v>1.7100000000000001E-2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Margins'!$D$36</c:f>
              <c:strCache>
                <c:ptCount val="1"/>
                <c:pt idx="0">
                  <c:v>Lending margin, CM, incl. covered bond companies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Q1-18</c:v>
                </c:pt>
                <c:pt idx="1">
                  <c:v>Q4-17</c:v>
                </c:pt>
                <c:pt idx="2">
                  <c:v>Q3-17</c:v>
                </c:pt>
                <c:pt idx="3">
                  <c:v>Q2-17</c:v>
                </c:pt>
                <c:pt idx="4">
                  <c:v>Q1-17</c:v>
                </c:pt>
              </c:strCache>
            </c:strRef>
          </c:cat>
          <c:val>
            <c:numRef>
              <c:f>'5 Margins'!$E$36:$I$36</c:f>
              <c:numCache>
                <c:formatCode>0.00%</c:formatCode>
                <c:ptCount val="5"/>
                <c:pt idx="0">
                  <c:v>2.4899999999999999E-2</c:v>
                </c:pt>
                <c:pt idx="1">
                  <c:v>2.6800000000000001E-2</c:v>
                </c:pt>
                <c:pt idx="2">
                  <c:v>2.76E-2</c:v>
                </c:pt>
                <c:pt idx="3">
                  <c:v>2.6599999999999999E-2</c:v>
                </c:pt>
                <c:pt idx="4">
                  <c:v>2.6800000000000001E-2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2595440"/>
        <c:axId val="542594264"/>
      </c:lineChart>
      <c:catAx>
        <c:axId val="5425954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2594264"/>
        <c:crosses val="autoZero"/>
        <c:auto val="1"/>
        <c:lblAlgn val="ctr"/>
        <c:lblOffset val="100"/>
        <c:noMultiLvlLbl val="0"/>
      </c:catAx>
      <c:valAx>
        <c:axId val="54259426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259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101909</xdr:rowOff>
    </xdr:from>
    <xdr:to>
      <xdr:col>5</xdr:col>
      <xdr:colOff>164514</xdr:colOff>
      <xdr:row>3</xdr:row>
      <xdr:rowOff>40194</xdr:rowOff>
    </xdr:to>
    <xdr:sp macro="" textlink="">
      <xdr:nvSpPr>
        <xdr:cNvPr id="5" name="TekstSylinder 4"/>
        <xdr:cNvSpPr txBox="1"/>
      </xdr:nvSpPr>
      <xdr:spPr>
        <a:xfrm>
          <a:off x="180975" y="258791"/>
          <a:ext cx="3793539" cy="341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financial information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200025</xdr:colOff>
      <xdr:row>4</xdr:row>
      <xdr:rowOff>49954</xdr:rowOff>
    </xdr:from>
    <xdr:to>
      <xdr:col>2</xdr:col>
      <xdr:colOff>705107</xdr:colOff>
      <xdr:row>5</xdr:row>
      <xdr:rowOff>110117</xdr:rowOff>
    </xdr:to>
    <xdr:sp macro="" textlink="">
      <xdr:nvSpPr>
        <xdr:cNvPr id="7" name="TekstSylinder 6"/>
        <xdr:cNvSpPr txBox="1"/>
      </xdr:nvSpPr>
      <xdr:spPr>
        <a:xfrm>
          <a:off x="200025" y="767130"/>
          <a:ext cx="2029082" cy="217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Østlandet Q1 2018</a:t>
          </a:r>
        </a:p>
      </xdr:txBody>
    </xdr:sp>
    <xdr:clientData/>
  </xdr:twoCellAnchor>
  <xdr:twoCellAnchor>
    <xdr:from>
      <xdr:col>0</xdr:col>
      <xdr:colOff>190500</xdr:colOff>
      <xdr:row>7</xdr:row>
      <xdr:rowOff>22947</xdr:rowOff>
    </xdr:from>
    <xdr:to>
      <xdr:col>5</xdr:col>
      <xdr:colOff>157240</xdr:colOff>
      <xdr:row>8</xdr:row>
      <xdr:rowOff>114274</xdr:rowOff>
    </xdr:to>
    <xdr:sp macro="" textlink="">
      <xdr:nvSpPr>
        <xdr:cNvPr id="8" name="TekstSylinder 7"/>
        <xdr:cNvSpPr txBox="1"/>
      </xdr:nvSpPr>
      <xdr:spPr>
        <a:xfrm>
          <a:off x="190500" y="1210771"/>
          <a:ext cx="3776740" cy="248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0</xdr:col>
      <xdr:colOff>257735</xdr:colOff>
      <xdr:row>12</xdr:row>
      <xdr:rowOff>44824</xdr:rowOff>
    </xdr:from>
    <xdr:to>
      <xdr:col>3</xdr:col>
      <xdr:colOff>387902</xdr:colOff>
      <xdr:row>16</xdr:row>
      <xdr:rowOff>44823</xdr:rowOff>
    </xdr:to>
    <xdr:pic>
      <xdr:nvPicPr>
        <xdr:cNvPr id="10" name="Bild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5" y="2196353"/>
          <a:ext cx="2416167" cy="717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</xdr:row>
      <xdr:rowOff>47625</xdr:rowOff>
    </xdr:from>
    <xdr:to>
      <xdr:col>1</xdr:col>
      <xdr:colOff>4305860</xdr:colOff>
      <xdr:row>2</xdr:row>
      <xdr:rowOff>85723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7743825" y="238125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62</xdr:row>
      <xdr:rowOff>67236</xdr:rowOff>
    </xdr:from>
    <xdr:to>
      <xdr:col>4</xdr:col>
      <xdr:colOff>414618</xdr:colOff>
      <xdr:row>88</xdr:row>
      <xdr:rowOff>100853</xdr:rowOff>
    </xdr:to>
    <xdr:sp macro="" textlink="">
      <xdr:nvSpPr>
        <xdr:cNvPr id="5" name="Rektangel 4"/>
        <xdr:cNvSpPr/>
      </xdr:nvSpPr>
      <xdr:spPr>
        <a:xfrm>
          <a:off x="291354" y="11261912"/>
          <a:ext cx="6801970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62</xdr:row>
      <xdr:rowOff>56029</xdr:rowOff>
    </xdr:from>
    <xdr:to>
      <xdr:col>9</xdr:col>
      <xdr:colOff>2801</xdr:colOff>
      <xdr:row>63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818029</xdr:colOff>
      <xdr:row>28</xdr:row>
      <xdr:rowOff>56029</xdr:rowOff>
    </xdr:from>
    <xdr:to>
      <xdr:col>7</xdr:col>
      <xdr:colOff>932889</xdr:colOff>
      <xdr:row>29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7832911" y="3597088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145673</xdr:colOff>
      <xdr:row>9</xdr:row>
      <xdr:rowOff>22411</xdr:rowOff>
    </xdr:from>
    <xdr:to>
      <xdr:col>9</xdr:col>
      <xdr:colOff>235322</xdr:colOff>
      <xdr:row>32</xdr:row>
      <xdr:rowOff>84885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44823</xdr:colOff>
      <xdr:row>35</xdr:row>
      <xdr:rowOff>0</xdr:rowOff>
    </xdr:from>
    <xdr:to>
      <xdr:col>9</xdr:col>
      <xdr:colOff>350183</xdr:colOff>
      <xdr:row>36</xdr:row>
      <xdr:rowOff>49304</xdr:rowOff>
    </xdr:to>
    <xdr:sp macro="" textlink="">
      <xdr:nvSpPr>
        <xdr:cNvPr id="7" name="Avrundet rektangel 6">
          <a:hlinkClick xmlns:r="http://schemas.openxmlformats.org/officeDocument/2006/relationships" r:id="rId1"/>
        </xdr:cNvPr>
        <xdr:cNvSpPr/>
      </xdr:nvSpPr>
      <xdr:spPr>
        <a:xfrm>
          <a:off x="8964705" y="6219265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2</xdr:col>
      <xdr:colOff>67235</xdr:colOff>
      <xdr:row>54</xdr:row>
      <xdr:rowOff>156883</xdr:rowOff>
    </xdr:from>
    <xdr:to>
      <xdr:col>6</xdr:col>
      <xdr:colOff>593911</xdr:colOff>
      <xdr:row>77</xdr:row>
      <xdr:rowOff>78442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83</xdr:row>
      <xdr:rowOff>0</xdr:rowOff>
    </xdr:from>
    <xdr:to>
      <xdr:col>9</xdr:col>
      <xdr:colOff>305360</xdr:colOff>
      <xdr:row>84</xdr:row>
      <xdr:rowOff>49304</xdr:rowOff>
    </xdr:to>
    <xdr:sp macro="" textlink="">
      <xdr:nvSpPr>
        <xdr:cNvPr id="9" name="Avrundet rektangel 8">
          <a:hlinkClick xmlns:r="http://schemas.openxmlformats.org/officeDocument/2006/relationships" r:id="rId1"/>
        </xdr:cNvPr>
        <xdr:cNvSpPr/>
      </xdr:nvSpPr>
      <xdr:spPr>
        <a:xfrm>
          <a:off x="8919882" y="1465729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10</xdr:col>
      <xdr:colOff>33618</xdr:colOff>
      <xdr:row>43</xdr:row>
      <xdr:rowOff>145676</xdr:rowOff>
    </xdr:from>
    <xdr:to>
      <xdr:col>16</xdr:col>
      <xdr:colOff>571499</xdr:colOff>
      <xdr:row>70</xdr:row>
      <xdr:rowOff>100853</xdr:rowOff>
    </xdr:to>
    <xdr:sp macro="" textlink="">
      <xdr:nvSpPr>
        <xdr:cNvPr id="10" name="TekstSylinder 9"/>
        <xdr:cNvSpPr txBox="1"/>
      </xdr:nvSpPr>
      <xdr:spPr>
        <a:xfrm>
          <a:off x="11430000" y="7810500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10</xdr:col>
      <xdr:colOff>40341</xdr:colOff>
      <xdr:row>3</xdr:row>
      <xdr:rowOff>29135</xdr:rowOff>
    </xdr:from>
    <xdr:to>
      <xdr:col>16</xdr:col>
      <xdr:colOff>578222</xdr:colOff>
      <xdr:row>29</xdr:row>
      <xdr:rowOff>152400</xdr:rowOff>
    </xdr:to>
    <xdr:sp macro="" textlink="">
      <xdr:nvSpPr>
        <xdr:cNvPr id="11" name="TekstSylinder 10"/>
        <xdr:cNvSpPr txBox="1"/>
      </xdr:nvSpPr>
      <xdr:spPr>
        <a:xfrm>
          <a:off x="11436723" y="679076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616323</xdr:colOff>
      <xdr:row>83</xdr:row>
      <xdr:rowOff>78443</xdr:rowOff>
    </xdr:from>
    <xdr:to>
      <xdr:col>7</xdr:col>
      <xdr:colOff>294153</xdr:colOff>
      <xdr:row>84</xdr:row>
      <xdr:rowOff>127746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6925235" y="15139149"/>
          <a:ext cx="2210359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</xdr:col>
      <xdr:colOff>560295</xdr:colOff>
      <xdr:row>13</xdr:row>
      <xdr:rowOff>78442</xdr:rowOff>
    </xdr:from>
    <xdr:to>
      <xdr:col>6</xdr:col>
      <xdr:colOff>1187824</xdr:colOff>
      <xdr:row>40</xdr:row>
      <xdr:rowOff>22413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593912</xdr:colOff>
      <xdr:row>55</xdr:row>
      <xdr:rowOff>156883</xdr:rowOff>
    </xdr:from>
    <xdr:to>
      <xdr:col>6</xdr:col>
      <xdr:colOff>1221441</xdr:colOff>
      <xdr:row>82</xdr:row>
      <xdr:rowOff>100854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560294</xdr:colOff>
      <xdr:row>40</xdr:row>
      <xdr:rowOff>112059</xdr:rowOff>
    </xdr:from>
    <xdr:to>
      <xdr:col>7</xdr:col>
      <xdr:colOff>47625</xdr:colOff>
      <xdr:row>41</xdr:row>
      <xdr:rowOff>161363</xdr:rowOff>
    </xdr:to>
    <xdr:sp macro="" textlink="">
      <xdr:nvSpPr>
        <xdr:cNvPr id="9" name="Avrundet rektangel 8">
          <a:hlinkClick xmlns:r="http://schemas.openxmlformats.org/officeDocument/2006/relationships" r:id="rId1"/>
        </xdr:cNvPr>
        <xdr:cNvSpPr/>
      </xdr:nvSpPr>
      <xdr:spPr>
        <a:xfrm>
          <a:off x="6869206" y="7451912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8</xdr:col>
      <xdr:colOff>728383</xdr:colOff>
      <xdr:row>4</xdr:row>
      <xdr:rowOff>67232</xdr:rowOff>
    </xdr:from>
    <xdr:to>
      <xdr:col>15</xdr:col>
      <xdr:colOff>504264</xdr:colOff>
      <xdr:row>30</xdr:row>
      <xdr:rowOff>11203</xdr:rowOff>
    </xdr:to>
    <xdr:sp macro="" textlink="">
      <xdr:nvSpPr>
        <xdr:cNvPr id="2" name="TekstSylinder 1"/>
        <xdr:cNvSpPr txBox="1"/>
      </xdr:nvSpPr>
      <xdr:spPr>
        <a:xfrm>
          <a:off x="11105030" y="952497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8</xdr:col>
      <xdr:colOff>694764</xdr:colOff>
      <xdr:row>46</xdr:row>
      <xdr:rowOff>78442</xdr:rowOff>
    </xdr:from>
    <xdr:to>
      <xdr:col>15</xdr:col>
      <xdr:colOff>470645</xdr:colOff>
      <xdr:row>72</xdr:row>
      <xdr:rowOff>33619</xdr:rowOff>
    </xdr:to>
    <xdr:sp macro="" textlink="">
      <xdr:nvSpPr>
        <xdr:cNvPr id="10" name="TekstSylinder 9"/>
        <xdr:cNvSpPr txBox="1"/>
      </xdr:nvSpPr>
      <xdr:spPr>
        <a:xfrm>
          <a:off x="11071411" y="8516471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87</xdr:row>
      <xdr:rowOff>123265</xdr:rowOff>
    </xdr:from>
    <xdr:to>
      <xdr:col>3</xdr:col>
      <xdr:colOff>4538382</xdr:colOff>
      <xdr:row>112</xdr:row>
      <xdr:rowOff>145677</xdr:rowOff>
    </xdr:to>
    <xdr:sp macro="" textlink="">
      <xdr:nvSpPr>
        <xdr:cNvPr id="4" name="Rektangel 3"/>
        <xdr:cNvSpPr/>
      </xdr:nvSpPr>
      <xdr:spPr>
        <a:xfrm>
          <a:off x="257735" y="21593736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9177618</xdr:colOff>
      <xdr:row>86</xdr:row>
      <xdr:rowOff>67236</xdr:rowOff>
    </xdr:from>
    <xdr:to>
      <xdr:col>5</xdr:col>
      <xdr:colOff>36419</xdr:colOff>
      <xdr:row>87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9906000" y="15060707"/>
          <a:ext cx="2019860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3</xdr:col>
      <xdr:colOff>89647</xdr:colOff>
      <xdr:row>10</xdr:row>
      <xdr:rowOff>89647</xdr:rowOff>
    </xdr:from>
    <xdr:to>
      <xdr:col>8</xdr:col>
      <xdr:colOff>537882</xdr:colOff>
      <xdr:row>25</xdr:row>
      <xdr:rowOff>143435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56029</xdr:colOff>
      <xdr:row>58</xdr:row>
      <xdr:rowOff>156883</xdr:rowOff>
    </xdr:from>
    <xdr:to>
      <xdr:col>9</xdr:col>
      <xdr:colOff>551889</xdr:colOff>
      <xdr:row>60</xdr:row>
      <xdr:rowOff>26892</xdr:rowOff>
    </xdr:to>
    <xdr:sp macro="" textlink="">
      <xdr:nvSpPr>
        <xdr:cNvPr id="7" name="Avrundet rektangel 6">
          <a:hlinkClick xmlns:r="http://schemas.openxmlformats.org/officeDocument/2006/relationships" r:id="rId1"/>
        </xdr:cNvPr>
        <xdr:cNvSpPr/>
      </xdr:nvSpPr>
      <xdr:spPr>
        <a:xfrm>
          <a:off x="6084794" y="10130118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8</xdr:col>
      <xdr:colOff>448235</xdr:colOff>
      <xdr:row>55</xdr:row>
      <xdr:rowOff>53788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9</xdr:col>
      <xdr:colOff>495860</xdr:colOff>
      <xdr:row>27</xdr:row>
      <xdr:rowOff>49304</xdr:rowOff>
    </xdr:to>
    <xdr:sp macro="" textlink="">
      <xdr:nvSpPr>
        <xdr:cNvPr id="9" name="Avrundet rektangel 8">
          <a:hlinkClick xmlns:r="http://schemas.openxmlformats.org/officeDocument/2006/relationships" r:id="rId1"/>
        </xdr:cNvPr>
        <xdr:cNvSpPr/>
      </xdr:nvSpPr>
      <xdr:spPr>
        <a:xfrm>
          <a:off x="6757147" y="4594412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12</xdr:col>
      <xdr:colOff>134471</xdr:colOff>
      <xdr:row>4</xdr:row>
      <xdr:rowOff>56031</xdr:rowOff>
    </xdr:from>
    <xdr:to>
      <xdr:col>18</xdr:col>
      <xdr:colOff>672352</xdr:colOff>
      <xdr:row>30</xdr:row>
      <xdr:rowOff>11208</xdr:rowOff>
    </xdr:to>
    <xdr:sp macro="" textlink="">
      <xdr:nvSpPr>
        <xdr:cNvPr id="10" name="TekstSylinder 9"/>
        <xdr:cNvSpPr txBox="1"/>
      </xdr:nvSpPr>
      <xdr:spPr>
        <a:xfrm>
          <a:off x="10701618" y="705972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12</xdr:col>
      <xdr:colOff>129988</xdr:colOff>
      <xdr:row>32</xdr:row>
      <xdr:rowOff>129990</xdr:rowOff>
    </xdr:from>
    <xdr:to>
      <xdr:col>18</xdr:col>
      <xdr:colOff>667869</xdr:colOff>
      <xdr:row>58</xdr:row>
      <xdr:rowOff>85166</xdr:rowOff>
    </xdr:to>
    <xdr:sp macro="" textlink="">
      <xdr:nvSpPr>
        <xdr:cNvPr id="11" name="TekstSylinder 10"/>
        <xdr:cNvSpPr txBox="1"/>
      </xdr:nvSpPr>
      <xdr:spPr>
        <a:xfrm>
          <a:off x="10697135" y="5800166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57710</xdr:colOff>
      <xdr:row>42</xdr:row>
      <xdr:rowOff>912159</xdr:rowOff>
    </xdr:from>
    <xdr:to>
      <xdr:col>8</xdr:col>
      <xdr:colOff>172570</xdr:colOff>
      <xdr:row>42</xdr:row>
      <xdr:rowOff>1140757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6994151" y="1004495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9</xdr:col>
      <xdr:colOff>56030</xdr:colOff>
      <xdr:row>4</xdr:row>
      <xdr:rowOff>33618</xdr:rowOff>
    </xdr:from>
    <xdr:to>
      <xdr:col>14</xdr:col>
      <xdr:colOff>403411</xdr:colOff>
      <xdr:row>31</xdr:row>
      <xdr:rowOff>168089</xdr:rowOff>
    </xdr:to>
    <xdr:sp macro="" textlink="">
      <xdr:nvSpPr>
        <xdr:cNvPr id="4" name="TekstSylinder 3"/>
        <xdr:cNvSpPr txBox="1"/>
      </xdr:nvSpPr>
      <xdr:spPr>
        <a:xfrm>
          <a:off x="9849971" y="862853"/>
          <a:ext cx="5109881" cy="479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717175</xdr:colOff>
      <xdr:row>21</xdr:row>
      <xdr:rowOff>123265</xdr:rowOff>
    </xdr:from>
    <xdr:to>
      <xdr:col>8</xdr:col>
      <xdr:colOff>70035</xdr:colOff>
      <xdr:row>22</xdr:row>
      <xdr:rowOff>172569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5333999" y="40005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10</xdr:col>
      <xdr:colOff>33618</xdr:colOff>
      <xdr:row>4</xdr:row>
      <xdr:rowOff>11206</xdr:rowOff>
    </xdr:from>
    <xdr:to>
      <xdr:col>16</xdr:col>
      <xdr:colOff>571499</xdr:colOff>
      <xdr:row>30</xdr:row>
      <xdr:rowOff>145677</xdr:rowOff>
    </xdr:to>
    <xdr:sp macro="" textlink="">
      <xdr:nvSpPr>
        <xdr:cNvPr id="7" name="TekstSylinder 6"/>
        <xdr:cNvSpPr txBox="1"/>
      </xdr:nvSpPr>
      <xdr:spPr>
        <a:xfrm>
          <a:off x="8841442" y="840441"/>
          <a:ext cx="5109881" cy="479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REGNSKAPSRAPPORTER/Dagsbalansen/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37997/FINANPAK/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parebank1.no/en/ostlandet/about-us/investor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05"/>
  <sheetViews>
    <sheetView tabSelected="1" zoomScale="85" zoomScaleNormal="85" workbookViewId="0">
      <selection activeCell="A32" sqref="A32"/>
    </sheetView>
  </sheetViews>
  <sheetFormatPr baseColWidth="10" defaultColWidth="11.453125" defaultRowHeight="13.5"/>
  <cols>
    <col min="1" max="16384" width="11.453125" style="15"/>
  </cols>
  <sheetData>
    <row r="1" spans="2:2" ht="14.25" customHeight="1"/>
    <row r="2" spans="2:2" ht="14.25" customHeight="1"/>
    <row r="3" spans="2:2" ht="14.25" customHeight="1">
      <c r="B3" s="14"/>
    </row>
    <row r="4" spans="2:2" ht="14.25" customHeight="1"/>
    <row r="5" spans="2:2" ht="14.25" customHeight="1">
      <c r="B5" s="16"/>
    </row>
    <row r="6" spans="2:2" ht="14.25" customHeight="1"/>
    <row r="7" spans="2:2" ht="14.25" customHeight="1">
      <c r="B7" s="13"/>
    </row>
    <row r="8" spans="2:2" ht="14.25" customHeight="1"/>
    <row r="9" spans="2:2" ht="14.25" customHeight="1"/>
    <row r="10" spans="2:2" ht="14.25" customHeight="1"/>
    <row r="11" spans="2:2" ht="14.25" customHeight="1"/>
    <row r="12" spans="2:2" ht="14.25" customHeight="1"/>
    <row r="13" spans="2:2" ht="14.25" customHeight="1"/>
    <row r="14" spans="2:2" ht="14.25" customHeight="1"/>
    <row r="15" spans="2:2" ht="14.25" customHeight="1"/>
    <row r="16" spans="2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X28"/>
  <sheetViews>
    <sheetView showGridLines="0" zoomScale="85" zoomScaleNormal="85" workbookViewId="0"/>
  </sheetViews>
  <sheetFormatPr baseColWidth="10" defaultColWidth="11.453125" defaultRowHeight="13.5"/>
  <cols>
    <col min="1" max="2" width="4.26953125" style="72" customWidth="1"/>
    <col min="3" max="3" width="32.26953125" style="72" customWidth="1"/>
    <col min="4" max="4" width="14" style="72" customWidth="1"/>
    <col min="5" max="7" width="14.26953125" style="72" customWidth="1"/>
    <col min="8" max="16384" width="11.453125" style="72"/>
  </cols>
  <sheetData>
    <row r="1" spans="1:24" ht="18.75" customHeight="1"/>
    <row r="2" spans="1:24" ht="18.75" customHeight="1">
      <c r="A2" s="144" t="s">
        <v>173</v>
      </c>
      <c r="B2" s="104"/>
      <c r="C2" s="104"/>
      <c r="D2" s="104"/>
      <c r="E2" s="103"/>
      <c r="F2" s="103"/>
      <c r="G2" s="103"/>
    </row>
    <row r="3" spans="1:24" ht="14.25" customHeight="1">
      <c r="A3" s="144"/>
      <c r="B3" s="104"/>
      <c r="C3" s="104"/>
      <c r="D3" s="104"/>
      <c r="E3" s="103"/>
      <c r="F3" s="103"/>
      <c r="G3" s="103"/>
    </row>
    <row r="4" spans="1:24" ht="14.25" customHeight="1">
      <c r="A4" s="144"/>
      <c r="B4" s="101"/>
      <c r="C4" s="101"/>
      <c r="D4" s="102"/>
      <c r="E4" s="103"/>
      <c r="F4" s="103"/>
      <c r="G4" s="103"/>
    </row>
    <row r="5" spans="1:24" ht="14.25" customHeight="1">
      <c r="A5" s="144"/>
      <c r="B5" s="104"/>
      <c r="C5" s="114" t="s">
        <v>2</v>
      </c>
      <c r="D5" s="177" t="s">
        <v>96</v>
      </c>
      <c r="E5" s="187" t="s">
        <v>95</v>
      </c>
      <c r="F5" s="187" t="s">
        <v>94</v>
      </c>
      <c r="G5" s="178" t="s">
        <v>100</v>
      </c>
      <c r="H5" s="178" t="s">
        <v>93</v>
      </c>
      <c r="I5" s="236"/>
      <c r="J5" s="237"/>
    </row>
    <row r="6" spans="1:24" ht="14.25" customHeight="1">
      <c r="B6" s="26"/>
      <c r="C6" s="223" t="s">
        <v>147</v>
      </c>
      <c r="D6" s="229">
        <v>38892.1</v>
      </c>
      <c r="E6" s="234">
        <v>38682.400000000001</v>
      </c>
      <c r="F6" s="234">
        <v>37974.9</v>
      </c>
      <c r="G6" s="218">
        <v>38309.199999999997</v>
      </c>
      <c r="H6" s="219">
        <v>36260.400000000001</v>
      </c>
      <c r="I6" s="236"/>
      <c r="J6" s="238"/>
      <c r="R6" s="253"/>
      <c r="S6" s="253"/>
      <c r="T6" s="253"/>
      <c r="U6" s="253"/>
      <c r="V6" s="253"/>
      <c r="W6" s="253"/>
      <c r="X6" s="253"/>
    </row>
    <row r="7" spans="1:24">
      <c r="B7" s="26"/>
      <c r="C7" s="27" t="s">
        <v>135</v>
      </c>
      <c r="D7" s="229">
        <v>4040.1</v>
      </c>
      <c r="E7" s="234">
        <v>4329.2</v>
      </c>
      <c r="F7" s="234">
        <v>4752.3999999999996</v>
      </c>
      <c r="G7" s="218">
        <v>5211.5</v>
      </c>
      <c r="H7" s="219">
        <v>4362.8999999999996</v>
      </c>
      <c r="I7" s="236"/>
      <c r="J7" s="238"/>
      <c r="R7" s="253"/>
      <c r="S7" s="253"/>
      <c r="T7" s="253"/>
      <c r="U7" s="253"/>
      <c r="V7" s="253"/>
      <c r="W7" s="253"/>
      <c r="X7" s="253"/>
    </row>
    <row r="8" spans="1:24" ht="14.25" customHeight="1">
      <c r="B8" s="26"/>
      <c r="C8" s="27" t="s">
        <v>136</v>
      </c>
      <c r="D8" s="229">
        <v>1030.5999999999999</v>
      </c>
      <c r="E8" s="234">
        <v>874.2</v>
      </c>
      <c r="F8" s="234">
        <v>1120.7</v>
      </c>
      <c r="G8" s="218">
        <v>1053.5999999999999</v>
      </c>
      <c r="H8" s="219">
        <v>1036.4000000000001</v>
      </c>
      <c r="I8" s="236"/>
      <c r="J8" s="238"/>
      <c r="R8" s="253"/>
      <c r="S8" s="253"/>
      <c r="T8" s="253"/>
      <c r="U8" s="253"/>
      <c r="V8" s="253"/>
      <c r="W8" s="253"/>
      <c r="X8" s="253"/>
    </row>
    <row r="9" spans="1:24" ht="14.25" customHeight="1">
      <c r="B9" s="105"/>
      <c r="C9" s="27" t="s">
        <v>137</v>
      </c>
      <c r="D9" s="229">
        <v>259.8</v>
      </c>
      <c r="E9" s="234">
        <v>266.2</v>
      </c>
      <c r="F9" s="234">
        <v>4.7</v>
      </c>
      <c r="G9" s="218">
        <v>4.3</v>
      </c>
      <c r="H9" s="219">
        <v>4.5999999999999996</v>
      </c>
      <c r="I9" s="236"/>
      <c r="J9" s="238"/>
      <c r="R9" s="253"/>
      <c r="S9" s="253"/>
      <c r="T9" s="253"/>
      <c r="U9" s="253"/>
      <c r="V9" s="253"/>
      <c r="W9" s="253"/>
      <c r="X9" s="253"/>
    </row>
    <row r="10" spans="1:24" ht="14.25" customHeight="1">
      <c r="B10" s="107"/>
      <c r="C10" s="27" t="s">
        <v>138</v>
      </c>
      <c r="D10" s="229">
        <v>702</v>
      </c>
      <c r="E10" s="234">
        <v>826.4</v>
      </c>
      <c r="F10" s="234">
        <v>743.8</v>
      </c>
      <c r="G10" s="218">
        <v>779.2</v>
      </c>
      <c r="H10" s="219">
        <v>801.1</v>
      </c>
      <c r="I10" s="236"/>
      <c r="J10" s="238"/>
      <c r="R10" s="253"/>
      <c r="S10" s="253"/>
      <c r="T10" s="253"/>
      <c r="U10" s="253"/>
      <c r="V10" s="253"/>
      <c r="W10" s="253"/>
      <c r="X10" s="253"/>
    </row>
    <row r="11" spans="1:24" ht="14.25" customHeight="1">
      <c r="B11" s="107"/>
      <c r="C11" s="27" t="s">
        <v>157</v>
      </c>
      <c r="D11" s="229">
        <v>1446.9</v>
      </c>
      <c r="E11" s="234">
        <v>1601.7</v>
      </c>
      <c r="F11" s="234">
        <v>1284.2</v>
      </c>
      <c r="G11" s="218">
        <v>1266.5999999999999</v>
      </c>
      <c r="H11" s="219">
        <v>1176.8</v>
      </c>
      <c r="I11" s="236"/>
      <c r="J11" s="238"/>
      <c r="R11" s="253"/>
      <c r="S11" s="253"/>
      <c r="T11" s="253"/>
      <c r="U11" s="253"/>
      <c r="V11" s="253"/>
      <c r="W11" s="253"/>
      <c r="X11" s="253"/>
    </row>
    <row r="12" spans="1:24" ht="14.25" customHeight="1">
      <c r="B12" s="105"/>
      <c r="C12" s="27" t="s">
        <v>140</v>
      </c>
      <c r="D12" s="229">
        <v>71.7</v>
      </c>
      <c r="E12" s="234">
        <v>138.6</v>
      </c>
      <c r="F12" s="234">
        <v>175.9</v>
      </c>
      <c r="G12" s="218">
        <v>172</v>
      </c>
      <c r="H12" s="219">
        <v>124</v>
      </c>
      <c r="I12" s="236"/>
      <c r="J12" s="238"/>
      <c r="R12" s="253"/>
      <c r="S12" s="253"/>
      <c r="T12" s="253"/>
      <c r="U12" s="253"/>
      <c r="V12" s="253"/>
      <c r="W12" s="253"/>
      <c r="X12" s="253"/>
    </row>
    <row r="13" spans="1:24" ht="14.25" customHeight="1">
      <c r="B13" s="107"/>
      <c r="C13" s="27" t="s">
        <v>141</v>
      </c>
      <c r="D13" s="229">
        <v>1193.3</v>
      </c>
      <c r="E13" s="234">
        <v>1387.7</v>
      </c>
      <c r="F13" s="234">
        <v>1264.5</v>
      </c>
      <c r="G13" s="218">
        <v>1182.5999999999999</v>
      </c>
      <c r="H13" s="219">
        <v>1270.3</v>
      </c>
      <c r="I13" s="236"/>
      <c r="J13" s="238"/>
      <c r="R13" s="253"/>
      <c r="S13" s="253"/>
      <c r="T13" s="253"/>
      <c r="U13" s="253"/>
      <c r="V13" s="253"/>
      <c r="W13" s="253"/>
      <c r="X13" s="253"/>
    </row>
    <row r="14" spans="1:24" ht="14.25" customHeight="1">
      <c r="B14" s="107"/>
      <c r="C14" s="27" t="s">
        <v>142</v>
      </c>
      <c r="D14" s="229">
        <v>257</v>
      </c>
      <c r="E14" s="234">
        <v>267.39999999999998</v>
      </c>
      <c r="F14" s="234">
        <v>245.6</v>
      </c>
      <c r="G14" s="218">
        <v>263.60000000000002</v>
      </c>
      <c r="H14" s="219">
        <v>265.8</v>
      </c>
      <c r="I14" s="236"/>
      <c r="J14" s="238"/>
      <c r="R14" s="253"/>
      <c r="S14" s="253"/>
      <c r="T14" s="253"/>
      <c r="U14" s="253"/>
      <c r="V14" s="253"/>
      <c r="W14" s="253"/>
      <c r="X14" s="253"/>
    </row>
    <row r="15" spans="1:24" ht="14.25" customHeight="1">
      <c r="B15" s="105"/>
      <c r="C15" s="27" t="s">
        <v>143</v>
      </c>
      <c r="D15" s="229">
        <v>3678.4</v>
      </c>
      <c r="E15" s="234">
        <v>3549</v>
      </c>
      <c r="F15" s="234">
        <v>4149.6000000000004</v>
      </c>
      <c r="G15" s="218">
        <v>4407.7</v>
      </c>
      <c r="H15" s="219">
        <v>4554.3</v>
      </c>
      <c r="I15" s="236"/>
      <c r="J15" s="238"/>
      <c r="R15" s="253"/>
      <c r="S15" s="253"/>
      <c r="T15" s="253"/>
      <c r="U15" s="253"/>
      <c r="V15" s="253"/>
      <c r="W15" s="253"/>
      <c r="X15" s="253"/>
    </row>
    <row r="16" spans="1:24" ht="14.25" customHeight="1">
      <c r="B16" s="107"/>
      <c r="C16" s="27" t="s">
        <v>144</v>
      </c>
      <c r="D16" s="229">
        <v>13667.8</v>
      </c>
      <c r="E16" s="234">
        <v>12965.4</v>
      </c>
      <c r="F16" s="234">
        <v>12188.3</v>
      </c>
      <c r="G16" s="218">
        <v>12251.1</v>
      </c>
      <c r="H16" s="219">
        <v>11241.7</v>
      </c>
      <c r="I16" s="236"/>
      <c r="J16" s="238"/>
      <c r="R16" s="253"/>
      <c r="S16" s="253"/>
      <c r="T16" s="253"/>
      <c r="U16" s="253"/>
      <c r="V16" s="253"/>
      <c r="W16" s="253"/>
      <c r="X16" s="253"/>
    </row>
    <row r="17" spans="2:24" ht="14.25" customHeight="1">
      <c r="B17" s="105"/>
      <c r="C17" s="27" t="s">
        <v>158</v>
      </c>
      <c r="D17" s="229">
        <v>870</v>
      </c>
      <c r="E17" s="234">
        <v>1013</v>
      </c>
      <c r="F17" s="234">
        <v>601.9</v>
      </c>
      <c r="G17" s="218">
        <v>609</v>
      </c>
      <c r="H17" s="219">
        <v>597.29999999999995</v>
      </c>
      <c r="I17" s="236"/>
      <c r="J17" s="238"/>
      <c r="R17" s="253"/>
      <c r="S17" s="253"/>
      <c r="T17" s="253"/>
      <c r="U17" s="253"/>
      <c r="V17" s="253"/>
      <c r="W17" s="253"/>
      <c r="X17" s="253"/>
    </row>
    <row r="18" spans="2:24" ht="14.25" customHeight="1">
      <c r="B18" s="105"/>
      <c r="C18" s="220" t="s">
        <v>159</v>
      </c>
      <c r="D18" s="217">
        <v>0</v>
      </c>
      <c r="E18" s="234">
        <v>84.2</v>
      </c>
      <c r="F18" s="234">
        <v>761.6</v>
      </c>
      <c r="G18" s="218">
        <v>1142.5999999999999</v>
      </c>
      <c r="H18" s="221">
        <v>1086.2</v>
      </c>
      <c r="I18" s="236"/>
      <c r="J18" s="238"/>
      <c r="R18" s="253"/>
      <c r="S18" s="253"/>
      <c r="T18" s="253"/>
      <c r="U18" s="253"/>
      <c r="V18" s="253"/>
      <c r="W18" s="253"/>
      <c r="X18" s="253"/>
    </row>
    <row r="19" spans="2:24" ht="14.25" customHeight="1">
      <c r="B19" s="105"/>
      <c r="C19" s="222" t="s">
        <v>160</v>
      </c>
      <c r="D19" s="226">
        <f>SUM(D6:D18)</f>
        <v>66109.7</v>
      </c>
      <c r="E19" s="235">
        <f t="shared" ref="E19:H19" si="0">SUM(E6:E18)</f>
        <v>65985.39999999998</v>
      </c>
      <c r="F19" s="235">
        <f t="shared" si="0"/>
        <v>65268.099999999991</v>
      </c>
      <c r="G19" s="224">
        <f t="shared" si="0"/>
        <v>66652.999999999985</v>
      </c>
      <c r="H19" s="224">
        <f t="shared" si="0"/>
        <v>62781.800000000017</v>
      </c>
      <c r="I19" s="239"/>
      <c r="J19" s="240"/>
      <c r="R19" s="253"/>
      <c r="S19" s="253"/>
      <c r="T19" s="253"/>
      <c r="U19" s="253"/>
      <c r="V19" s="253"/>
      <c r="W19" s="253"/>
      <c r="X19" s="253"/>
    </row>
    <row r="20" spans="2:24" ht="14">
      <c r="C20" s="225"/>
      <c r="D20" s="232"/>
      <c r="E20" s="232"/>
      <c r="F20" s="232"/>
      <c r="G20" s="232"/>
      <c r="H20" s="232"/>
    </row>
    <row r="21" spans="2:24" ht="14">
      <c r="C21" s="228"/>
      <c r="D21" s="233"/>
      <c r="E21" s="230"/>
      <c r="F21" s="230"/>
      <c r="G21" s="230"/>
      <c r="H21" s="230"/>
    </row>
    <row r="22" spans="2:24" ht="14">
      <c r="C22" s="228"/>
      <c r="D22" s="233"/>
      <c r="E22" s="230"/>
      <c r="F22" s="230"/>
      <c r="G22" s="230"/>
      <c r="H22" s="230"/>
    </row>
    <row r="23" spans="2:24" ht="14">
      <c r="C23" s="228"/>
      <c r="D23" s="233"/>
      <c r="E23" s="231"/>
      <c r="F23" s="231"/>
      <c r="G23" s="231"/>
      <c r="H23" s="231"/>
    </row>
    <row r="24" spans="2:24" ht="14">
      <c r="C24" s="228"/>
      <c r="D24" s="233"/>
      <c r="E24" s="231"/>
      <c r="F24" s="231"/>
      <c r="G24" s="231"/>
      <c r="H24" s="231"/>
    </row>
    <row r="25" spans="2:24" ht="14">
      <c r="C25" s="225"/>
      <c r="D25" s="232"/>
      <c r="E25" s="227"/>
      <c r="F25" s="227"/>
      <c r="G25" s="227"/>
      <c r="H25" s="227"/>
    </row>
    <row r="26" spans="2:24" ht="14">
      <c r="C26" s="228"/>
      <c r="D26" s="233"/>
      <c r="E26" s="231"/>
      <c r="F26" s="231"/>
      <c r="G26" s="231"/>
      <c r="H26" s="231"/>
    </row>
    <row r="27" spans="2:24" ht="14">
      <c r="C27" s="228"/>
      <c r="D27" s="233"/>
      <c r="E27" s="231"/>
      <c r="F27" s="231"/>
      <c r="G27" s="231"/>
      <c r="H27" s="231"/>
    </row>
    <row r="28" spans="2:24" ht="14">
      <c r="C28" s="225"/>
      <c r="D28" s="232"/>
      <c r="E28" s="227"/>
      <c r="F28" s="227"/>
      <c r="G28" s="227"/>
      <c r="H28" s="227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G41"/>
  <sheetViews>
    <sheetView showGridLines="0" zoomScaleNormal="100" zoomScaleSheetLayoutView="90" workbookViewId="0"/>
  </sheetViews>
  <sheetFormatPr baseColWidth="10" defaultColWidth="11.453125" defaultRowHeight="22.5" customHeight="1"/>
  <cols>
    <col min="1" max="1" width="29.1796875" style="94" customWidth="1"/>
    <col min="2" max="2" width="14.7265625" style="94" customWidth="1"/>
    <col min="3" max="3" width="26.26953125" style="94" customWidth="1"/>
    <col min="4" max="4" width="28.54296875" style="94" customWidth="1"/>
    <col min="5" max="6" width="11.54296875" style="94" customWidth="1"/>
    <col min="7" max="16384" width="11.453125" style="94"/>
  </cols>
  <sheetData>
    <row r="1" spans="1:4" s="77" customFormat="1" ht="22.5" customHeight="1">
      <c r="B1" s="78"/>
    </row>
    <row r="2" spans="1:4" s="82" customFormat="1" ht="25">
      <c r="A2" s="79" t="s">
        <v>65</v>
      </c>
      <c r="B2" s="80"/>
      <c r="C2" s="81"/>
      <c r="D2" s="81"/>
    </row>
    <row r="3" spans="1:4" s="83" customFormat="1" ht="12" customHeight="1"/>
    <row r="4" spans="1:4" s="86" customFormat="1" ht="15" customHeight="1">
      <c r="A4" s="84" t="s">
        <v>89</v>
      </c>
      <c r="B4" s="85"/>
    </row>
    <row r="5" spans="1:4" s="88" customFormat="1" ht="13" customHeight="1">
      <c r="A5" s="87" t="s">
        <v>88</v>
      </c>
      <c r="B5" s="87"/>
      <c r="C5" s="93" t="s">
        <v>164</v>
      </c>
      <c r="D5" s="93" t="s">
        <v>163</v>
      </c>
    </row>
    <row r="6" spans="1:4" s="83" customFormat="1" ht="12" customHeight="1"/>
    <row r="7" spans="1:4" s="86" customFormat="1" ht="15" customHeight="1">
      <c r="A7" s="84" t="s">
        <v>66</v>
      </c>
      <c r="B7" s="85"/>
    </row>
    <row r="8" spans="1:4" s="88" customFormat="1" ht="13" customHeight="1">
      <c r="A8" s="89" t="s">
        <v>86</v>
      </c>
      <c r="B8" s="89"/>
      <c r="C8" s="89" t="s">
        <v>87</v>
      </c>
      <c r="D8" s="90" t="s">
        <v>85</v>
      </c>
    </row>
    <row r="9" spans="1:4" s="88" customFormat="1" ht="13" customHeight="1">
      <c r="A9" s="89" t="s">
        <v>122</v>
      </c>
      <c r="B9" s="89"/>
      <c r="C9" s="87" t="s">
        <v>123</v>
      </c>
      <c r="D9" s="90" t="s">
        <v>124</v>
      </c>
    </row>
    <row r="10" spans="1:4" s="88" customFormat="1" ht="13" customHeight="1">
      <c r="A10" s="87"/>
      <c r="B10" s="87"/>
      <c r="C10" s="87"/>
      <c r="D10" s="91"/>
    </row>
    <row r="11" spans="1:4" s="83" customFormat="1" ht="12" customHeight="1"/>
    <row r="12" spans="1:4" s="86" customFormat="1" ht="15" customHeight="1">
      <c r="A12" s="84" t="s">
        <v>67</v>
      </c>
      <c r="B12" s="85"/>
      <c r="D12" s="92"/>
    </row>
    <row r="13" spans="1:4" s="88" customFormat="1" ht="13" customHeight="1">
      <c r="A13" s="87" t="s">
        <v>92</v>
      </c>
      <c r="B13" s="87"/>
      <c r="C13" s="87"/>
      <c r="D13" s="92"/>
    </row>
    <row r="14" spans="1:4" s="88" customFormat="1" ht="13" customHeight="1">
      <c r="A14" s="87" t="s">
        <v>91</v>
      </c>
      <c r="B14" s="87"/>
      <c r="C14" s="87"/>
      <c r="D14" s="92"/>
    </row>
    <row r="15" spans="1:4" s="83" customFormat="1" ht="12" customHeight="1"/>
    <row r="16" spans="1:4" s="86" customFormat="1" ht="15" customHeight="1">
      <c r="A16" s="84" t="s">
        <v>68</v>
      </c>
      <c r="B16" s="85"/>
      <c r="D16" s="92"/>
    </row>
    <row r="17" spans="1:5" s="88" customFormat="1" ht="13" customHeight="1">
      <c r="A17" s="93" t="s">
        <v>90</v>
      </c>
      <c r="B17" s="87"/>
      <c r="C17" s="87"/>
      <c r="D17" s="92"/>
    </row>
    <row r="18" spans="1:5" s="88" customFormat="1" ht="13" customHeight="1">
      <c r="A18" s="87"/>
      <c r="B18" s="87"/>
      <c r="C18" s="87"/>
      <c r="D18" s="92"/>
    </row>
    <row r="19" spans="1:5" s="86" customFormat="1" ht="15" customHeight="1">
      <c r="A19" s="84" t="s">
        <v>69</v>
      </c>
      <c r="B19" s="85"/>
    </row>
    <row r="20" spans="1:5" s="88" customFormat="1" ht="13" customHeight="1">
      <c r="A20" s="87" t="s">
        <v>214</v>
      </c>
      <c r="B20" s="259" t="s">
        <v>215</v>
      </c>
      <c r="C20" s="87"/>
      <c r="D20" s="92"/>
    </row>
    <row r="21" spans="1:5" ht="30" customHeight="1"/>
    <row r="22" spans="1:5" s="96" customFormat="1" ht="25">
      <c r="A22" s="79" t="s">
        <v>70</v>
      </c>
      <c r="B22" s="80"/>
      <c r="C22" s="95"/>
      <c r="D22" s="81"/>
    </row>
    <row r="23" spans="1:5" ht="9" customHeight="1"/>
    <row r="24" spans="1:5" ht="15" customHeight="1">
      <c r="A24" s="97" t="s">
        <v>71</v>
      </c>
    </row>
    <row r="25" spans="1:5" s="88" customFormat="1" ht="13" customHeight="1">
      <c r="A25" s="98" t="s">
        <v>74</v>
      </c>
      <c r="B25" s="89" t="s">
        <v>73</v>
      </c>
      <c r="C25" s="87"/>
      <c r="D25" s="92"/>
      <c r="E25" s="99"/>
    </row>
    <row r="26" spans="1:5" s="88" customFormat="1" ht="13" customHeight="1">
      <c r="A26" s="98" t="s">
        <v>75</v>
      </c>
      <c r="B26" s="89" t="s">
        <v>72</v>
      </c>
      <c r="C26" s="87"/>
      <c r="D26" s="92"/>
      <c r="E26" s="99"/>
    </row>
    <row r="27" spans="1:5" s="88" customFormat="1" ht="13" customHeight="1">
      <c r="A27" s="98" t="s">
        <v>75</v>
      </c>
      <c r="B27" s="89" t="s">
        <v>76</v>
      </c>
      <c r="C27" s="87"/>
      <c r="D27" s="92"/>
      <c r="E27" s="99"/>
    </row>
    <row r="28" spans="1:5" s="88" customFormat="1" ht="13" customHeight="1">
      <c r="A28" s="98" t="s">
        <v>78</v>
      </c>
      <c r="B28" s="89" t="s">
        <v>77</v>
      </c>
      <c r="C28" s="87"/>
      <c r="D28" s="92"/>
      <c r="E28" s="98"/>
    </row>
    <row r="29" spans="1:5" s="88" customFormat="1" ht="13" customHeight="1">
      <c r="A29" s="98" t="s">
        <v>80</v>
      </c>
      <c r="B29" s="89" t="s">
        <v>79</v>
      </c>
      <c r="C29" s="87"/>
      <c r="D29" s="92"/>
      <c r="E29" s="98"/>
    </row>
    <row r="30" spans="1:5" s="88" customFormat="1" ht="13" customHeight="1">
      <c r="A30" s="98" t="s">
        <v>82</v>
      </c>
      <c r="B30" s="89" t="s">
        <v>81</v>
      </c>
      <c r="C30" s="87"/>
      <c r="D30" s="92"/>
      <c r="E30" s="99"/>
    </row>
    <row r="31" spans="1:5" s="88" customFormat="1" ht="13" customHeight="1">
      <c r="A31" s="98" t="s">
        <v>84</v>
      </c>
      <c r="B31" s="89" t="s">
        <v>83</v>
      </c>
      <c r="C31" s="87"/>
      <c r="D31" s="92"/>
      <c r="E31" s="99"/>
    </row>
    <row r="32" spans="1:5" s="88" customFormat="1" ht="13" customHeight="1">
      <c r="A32" s="98"/>
      <c r="B32" s="89"/>
      <c r="C32" s="87"/>
      <c r="D32" s="92"/>
      <c r="E32" s="99"/>
    </row>
    <row r="33" spans="1:7" s="88" customFormat="1" ht="13" customHeight="1">
      <c r="A33" s="98"/>
      <c r="B33" s="89"/>
      <c r="C33" s="87"/>
      <c r="D33" s="92"/>
      <c r="E33" s="98"/>
    </row>
    <row r="34" spans="1:7" s="88" customFormat="1" ht="13" customHeight="1">
      <c r="A34" s="98"/>
      <c r="B34" s="89"/>
      <c r="C34" s="87"/>
      <c r="D34" s="92"/>
      <c r="E34" s="98"/>
    </row>
    <row r="35" spans="1:7" s="88" customFormat="1" ht="13" customHeight="1">
      <c r="A35" s="98"/>
      <c r="B35" s="89"/>
      <c r="C35" s="87"/>
      <c r="D35" s="92"/>
      <c r="G35" s="98"/>
    </row>
    <row r="36" spans="1:7" s="88" customFormat="1" ht="13" customHeight="1">
      <c r="A36" s="98"/>
      <c r="B36" s="89"/>
      <c r="C36" s="87"/>
      <c r="D36" s="92"/>
      <c r="G36" s="98"/>
    </row>
    <row r="37" spans="1:7" s="88" customFormat="1" ht="13" customHeight="1">
      <c r="A37" s="98"/>
      <c r="B37" s="89"/>
      <c r="C37" s="87"/>
      <c r="D37" s="92"/>
      <c r="G37" s="98"/>
    </row>
    <row r="38" spans="1:7" s="88" customFormat="1" ht="13" customHeight="1">
      <c r="A38" s="98"/>
      <c r="B38" s="89"/>
      <c r="C38" s="87"/>
      <c r="D38" s="92"/>
      <c r="F38" s="94"/>
      <c r="G38" s="94"/>
    </row>
    <row r="39" spans="1:7" s="88" customFormat="1" ht="13" customHeight="1">
      <c r="A39" s="98"/>
      <c r="B39" s="89"/>
      <c r="C39" s="87"/>
      <c r="D39" s="92"/>
      <c r="F39" s="94"/>
      <c r="G39" s="94"/>
    </row>
    <row r="40" spans="1:7" s="88" customFormat="1" ht="19.5" customHeight="1">
      <c r="A40" s="87"/>
      <c r="B40" s="87"/>
      <c r="C40" s="99"/>
      <c r="D40" s="92"/>
      <c r="F40" s="94"/>
      <c r="G40" s="94"/>
    </row>
    <row r="41" spans="1:7" ht="21" customHeight="1">
      <c r="A41" s="342"/>
      <c r="B41" s="342"/>
      <c r="C41" s="342"/>
      <c r="D41" s="342"/>
    </row>
  </sheetData>
  <mergeCells count="1">
    <mergeCell ref="A41:D41"/>
  </mergeCells>
  <hyperlinks>
    <hyperlink ref="B20" r:id="rId1"/>
  </hyperlinks>
  <pageMargins left="0.70866141732283472" right="0.70866141732283472" top="0.6692913385826772" bottom="0.59055118110236227" header="0.51181102362204722" footer="0.51181102362204722"/>
  <pageSetup paperSize="9" scale="95" fitToHeight="0" orientation="portrait" r:id="rId2"/>
  <headerFooter scaleWithDoc="0"/>
  <ignoredErrors>
    <ignoredError sqref="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E41"/>
  <sheetViews>
    <sheetView showGridLines="0" zoomScaleNormal="100" zoomScaleSheetLayoutView="90" workbookViewId="0"/>
  </sheetViews>
  <sheetFormatPr baseColWidth="10" defaultColWidth="11.453125" defaultRowHeight="13.5"/>
  <cols>
    <col min="1" max="1" width="4.7265625" style="7" customWidth="1"/>
    <col min="2" max="2" width="4.7265625" style="3" customWidth="1"/>
    <col min="3" max="3" width="86.1796875" style="4" bestFit="1" customWidth="1"/>
    <col min="4" max="16384" width="11.453125" style="3"/>
  </cols>
  <sheetData>
    <row r="1" spans="1:4" s="1" customFormat="1" ht="18.75" customHeight="1">
      <c r="A1" s="8"/>
      <c r="B1" s="9"/>
      <c r="C1" s="10"/>
    </row>
    <row r="2" spans="1:4" ht="18.75" customHeight="1">
      <c r="B2" s="2" t="s">
        <v>5</v>
      </c>
      <c r="C2" s="11"/>
    </row>
    <row r="3" spans="1:4" ht="14.25" customHeight="1">
      <c r="A3" s="12"/>
      <c r="B3" s="17" t="s">
        <v>4</v>
      </c>
      <c r="C3" s="18" t="s">
        <v>3</v>
      </c>
    </row>
    <row r="4" spans="1:4" ht="14.25" customHeight="1">
      <c r="A4" s="12"/>
      <c r="B4" s="184">
        <v>1</v>
      </c>
      <c r="C4" s="184" t="s">
        <v>174</v>
      </c>
    </row>
    <row r="5" spans="1:4" ht="14.25" customHeight="1">
      <c r="A5" s="12"/>
      <c r="B5" s="184"/>
      <c r="C5" s="184" t="s">
        <v>298</v>
      </c>
      <c r="D5" s="333"/>
    </row>
    <row r="6" spans="1:4" ht="14.25" customHeight="1">
      <c r="A6" s="12"/>
      <c r="B6" s="184"/>
      <c r="C6" s="184" t="s">
        <v>299</v>
      </c>
      <c r="D6" s="333"/>
    </row>
    <row r="7" spans="1:4" ht="14.25" customHeight="1">
      <c r="A7" s="12"/>
      <c r="B7" s="184"/>
      <c r="C7" s="184" t="s">
        <v>300</v>
      </c>
      <c r="D7" s="333"/>
    </row>
    <row r="8" spans="1:4" ht="14.25" customHeight="1">
      <c r="A8" s="12"/>
      <c r="B8" s="184"/>
      <c r="C8" s="184" t="s">
        <v>301</v>
      </c>
      <c r="D8" s="333"/>
    </row>
    <row r="9" spans="1:4" ht="14.25" customHeight="1">
      <c r="A9" s="12"/>
      <c r="B9" s="184"/>
      <c r="C9" s="184" t="s">
        <v>302</v>
      </c>
      <c r="D9" s="333"/>
    </row>
    <row r="10" spans="1:4" ht="14.25" customHeight="1">
      <c r="A10" s="12"/>
      <c r="B10" s="184"/>
      <c r="C10" s="184" t="s">
        <v>327</v>
      </c>
      <c r="D10" s="333"/>
    </row>
    <row r="11" spans="1:4" ht="14.25" customHeight="1">
      <c r="A11" s="12"/>
      <c r="B11" s="184"/>
      <c r="C11" s="184" t="s">
        <v>328</v>
      </c>
      <c r="D11" s="333"/>
    </row>
    <row r="12" spans="1:4" ht="14.25" customHeight="1">
      <c r="A12" s="12"/>
      <c r="B12" s="184"/>
      <c r="C12" s="184" t="s">
        <v>305</v>
      </c>
      <c r="D12" s="333"/>
    </row>
    <row r="13" spans="1:4" ht="14.25" customHeight="1">
      <c r="A13" s="12"/>
      <c r="B13" s="184"/>
      <c r="C13" s="184" t="s">
        <v>306</v>
      </c>
      <c r="D13" s="333"/>
    </row>
    <row r="14" spans="1:4" ht="14.25" customHeight="1">
      <c r="A14" s="12"/>
      <c r="B14" s="184"/>
      <c r="C14" s="184" t="s">
        <v>307</v>
      </c>
      <c r="D14" s="333"/>
    </row>
    <row r="15" spans="1:4" ht="14.25" customHeight="1">
      <c r="A15" s="12"/>
      <c r="B15" s="184"/>
      <c r="C15" s="184" t="s">
        <v>324</v>
      </c>
      <c r="D15" s="333"/>
    </row>
    <row r="16" spans="1:4" ht="14.25" customHeight="1">
      <c r="A16" s="12"/>
      <c r="B16" s="184"/>
      <c r="C16" s="184" t="s">
        <v>323</v>
      </c>
      <c r="D16" s="333"/>
    </row>
    <row r="17" spans="1:5" ht="14.25" customHeight="1">
      <c r="A17" s="12"/>
      <c r="B17" s="184"/>
      <c r="C17" s="184" t="s">
        <v>308</v>
      </c>
      <c r="D17" s="333"/>
    </row>
    <row r="18" spans="1:5" ht="14.25" customHeight="1">
      <c r="A18" s="12"/>
      <c r="B18" s="184"/>
      <c r="C18" s="184" t="s">
        <v>309</v>
      </c>
      <c r="D18" s="333"/>
    </row>
    <row r="19" spans="1:5" ht="14.25" customHeight="1">
      <c r="A19" s="12"/>
      <c r="B19" s="184"/>
      <c r="C19" s="184" t="s">
        <v>310</v>
      </c>
      <c r="D19" s="333"/>
    </row>
    <row r="20" spans="1:5" ht="14.25" customHeight="1">
      <c r="A20" s="12"/>
      <c r="B20" s="184"/>
      <c r="C20" s="184" t="s">
        <v>311</v>
      </c>
      <c r="D20" s="333"/>
    </row>
    <row r="21" spans="1:5" ht="14.25" customHeight="1">
      <c r="A21" s="12"/>
      <c r="B21" s="184"/>
      <c r="C21" s="184" t="s">
        <v>312</v>
      </c>
      <c r="D21" s="333"/>
    </row>
    <row r="22" spans="1:5" ht="14.25" customHeight="1">
      <c r="A22" s="12"/>
      <c r="B22" s="184"/>
      <c r="C22" s="184" t="s">
        <v>313</v>
      </c>
      <c r="D22" s="333"/>
    </row>
    <row r="23" spans="1:5" ht="14.25" customHeight="1">
      <c r="A23" s="12"/>
      <c r="B23" s="184"/>
      <c r="C23" s="184" t="s">
        <v>314</v>
      </c>
      <c r="D23" s="333"/>
    </row>
    <row r="24" spans="1:5" ht="14.25" customHeight="1">
      <c r="A24" s="12"/>
      <c r="B24" s="184"/>
      <c r="C24" s="184" t="s">
        <v>315</v>
      </c>
      <c r="D24" s="333"/>
    </row>
    <row r="25" spans="1:5" s="6" customFormat="1" ht="16.5" customHeight="1">
      <c r="A25" s="5"/>
      <c r="B25" s="184">
        <v>2</v>
      </c>
      <c r="C25" s="184" t="s">
        <v>14</v>
      </c>
      <c r="E25" s="3"/>
    </row>
    <row r="26" spans="1:5" s="6" customFormat="1" ht="16.5" customHeight="1">
      <c r="A26" s="5"/>
      <c r="B26" s="184">
        <v>3</v>
      </c>
      <c r="C26" s="184" t="s">
        <v>110</v>
      </c>
      <c r="E26" s="3"/>
    </row>
    <row r="27" spans="1:5" s="6" customFormat="1" ht="16.5" customHeight="1">
      <c r="A27" s="5"/>
      <c r="B27" s="334"/>
      <c r="C27" s="335" t="s">
        <v>165</v>
      </c>
      <c r="E27" s="3"/>
    </row>
    <row r="28" spans="1:5" s="6" customFormat="1" ht="16.5" customHeight="1">
      <c r="A28" s="5"/>
      <c r="B28" s="334"/>
      <c r="C28" s="335" t="s">
        <v>166</v>
      </c>
      <c r="E28" s="3"/>
    </row>
    <row r="29" spans="1:5" s="6" customFormat="1" ht="16.5" customHeight="1">
      <c r="A29" s="5"/>
      <c r="B29" s="334"/>
      <c r="C29" s="335" t="s">
        <v>167</v>
      </c>
      <c r="E29" s="3"/>
    </row>
    <row r="30" spans="1:5" s="6" customFormat="1" ht="16.5" customHeight="1">
      <c r="A30" s="5"/>
      <c r="B30" s="334"/>
      <c r="C30" s="335" t="s">
        <v>168</v>
      </c>
      <c r="E30" s="3"/>
    </row>
    <row r="31" spans="1:5" s="6" customFormat="1" ht="16.5" customHeight="1">
      <c r="A31" s="5"/>
      <c r="B31" s="336">
        <v>4</v>
      </c>
      <c r="C31" s="336" t="s">
        <v>111</v>
      </c>
      <c r="E31" s="3"/>
    </row>
    <row r="32" spans="1:5" s="6" customFormat="1" ht="16.5" customHeight="1">
      <c r="A32" s="5"/>
      <c r="B32" s="334"/>
      <c r="C32" s="336" t="s">
        <v>169</v>
      </c>
      <c r="E32" s="3"/>
    </row>
    <row r="33" spans="1:5" s="6" customFormat="1" ht="16.5" customHeight="1">
      <c r="A33" s="5"/>
      <c r="B33" s="334"/>
      <c r="C33" s="336" t="s">
        <v>319</v>
      </c>
      <c r="E33" s="3"/>
    </row>
    <row r="34" spans="1:5" s="6" customFormat="1" ht="16.5" customHeight="1">
      <c r="A34" s="5"/>
      <c r="B34" s="336">
        <v>5</v>
      </c>
      <c r="C34" s="336" t="s">
        <v>112</v>
      </c>
      <c r="E34" s="3"/>
    </row>
    <row r="35" spans="1:5" s="6" customFormat="1" ht="16.5" customHeight="1">
      <c r="A35" s="5"/>
      <c r="B35" s="334"/>
      <c r="C35" s="336" t="s">
        <v>170</v>
      </c>
      <c r="E35" s="3"/>
    </row>
    <row r="36" spans="1:5" s="6" customFormat="1" ht="16.5" customHeight="1">
      <c r="A36" s="5"/>
      <c r="B36" s="334"/>
      <c r="C36" s="336" t="s">
        <v>171</v>
      </c>
      <c r="E36" s="3"/>
    </row>
    <row r="37" spans="1:5" s="6" customFormat="1" ht="16.5" customHeight="1">
      <c r="A37" s="5"/>
      <c r="B37" s="336">
        <v>6</v>
      </c>
      <c r="C37" s="336" t="s">
        <v>161</v>
      </c>
      <c r="E37" s="3"/>
    </row>
    <row r="38" spans="1:5" s="6" customFormat="1" ht="16.5" customHeight="1">
      <c r="A38" s="5"/>
      <c r="B38" s="334"/>
      <c r="C38" s="336" t="s">
        <v>172</v>
      </c>
      <c r="E38" s="3"/>
    </row>
    <row r="39" spans="1:5" s="6" customFormat="1" ht="16.5" customHeight="1">
      <c r="A39" s="5"/>
      <c r="B39" s="336">
        <v>7</v>
      </c>
      <c r="C39" s="336" t="s">
        <v>162</v>
      </c>
      <c r="E39" s="3"/>
    </row>
    <row r="40" spans="1:5" s="6" customFormat="1" ht="16.5" customHeight="1">
      <c r="A40" s="5"/>
      <c r="B40" s="334"/>
      <c r="C40" s="336" t="s">
        <v>173</v>
      </c>
      <c r="E40" s="3"/>
    </row>
    <row r="41" spans="1:5">
      <c r="B41" s="19"/>
      <c r="C41" s="20"/>
    </row>
  </sheetData>
  <hyperlinks>
    <hyperlink ref="C26" location="'3 Income'!A1" display="Income"/>
    <hyperlink ref="C31" location="'4 Expences'!A1" display="Expences"/>
    <hyperlink ref="C34" location="'5 Margins'!A1" display="Margins"/>
    <hyperlink ref="C37" location="'6 Lending'!A2" display="Lending"/>
    <hyperlink ref="C39" location="'7 Deposits'!A2" display="Deposits"/>
    <hyperlink ref="C27" location="'3 Income'!A2" display="3.1 Net interest income and commissionfees from covered bonds companies"/>
    <hyperlink ref="C28" location="'3 Income'!A43" display="3.2 Net commision and other income"/>
    <hyperlink ref="C29" location="'3 Income'!A90" display="3.3 Net income from financial assets and liabilities"/>
    <hyperlink ref="C30" location="'3 Income'!A103" display="3.4 Specification of the consolidated profit after tax in NOK millions:"/>
    <hyperlink ref="C32" location="'4 Expences'!A2" display="4.1 Expences Group"/>
    <hyperlink ref="C33" location="'4 Expences'!A44" display="4.2 Expences Parent bank (Pro-forma)"/>
    <hyperlink ref="C35" location="'5 Margins'!A2" display="5.1 Deposit margins"/>
    <hyperlink ref="C36" location="'5 Margins'!A31" display="5.2 Lending margins"/>
    <hyperlink ref="C38" location="'6 Lending'!A2" display="6.1 Development in volumes - Loans to customers"/>
    <hyperlink ref="C40" location="'7 Deposits'!A2" display="7.1 Development in volumes - Deposits from customers"/>
    <hyperlink ref="B25" location="'2 Results and key figures'!A1" display="'2 Results and key figures'!A1"/>
    <hyperlink ref="B26" location="'3 Income'!A1" display="'3 Income'!A1"/>
    <hyperlink ref="B31" location="'4 Expences'!A1" display="'4 Expences'!A1"/>
    <hyperlink ref="B34" location="'5 Margins'!A1" display="'5 Margins'!A1"/>
    <hyperlink ref="B37" location="'6 Lending'!A1" display="'6 Lending'!A1"/>
    <hyperlink ref="B39" location="'7 Deposits'!A1" display="'7 Deposits'!A1"/>
    <hyperlink ref="C4" location="'1 APM'!A2" display="APM"/>
    <hyperlink ref="C5" location="'1 APM'!A28" display="1.1 Return on equity capital "/>
    <hyperlink ref="C6" location="'1 APM'!A33" display="1.2 Cost-income-ratio "/>
    <hyperlink ref="C7" location="'1 APM'!A38" display="1.3 Gross loans including loans transferred to covered bond companies"/>
    <hyperlink ref="C8" location="'1 APM'!A44" display="1.4 Growth in loans during the last 12 months in per cent"/>
    <hyperlink ref="C9" location="'1 APM'!A51" display="1.5 Growth in loans incl. Loans transferred to covered bond companies during the last 12 months in per cent"/>
    <hyperlink ref="C10" location="'1 APM'!A56" display="1.6 Cost-income-ratio"/>
    <hyperlink ref="C11" location="'1 APM'!A61" display="1.7 Cost-income-ratio incl. loans transferred to covered bond companies"/>
    <hyperlink ref="C12" location="'1 APM'!A68" display="1.8 Growth in deposits in the last 12 months in per cent"/>
    <hyperlink ref="C13" location="'1 APM'!A78" display="1.9 Total assets incl. Loans transferred to covered bond companies (Business capital)"/>
    <hyperlink ref="C14" location="'1 APM'!A85" display="1.10 Losses on loans and guarantees as a percentageof gross loans"/>
    <hyperlink ref="C15" location="'1 APM'!A90" display="1.11 Brutto misligholdte engasjement i prosent av brutto utlån"/>
    <hyperlink ref="C16" location="'1 APM'!A94" display="1.12 Brutto øvrige tapsutsatte engasjement i prosent av brutto utlån "/>
    <hyperlink ref="C17" location="'1 APM'!A100" display="1.13 Net commitments in default and other doutful commitments,  percentage of gross loans"/>
    <hyperlink ref="C18" location="'1 APM'!A105" display="1.14 Loan loss impairment ratio on defaulted commitments"/>
    <hyperlink ref="C19" location="'1 APM'!A109" display="1.15 Loan loss impairment ratio on doubtful commitments"/>
    <hyperlink ref="C20" location="'1 APM'!A114" display="1.16 Equity ratio"/>
    <hyperlink ref="C21" location="'1 APM'!A127" display="1.17 Book equity per EC"/>
    <hyperlink ref="C22" location="'1 APM'!A134" display="1.18 Earnings per equity certificate (in NOK)"/>
    <hyperlink ref="C23" location="'1 APM'!A140" display="1.19 Price/Earnings per EC"/>
    <hyperlink ref="C24" location="'1 APM'!A144" display="1.20 Price/Book equity"/>
    <hyperlink ref="C25" location="'2 Results and key figures'!A1" display="Results from the quarterly accounts Group"/>
    <hyperlink ref="B4" location="'1 APM'!A1" display="'1 APM'!A1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4"/>
  <sheetViews>
    <sheetView showGridLines="0" topLeftCell="B1" workbookViewId="0">
      <pane ySplit="5" topLeftCell="A50" activePane="bottomLeft" state="frozen"/>
      <selection pane="bottomLeft" activeCell="B1" sqref="B1"/>
    </sheetView>
  </sheetViews>
  <sheetFormatPr baseColWidth="10" defaultRowHeight="12.5"/>
  <cols>
    <col min="1" max="1" width="81.7265625" customWidth="1"/>
    <col min="2" max="2" width="106.54296875" customWidth="1"/>
  </cols>
  <sheetData>
    <row r="1" spans="1:28" ht="14.5">
      <c r="A1" s="257">
        <v>365</v>
      </c>
    </row>
    <row r="2" spans="1:28" ht="15">
      <c r="A2" s="22" t="s">
        <v>200</v>
      </c>
    </row>
    <row r="5" spans="1:28" ht="14.5">
      <c r="A5" s="256"/>
      <c r="B5" s="265"/>
      <c r="C5" s="266">
        <v>43190</v>
      </c>
      <c r="D5" s="267" t="s">
        <v>201</v>
      </c>
      <c r="E5" s="266">
        <v>43100</v>
      </c>
      <c r="F5" s="267" t="s">
        <v>202</v>
      </c>
      <c r="G5" s="266">
        <v>43008</v>
      </c>
      <c r="H5" s="267" t="s">
        <v>203</v>
      </c>
      <c r="I5" s="266">
        <v>42916</v>
      </c>
      <c r="J5" s="267" t="s">
        <v>204</v>
      </c>
      <c r="K5" s="266">
        <v>42825</v>
      </c>
      <c r="L5" s="267" t="s">
        <v>205</v>
      </c>
      <c r="M5" s="266">
        <v>42735</v>
      </c>
      <c r="N5" s="267" t="s">
        <v>206</v>
      </c>
      <c r="O5" s="266">
        <v>42643</v>
      </c>
      <c r="P5" s="267" t="s">
        <v>207</v>
      </c>
      <c r="Q5" s="266">
        <v>42551</v>
      </c>
      <c r="R5" s="267" t="s">
        <v>208</v>
      </c>
      <c r="S5" s="266">
        <v>42460</v>
      </c>
      <c r="T5" s="267" t="s">
        <v>209</v>
      </c>
      <c r="U5" s="266">
        <v>42369</v>
      </c>
      <c r="V5" s="267" t="s">
        <v>210</v>
      </c>
      <c r="W5" s="266">
        <v>42277</v>
      </c>
      <c r="X5" s="267" t="s">
        <v>211</v>
      </c>
      <c r="Y5" s="266">
        <v>42185</v>
      </c>
      <c r="Z5" s="267" t="s">
        <v>212</v>
      </c>
      <c r="AA5" s="266">
        <v>42094</v>
      </c>
      <c r="AB5" s="267" t="s">
        <v>213</v>
      </c>
    </row>
    <row r="6" spans="1:28" ht="24.5">
      <c r="A6" s="256"/>
      <c r="B6" s="268"/>
      <c r="C6" s="269" t="s">
        <v>175</v>
      </c>
      <c r="D6" s="270" t="s">
        <v>176</v>
      </c>
      <c r="E6" s="269" t="s">
        <v>177</v>
      </c>
      <c r="F6" s="270" t="s">
        <v>178</v>
      </c>
      <c r="G6" s="269" t="s">
        <v>179</v>
      </c>
      <c r="H6" s="270" t="s">
        <v>180</v>
      </c>
      <c r="I6" s="270" t="s">
        <v>181</v>
      </c>
      <c r="J6" s="270" t="s">
        <v>182</v>
      </c>
      <c r="K6" s="270" t="s">
        <v>183</v>
      </c>
      <c r="L6" s="270" t="s">
        <v>183</v>
      </c>
      <c r="M6" s="269" t="s">
        <v>184</v>
      </c>
      <c r="N6" s="270" t="s">
        <v>185</v>
      </c>
      <c r="O6" s="269" t="s">
        <v>186</v>
      </c>
      <c r="P6" s="270" t="s">
        <v>187</v>
      </c>
      <c r="Q6" s="270" t="s">
        <v>188</v>
      </c>
      <c r="R6" s="270" t="s">
        <v>189</v>
      </c>
      <c r="S6" s="270" t="s">
        <v>190</v>
      </c>
      <c r="T6" s="270" t="s">
        <v>190</v>
      </c>
      <c r="U6" s="269" t="s">
        <v>191</v>
      </c>
      <c r="V6" s="270" t="s">
        <v>192</v>
      </c>
      <c r="W6" s="269" t="s">
        <v>193</v>
      </c>
      <c r="X6" s="270" t="s">
        <v>194</v>
      </c>
      <c r="Y6" s="270" t="s">
        <v>195</v>
      </c>
      <c r="Z6" s="270" t="s">
        <v>196</v>
      </c>
      <c r="AA6" s="270" t="s">
        <v>197</v>
      </c>
      <c r="AB6" s="270" t="s">
        <v>197</v>
      </c>
    </row>
    <row r="7" spans="1:28" ht="13">
      <c r="B7" s="268" t="s">
        <v>226</v>
      </c>
      <c r="C7" s="268">
        <f>31+28+31</f>
        <v>90</v>
      </c>
      <c r="D7" s="268">
        <f>31+28+31</f>
        <v>90</v>
      </c>
      <c r="E7" s="268">
        <f>+F7+G7</f>
        <v>365</v>
      </c>
      <c r="F7" s="268">
        <f>31+30+31</f>
        <v>92</v>
      </c>
      <c r="G7" s="268">
        <f>+H7+I7</f>
        <v>273</v>
      </c>
      <c r="H7" s="268">
        <f>31+31+30</f>
        <v>92</v>
      </c>
      <c r="I7" s="268">
        <f>+J7+L7</f>
        <v>181</v>
      </c>
      <c r="J7" s="268">
        <f>30+31+30</f>
        <v>91</v>
      </c>
      <c r="K7" s="268">
        <f>+L7</f>
        <v>90</v>
      </c>
      <c r="L7" s="268">
        <f>31+28+31</f>
        <v>90</v>
      </c>
      <c r="M7" s="268">
        <f>+N7+O7</f>
        <v>366</v>
      </c>
      <c r="N7" s="268">
        <f>31+30+31</f>
        <v>92</v>
      </c>
      <c r="O7" s="268">
        <f>+P7+Q7</f>
        <v>274</v>
      </c>
      <c r="P7" s="268">
        <f>31+31+30</f>
        <v>92</v>
      </c>
      <c r="Q7" s="268">
        <f>+R7+S7</f>
        <v>182</v>
      </c>
      <c r="R7" s="268">
        <f>30+31+30</f>
        <v>91</v>
      </c>
      <c r="S7" s="268">
        <f>+T7</f>
        <v>91</v>
      </c>
      <c r="T7" s="268">
        <f>31+29+31</f>
        <v>91</v>
      </c>
      <c r="U7" s="268">
        <f>+V7+W7</f>
        <v>365</v>
      </c>
      <c r="V7" s="268">
        <f>31+30+31</f>
        <v>92</v>
      </c>
      <c r="W7" s="268">
        <f>+X7+Y7</f>
        <v>273</v>
      </c>
      <c r="X7" s="268">
        <f>31+31+30</f>
        <v>92</v>
      </c>
      <c r="Y7" s="268">
        <f>+Z7+AB7</f>
        <v>181</v>
      </c>
      <c r="Z7" s="268">
        <f>30+31+30</f>
        <v>91</v>
      </c>
      <c r="AA7" s="268">
        <f>+AB7</f>
        <v>90</v>
      </c>
      <c r="AB7" s="268">
        <f>31+28+31</f>
        <v>90</v>
      </c>
    </row>
    <row r="8" spans="1:28" ht="14.5">
      <c r="A8" s="257"/>
      <c r="B8" s="268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68"/>
      <c r="W8" s="271"/>
      <c r="X8" s="271"/>
      <c r="Y8" s="271"/>
      <c r="Z8" s="271"/>
      <c r="AA8" s="271"/>
      <c r="AB8" s="271"/>
    </row>
    <row r="9" spans="1:28" ht="13">
      <c r="A9" s="258"/>
      <c r="B9" s="268" t="s">
        <v>40</v>
      </c>
      <c r="C9" s="272">
        <v>313.925299</v>
      </c>
      <c r="D9" s="272">
        <v>313.925299</v>
      </c>
      <c r="E9" s="272">
        <v>1262.8547599999997</v>
      </c>
      <c r="F9" s="272">
        <v>336.63084299999963</v>
      </c>
      <c r="G9" s="272">
        <v>925.79183999999987</v>
      </c>
      <c r="H9" s="272">
        <v>376.79184000000026</v>
      </c>
      <c r="I9" s="272">
        <v>547.89695000000029</v>
      </c>
      <c r="J9" s="272">
        <v>274.03295000000026</v>
      </c>
      <c r="K9" s="272">
        <v>273.86399999999986</v>
      </c>
      <c r="L9" s="272">
        <v>273.86399999999986</v>
      </c>
      <c r="M9" s="272">
        <v>1099.5794989999999</v>
      </c>
      <c r="N9" s="272">
        <v>281.49246836999998</v>
      </c>
      <c r="O9" s="272">
        <v>819.40027437000026</v>
      </c>
      <c r="P9" s="272">
        <v>423.74120293000004</v>
      </c>
      <c r="Q9" s="272">
        <v>395.73999999999995</v>
      </c>
      <c r="R9" s="272">
        <v>227.20000000000005</v>
      </c>
      <c r="S9" s="272">
        <v>169.01000000000002</v>
      </c>
      <c r="T9" s="272">
        <v>169.01000000000002</v>
      </c>
      <c r="U9" s="272">
        <v>929.5</v>
      </c>
      <c r="V9" s="272">
        <v>193.50000000000006</v>
      </c>
      <c r="W9" s="272">
        <v>735.88799999999992</v>
      </c>
      <c r="X9" s="272">
        <v>307.29000000000008</v>
      </c>
      <c r="Y9" s="272">
        <v>430</v>
      </c>
      <c r="Z9" s="272">
        <v>190</v>
      </c>
      <c r="AA9" s="272">
        <v>240</v>
      </c>
      <c r="AB9" s="272">
        <v>240</v>
      </c>
    </row>
    <row r="10" spans="1:28" ht="13">
      <c r="A10" s="258"/>
      <c r="B10" s="273" t="s">
        <v>227</v>
      </c>
      <c r="C10" s="274">
        <v>4.140500000000003</v>
      </c>
      <c r="D10" s="274">
        <v>4.140500000000003</v>
      </c>
      <c r="E10" s="274">
        <v>17.059778000000001</v>
      </c>
      <c r="F10" s="274">
        <v>4.1101669999999997</v>
      </c>
      <c r="G10" s="274">
        <v>12.660722</v>
      </c>
      <c r="H10" s="274">
        <v>4.1961110000000001</v>
      </c>
      <c r="I10" s="274">
        <v>8.3062780000000007</v>
      </c>
      <c r="J10" s="274">
        <v>4.3544444000000002</v>
      </c>
      <c r="K10" s="274">
        <v>4.3990559999999999</v>
      </c>
      <c r="L10" s="274">
        <v>4.3990559999999999</v>
      </c>
      <c r="M10" s="274">
        <v>13.238778</v>
      </c>
      <c r="N10" s="274">
        <v>4.4033889999999998</v>
      </c>
      <c r="O10" s="274">
        <v>8.8353889999999993</v>
      </c>
      <c r="P10" s="274">
        <v>4.3999449999999998</v>
      </c>
      <c r="Q10" s="274">
        <f>4.435444</f>
        <v>4.4354440000000004</v>
      </c>
      <c r="R10" s="274">
        <f>4.435444</f>
        <v>4.4354440000000004</v>
      </c>
      <c r="S10" s="274">
        <v>0</v>
      </c>
      <c r="T10" s="274">
        <v>0</v>
      </c>
      <c r="U10" s="274">
        <v>0</v>
      </c>
      <c r="V10" s="274">
        <v>0</v>
      </c>
      <c r="W10" s="274">
        <v>0</v>
      </c>
      <c r="X10" s="274">
        <v>0</v>
      </c>
      <c r="Y10" s="274">
        <v>0</v>
      </c>
      <c r="Z10" s="274">
        <v>0</v>
      </c>
      <c r="AA10" s="274">
        <v>0</v>
      </c>
      <c r="AB10" s="274">
        <v>0</v>
      </c>
    </row>
    <row r="11" spans="1:28" ht="13">
      <c r="A11" s="258"/>
      <c r="B11" s="273" t="s">
        <v>228</v>
      </c>
      <c r="C11" s="274">
        <f t="shared" ref="C11:R11" si="0">+C10*0.25</f>
        <v>1.0351250000000007</v>
      </c>
      <c r="D11" s="274">
        <f t="shared" si="0"/>
        <v>1.0351250000000007</v>
      </c>
      <c r="E11" s="274">
        <f t="shared" si="0"/>
        <v>4.2649445000000004</v>
      </c>
      <c r="F11" s="274">
        <f t="shared" si="0"/>
        <v>1.0275417499999999</v>
      </c>
      <c r="G11" s="274">
        <f t="shared" si="0"/>
        <v>3.1651805</v>
      </c>
      <c r="H11" s="274">
        <f t="shared" si="0"/>
        <v>1.04902775</v>
      </c>
      <c r="I11" s="274">
        <f t="shared" si="0"/>
        <v>2.0765695000000002</v>
      </c>
      <c r="J11" s="274">
        <f t="shared" si="0"/>
        <v>1.0886111000000001</v>
      </c>
      <c r="K11" s="274">
        <f t="shared" si="0"/>
        <v>1.099764</v>
      </c>
      <c r="L11" s="274">
        <f t="shared" si="0"/>
        <v>1.099764</v>
      </c>
      <c r="M11" s="274">
        <f t="shared" si="0"/>
        <v>3.3096945</v>
      </c>
      <c r="N11" s="274">
        <f t="shared" si="0"/>
        <v>1.1008472499999999</v>
      </c>
      <c r="O11" s="274">
        <f t="shared" si="0"/>
        <v>2.2088472499999998</v>
      </c>
      <c r="P11" s="274">
        <f t="shared" si="0"/>
        <v>1.0999862499999999</v>
      </c>
      <c r="Q11" s="274">
        <f t="shared" si="0"/>
        <v>1.1088610000000001</v>
      </c>
      <c r="R11" s="274">
        <f t="shared" si="0"/>
        <v>1.1088610000000001</v>
      </c>
      <c r="S11" s="274">
        <v>0</v>
      </c>
      <c r="T11" s="274">
        <v>0</v>
      </c>
      <c r="U11" s="274">
        <v>0</v>
      </c>
      <c r="V11" s="274">
        <v>0</v>
      </c>
      <c r="W11" s="274">
        <v>0</v>
      </c>
      <c r="X11" s="274">
        <v>0</v>
      </c>
      <c r="Y11" s="274">
        <v>0</v>
      </c>
      <c r="Z11" s="274">
        <v>0</v>
      </c>
      <c r="AA11" s="274">
        <v>0</v>
      </c>
      <c r="AB11" s="274">
        <v>0</v>
      </c>
    </row>
    <row r="12" spans="1:28" ht="13">
      <c r="A12" s="115"/>
      <c r="B12" s="275" t="s">
        <v>229</v>
      </c>
      <c r="C12" s="276">
        <f>C10-C11</f>
        <v>3.1053750000000022</v>
      </c>
      <c r="D12" s="276">
        <f t="shared" ref="D12:R12" si="1">D10-D11</f>
        <v>3.1053750000000022</v>
      </c>
      <c r="E12" s="276">
        <f t="shared" si="1"/>
        <v>12.794833500000001</v>
      </c>
      <c r="F12" s="276">
        <f t="shared" si="1"/>
        <v>3.0826252499999995</v>
      </c>
      <c r="G12" s="276">
        <f t="shared" si="1"/>
        <v>9.4955414999999999</v>
      </c>
      <c r="H12" s="276">
        <f t="shared" si="1"/>
        <v>3.1470832500000001</v>
      </c>
      <c r="I12" s="276">
        <f t="shared" si="1"/>
        <v>6.229708500000001</v>
      </c>
      <c r="J12" s="276">
        <f t="shared" si="1"/>
        <v>3.2658333000000002</v>
      </c>
      <c r="K12" s="276">
        <f t="shared" si="1"/>
        <v>3.2992919999999999</v>
      </c>
      <c r="L12" s="276">
        <f t="shared" si="1"/>
        <v>3.2992919999999999</v>
      </c>
      <c r="M12" s="276">
        <f t="shared" si="1"/>
        <v>9.9290835000000008</v>
      </c>
      <c r="N12" s="276">
        <f t="shared" si="1"/>
        <v>3.3025417499999996</v>
      </c>
      <c r="O12" s="276">
        <f t="shared" si="1"/>
        <v>6.6265417499999995</v>
      </c>
      <c r="P12" s="276">
        <f t="shared" si="1"/>
        <v>3.2999587500000001</v>
      </c>
      <c r="Q12" s="276">
        <f t="shared" si="1"/>
        <v>3.3265830000000003</v>
      </c>
      <c r="R12" s="276">
        <f t="shared" si="1"/>
        <v>3.3265830000000003</v>
      </c>
      <c r="S12" s="276">
        <v>0</v>
      </c>
      <c r="T12" s="276">
        <v>0</v>
      </c>
      <c r="U12" s="276">
        <v>0</v>
      </c>
      <c r="V12" s="276">
        <v>0</v>
      </c>
      <c r="W12" s="276">
        <v>0</v>
      </c>
      <c r="X12" s="276">
        <v>0</v>
      </c>
      <c r="Y12" s="276">
        <v>0</v>
      </c>
      <c r="Z12" s="276">
        <v>0</v>
      </c>
      <c r="AA12" s="276">
        <v>0</v>
      </c>
      <c r="AB12" s="276">
        <v>0</v>
      </c>
    </row>
    <row r="13" spans="1:28" ht="13">
      <c r="A13" s="258"/>
      <c r="B13" s="268" t="s">
        <v>230</v>
      </c>
      <c r="C13" s="272">
        <f>+C9-C12</f>
        <v>310.81992400000001</v>
      </c>
      <c r="D13" s="272">
        <f t="shared" ref="D13:P13" si="2">+D9-D12</f>
        <v>310.81992400000001</v>
      </c>
      <c r="E13" s="272">
        <f t="shared" si="2"/>
        <v>1250.0599264999996</v>
      </c>
      <c r="F13" s="272">
        <f t="shared" si="2"/>
        <v>333.54821774999965</v>
      </c>
      <c r="G13" s="272">
        <f t="shared" si="2"/>
        <v>916.29629849999992</v>
      </c>
      <c r="H13" s="272">
        <f t="shared" si="2"/>
        <v>373.64475675000028</v>
      </c>
      <c r="I13" s="272">
        <f t="shared" si="2"/>
        <v>541.66724150000027</v>
      </c>
      <c r="J13" s="272">
        <f t="shared" si="2"/>
        <v>270.76711670000026</v>
      </c>
      <c r="K13" s="272">
        <f t="shared" si="2"/>
        <v>270.56470799999988</v>
      </c>
      <c r="L13" s="272">
        <f t="shared" si="2"/>
        <v>270.56470799999988</v>
      </c>
      <c r="M13" s="272">
        <f t="shared" si="2"/>
        <v>1089.6504155</v>
      </c>
      <c r="N13" s="272">
        <f t="shared" si="2"/>
        <v>278.18992661999999</v>
      </c>
      <c r="O13" s="272">
        <f t="shared" si="2"/>
        <v>812.77373262000026</v>
      </c>
      <c r="P13" s="272">
        <f t="shared" si="2"/>
        <v>420.44124418000007</v>
      </c>
      <c r="Q13" s="272">
        <f t="shared" ref="Q13:AA13" si="3">+Q9-Q10</f>
        <v>391.30455599999993</v>
      </c>
      <c r="R13" s="272">
        <f t="shared" si="3"/>
        <v>222.76455600000006</v>
      </c>
      <c r="S13" s="272">
        <f t="shared" si="3"/>
        <v>169.01000000000002</v>
      </c>
      <c r="T13" s="272">
        <f t="shared" si="3"/>
        <v>169.01000000000002</v>
      </c>
      <c r="U13" s="272">
        <f t="shared" si="3"/>
        <v>929.5</v>
      </c>
      <c r="V13" s="272">
        <f t="shared" si="3"/>
        <v>193.50000000000006</v>
      </c>
      <c r="W13" s="272">
        <f t="shared" si="3"/>
        <v>735.88799999999992</v>
      </c>
      <c r="X13" s="272">
        <f t="shared" si="3"/>
        <v>307.29000000000008</v>
      </c>
      <c r="Y13" s="272">
        <f t="shared" si="3"/>
        <v>430</v>
      </c>
      <c r="Z13" s="272">
        <f t="shared" si="3"/>
        <v>190</v>
      </c>
      <c r="AA13" s="272">
        <f t="shared" si="3"/>
        <v>240</v>
      </c>
      <c r="AB13" s="277">
        <v>240</v>
      </c>
    </row>
    <row r="14" spans="1:28" ht="13">
      <c r="A14" s="258"/>
      <c r="B14" s="268"/>
      <c r="C14" s="278"/>
      <c r="D14" s="278"/>
      <c r="E14" s="278"/>
      <c r="F14" s="278"/>
      <c r="G14" s="278"/>
      <c r="H14" s="272"/>
      <c r="I14" s="278"/>
      <c r="J14" s="278"/>
      <c r="K14" s="278"/>
      <c r="L14" s="278"/>
      <c r="M14" s="278"/>
      <c r="N14" s="278"/>
      <c r="O14" s="272"/>
      <c r="P14" s="272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9"/>
    </row>
    <row r="15" spans="1:28" ht="13">
      <c r="A15" s="258"/>
      <c r="B15" s="268"/>
      <c r="C15" s="278"/>
      <c r="D15" s="278"/>
      <c r="E15" s="278"/>
      <c r="F15" s="278"/>
      <c r="G15" s="278"/>
      <c r="H15" s="272"/>
      <c r="I15" s="278"/>
      <c r="J15" s="278"/>
      <c r="K15" s="278"/>
      <c r="L15" s="278"/>
      <c r="M15" s="278"/>
      <c r="N15" s="278"/>
      <c r="O15" s="272"/>
      <c r="P15" s="272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9"/>
    </row>
    <row r="16" spans="1:28" ht="14.5">
      <c r="A16" s="257"/>
      <c r="B16" s="268"/>
      <c r="C16" s="278"/>
      <c r="D16" s="278"/>
      <c r="E16" s="278"/>
      <c r="F16" s="278"/>
      <c r="G16" s="278"/>
      <c r="H16" s="272"/>
      <c r="I16" s="278"/>
      <c r="J16" s="278"/>
      <c r="K16" s="278"/>
      <c r="L16" s="278"/>
      <c r="M16" s="278"/>
      <c r="N16" s="278"/>
      <c r="O16" s="272"/>
      <c r="P16" s="272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</row>
    <row r="17" spans="1:28" ht="14.5">
      <c r="A17" s="257"/>
      <c r="B17" s="268"/>
      <c r="C17" s="278"/>
      <c r="D17" s="278"/>
      <c r="E17" s="278"/>
      <c r="F17" s="278"/>
      <c r="G17" s="278"/>
      <c r="H17" s="272"/>
      <c r="I17" s="278"/>
      <c r="J17" s="278"/>
      <c r="K17" s="278"/>
      <c r="L17" s="278"/>
      <c r="M17" s="278"/>
      <c r="N17" s="278"/>
      <c r="O17" s="272"/>
      <c r="P17" s="272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</row>
    <row r="18" spans="1:28" ht="13">
      <c r="A18" s="258"/>
      <c r="B18" s="268" t="s">
        <v>231</v>
      </c>
      <c r="C18" s="272">
        <v>13006.999244000001</v>
      </c>
      <c r="D18" s="272">
        <v>13006.999244000001</v>
      </c>
      <c r="E18" s="272">
        <v>13331.214576718428</v>
      </c>
      <c r="F18" s="272">
        <v>13331.214576718428</v>
      </c>
      <c r="G18" s="272">
        <v>12991.201010299999</v>
      </c>
      <c r="H18" s="272">
        <v>12991.201010299999</v>
      </c>
      <c r="I18" s="272">
        <v>12591.153999999999</v>
      </c>
      <c r="J18" s="272">
        <v>12591.153999999999</v>
      </c>
      <c r="K18" s="272">
        <v>12369.748290755098</v>
      </c>
      <c r="L18" s="272">
        <v>12369.748290755098</v>
      </c>
      <c r="M18" s="272">
        <v>12107.396449</v>
      </c>
      <c r="N18" s="272">
        <v>12107.396449</v>
      </c>
      <c r="O18" s="272">
        <v>11775.9</v>
      </c>
      <c r="P18" s="272">
        <v>11775.9</v>
      </c>
      <c r="Q18" s="272">
        <f>11350.12103489-400</f>
        <v>10950.12103489</v>
      </c>
      <c r="R18" s="272">
        <f>11350.12103489-400</f>
        <v>10950.12103489</v>
      </c>
      <c r="S18" s="272">
        <v>8995.4</v>
      </c>
      <c r="T18" s="272">
        <f>+S18</f>
        <v>8995.4</v>
      </c>
      <c r="U18" s="272">
        <v>8717.7999999999993</v>
      </c>
      <c r="V18" s="272">
        <f>+U18</f>
        <v>8717.7999999999993</v>
      </c>
      <c r="W18" s="272">
        <v>8449.2000000000007</v>
      </c>
      <c r="X18" s="272">
        <f>+W18</f>
        <v>8449.2000000000007</v>
      </c>
      <c r="Y18" s="272">
        <v>8128</v>
      </c>
      <c r="Z18" s="272">
        <f>+Y18</f>
        <v>8128</v>
      </c>
      <c r="AA18" s="272">
        <v>7889</v>
      </c>
      <c r="AB18" s="272">
        <f>+AA18</f>
        <v>7889</v>
      </c>
    </row>
    <row r="19" spans="1:28" ht="13">
      <c r="A19" s="258"/>
      <c r="B19" s="275" t="s">
        <v>232</v>
      </c>
      <c r="C19" s="276">
        <v>400</v>
      </c>
      <c r="D19" s="276">
        <v>400</v>
      </c>
      <c r="E19" s="276">
        <v>400</v>
      </c>
      <c r="F19" s="276">
        <v>400</v>
      </c>
      <c r="G19" s="276">
        <v>400</v>
      </c>
      <c r="H19" s="276">
        <v>400</v>
      </c>
      <c r="I19" s="276">
        <v>400</v>
      </c>
      <c r="J19" s="276">
        <v>400</v>
      </c>
      <c r="K19" s="276">
        <v>400</v>
      </c>
      <c r="L19" s="276">
        <v>400</v>
      </c>
      <c r="M19" s="276">
        <v>400</v>
      </c>
      <c r="N19" s="276">
        <v>400</v>
      </c>
      <c r="O19" s="276">
        <v>400</v>
      </c>
      <c r="P19" s="276">
        <v>400</v>
      </c>
      <c r="Q19" s="276">
        <v>400</v>
      </c>
      <c r="R19" s="276">
        <v>400</v>
      </c>
      <c r="S19" s="276">
        <v>0</v>
      </c>
      <c r="T19" s="276">
        <v>0</v>
      </c>
      <c r="U19" s="276">
        <v>0</v>
      </c>
      <c r="V19" s="276">
        <v>0</v>
      </c>
      <c r="W19" s="276">
        <v>0</v>
      </c>
      <c r="X19" s="276">
        <v>0</v>
      </c>
      <c r="Y19" s="276">
        <v>0</v>
      </c>
      <c r="Z19" s="276">
        <v>0</v>
      </c>
      <c r="AA19" s="276">
        <v>0</v>
      </c>
      <c r="AB19" s="276">
        <v>0</v>
      </c>
    </row>
    <row r="20" spans="1:28" ht="13">
      <c r="A20" s="258"/>
      <c r="B20" s="268" t="s">
        <v>233</v>
      </c>
      <c r="C20" s="272">
        <f>C18-C19</f>
        <v>12606.999244000001</v>
      </c>
      <c r="D20" s="272">
        <f t="shared" ref="D20:AB20" si="4">D18-D19</f>
        <v>12606.999244000001</v>
      </c>
      <c r="E20" s="272">
        <f t="shared" si="4"/>
        <v>12931.214576718428</v>
      </c>
      <c r="F20" s="272">
        <f t="shared" si="4"/>
        <v>12931.214576718428</v>
      </c>
      <c r="G20" s="272">
        <f t="shared" si="4"/>
        <v>12591.201010299999</v>
      </c>
      <c r="H20" s="272">
        <f t="shared" si="4"/>
        <v>12591.201010299999</v>
      </c>
      <c r="I20" s="272">
        <f t="shared" si="4"/>
        <v>12191.153999999999</v>
      </c>
      <c r="J20" s="272">
        <f t="shared" si="4"/>
        <v>12191.153999999999</v>
      </c>
      <c r="K20" s="272">
        <f t="shared" si="4"/>
        <v>11969.748290755098</v>
      </c>
      <c r="L20" s="272">
        <f t="shared" si="4"/>
        <v>11969.748290755098</v>
      </c>
      <c r="M20" s="272">
        <f t="shared" si="4"/>
        <v>11707.396449</v>
      </c>
      <c r="N20" s="272">
        <f t="shared" si="4"/>
        <v>11707.396449</v>
      </c>
      <c r="O20" s="272">
        <f t="shared" si="4"/>
        <v>11375.9</v>
      </c>
      <c r="P20" s="272">
        <f t="shared" si="4"/>
        <v>11375.9</v>
      </c>
      <c r="Q20" s="272">
        <f t="shared" si="4"/>
        <v>10550.12103489</v>
      </c>
      <c r="R20" s="272">
        <f t="shared" si="4"/>
        <v>10550.12103489</v>
      </c>
      <c r="S20" s="272">
        <f t="shared" si="4"/>
        <v>8995.4</v>
      </c>
      <c r="T20" s="272">
        <f t="shared" si="4"/>
        <v>8995.4</v>
      </c>
      <c r="U20" s="272">
        <f t="shared" si="4"/>
        <v>8717.7999999999993</v>
      </c>
      <c r="V20" s="272">
        <f t="shared" si="4"/>
        <v>8717.7999999999993</v>
      </c>
      <c r="W20" s="272">
        <f t="shared" si="4"/>
        <v>8449.2000000000007</v>
      </c>
      <c r="X20" s="272">
        <f t="shared" si="4"/>
        <v>8449.2000000000007</v>
      </c>
      <c r="Y20" s="272">
        <f t="shared" si="4"/>
        <v>8128</v>
      </c>
      <c r="Z20" s="272">
        <f t="shared" si="4"/>
        <v>8128</v>
      </c>
      <c r="AA20" s="272">
        <f t="shared" si="4"/>
        <v>7889</v>
      </c>
      <c r="AB20" s="272">
        <f t="shared" si="4"/>
        <v>7889</v>
      </c>
    </row>
    <row r="21" spans="1:28" ht="14.5">
      <c r="A21" s="257"/>
      <c r="B21" s="26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2"/>
      <c r="P21" s="272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</row>
    <row r="22" spans="1:28" ht="14.5">
      <c r="A22" s="257"/>
      <c r="B22" s="26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2"/>
      <c r="P22" s="272"/>
      <c r="Q22" s="278"/>
      <c r="R22" s="278"/>
      <c r="S22" s="278"/>
      <c r="T22" s="278"/>
      <c r="U22" s="278"/>
      <c r="V22" s="278"/>
      <c r="W22" s="278"/>
      <c r="X22" s="278"/>
      <c r="Y22" s="272"/>
      <c r="Z22" s="278"/>
      <c r="AA22" s="278"/>
      <c r="AB22" s="278"/>
    </row>
    <row r="23" spans="1:28" ht="13">
      <c r="A23" s="258"/>
      <c r="B23" s="270" t="s">
        <v>234</v>
      </c>
      <c r="C23" s="272">
        <f>(C20+E20)/2</f>
        <v>12769.106910359214</v>
      </c>
      <c r="D23" s="268"/>
      <c r="E23" s="272">
        <f>(E20+G20+I20+K20+M20)/5</f>
        <v>12278.142865354706</v>
      </c>
      <c r="F23" s="278"/>
      <c r="G23" s="272">
        <f>(G20+I20+K20+M20)/4</f>
        <v>12114.874937513774</v>
      </c>
      <c r="H23" s="272"/>
      <c r="I23" s="272">
        <f>(I20+K20+M20)/3</f>
        <v>11956.099579918366</v>
      </c>
      <c r="J23" s="272"/>
      <c r="K23" s="272">
        <f>(K20+M20)/2</f>
        <v>11838.572369877549</v>
      </c>
      <c r="L23" s="272"/>
      <c r="M23" s="272">
        <f>(M20+O20+Q20+S20+U20)/5</f>
        <v>10269.323496778001</v>
      </c>
      <c r="N23" s="272"/>
      <c r="O23" s="272">
        <f>(O20+Q20+S20+U20)/4</f>
        <v>9909.8052587224993</v>
      </c>
      <c r="P23" s="272"/>
      <c r="Q23" s="272">
        <f>(Q20+S20+U20)/3</f>
        <v>9421.1070116299998</v>
      </c>
      <c r="R23" s="272"/>
      <c r="S23" s="272">
        <f>(S20+U20)/2</f>
        <v>8856.5999999999985</v>
      </c>
      <c r="T23" s="272"/>
      <c r="U23" s="272">
        <f>(U20+W20+Y20+AA20+7624)/5</f>
        <v>8161.6</v>
      </c>
      <c r="V23" s="272"/>
      <c r="W23" s="272">
        <f>(W20+Y20+AA20+7624)/4</f>
        <v>8022.55</v>
      </c>
      <c r="X23" s="280"/>
      <c r="Y23" s="272">
        <f>(Y20+AA20+7624)/3</f>
        <v>7880.333333333333</v>
      </c>
      <c r="Z23" s="278"/>
      <c r="AA23" s="272">
        <f>(AA20+7624)/2</f>
        <v>7756.5</v>
      </c>
      <c r="AB23" s="272"/>
    </row>
    <row r="24" spans="1:28" ht="13">
      <c r="A24" s="258"/>
      <c r="B24" s="270" t="s">
        <v>235</v>
      </c>
      <c r="C24" s="272"/>
      <c r="D24" s="281">
        <f>+(C20+E20)/2</f>
        <v>12769.106910359214</v>
      </c>
      <c r="E24" s="278"/>
      <c r="F24" s="281">
        <f>+(E20+G20)/2</f>
        <v>12761.207793509213</v>
      </c>
      <c r="G24" s="272"/>
      <c r="H24" s="281">
        <f>+(G20+I20)/2</f>
        <v>12391.177505149999</v>
      </c>
      <c r="I24" s="272"/>
      <c r="J24" s="281">
        <f>+(I20+K20)/2</f>
        <v>12080.451145377549</v>
      </c>
      <c r="K24" s="272"/>
      <c r="L24" s="281">
        <f>+(K20+M20)/2</f>
        <v>11838.572369877549</v>
      </c>
      <c r="M24" s="272"/>
      <c r="N24" s="281">
        <f>+(M20+O20)/2</f>
        <v>11541.648224500001</v>
      </c>
      <c r="O24" s="272"/>
      <c r="P24" s="281">
        <f>+(O20+Q20)/2</f>
        <v>10963.010517445</v>
      </c>
      <c r="Q24" s="272"/>
      <c r="R24" s="281">
        <f>+(Q20+S20)/2</f>
        <v>9772.760517445</v>
      </c>
      <c r="S24" s="272"/>
      <c r="T24" s="281">
        <f>+(S20+U20)/2</f>
        <v>8856.5999999999985</v>
      </c>
      <c r="U24" s="272"/>
      <c r="V24" s="281">
        <f>+(U20+W20)/2</f>
        <v>8583.5</v>
      </c>
      <c r="W24" s="272"/>
      <c r="X24" s="281">
        <f>+(W20+Y20)/2</f>
        <v>8288.6</v>
      </c>
      <c r="Y24" s="278"/>
      <c r="Z24" s="281">
        <f>+(Y20+AA20)/2</f>
        <v>8008.5</v>
      </c>
      <c r="AA24" s="272"/>
      <c r="AB24" s="281">
        <f>+(AA20+7624)/2</f>
        <v>7756.5</v>
      </c>
    </row>
    <row r="25" spans="1:28" ht="14.5">
      <c r="A25" s="257"/>
      <c r="B25" s="26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2"/>
      <c r="P25" s="272"/>
      <c r="Q25" s="278"/>
      <c r="R25" s="278"/>
      <c r="S25" s="278"/>
      <c r="T25" s="278"/>
      <c r="U25" s="272"/>
      <c r="V25" s="278"/>
      <c r="W25" s="272"/>
      <c r="X25" s="272"/>
      <c r="Y25" s="278"/>
      <c r="Z25" s="278"/>
      <c r="AA25" s="278"/>
      <c r="AB25" s="278"/>
    </row>
    <row r="26" spans="1:28" ht="13">
      <c r="A26" s="258"/>
      <c r="B26" s="268" t="s">
        <v>236</v>
      </c>
      <c r="C26" s="272">
        <f>C13/C7*$A$1</f>
        <v>1260.5474695555556</v>
      </c>
      <c r="D26" s="272">
        <f t="shared" ref="D26:AB26" si="5">D13/D7*$A$1</f>
        <v>1260.5474695555556</v>
      </c>
      <c r="E26" s="272">
        <f t="shared" si="5"/>
        <v>1250.0599264999996</v>
      </c>
      <c r="F26" s="272">
        <f t="shared" si="5"/>
        <v>1323.3162986820639</v>
      </c>
      <c r="G26" s="272">
        <f t="shared" si="5"/>
        <v>1225.0847946978022</v>
      </c>
      <c r="H26" s="272">
        <f t="shared" si="5"/>
        <v>1482.3949588451098</v>
      </c>
      <c r="I26" s="272">
        <f t="shared" si="5"/>
        <v>1092.312393080111</v>
      </c>
      <c r="J26" s="272">
        <f t="shared" si="5"/>
        <v>1086.0439296208801</v>
      </c>
      <c r="K26" s="272">
        <f t="shared" si="5"/>
        <v>1097.2902046666661</v>
      </c>
      <c r="L26" s="272">
        <f t="shared" si="5"/>
        <v>1097.2902046666661</v>
      </c>
      <c r="M26" s="272">
        <f t="shared" si="5"/>
        <v>1086.6732285724045</v>
      </c>
      <c r="N26" s="272">
        <f t="shared" si="5"/>
        <v>1103.6882958293479</v>
      </c>
      <c r="O26" s="272">
        <f t="shared" si="5"/>
        <v>1082.7095343295625</v>
      </c>
      <c r="P26" s="272">
        <f t="shared" si="5"/>
        <v>1668.0549361489132</v>
      </c>
      <c r="Q26" s="272">
        <f t="shared" si="5"/>
        <v>784.75913703296692</v>
      </c>
      <c r="R26" s="272">
        <f t="shared" si="5"/>
        <v>893.50618615384633</v>
      </c>
      <c r="S26" s="272">
        <f t="shared" si="5"/>
        <v>677.89725274725276</v>
      </c>
      <c r="T26" s="272">
        <f t="shared" si="5"/>
        <v>677.89725274725276</v>
      </c>
      <c r="U26" s="272">
        <f t="shared" si="5"/>
        <v>929.5</v>
      </c>
      <c r="V26" s="272">
        <f t="shared" si="5"/>
        <v>767.6902173913046</v>
      </c>
      <c r="W26" s="272">
        <f t="shared" si="5"/>
        <v>983.87956043956024</v>
      </c>
      <c r="X26" s="272">
        <f t="shared" si="5"/>
        <v>1219.1396739130439</v>
      </c>
      <c r="Y26" s="272">
        <f t="shared" si="5"/>
        <v>867.12707182320435</v>
      </c>
      <c r="Z26" s="272">
        <f t="shared" si="5"/>
        <v>762.08791208791217</v>
      </c>
      <c r="AA26" s="272">
        <f t="shared" si="5"/>
        <v>973.33333333333326</v>
      </c>
      <c r="AB26" s="272">
        <f t="shared" si="5"/>
        <v>973.33333333333326</v>
      </c>
    </row>
    <row r="27" spans="1:28" ht="13">
      <c r="A27" s="258"/>
      <c r="B27" s="268" t="s">
        <v>237</v>
      </c>
      <c r="C27" s="272">
        <f>+C23</f>
        <v>12769.106910359214</v>
      </c>
      <c r="D27" s="272">
        <f>+D24</f>
        <v>12769.106910359214</v>
      </c>
      <c r="E27" s="272">
        <f>E23</f>
        <v>12278.142865354706</v>
      </c>
      <c r="F27" s="272">
        <f>+F24</f>
        <v>12761.207793509213</v>
      </c>
      <c r="G27" s="272">
        <f>G23</f>
        <v>12114.874937513774</v>
      </c>
      <c r="H27" s="272">
        <f>+H24</f>
        <v>12391.177505149999</v>
      </c>
      <c r="I27" s="272">
        <f>I23</f>
        <v>11956.099579918366</v>
      </c>
      <c r="J27" s="272">
        <f>+J24</f>
        <v>12080.451145377549</v>
      </c>
      <c r="K27" s="272">
        <f>K23</f>
        <v>11838.572369877549</v>
      </c>
      <c r="L27" s="272">
        <f>+L24</f>
        <v>11838.572369877549</v>
      </c>
      <c r="M27" s="272">
        <f>M23</f>
        <v>10269.323496778001</v>
      </c>
      <c r="N27" s="272">
        <f>+N24</f>
        <v>11541.648224500001</v>
      </c>
      <c r="O27" s="272">
        <f>O23</f>
        <v>9909.8052587224993</v>
      </c>
      <c r="P27" s="272">
        <f>+P24</f>
        <v>10963.010517445</v>
      </c>
      <c r="Q27" s="272">
        <f>Q23</f>
        <v>9421.1070116299998</v>
      </c>
      <c r="R27" s="272">
        <f>+R24</f>
        <v>9772.760517445</v>
      </c>
      <c r="S27" s="272">
        <f>S23</f>
        <v>8856.5999999999985</v>
      </c>
      <c r="T27" s="272">
        <f>+T24</f>
        <v>8856.5999999999985</v>
      </c>
      <c r="U27" s="272">
        <f>U23</f>
        <v>8161.6</v>
      </c>
      <c r="V27" s="272">
        <f>+V24</f>
        <v>8583.5</v>
      </c>
      <c r="W27" s="272">
        <f>W23</f>
        <v>8022.55</v>
      </c>
      <c r="X27" s="272">
        <f>+X24</f>
        <v>8288.6</v>
      </c>
      <c r="Y27" s="272">
        <f>Y23</f>
        <v>7880.333333333333</v>
      </c>
      <c r="Z27" s="272">
        <f>+Z24</f>
        <v>8008.5</v>
      </c>
      <c r="AA27" s="272">
        <f>AA23</f>
        <v>7756.5</v>
      </c>
      <c r="AB27" s="272">
        <f>+AB24</f>
        <v>7756.5</v>
      </c>
    </row>
    <row r="28" spans="1:28" ht="14" thickBot="1">
      <c r="A28" s="337" t="s">
        <v>298</v>
      </c>
      <c r="B28" s="282" t="s">
        <v>238</v>
      </c>
      <c r="C28" s="283">
        <f>C26/C27</f>
        <v>9.8718530466129092E-2</v>
      </c>
      <c r="D28" s="283">
        <f t="shared" ref="D28:AB28" si="6">D26/D27</f>
        <v>9.8718530466129092E-2</v>
      </c>
      <c r="E28" s="283">
        <f t="shared" si="6"/>
        <v>0.10181180820328289</v>
      </c>
      <c r="F28" s="283">
        <f t="shared" si="6"/>
        <v>0.10369835834466608</v>
      </c>
      <c r="G28" s="283">
        <f t="shared" si="6"/>
        <v>0.10112236411985737</v>
      </c>
      <c r="H28" s="283">
        <f t="shared" si="6"/>
        <v>0.11963309848712921</v>
      </c>
      <c r="I28" s="283">
        <f t="shared" si="6"/>
        <v>9.1360262247629179E-2</v>
      </c>
      <c r="J28" s="283">
        <f t="shared" si="6"/>
        <v>8.9900941326718817E-2</v>
      </c>
      <c r="K28" s="283">
        <f t="shared" si="6"/>
        <v>9.2687713550549999E-2</v>
      </c>
      <c r="L28" s="283">
        <f t="shared" si="6"/>
        <v>9.2687713550549999E-2</v>
      </c>
      <c r="M28" s="283">
        <f t="shared" si="6"/>
        <v>0.10581741133321471</v>
      </c>
      <c r="N28" s="283">
        <f t="shared" si="6"/>
        <v>9.5626575542867159E-2</v>
      </c>
      <c r="O28" s="283">
        <f t="shared" si="6"/>
        <v>0.10925638860325472</v>
      </c>
      <c r="P28" s="283">
        <f t="shared" si="6"/>
        <v>0.15215299971614585</v>
      </c>
      <c r="Q28" s="283">
        <f t="shared" si="6"/>
        <v>8.3297975074926062E-2</v>
      </c>
      <c r="R28" s="283">
        <f t="shared" si="6"/>
        <v>9.1428228959348878E-2</v>
      </c>
      <c r="S28" s="283">
        <f t="shared" si="6"/>
        <v>7.6541477852364662E-2</v>
      </c>
      <c r="T28" s="283">
        <f t="shared" si="6"/>
        <v>7.6541477852364662E-2</v>
      </c>
      <c r="U28" s="283">
        <f t="shared" si="6"/>
        <v>0.11388698294452068</v>
      </c>
      <c r="V28" s="283">
        <f t="shared" si="6"/>
        <v>8.9437900319369087E-2</v>
      </c>
      <c r="W28" s="283">
        <f t="shared" si="6"/>
        <v>0.12263925565307293</v>
      </c>
      <c r="X28" s="283">
        <f t="shared" si="6"/>
        <v>0.14708632023659532</v>
      </c>
      <c r="Y28" s="283">
        <f t="shared" si="6"/>
        <v>0.11003685188738264</v>
      </c>
      <c r="Z28" s="283">
        <f t="shared" si="6"/>
        <v>9.5159881636749974E-2</v>
      </c>
      <c r="AA28" s="283">
        <f t="shared" si="6"/>
        <v>0.12548615139990116</v>
      </c>
      <c r="AB28" s="283">
        <f t="shared" si="6"/>
        <v>0.12548615139990116</v>
      </c>
    </row>
    <row r="29" spans="1:28" ht="13">
      <c r="A29" s="264"/>
      <c r="B29" s="26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2"/>
      <c r="W29" s="278"/>
      <c r="X29" s="278"/>
      <c r="Y29" s="278"/>
      <c r="Z29" s="278"/>
      <c r="AA29" s="278"/>
      <c r="AB29" s="278"/>
    </row>
    <row r="30" spans="1:28" ht="13">
      <c r="A30" s="264"/>
      <c r="B30" s="26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</row>
    <row r="31" spans="1:28" ht="13">
      <c r="A31" s="264"/>
      <c r="B31" s="268" t="s">
        <v>35</v>
      </c>
      <c r="C31" s="272">
        <v>449.49877500000002</v>
      </c>
      <c r="D31" s="272">
        <v>449.49877500000002</v>
      </c>
      <c r="E31" s="272">
        <v>1898.1372920000001</v>
      </c>
      <c r="F31" s="272">
        <v>550.32229100000006</v>
      </c>
      <c r="G31" s="272">
        <v>1347.8150009999999</v>
      </c>
      <c r="H31" s="284">
        <v>432.81500099999994</v>
      </c>
      <c r="I31" s="272">
        <v>915.47488900000008</v>
      </c>
      <c r="J31" s="284">
        <v>478.14488899999998</v>
      </c>
      <c r="K31" s="272">
        <v>437.33000000000004</v>
      </c>
      <c r="L31" s="272">
        <v>437.33000000000004</v>
      </c>
      <c r="M31" s="272">
        <v>1203.043874</v>
      </c>
      <c r="N31" s="268">
        <v>477</v>
      </c>
      <c r="O31" s="272">
        <v>726.52359346000003</v>
      </c>
      <c r="P31" s="272">
        <v>213.72041817000002</v>
      </c>
      <c r="Q31" s="272">
        <v>512.69000000000005</v>
      </c>
      <c r="R31" s="272">
        <v>259</v>
      </c>
      <c r="S31" s="272">
        <v>253.10000000000002</v>
      </c>
      <c r="T31" s="272">
        <v>253.10000000000002</v>
      </c>
      <c r="U31" s="272">
        <v>1050.9000000000001</v>
      </c>
      <c r="V31" s="272">
        <v>291.90000000000003</v>
      </c>
      <c r="W31" s="272">
        <v>758.3</v>
      </c>
      <c r="X31" s="272">
        <v>248.42000000000002</v>
      </c>
      <c r="Y31" s="272">
        <v>509</v>
      </c>
      <c r="Z31" s="272">
        <v>251</v>
      </c>
      <c r="AA31" s="272">
        <v>258</v>
      </c>
      <c r="AB31" s="272">
        <v>258</v>
      </c>
    </row>
    <row r="32" spans="1:28" ht="13">
      <c r="A32" s="264"/>
      <c r="B32" s="268" t="s">
        <v>31</v>
      </c>
      <c r="C32" s="272">
        <v>863.83063300000003</v>
      </c>
      <c r="D32" s="272">
        <v>863.83063300000003</v>
      </c>
      <c r="E32" s="272">
        <v>3496.446023</v>
      </c>
      <c r="F32" s="272">
        <v>958.90158899999972</v>
      </c>
      <c r="G32" s="272">
        <v>2537.3532829999999</v>
      </c>
      <c r="H32" s="272">
        <v>923.35328300000015</v>
      </c>
      <c r="I32" s="272">
        <v>1613.8758500000004</v>
      </c>
      <c r="J32" s="272">
        <v>841.29085000000021</v>
      </c>
      <c r="K32" s="272">
        <v>772.58499999999992</v>
      </c>
      <c r="L32" s="272">
        <v>772.58499999999992</v>
      </c>
      <c r="M32" s="272">
        <v>2648.862271</v>
      </c>
      <c r="N32" s="272">
        <v>813.49246836999998</v>
      </c>
      <c r="O32" s="272">
        <v>1836.0397904000001</v>
      </c>
      <c r="P32" s="272">
        <v>804.08037246000004</v>
      </c>
      <c r="Q32" s="272">
        <v>1031.73</v>
      </c>
      <c r="R32" s="272">
        <v>568.6</v>
      </c>
      <c r="S32" s="272">
        <v>464.01000000000005</v>
      </c>
      <c r="T32" s="272">
        <v>464.01000000000005</v>
      </c>
      <c r="U32" s="272">
        <v>2270.4</v>
      </c>
      <c r="V32" s="272">
        <v>551.40000000000009</v>
      </c>
      <c r="W32" s="272">
        <v>1718.4879999999998</v>
      </c>
      <c r="X32" s="272">
        <v>643.18000000000006</v>
      </c>
      <c r="Y32" s="272">
        <v>1076</v>
      </c>
      <c r="Z32" s="272">
        <v>519</v>
      </c>
      <c r="AA32" s="272">
        <v>557</v>
      </c>
      <c r="AB32" s="272">
        <v>557</v>
      </c>
    </row>
    <row r="33" spans="1:28" ht="14" thickBot="1">
      <c r="A33" s="337" t="s">
        <v>299</v>
      </c>
      <c r="B33" s="282" t="s">
        <v>239</v>
      </c>
      <c r="C33" s="283">
        <f t="shared" ref="C33:D33" si="7">C31/C32</f>
        <v>0.520355215279799</v>
      </c>
      <c r="D33" s="283">
        <f t="shared" si="7"/>
        <v>0.520355215279799</v>
      </c>
      <c r="E33" s="283">
        <f>E31/E32</f>
        <v>0.54287618899701229</v>
      </c>
      <c r="F33" s="283">
        <f t="shared" ref="F33:AB33" si="8">F31/F32</f>
        <v>0.57390904062836023</v>
      </c>
      <c r="G33" s="283">
        <f t="shared" si="8"/>
        <v>0.53118933418937708</v>
      </c>
      <c r="H33" s="283">
        <f t="shared" si="8"/>
        <v>0.46874258094775179</v>
      </c>
      <c r="I33" s="283">
        <f t="shared" si="8"/>
        <v>0.56725236268948442</v>
      </c>
      <c r="J33" s="283">
        <f t="shared" si="8"/>
        <v>0.56834671267374404</v>
      </c>
      <c r="K33" s="283">
        <f t="shared" si="8"/>
        <v>0.56606069235100354</v>
      </c>
      <c r="L33" s="283">
        <f t="shared" si="8"/>
        <v>0.56606069235100354</v>
      </c>
      <c r="M33" s="283">
        <f t="shared" si="8"/>
        <v>0.45417381159112746</v>
      </c>
      <c r="N33" s="283">
        <f t="shared" si="8"/>
        <v>0.58636068377592721</v>
      </c>
      <c r="O33" s="283">
        <f t="shared" si="8"/>
        <v>0.39570144245170163</v>
      </c>
      <c r="P33" s="285">
        <f t="shared" si="8"/>
        <v>0.26579484525426816</v>
      </c>
      <c r="Q33" s="283">
        <f t="shared" si="8"/>
        <v>0.49692264449032214</v>
      </c>
      <c r="R33" s="283">
        <f t="shared" si="8"/>
        <v>0.45550474850510025</v>
      </c>
      <c r="S33" s="283">
        <f t="shared" si="8"/>
        <v>0.545462382276244</v>
      </c>
      <c r="T33" s="283">
        <f t="shared" si="8"/>
        <v>0.545462382276244</v>
      </c>
      <c r="U33" s="283">
        <f t="shared" si="8"/>
        <v>0.46286997885835096</v>
      </c>
      <c r="V33" s="283">
        <f t="shared" si="8"/>
        <v>0.52937976060935799</v>
      </c>
      <c r="W33" s="283">
        <f t="shared" si="8"/>
        <v>0.44125999134122557</v>
      </c>
      <c r="X33" s="283">
        <f t="shared" si="8"/>
        <v>0.38623713423924871</v>
      </c>
      <c r="Y33" s="283">
        <f t="shared" si="8"/>
        <v>0.47304832713754646</v>
      </c>
      <c r="Z33" s="283">
        <f t="shared" si="8"/>
        <v>0.48362235067437381</v>
      </c>
      <c r="AA33" s="283">
        <f t="shared" si="8"/>
        <v>0.46319569120287252</v>
      </c>
      <c r="AB33" s="283">
        <f t="shared" si="8"/>
        <v>0.46319569120287252</v>
      </c>
    </row>
    <row r="34" spans="1:28" ht="13">
      <c r="A34" s="264"/>
      <c r="B34" s="26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2"/>
      <c r="Z34" s="278"/>
      <c r="AA34" s="278"/>
      <c r="AB34" s="278"/>
    </row>
    <row r="35" spans="1:28" ht="13">
      <c r="A35" s="264"/>
      <c r="B35" s="268" t="s">
        <v>43</v>
      </c>
      <c r="C35" s="272">
        <v>92817.744119980198</v>
      </c>
      <c r="D35" s="278"/>
      <c r="E35" s="272">
        <v>90460.14825605003</v>
      </c>
      <c r="F35" s="278"/>
      <c r="G35" s="272">
        <v>88945.039514610005</v>
      </c>
      <c r="H35" s="278"/>
      <c r="I35" s="272">
        <v>87527.837190519887</v>
      </c>
      <c r="J35" s="278"/>
      <c r="K35" s="272">
        <v>84901.214854689984</v>
      </c>
      <c r="L35" s="278"/>
      <c r="M35" s="272">
        <v>82944.802144999994</v>
      </c>
      <c r="N35" s="278"/>
      <c r="O35" s="272">
        <v>81336.069999999992</v>
      </c>
      <c r="P35" s="278"/>
      <c r="Q35" s="272">
        <v>79286.388672980014</v>
      </c>
      <c r="R35" s="278"/>
      <c r="S35" s="272">
        <v>44307.5</v>
      </c>
      <c r="T35" s="278"/>
      <c r="U35" s="272">
        <v>43779.16</v>
      </c>
      <c r="V35" s="278"/>
      <c r="W35" s="272">
        <v>42793.5</v>
      </c>
      <c r="X35" s="278"/>
      <c r="Y35" s="272">
        <v>42090.69</v>
      </c>
      <c r="Z35" s="278"/>
      <c r="AA35" s="272">
        <v>40483.611327409999</v>
      </c>
      <c r="AB35" s="278"/>
    </row>
    <row r="36" spans="1:28" ht="13">
      <c r="A36" s="264"/>
      <c r="B36" s="286" t="s">
        <v>223</v>
      </c>
      <c r="C36" s="272">
        <v>38009.275000000001</v>
      </c>
      <c r="D36" s="278"/>
      <c r="E36" s="272">
        <v>37451.131987000001</v>
      </c>
      <c r="F36" s="278"/>
      <c r="G36" s="272">
        <v>36650.008250999999</v>
      </c>
      <c r="H36" s="278"/>
      <c r="I36" s="272">
        <v>35532.226698999999</v>
      </c>
      <c r="J36" s="278"/>
      <c r="K36" s="272">
        <v>35521.066979000003</v>
      </c>
      <c r="L36" s="278"/>
      <c r="M36" s="272">
        <v>35197.497000000003</v>
      </c>
      <c r="N36" s="278"/>
      <c r="O36" s="272">
        <v>35129.561126999994</v>
      </c>
      <c r="P36" s="278"/>
      <c r="Q36" s="272">
        <v>34766.900999999998</v>
      </c>
      <c r="R36" s="278"/>
      <c r="S36" s="287">
        <v>17288.619168000001</v>
      </c>
      <c r="T36" s="278"/>
      <c r="U36" s="287">
        <v>16796.622458000002</v>
      </c>
      <c r="V36" s="278"/>
      <c r="W36" s="272">
        <v>16076.098374450001</v>
      </c>
      <c r="X36" s="278"/>
      <c r="Y36" s="272">
        <v>15329.815615</v>
      </c>
      <c r="Z36" s="278"/>
      <c r="AA36" s="272">
        <v>15533.628225</v>
      </c>
      <c r="AB36" s="278"/>
    </row>
    <row r="37" spans="1:28" ht="13">
      <c r="A37" s="264"/>
      <c r="B37" s="286" t="s">
        <v>224</v>
      </c>
      <c r="C37" s="272">
        <v>1605.809</v>
      </c>
      <c r="D37" s="278"/>
      <c r="E37" s="272">
        <v>1623.794453</v>
      </c>
      <c r="F37" s="278"/>
      <c r="G37" s="272">
        <v>1324.1435019999999</v>
      </c>
      <c r="H37" s="278"/>
      <c r="I37" s="272">
        <v>1333.118905</v>
      </c>
      <c r="J37" s="278"/>
      <c r="K37" s="272">
        <v>1278.919551</v>
      </c>
      <c r="L37" s="278"/>
      <c r="M37" s="272">
        <v>1307.7759999999998</v>
      </c>
      <c r="N37" s="278"/>
      <c r="O37" s="272">
        <v>1159.912239</v>
      </c>
      <c r="P37" s="278"/>
      <c r="Q37" s="272">
        <v>1169.7469999999998</v>
      </c>
      <c r="R37" s="278"/>
      <c r="S37" s="287">
        <v>560.18392900000003</v>
      </c>
      <c r="T37" s="278"/>
      <c r="U37" s="287">
        <v>564.16929500000003</v>
      </c>
      <c r="V37" s="278"/>
      <c r="W37" s="272">
        <v>568.14836700000001</v>
      </c>
      <c r="X37" s="278"/>
      <c r="Y37" s="272">
        <v>574.10100399999999</v>
      </c>
      <c r="Z37" s="278"/>
      <c r="AA37" s="272">
        <v>601.47104200000001</v>
      </c>
      <c r="AB37" s="278"/>
    </row>
    <row r="38" spans="1:28" ht="14" thickBot="1">
      <c r="A38" s="337" t="s">
        <v>300</v>
      </c>
      <c r="B38" s="282" t="s">
        <v>240</v>
      </c>
      <c r="C38" s="288">
        <f t="shared" ref="C38" si="9">+C35+C36+C37</f>
        <v>132432.8281199802</v>
      </c>
      <c r="D38" s="289"/>
      <c r="E38" s="288">
        <f>+E35+E36+E37</f>
        <v>129535.07469605003</v>
      </c>
      <c r="F38" s="289"/>
      <c r="G38" s="288">
        <f t="shared" ref="G38" si="10">+G35+G36+G37</f>
        <v>126919.19126761002</v>
      </c>
      <c r="H38" s="289"/>
      <c r="I38" s="288">
        <f t="shared" ref="I38" si="11">+I35+I36+I37</f>
        <v>124393.18279451989</v>
      </c>
      <c r="J38" s="289"/>
      <c r="K38" s="288">
        <f t="shared" ref="K38" si="12">+K35+K36+K37</f>
        <v>121701.20138468998</v>
      </c>
      <c r="L38" s="289"/>
      <c r="M38" s="288">
        <f t="shared" ref="M38" si="13">+M35+M36+M37</f>
        <v>119450.075145</v>
      </c>
      <c r="N38" s="289"/>
      <c r="O38" s="288">
        <f t="shared" ref="O38" si="14">+O35+O36+O37</f>
        <v>117625.54336599998</v>
      </c>
      <c r="P38" s="289"/>
      <c r="Q38" s="288">
        <f t="shared" ref="Q38" si="15">+Q35+Q36+Q37</f>
        <v>115223.03667298002</v>
      </c>
      <c r="R38" s="289"/>
      <c r="S38" s="288">
        <f t="shared" ref="S38" si="16">+S35+S36+S37</f>
        <v>62156.303097000004</v>
      </c>
      <c r="T38" s="289"/>
      <c r="U38" s="288">
        <f t="shared" ref="U38" si="17">+U35+U36+U37</f>
        <v>61139.951753000001</v>
      </c>
      <c r="V38" s="289"/>
      <c r="W38" s="288">
        <f t="shared" ref="W38" si="18">+W35+W36+W37</f>
        <v>59437.746741449999</v>
      </c>
      <c r="X38" s="289"/>
      <c r="Y38" s="288">
        <f t="shared" ref="Y38" si="19">+Y35+Y36+Y37</f>
        <v>57994.606618999998</v>
      </c>
      <c r="Z38" s="289"/>
      <c r="AA38" s="288">
        <f t="shared" ref="AA38" si="20">+AA35+AA36+AA37</f>
        <v>56618.710594409997</v>
      </c>
      <c r="AB38" s="289"/>
    </row>
    <row r="39" spans="1:28" ht="13">
      <c r="A39" s="264"/>
      <c r="B39" s="26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2"/>
      <c r="Z39" s="278"/>
      <c r="AA39" s="278"/>
      <c r="AB39" s="278"/>
    </row>
    <row r="40" spans="1:28" ht="13">
      <c r="A40" s="264"/>
      <c r="B40" s="268" t="s">
        <v>241</v>
      </c>
      <c r="C40" s="272">
        <f>+C35</f>
        <v>92817.744119980198</v>
      </c>
      <c r="D40" s="278"/>
      <c r="E40" s="272">
        <f>+E35</f>
        <v>90460.14825605003</v>
      </c>
      <c r="F40" s="278"/>
      <c r="G40" s="272">
        <f>+G35</f>
        <v>88945.039514610005</v>
      </c>
      <c r="H40" s="278"/>
      <c r="I40" s="272">
        <f>+I35</f>
        <v>87527.837190519887</v>
      </c>
      <c r="J40" s="272"/>
      <c r="K40" s="272">
        <f>+K35</f>
        <v>84901.214854689984</v>
      </c>
      <c r="L40" s="272"/>
      <c r="M40" s="272">
        <f>+M35</f>
        <v>82944.802144999994</v>
      </c>
      <c r="N40" s="272"/>
      <c r="O40" s="272">
        <f>+O35</f>
        <v>81336.069999999992</v>
      </c>
      <c r="P40" s="272"/>
      <c r="Q40" s="272">
        <f>+Q35</f>
        <v>79286.388672980014</v>
      </c>
      <c r="R40" s="278"/>
      <c r="S40" s="272">
        <f>+S35</f>
        <v>44307.5</v>
      </c>
      <c r="T40" s="278"/>
      <c r="U40" s="272">
        <f>+U35</f>
        <v>43779.16</v>
      </c>
      <c r="V40" s="278"/>
      <c r="W40" s="272">
        <f>+W35</f>
        <v>42793.5</v>
      </c>
      <c r="X40" s="278"/>
      <c r="Y40" s="272">
        <f>+Y35</f>
        <v>42090.69</v>
      </c>
      <c r="Z40" s="278"/>
      <c r="AA40" s="272">
        <f>+AA35</f>
        <v>40483.611327409999</v>
      </c>
      <c r="AB40" s="278"/>
    </row>
    <row r="41" spans="1:28" ht="13">
      <c r="A41" s="264"/>
      <c r="B41" s="290" t="s">
        <v>242</v>
      </c>
      <c r="C41" s="276">
        <f>+K40</f>
        <v>84901.214854689984</v>
      </c>
      <c r="D41" s="291"/>
      <c r="E41" s="276">
        <f>+M40</f>
        <v>82944.802144999994</v>
      </c>
      <c r="F41" s="291"/>
      <c r="G41" s="276">
        <f>+O40</f>
        <v>81336.069999999992</v>
      </c>
      <c r="H41" s="291"/>
      <c r="I41" s="276">
        <f>+Q40</f>
        <v>79286.388672980014</v>
      </c>
      <c r="J41" s="291"/>
      <c r="K41" s="276">
        <f>+S40</f>
        <v>44307.5</v>
      </c>
      <c r="L41" s="291"/>
      <c r="M41" s="276">
        <f>+U40</f>
        <v>43779.16</v>
      </c>
      <c r="N41" s="291"/>
      <c r="O41" s="276">
        <f>+W40</f>
        <v>42793.5</v>
      </c>
      <c r="P41" s="291"/>
      <c r="Q41" s="276">
        <f>+Y40</f>
        <v>42090.69</v>
      </c>
      <c r="R41" s="291"/>
      <c r="S41" s="276">
        <f>+AA40</f>
        <v>40483.611327409999</v>
      </c>
      <c r="T41" s="291"/>
      <c r="U41" s="292">
        <v>39936</v>
      </c>
      <c r="V41" s="293"/>
      <c r="W41" s="292">
        <v>39233</v>
      </c>
      <c r="X41" s="293"/>
      <c r="Y41" s="292">
        <v>38256</v>
      </c>
      <c r="Z41" s="293"/>
      <c r="AA41" s="292">
        <v>36885</v>
      </c>
      <c r="AB41" s="291"/>
    </row>
    <row r="42" spans="1:28" ht="13">
      <c r="A42" s="264"/>
      <c r="B42" s="286" t="s">
        <v>243</v>
      </c>
      <c r="C42" s="272">
        <f>+C40-C41</f>
        <v>7916.5292652902135</v>
      </c>
      <c r="D42" s="278"/>
      <c r="E42" s="272">
        <f>+E40-E41</f>
        <v>7515.3461110500357</v>
      </c>
      <c r="F42" s="278"/>
      <c r="G42" s="272">
        <f>+G40-G41</f>
        <v>7608.969514610013</v>
      </c>
      <c r="H42" s="278"/>
      <c r="I42" s="272">
        <f>+I40-I41</f>
        <v>8241.4485175398731</v>
      </c>
      <c r="J42" s="278"/>
      <c r="K42" s="272">
        <f>+K40-K41</f>
        <v>40593.714854689984</v>
      </c>
      <c r="L42" s="278"/>
      <c r="M42" s="272">
        <f>+M40-M41</f>
        <v>39165.642144999991</v>
      </c>
      <c r="N42" s="278"/>
      <c r="O42" s="272">
        <f>+O40-O41</f>
        <v>38542.569999999992</v>
      </c>
      <c r="P42" s="278"/>
      <c r="Q42" s="272">
        <f>+Q40-Q41</f>
        <v>37195.698672980012</v>
      </c>
      <c r="R42" s="278"/>
      <c r="S42" s="272">
        <f>+S40-S41</f>
        <v>3823.8886725900011</v>
      </c>
      <c r="T42" s="278"/>
      <c r="U42" s="272">
        <f>+U40-U41</f>
        <v>3843.1600000000035</v>
      </c>
      <c r="V42" s="278"/>
      <c r="W42" s="272">
        <f>+W40-W41</f>
        <v>3560.5</v>
      </c>
      <c r="X42" s="278"/>
      <c r="Y42" s="272">
        <f>+Y40-Y41</f>
        <v>3834.6900000000023</v>
      </c>
      <c r="Z42" s="278"/>
      <c r="AA42" s="272">
        <f>+AA40-AA41</f>
        <v>3598.6113274099989</v>
      </c>
      <c r="AB42" s="278"/>
    </row>
    <row r="43" spans="1:28" ht="13">
      <c r="A43" s="264"/>
      <c r="B43" s="294" t="s">
        <v>244</v>
      </c>
      <c r="C43" s="272">
        <f>+C41</f>
        <v>84901.214854689984</v>
      </c>
      <c r="D43" s="278"/>
      <c r="E43" s="272">
        <f>+E41</f>
        <v>82944.802144999994</v>
      </c>
      <c r="F43" s="278"/>
      <c r="G43" s="272">
        <f>+G41</f>
        <v>81336.069999999992</v>
      </c>
      <c r="H43" s="278"/>
      <c r="I43" s="272">
        <f>+I41</f>
        <v>79286.388672980014</v>
      </c>
      <c r="J43" s="278"/>
      <c r="K43" s="272">
        <f>+K41</f>
        <v>44307.5</v>
      </c>
      <c r="L43" s="278"/>
      <c r="M43" s="272">
        <f>+M41</f>
        <v>43779.16</v>
      </c>
      <c r="N43" s="278"/>
      <c r="O43" s="272">
        <f>+O41</f>
        <v>42793.5</v>
      </c>
      <c r="P43" s="278"/>
      <c r="Q43" s="272">
        <f>+Q41</f>
        <v>42090.69</v>
      </c>
      <c r="R43" s="278"/>
      <c r="S43" s="272">
        <f>+S41</f>
        <v>40483.611327409999</v>
      </c>
      <c r="T43" s="278"/>
      <c r="U43" s="272">
        <f>+U41</f>
        <v>39936</v>
      </c>
      <c r="V43" s="278"/>
      <c r="W43" s="272">
        <f>+W41</f>
        <v>39233</v>
      </c>
      <c r="X43" s="278"/>
      <c r="Y43" s="272">
        <f>+Y41</f>
        <v>38256</v>
      </c>
      <c r="Z43" s="278"/>
      <c r="AA43" s="272">
        <f>+AA41</f>
        <v>36885</v>
      </c>
      <c r="AB43" s="278"/>
    </row>
    <row r="44" spans="1:28" ht="14" thickBot="1">
      <c r="A44" s="337" t="s">
        <v>301</v>
      </c>
      <c r="B44" s="282" t="s">
        <v>245</v>
      </c>
      <c r="C44" s="283">
        <f>(C35-K35)/K35</f>
        <v>9.3244004562708566E-2</v>
      </c>
      <c r="D44" s="285"/>
      <c r="E44" s="283">
        <f>E42/E43</f>
        <v>9.0606595189799591E-2</v>
      </c>
      <c r="F44" s="285"/>
      <c r="G44" s="283">
        <f>G42/G43</f>
        <v>9.3549756148901875E-2</v>
      </c>
      <c r="H44" s="285"/>
      <c r="I44" s="283">
        <f>I42/I43</f>
        <v>0.10394531338199887</v>
      </c>
      <c r="J44" s="285"/>
      <c r="K44" s="283">
        <f>K42/K43</f>
        <v>0.91618156868904777</v>
      </c>
      <c r="L44" s="285"/>
      <c r="M44" s="283">
        <f>M42/M43</f>
        <v>0.8946184016550337</v>
      </c>
      <c r="N44" s="285"/>
      <c r="O44" s="283">
        <f>O42/O43</f>
        <v>0.90066411955086623</v>
      </c>
      <c r="P44" s="285"/>
      <c r="Q44" s="283">
        <f>Q42/Q43</f>
        <v>0.88370370438165802</v>
      </c>
      <c r="R44" s="285"/>
      <c r="S44" s="283">
        <f>S42/S43</f>
        <v>9.4455226379495036E-2</v>
      </c>
      <c r="T44" s="285"/>
      <c r="U44" s="283">
        <f>U42/U43</f>
        <v>9.6232972756410337E-2</v>
      </c>
      <c r="V44" s="285"/>
      <c r="W44" s="283">
        <f>W42/W43</f>
        <v>9.0752682690592099E-2</v>
      </c>
      <c r="X44" s="285"/>
      <c r="Y44" s="283">
        <f>Y42/Y43</f>
        <v>0.10023760978670018</v>
      </c>
      <c r="Z44" s="285"/>
      <c r="AA44" s="283">
        <f>AA42/AA43</f>
        <v>9.7563001963128615E-2</v>
      </c>
      <c r="AB44" s="285"/>
    </row>
    <row r="45" spans="1:28" ht="13">
      <c r="A45" s="264"/>
      <c r="B45" s="26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</row>
    <row r="46" spans="1:28" ht="13">
      <c r="A46" s="264"/>
      <c r="B46" s="26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</row>
    <row r="47" spans="1:28" ht="13">
      <c r="A47" s="264"/>
      <c r="B47" s="270" t="s">
        <v>246</v>
      </c>
      <c r="C47" s="272">
        <f>C38</f>
        <v>132432.8281199802</v>
      </c>
      <c r="D47" s="278"/>
      <c r="E47" s="272">
        <f>E38</f>
        <v>129535.07469605003</v>
      </c>
      <c r="F47" s="278"/>
      <c r="G47" s="272">
        <f>G38</f>
        <v>126919.19126761002</v>
      </c>
      <c r="H47" s="278"/>
      <c r="I47" s="272">
        <f>I38</f>
        <v>124393.18279451989</v>
      </c>
      <c r="J47" s="278"/>
      <c r="K47" s="272">
        <f>K38</f>
        <v>121701.20138468998</v>
      </c>
      <c r="L47" s="278"/>
      <c r="M47" s="272">
        <f>M38</f>
        <v>119450.075145</v>
      </c>
      <c r="N47" s="278"/>
      <c r="O47" s="272">
        <f>O38</f>
        <v>117625.54336599998</v>
      </c>
      <c r="P47" s="278"/>
      <c r="Q47" s="272">
        <f>Q38</f>
        <v>115223.03667298002</v>
      </c>
      <c r="R47" s="278"/>
      <c r="S47" s="272">
        <f>S38</f>
        <v>62156.303097000004</v>
      </c>
      <c r="T47" s="278"/>
      <c r="U47" s="272">
        <f>U38</f>
        <v>61139.951753000001</v>
      </c>
      <c r="V47" s="278"/>
      <c r="W47" s="272">
        <f>W38</f>
        <v>59437.746741449999</v>
      </c>
      <c r="X47" s="278"/>
      <c r="Y47" s="272">
        <f>Y38</f>
        <v>57994.606618999998</v>
      </c>
      <c r="Z47" s="278"/>
      <c r="AA47" s="272">
        <f>AA38</f>
        <v>56618.710594409997</v>
      </c>
      <c r="AB47" s="278"/>
    </row>
    <row r="48" spans="1:28" ht="13">
      <c r="A48" s="264"/>
      <c r="B48" s="290" t="s">
        <v>247</v>
      </c>
      <c r="C48" s="276">
        <f>+K38</f>
        <v>121701.20138468998</v>
      </c>
      <c r="D48" s="291"/>
      <c r="E48" s="276">
        <f>+M38</f>
        <v>119450.075145</v>
      </c>
      <c r="F48" s="291"/>
      <c r="G48" s="276">
        <f>+O38</f>
        <v>117625.54336599998</v>
      </c>
      <c r="H48" s="291"/>
      <c r="I48" s="276">
        <f>+Q38</f>
        <v>115223.03667298002</v>
      </c>
      <c r="J48" s="291"/>
      <c r="K48" s="276">
        <f>+S38</f>
        <v>62156.303097000004</v>
      </c>
      <c r="L48" s="291"/>
      <c r="M48" s="276">
        <f>+U38</f>
        <v>61139.951753000001</v>
      </c>
      <c r="N48" s="291"/>
      <c r="O48" s="276">
        <f>+W38</f>
        <v>59437.746741449999</v>
      </c>
      <c r="P48" s="291"/>
      <c r="Q48" s="276">
        <f>+Y38</f>
        <v>57994.606618999998</v>
      </c>
      <c r="R48" s="291"/>
      <c r="S48" s="276">
        <f>+AA38</f>
        <v>56618.710594409997</v>
      </c>
      <c r="T48" s="291"/>
      <c r="U48" s="292">
        <v>55930</v>
      </c>
      <c r="V48" s="293"/>
      <c r="W48" s="292">
        <v>54806</v>
      </c>
      <c r="X48" s="293"/>
      <c r="Y48" s="292">
        <v>53916</v>
      </c>
      <c r="Z48" s="293"/>
      <c r="AA48" s="292">
        <v>52579</v>
      </c>
      <c r="AB48" s="291"/>
    </row>
    <row r="49" spans="1:28" ht="13">
      <c r="A49" s="264"/>
      <c r="B49" s="286" t="s">
        <v>248</v>
      </c>
      <c r="C49" s="272">
        <f>C47-C48</f>
        <v>10731.626735290221</v>
      </c>
      <c r="D49" s="278"/>
      <c r="E49" s="272">
        <f>E47-E48</f>
        <v>10084.99955105003</v>
      </c>
      <c r="F49" s="278"/>
      <c r="G49" s="272">
        <f>G47-G48</f>
        <v>9293.6479016100348</v>
      </c>
      <c r="H49" s="278"/>
      <c r="I49" s="272">
        <f>I47-I48</f>
        <v>9170.146121539874</v>
      </c>
      <c r="J49" s="278"/>
      <c r="K49" s="272">
        <f>K47-K48</f>
        <v>59544.898287689975</v>
      </c>
      <c r="L49" s="278"/>
      <c r="M49" s="272">
        <f>M47-M48</f>
        <v>58310.123391999994</v>
      </c>
      <c r="N49" s="278"/>
      <c r="O49" s="272">
        <f>O47-O48</f>
        <v>58187.796624549985</v>
      </c>
      <c r="P49" s="278"/>
      <c r="Q49" s="272">
        <f>Q47-Q48</f>
        <v>57228.430053980017</v>
      </c>
      <c r="R49" s="278"/>
      <c r="S49" s="272">
        <f>S47-S48</f>
        <v>5537.5925025900069</v>
      </c>
      <c r="T49" s="278"/>
      <c r="U49" s="272">
        <f>U47-U48</f>
        <v>5209.9517530000012</v>
      </c>
      <c r="V49" s="278"/>
      <c r="W49" s="272">
        <f>W47-W48</f>
        <v>4631.7467414499988</v>
      </c>
      <c r="X49" s="278"/>
      <c r="Y49" s="272">
        <f>Y47-Y48</f>
        <v>4078.6066189999983</v>
      </c>
      <c r="Z49" s="278"/>
      <c r="AA49" s="272">
        <f>AA47-AA48</f>
        <v>4039.7105944099967</v>
      </c>
      <c r="AB49" s="278"/>
    </row>
    <row r="50" spans="1:28" ht="13">
      <c r="A50" s="264"/>
      <c r="B50" s="294" t="s">
        <v>249</v>
      </c>
      <c r="C50" s="272">
        <f>C48</f>
        <v>121701.20138468998</v>
      </c>
      <c r="D50" s="278"/>
      <c r="E50" s="272">
        <f>E48</f>
        <v>119450.075145</v>
      </c>
      <c r="F50" s="278"/>
      <c r="G50" s="272">
        <f>G48</f>
        <v>117625.54336599998</v>
      </c>
      <c r="H50" s="278"/>
      <c r="I50" s="272">
        <f>I48</f>
        <v>115223.03667298002</v>
      </c>
      <c r="J50" s="278"/>
      <c r="K50" s="272">
        <f>K48</f>
        <v>62156.303097000004</v>
      </c>
      <c r="L50" s="278"/>
      <c r="M50" s="272">
        <f>M48</f>
        <v>61139.951753000001</v>
      </c>
      <c r="N50" s="278"/>
      <c r="O50" s="272">
        <f>O48</f>
        <v>59437.746741449999</v>
      </c>
      <c r="P50" s="278"/>
      <c r="Q50" s="272">
        <f>Q48</f>
        <v>57994.606618999998</v>
      </c>
      <c r="R50" s="278"/>
      <c r="S50" s="272">
        <f>S48</f>
        <v>56618.710594409997</v>
      </c>
      <c r="T50" s="278"/>
      <c r="U50" s="272">
        <f>U48</f>
        <v>55930</v>
      </c>
      <c r="V50" s="278"/>
      <c r="W50" s="272">
        <f>W48</f>
        <v>54806</v>
      </c>
      <c r="X50" s="278"/>
      <c r="Y50" s="272">
        <f>Y48</f>
        <v>53916</v>
      </c>
      <c r="Z50" s="278"/>
      <c r="AA50" s="272">
        <f>AA48</f>
        <v>52579</v>
      </c>
      <c r="AB50" s="278"/>
    </row>
    <row r="51" spans="1:28" ht="14" thickBot="1">
      <c r="A51" s="337" t="s">
        <v>318</v>
      </c>
      <c r="B51" s="295" t="s">
        <v>250</v>
      </c>
      <c r="C51" s="283">
        <f>(C38-K38)/K38</f>
        <v>8.8180121586213536E-2</v>
      </c>
      <c r="D51" s="285"/>
      <c r="E51" s="283">
        <f>E49/E50</f>
        <v>8.4428574354665636E-2</v>
      </c>
      <c r="F51" s="285"/>
      <c r="G51" s="283">
        <f>(G38-O38)/O38</f>
        <v>7.9010456705753185E-2</v>
      </c>
      <c r="H51" s="285"/>
      <c r="I51" s="283">
        <f>(I38-Q38)/Q38</f>
        <v>7.9586047949474742E-2</v>
      </c>
      <c r="J51" s="285"/>
      <c r="K51" s="283">
        <f>(K38-S38)/S38</f>
        <v>0.95798648440794942</v>
      </c>
      <c r="L51" s="285"/>
      <c r="M51" s="283">
        <f>(M38-U38)/U38</f>
        <v>0.95371556110426348</v>
      </c>
      <c r="N51" s="285"/>
      <c r="O51" s="283">
        <f>(O38-W38)/W38</f>
        <v>0.97897043233591596</v>
      </c>
      <c r="P51" s="285"/>
      <c r="Q51" s="283">
        <f>(Q38-Y38)/Y38</f>
        <v>0.98678883072604606</v>
      </c>
      <c r="R51" s="285"/>
      <c r="S51" s="283">
        <f>(S38-AA38)/AA38</f>
        <v>9.7804991396902935E-2</v>
      </c>
      <c r="T51" s="285"/>
      <c r="U51" s="283">
        <f>U49/U50</f>
        <v>9.3151291846951562E-2</v>
      </c>
      <c r="V51" s="285"/>
      <c r="W51" s="283">
        <f>W49/W50</f>
        <v>8.4511672836003332E-2</v>
      </c>
      <c r="X51" s="285"/>
      <c r="Y51" s="283">
        <f>Y49/Y50</f>
        <v>7.5647425977446364E-2</v>
      </c>
      <c r="Z51" s="285"/>
      <c r="AA51" s="283">
        <f>AA49/AA50</f>
        <v>7.6831255718252472E-2</v>
      </c>
      <c r="AB51" s="285"/>
    </row>
    <row r="52" spans="1:28" ht="13">
      <c r="A52" s="264"/>
      <c r="B52" s="26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</row>
    <row r="53" spans="1:28" ht="13">
      <c r="A53" s="264"/>
      <c r="B53" s="26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</row>
    <row r="54" spans="1:28" ht="13">
      <c r="A54" s="264"/>
      <c r="B54" s="268" t="s">
        <v>225</v>
      </c>
      <c r="C54" s="272">
        <v>66109.582498999996</v>
      </c>
      <c r="D54" s="278"/>
      <c r="E54" s="272">
        <v>65985.425443</v>
      </c>
      <c r="F54" s="278"/>
      <c r="G54" s="272">
        <v>65267.820076999997</v>
      </c>
      <c r="H54" s="278"/>
      <c r="I54" s="272">
        <v>66652.514345999996</v>
      </c>
      <c r="J54" s="278"/>
      <c r="K54" s="272">
        <v>62781.777000000002</v>
      </c>
      <c r="L54" s="278"/>
      <c r="M54" s="272">
        <v>63070.315360000001</v>
      </c>
      <c r="N54" s="278"/>
      <c r="O54" s="272">
        <v>62106.781999999999</v>
      </c>
      <c r="P54" s="278"/>
      <c r="Q54" s="272">
        <v>62636.800000000003</v>
      </c>
      <c r="R54" s="278"/>
      <c r="S54" s="272">
        <v>33674.5</v>
      </c>
      <c r="T54" s="278"/>
      <c r="U54" s="272">
        <v>33458.199999999997</v>
      </c>
      <c r="V54" s="278"/>
      <c r="W54" s="272">
        <v>33052.400000000001</v>
      </c>
      <c r="X54" s="278"/>
      <c r="Y54" s="272">
        <v>33205</v>
      </c>
      <c r="Z54" s="278"/>
      <c r="AA54" s="272">
        <v>31054</v>
      </c>
      <c r="AB54" s="278"/>
    </row>
    <row r="55" spans="1:28" ht="13">
      <c r="A55" s="264"/>
      <c r="B55" s="268" t="s">
        <v>251</v>
      </c>
      <c r="C55" s="272">
        <f>+C35</f>
        <v>92817.744119980198</v>
      </c>
      <c r="D55" s="278"/>
      <c r="E55" s="272">
        <f t="shared" ref="E55:AA55" si="21">+E35</f>
        <v>90460.14825605003</v>
      </c>
      <c r="F55" s="278"/>
      <c r="G55" s="272">
        <f t="shared" si="21"/>
        <v>88945.039514610005</v>
      </c>
      <c r="H55" s="278"/>
      <c r="I55" s="272">
        <f t="shared" si="21"/>
        <v>87527.837190519887</v>
      </c>
      <c r="J55" s="278"/>
      <c r="K55" s="272">
        <f t="shared" si="21"/>
        <v>84901.214854689984</v>
      </c>
      <c r="L55" s="278"/>
      <c r="M55" s="272">
        <f t="shared" si="21"/>
        <v>82944.802144999994</v>
      </c>
      <c r="N55" s="278"/>
      <c r="O55" s="272">
        <f t="shared" si="21"/>
        <v>81336.069999999992</v>
      </c>
      <c r="P55" s="278"/>
      <c r="Q55" s="272">
        <f t="shared" si="21"/>
        <v>79286.388672980014</v>
      </c>
      <c r="R55" s="278"/>
      <c r="S55" s="272">
        <f t="shared" si="21"/>
        <v>44307.5</v>
      </c>
      <c r="T55" s="278"/>
      <c r="U55" s="272">
        <f t="shared" si="21"/>
        <v>43779.16</v>
      </c>
      <c r="V55" s="278"/>
      <c r="W55" s="272">
        <f t="shared" si="21"/>
        <v>42793.5</v>
      </c>
      <c r="X55" s="278"/>
      <c r="Y55" s="272">
        <f t="shared" si="21"/>
        <v>42090.69</v>
      </c>
      <c r="Z55" s="278"/>
      <c r="AA55" s="272">
        <f t="shared" si="21"/>
        <v>40483.611327409999</v>
      </c>
      <c r="AB55" s="278"/>
    </row>
    <row r="56" spans="1:28" ht="14" thickBot="1">
      <c r="A56" s="337" t="s">
        <v>303</v>
      </c>
      <c r="B56" s="295" t="s">
        <v>325</v>
      </c>
      <c r="C56" s="283">
        <f>C54/C35</f>
        <v>0.71225155411603103</v>
      </c>
      <c r="D56" s="285"/>
      <c r="E56" s="283">
        <f>E54/E55</f>
        <v>0.72944193343820718</v>
      </c>
      <c r="F56" s="285"/>
      <c r="G56" s="283">
        <f t="shared" ref="G56:AA56" si="22">G54/G55</f>
        <v>0.73379943876779308</v>
      </c>
      <c r="H56" s="285"/>
      <c r="I56" s="283">
        <f t="shared" si="22"/>
        <v>0.76150075776371529</v>
      </c>
      <c r="J56" s="285"/>
      <c r="K56" s="283">
        <f t="shared" si="22"/>
        <v>0.73946853537316504</v>
      </c>
      <c r="L56" s="285"/>
      <c r="M56" s="283">
        <f t="shared" si="22"/>
        <v>0.7603890024325286</v>
      </c>
      <c r="N56" s="285"/>
      <c r="O56" s="283">
        <f t="shared" si="22"/>
        <v>0.76358228274368312</v>
      </c>
      <c r="P56" s="285"/>
      <c r="Q56" s="283">
        <f t="shared" si="22"/>
        <v>0.79000697406396037</v>
      </c>
      <c r="R56" s="285"/>
      <c r="S56" s="283">
        <f t="shared" si="22"/>
        <v>0.760018055633922</v>
      </c>
      <c r="T56" s="285"/>
      <c r="U56" s="283">
        <f t="shared" si="22"/>
        <v>0.76424947395061926</v>
      </c>
      <c r="V56" s="285"/>
      <c r="W56" s="283">
        <f t="shared" si="22"/>
        <v>0.77236963557549632</v>
      </c>
      <c r="X56" s="285"/>
      <c r="Y56" s="283">
        <f t="shared" si="22"/>
        <v>0.78889179531150466</v>
      </c>
      <c r="Z56" s="285"/>
      <c r="AA56" s="283">
        <f t="shared" si="22"/>
        <v>0.76707583591917483</v>
      </c>
      <c r="AB56" s="285"/>
    </row>
    <row r="57" spans="1:28" ht="13">
      <c r="A57" s="264"/>
      <c r="B57" s="26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</row>
    <row r="58" spans="1:28" ht="13">
      <c r="A58" s="264"/>
      <c r="B58" s="26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</row>
    <row r="59" spans="1:28" ht="13">
      <c r="A59" s="264"/>
      <c r="B59" s="268" t="s">
        <v>225</v>
      </c>
      <c r="C59" s="272">
        <f>+C54</f>
        <v>66109.582498999996</v>
      </c>
      <c r="D59" s="278"/>
      <c r="E59" s="272">
        <f>+E54</f>
        <v>65985.425443</v>
      </c>
      <c r="F59" s="278"/>
      <c r="G59" s="272">
        <f>+G54</f>
        <v>65267.820076999997</v>
      </c>
      <c r="H59" s="278"/>
      <c r="I59" s="272">
        <f>+I54</f>
        <v>66652.514345999996</v>
      </c>
      <c r="J59" s="278"/>
      <c r="K59" s="272">
        <f>+K54</f>
        <v>62781.777000000002</v>
      </c>
      <c r="L59" s="278"/>
      <c r="M59" s="272">
        <f>+M54</f>
        <v>63070.315360000001</v>
      </c>
      <c r="N59" s="278"/>
      <c r="O59" s="272">
        <f>+O54</f>
        <v>62106.781999999999</v>
      </c>
      <c r="P59" s="278"/>
      <c r="Q59" s="272">
        <f>+Q54</f>
        <v>62636.800000000003</v>
      </c>
      <c r="R59" s="278"/>
      <c r="S59" s="272">
        <f>+S54</f>
        <v>33674.5</v>
      </c>
      <c r="T59" s="278"/>
      <c r="U59" s="272">
        <f>+U54</f>
        <v>33458.199999999997</v>
      </c>
      <c r="V59" s="278"/>
      <c r="W59" s="272">
        <f>+W54</f>
        <v>33052.400000000001</v>
      </c>
      <c r="X59" s="278"/>
      <c r="Y59" s="272">
        <f>+Y54</f>
        <v>33205</v>
      </c>
      <c r="Z59" s="278"/>
      <c r="AA59" s="272">
        <f>+AA54</f>
        <v>31054</v>
      </c>
      <c r="AB59" s="278"/>
    </row>
    <row r="60" spans="1:28" ht="13">
      <c r="A60" s="264"/>
      <c r="B60" s="294" t="s">
        <v>252</v>
      </c>
      <c r="C60" s="272">
        <f>+C47</f>
        <v>132432.8281199802</v>
      </c>
      <c r="D60" s="278"/>
      <c r="E60" s="272">
        <f>+E47</f>
        <v>129535.07469605003</v>
      </c>
      <c r="F60" s="278"/>
      <c r="G60" s="272">
        <f>+G47</f>
        <v>126919.19126761002</v>
      </c>
      <c r="H60" s="278"/>
      <c r="I60" s="272">
        <f>+I47</f>
        <v>124393.18279451989</v>
      </c>
      <c r="J60" s="278"/>
      <c r="K60" s="272">
        <f>+K47</f>
        <v>121701.20138468998</v>
      </c>
      <c r="L60" s="278"/>
      <c r="M60" s="272">
        <f>+M47</f>
        <v>119450.075145</v>
      </c>
      <c r="N60" s="278"/>
      <c r="O60" s="272">
        <f>+O47</f>
        <v>117625.54336599998</v>
      </c>
      <c r="P60" s="278"/>
      <c r="Q60" s="272">
        <f>+Q47</f>
        <v>115223.03667298002</v>
      </c>
      <c r="R60" s="278"/>
      <c r="S60" s="272">
        <f>+S47</f>
        <v>62156.303097000004</v>
      </c>
      <c r="T60" s="278"/>
      <c r="U60" s="272">
        <f>+U47</f>
        <v>61139.951753000001</v>
      </c>
      <c r="V60" s="278"/>
      <c r="W60" s="272">
        <f>+W47</f>
        <v>59437.746741449999</v>
      </c>
      <c r="X60" s="278"/>
      <c r="Y60" s="272">
        <f>+Y47</f>
        <v>57994.606618999998</v>
      </c>
      <c r="Z60" s="278"/>
      <c r="AA60" s="272">
        <f>+AA47</f>
        <v>56618.710594409997</v>
      </c>
      <c r="AB60" s="278"/>
    </row>
    <row r="61" spans="1:28" ht="14" thickBot="1">
      <c r="A61" s="337" t="s">
        <v>304</v>
      </c>
      <c r="B61" s="295" t="s">
        <v>326</v>
      </c>
      <c r="C61" s="283">
        <f>C59/C60</f>
        <v>0.49919331511297699</v>
      </c>
      <c r="D61" s="285"/>
      <c r="E61" s="283">
        <f>E59/E60</f>
        <v>0.50940199477116699</v>
      </c>
      <c r="F61" s="285"/>
      <c r="G61" s="283">
        <f>G59/G60</f>
        <v>0.51424705298808859</v>
      </c>
      <c r="H61" s="285"/>
      <c r="I61" s="283">
        <f>I59/I60</f>
        <v>0.53582127933892176</v>
      </c>
      <c r="J61" s="285"/>
      <c r="K61" s="283">
        <f>K59/K60</f>
        <v>0.51586817784608952</v>
      </c>
      <c r="L61" s="285"/>
      <c r="M61" s="283">
        <f>M59/M60</f>
        <v>0.52800565661795673</v>
      </c>
      <c r="N61" s="285"/>
      <c r="O61" s="283">
        <f>O59/O60</f>
        <v>0.52800420914316604</v>
      </c>
      <c r="P61" s="285"/>
      <c r="Q61" s="283">
        <f>Q59/Q60</f>
        <v>0.5436135152189443</v>
      </c>
      <c r="R61" s="285"/>
      <c r="S61" s="283">
        <f>S59/S60</f>
        <v>0.54177128178695222</v>
      </c>
      <c r="T61" s="285"/>
      <c r="U61" s="283">
        <f>U59/U60</f>
        <v>0.54723955516301626</v>
      </c>
      <c r="V61" s="285"/>
      <c r="W61" s="283">
        <f>W59/W60</f>
        <v>0.55608433717677097</v>
      </c>
      <c r="X61" s="285"/>
      <c r="Y61" s="283">
        <f>Y59/Y60</f>
        <v>0.57255324134091956</v>
      </c>
      <c r="Z61" s="285"/>
      <c r="AA61" s="283">
        <f>AA59/AA60</f>
        <v>0.54847593090659297</v>
      </c>
      <c r="AB61" s="285"/>
    </row>
    <row r="62" spans="1:28" ht="13">
      <c r="A62" s="264"/>
      <c r="B62" s="26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2"/>
      <c r="X62" s="278"/>
      <c r="Y62" s="278"/>
      <c r="Z62" s="278"/>
      <c r="AA62" s="278"/>
      <c r="AB62" s="278"/>
    </row>
    <row r="63" spans="1:28" ht="13">
      <c r="A63" s="264"/>
      <c r="B63" s="26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</row>
    <row r="64" spans="1:28" ht="13">
      <c r="A64" s="264"/>
      <c r="B64" s="268" t="s">
        <v>253</v>
      </c>
      <c r="C64" s="272">
        <f>+C54</f>
        <v>66109.582498999996</v>
      </c>
      <c r="D64" s="278"/>
      <c r="E64" s="272">
        <f>E54</f>
        <v>65985.425443</v>
      </c>
      <c r="F64" s="278"/>
      <c r="G64" s="272">
        <f>G54</f>
        <v>65267.820076999997</v>
      </c>
      <c r="H64" s="278"/>
      <c r="I64" s="272">
        <f>I54</f>
        <v>66652.514345999996</v>
      </c>
      <c r="J64" s="278"/>
      <c r="K64" s="272">
        <f>K54</f>
        <v>62781.777000000002</v>
      </c>
      <c r="L64" s="278"/>
      <c r="M64" s="272">
        <f>M54</f>
        <v>63070.315360000001</v>
      </c>
      <c r="N64" s="278"/>
      <c r="O64" s="272">
        <f>O54</f>
        <v>62106.781999999999</v>
      </c>
      <c r="P64" s="278"/>
      <c r="Q64" s="272">
        <f>Q54</f>
        <v>62636.800000000003</v>
      </c>
      <c r="R64" s="278"/>
      <c r="S64" s="272">
        <f>S54</f>
        <v>33674.5</v>
      </c>
      <c r="T64" s="278"/>
      <c r="U64" s="272">
        <f>U54</f>
        <v>33458.199999999997</v>
      </c>
      <c r="V64" s="278"/>
      <c r="W64" s="272">
        <f>W54</f>
        <v>33052.400000000001</v>
      </c>
      <c r="X64" s="278"/>
      <c r="Y64" s="272">
        <f>Y54</f>
        <v>33205</v>
      </c>
      <c r="Z64" s="278"/>
      <c r="AA64" s="272">
        <f>AA54</f>
        <v>31054</v>
      </c>
      <c r="AB64" s="278"/>
    </row>
    <row r="65" spans="1:28" ht="13">
      <c r="A65" s="264"/>
      <c r="B65" s="290" t="s">
        <v>254</v>
      </c>
      <c r="C65" s="276">
        <f>+K64</f>
        <v>62781.777000000002</v>
      </c>
      <c r="D65" s="291"/>
      <c r="E65" s="276">
        <f>M54</f>
        <v>63070.315360000001</v>
      </c>
      <c r="F65" s="291"/>
      <c r="G65" s="276">
        <f>+O64</f>
        <v>62106.781999999999</v>
      </c>
      <c r="H65" s="291"/>
      <c r="I65" s="276">
        <f>+Q64</f>
        <v>62636.800000000003</v>
      </c>
      <c r="J65" s="291"/>
      <c r="K65" s="276">
        <f>+S64</f>
        <v>33674.5</v>
      </c>
      <c r="L65" s="291"/>
      <c r="M65" s="276">
        <f>+U64</f>
        <v>33458.199999999997</v>
      </c>
      <c r="N65" s="291"/>
      <c r="O65" s="276">
        <f>+W64</f>
        <v>33052.400000000001</v>
      </c>
      <c r="P65" s="291"/>
      <c r="Q65" s="276">
        <f>+Y64</f>
        <v>33205</v>
      </c>
      <c r="R65" s="291"/>
      <c r="S65" s="276">
        <f>+AA64</f>
        <v>31054</v>
      </c>
      <c r="T65" s="291"/>
      <c r="U65" s="276">
        <v>31070</v>
      </c>
      <c r="V65" s="291"/>
      <c r="W65" s="276">
        <v>31575</v>
      </c>
      <c r="X65" s="291"/>
      <c r="Y65" s="276">
        <v>32052.640421</v>
      </c>
      <c r="Z65" s="291"/>
      <c r="AA65" s="276">
        <v>29948</v>
      </c>
      <c r="AB65" s="291"/>
    </row>
    <row r="66" spans="1:28" ht="13">
      <c r="A66" s="264"/>
      <c r="B66" s="268" t="s">
        <v>255</v>
      </c>
      <c r="C66" s="272">
        <f>+C64-C65</f>
        <v>3327.8054989999946</v>
      </c>
      <c r="D66" s="278"/>
      <c r="E66" s="272">
        <f>E64-E65</f>
        <v>2915.1100829999996</v>
      </c>
      <c r="F66" s="278"/>
      <c r="G66" s="272">
        <f>G64-G65</f>
        <v>3161.0380769999974</v>
      </c>
      <c r="H66" s="278"/>
      <c r="I66" s="272">
        <f>I64-I65</f>
        <v>4015.7143459999934</v>
      </c>
      <c r="J66" s="278"/>
      <c r="K66" s="272">
        <f>K64-K65</f>
        <v>29107.277000000002</v>
      </c>
      <c r="L66" s="278"/>
      <c r="M66" s="272">
        <f>M64-M65</f>
        <v>29612.115360000003</v>
      </c>
      <c r="N66" s="278"/>
      <c r="O66" s="272">
        <f>O64-O65</f>
        <v>29054.381999999998</v>
      </c>
      <c r="P66" s="278"/>
      <c r="Q66" s="272">
        <f>Q64-Q65</f>
        <v>29431.800000000003</v>
      </c>
      <c r="R66" s="278"/>
      <c r="S66" s="272">
        <f>S64-S65</f>
        <v>2620.5</v>
      </c>
      <c r="T66" s="278"/>
      <c r="U66" s="272">
        <f>U64-U65</f>
        <v>2388.1999999999971</v>
      </c>
      <c r="V66" s="278"/>
      <c r="W66" s="272">
        <f>W64-W65</f>
        <v>1477.4000000000015</v>
      </c>
      <c r="X66" s="278"/>
      <c r="Y66" s="272">
        <f>Y64-Y65</f>
        <v>1152.3595789999999</v>
      </c>
      <c r="Z66" s="278"/>
      <c r="AA66" s="272">
        <f>AA64-AA65</f>
        <v>1106</v>
      </c>
      <c r="AB66" s="278"/>
    </row>
    <row r="67" spans="1:28" ht="13">
      <c r="A67" s="264"/>
      <c r="B67" s="270" t="s">
        <v>256</v>
      </c>
      <c r="C67" s="272">
        <f>C65</f>
        <v>62781.777000000002</v>
      </c>
      <c r="D67" s="278"/>
      <c r="E67" s="272">
        <f>+E65</f>
        <v>63070.315360000001</v>
      </c>
      <c r="F67" s="278"/>
      <c r="G67" s="272">
        <f>+G65</f>
        <v>62106.781999999999</v>
      </c>
      <c r="H67" s="278"/>
      <c r="I67" s="272">
        <f>+I65</f>
        <v>62636.800000000003</v>
      </c>
      <c r="J67" s="278"/>
      <c r="K67" s="272">
        <f>+K65</f>
        <v>33674.5</v>
      </c>
      <c r="L67" s="278"/>
      <c r="M67" s="272">
        <f>+M65</f>
        <v>33458.199999999997</v>
      </c>
      <c r="N67" s="278"/>
      <c r="O67" s="272">
        <f>+O65</f>
        <v>33052.400000000001</v>
      </c>
      <c r="P67" s="278"/>
      <c r="Q67" s="272">
        <f>+Q65</f>
        <v>33205</v>
      </c>
      <c r="R67" s="278"/>
      <c r="S67" s="272">
        <f>+S65</f>
        <v>31054</v>
      </c>
      <c r="T67" s="278"/>
      <c r="U67" s="272">
        <f>+U65</f>
        <v>31070</v>
      </c>
      <c r="V67" s="278"/>
      <c r="W67" s="272">
        <f>+W65</f>
        <v>31575</v>
      </c>
      <c r="X67" s="278"/>
      <c r="Y67" s="272">
        <f>+Y65</f>
        <v>32052.640421</v>
      </c>
      <c r="Z67" s="278"/>
      <c r="AA67" s="272">
        <f>+AA65</f>
        <v>29948</v>
      </c>
      <c r="AB67" s="278"/>
    </row>
    <row r="68" spans="1:28" ht="14" thickBot="1">
      <c r="A68" s="337" t="s">
        <v>305</v>
      </c>
      <c r="B68" s="295" t="s">
        <v>257</v>
      </c>
      <c r="C68" s="283">
        <f>C66/C67</f>
        <v>5.3005914423224984E-2</v>
      </c>
      <c r="D68" s="285"/>
      <c r="E68" s="283">
        <f>E66/E67</f>
        <v>4.6220001697483179E-2</v>
      </c>
      <c r="F68" s="285"/>
      <c r="G68" s="283">
        <f>G66/G67</f>
        <v>5.089682600202982E-2</v>
      </c>
      <c r="H68" s="285"/>
      <c r="I68" s="283">
        <f>I66/I67</f>
        <v>6.4111103153417684E-2</v>
      </c>
      <c r="J68" s="285"/>
      <c r="K68" s="283">
        <f>K66/K67</f>
        <v>0.86437146802476661</v>
      </c>
      <c r="L68" s="285"/>
      <c r="M68" s="283">
        <f>M66/M67</f>
        <v>0.8850480707270566</v>
      </c>
      <c r="N68" s="285"/>
      <c r="O68" s="283">
        <f>O66/O67</f>
        <v>0.87904000919751657</v>
      </c>
      <c r="P68" s="285"/>
      <c r="Q68" s="283">
        <f>Q66/Q67</f>
        <v>0.88636651106761044</v>
      </c>
      <c r="R68" s="285"/>
      <c r="S68" s="283">
        <f>S66/S67</f>
        <v>8.4385264378179947E-2</v>
      </c>
      <c r="T68" s="285"/>
      <c r="U68" s="283">
        <f>U66/U67</f>
        <v>7.6865143224975771E-2</v>
      </c>
      <c r="V68" s="285"/>
      <c r="W68" s="283">
        <f>W66/W67</f>
        <v>4.6790182106096638E-2</v>
      </c>
      <c r="X68" s="285"/>
      <c r="Y68" s="283">
        <f>Y66/Y67</f>
        <v>3.5952095174193698E-2</v>
      </c>
      <c r="Z68" s="285"/>
      <c r="AA68" s="283">
        <f>AA66/AA67</f>
        <v>3.6930679845064776E-2</v>
      </c>
      <c r="AB68" s="285"/>
    </row>
    <row r="69" spans="1:28" ht="13">
      <c r="A69" s="264"/>
      <c r="B69" s="26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</row>
    <row r="70" spans="1:28" ht="13">
      <c r="A70" s="264"/>
      <c r="B70" s="26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</row>
    <row r="71" spans="1:28" ht="13">
      <c r="A71" s="264"/>
      <c r="B71" s="268" t="s">
        <v>1</v>
      </c>
      <c r="C71" s="272">
        <v>114088.20773600001</v>
      </c>
      <c r="D71" s="278"/>
      <c r="E71" s="272">
        <v>108321.32653799999</v>
      </c>
      <c r="F71" s="278"/>
      <c r="G71" s="272">
        <v>106311.634504</v>
      </c>
      <c r="H71" s="278"/>
      <c r="I71" s="272">
        <v>107652.02759400001</v>
      </c>
      <c r="J71" s="278"/>
      <c r="K71" s="272">
        <v>101861.10500000003</v>
      </c>
      <c r="L71" s="278"/>
      <c r="M71" s="272">
        <v>101241.63347000002</v>
      </c>
      <c r="N71" s="278"/>
      <c r="O71" s="272">
        <v>99719.943000000014</v>
      </c>
      <c r="P71" s="278"/>
      <c r="Q71" s="272">
        <v>100882.75</v>
      </c>
      <c r="R71" s="278"/>
      <c r="S71" s="272">
        <v>57184.580000000009</v>
      </c>
      <c r="T71" s="278"/>
      <c r="U71" s="272">
        <v>55970</v>
      </c>
      <c r="V71" s="278"/>
      <c r="W71" s="272">
        <v>54500.600000000006</v>
      </c>
      <c r="X71" s="278"/>
      <c r="Y71" s="272">
        <v>53558.399999999994</v>
      </c>
      <c r="Z71" s="272"/>
      <c r="AA71" s="272">
        <v>51101</v>
      </c>
      <c r="AB71" s="277"/>
    </row>
    <row r="72" spans="1:28" ht="13">
      <c r="A72" s="264"/>
      <c r="B72" s="268" t="s">
        <v>258</v>
      </c>
      <c r="C72" s="272">
        <v>111204.767137</v>
      </c>
      <c r="D72" s="272"/>
      <c r="E72" s="272">
        <v>105077.54542120002</v>
      </c>
      <c r="F72" s="278"/>
      <c r="G72" s="272">
        <v>104266.60014200001</v>
      </c>
      <c r="H72" s="278"/>
      <c r="I72" s="272">
        <v>103584.92202133335</v>
      </c>
      <c r="J72" s="278"/>
      <c r="K72" s="272">
        <v>101551.36923500002</v>
      </c>
      <c r="L72" s="278"/>
      <c r="M72" s="272">
        <v>82999.781294000015</v>
      </c>
      <c r="N72" s="278"/>
      <c r="O72" s="272">
        <v>78439.318250000011</v>
      </c>
      <c r="P72" s="278"/>
      <c r="Q72" s="272">
        <f>(Q71+S71+U71)/3</f>
        <v>71345.776666666672</v>
      </c>
      <c r="R72" s="278"/>
      <c r="S72" s="272">
        <f>(S71+U71)/2</f>
        <v>56577.290000000008</v>
      </c>
      <c r="T72" s="278"/>
      <c r="U72" s="272">
        <f>(U71+W71+Y71+AA71+AC14)/5</f>
        <v>43026</v>
      </c>
      <c r="V72" s="278"/>
      <c r="W72" s="272">
        <f>(W71+Y71+AA71+49934)/4</f>
        <v>52273.5</v>
      </c>
      <c r="X72" s="278"/>
      <c r="Y72" s="272">
        <f>(Y71+AA71+49934)/3</f>
        <v>51531.133333333331</v>
      </c>
      <c r="Z72" s="272"/>
      <c r="AA72" s="272">
        <f>(AA71+49934)/2</f>
        <v>50517.5</v>
      </c>
      <c r="AB72" s="277"/>
    </row>
    <row r="73" spans="1:28" ht="13">
      <c r="A73" s="264"/>
      <c r="B73" s="268" t="s">
        <v>259</v>
      </c>
      <c r="C73" s="272"/>
      <c r="D73" s="272">
        <v>111204.767137</v>
      </c>
      <c r="E73" s="278"/>
      <c r="F73" s="272">
        <v>107316.48052099999</v>
      </c>
      <c r="G73" s="272"/>
      <c r="H73" s="272">
        <v>106981.831049</v>
      </c>
      <c r="I73" s="272"/>
      <c r="J73" s="272">
        <v>104756.56629700001</v>
      </c>
      <c r="K73" s="272"/>
      <c r="L73" s="272">
        <v>101551.36923500002</v>
      </c>
      <c r="M73" s="272"/>
      <c r="N73" s="272">
        <v>100480.78823500001</v>
      </c>
      <c r="O73" s="272"/>
      <c r="P73" s="272">
        <v>100301.34650000001</v>
      </c>
      <c r="Q73" s="272"/>
      <c r="R73" s="272">
        <f>(Q71+S71)/2</f>
        <v>79033.665000000008</v>
      </c>
      <c r="S73" s="272"/>
      <c r="T73" s="272">
        <f>(S71+U71)/2</f>
        <v>56577.290000000008</v>
      </c>
      <c r="U73" s="272"/>
      <c r="V73" s="272">
        <f>(U71+W71)/2</f>
        <v>55235.3</v>
      </c>
      <c r="W73" s="278"/>
      <c r="X73" s="272">
        <f>(W71+Y71)/2</f>
        <v>54029.5</v>
      </c>
      <c r="Y73" s="278"/>
      <c r="Z73" s="272">
        <f>(Y71+AA71)/2</f>
        <v>52329.7</v>
      </c>
      <c r="AA73" s="272"/>
      <c r="AB73" s="272">
        <f>(AA71+49934)/2</f>
        <v>50517.5</v>
      </c>
    </row>
    <row r="74" spans="1:28" ht="13">
      <c r="A74" s="264"/>
      <c r="B74" s="268"/>
      <c r="C74" s="278"/>
      <c r="D74" s="278"/>
      <c r="E74" s="278"/>
      <c r="F74" s="278"/>
      <c r="G74" s="272"/>
      <c r="H74" s="278"/>
      <c r="I74" s="272"/>
      <c r="J74" s="278"/>
      <c r="K74" s="272"/>
      <c r="L74" s="278"/>
      <c r="M74" s="272"/>
      <c r="N74" s="278"/>
      <c r="O74" s="272"/>
      <c r="P74" s="278"/>
      <c r="Q74" s="272"/>
      <c r="R74" s="278"/>
      <c r="S74" s="272"/>
      <c r="T74" s="278"/>
      <c r="U74" s="272"/>
      <c r="V74" s="278"/>
      <c r="W74" s="278"/>
      <c r="X74" s="278"/>
      <c r="Y74" s="278"/>
      <c r="Z74" s="278"/>
      <c r="AA74" s="278"/>
      <c r="AB74" s="278"/>
    </row>
    <row r="75" spans="1:28" ht="13">
      <c r="A75" s="264"/>
      <c r="B75" s="268" t="s">
        <v>1</v>
      </c>
      <c r="C75" s="272">
        <f>C71</f>
        <v>114088.20773600001</v>
      </c>
      <c r="D75" s="278"/>
      <c r="E75" s="272">
        <f>E71</f>
        <v>108321.32653799999</v>
      </c>
      <c r="F75" s="278"/>
      <c r="G75" s="272">
        <f>G71</f>
        <v>106311.634504</v>
      </c>
      <c r="H75" s="278"/>
      <c r="I75" s="272">
        <f>I71</f>
        <v>107652.02759400001</v>
      </c>
      <c r="J75" s="278"/>
      <c r="K75" s="272">
        <f>K71</f>
        <v>101861.10500000003</v>
      </c>
      <c r="L75" s="278"/>
      <c r="M75" s="272">
        <f>M71</f>
        <v>101241.63347000002</v>
      </c>
      <c r="N75" s="278"/>
      <c r="O75" s="272">
        <f>O71</f>
        <v>99719.943000000014</v>
      </c>
      <c r="P75" s="278"/>
      <c r="Q75" s="272">
        <f>Q71</f>
        <v>100882.75</v>
      </c>
      <c r="R75" s="278"/>
      <c r="S75" s="272">
        <f>S71</f>
        <v>57184.580000000009</v>
      </c>
      <c r="T75" s="278"/>
      <c r="U75" s="272">
        <f>U71</f>
        <v>55970</v>
      </c>
      <c r="V75" s="278"/>
      <c r="W75" s="272">
        <f>W71</f>
        <v>54500.600000000006</v>
      </c>
      <c r="X75" s="278"/>
      <c r="Y75" s="272">
        <f>Y71</f>
        <v>53558.399999999994</v>
      </c>
      <c r="Z75" s="278"/>
      <c r="AA75" s="272">
        <f>AA71</f>
        <v>51101</v>
      </c>
      <c r="AB75" s="278"/>
    </row>
    <row r="76" spans="1:28" ht="13">
      <c r="A76" s="264"/>
      <c r="B76" s="286" t="s">
        <v>223</v>
      </c>
      <c r="C76" s="272">
        <f>+C36</f>
        <v>38009.275000000001</v>
      </c>
      <c r="D76" s="278"/>
      <c r="E76" s="272">
        <f>+E36</f>
        <v>37451.131987000001</v>
      </c>
      <c r="F76" s="278"/>
      <c r="G76" s="272">
        <f>+G36</f>
        <v>36650.008250999999</v>
      </c>
      <c r="H76" s="278"/>
      <c r="I76" s="272">
        <f>+I36</f>
        <v>35532.226698999999</v>
      </c>
      <c r="J76" s="278"/>
      <c r="K76" s="272">
        <f>+K36</f>
        <v>35521.066979000003</v>
      </c>
      <c r="L76" s="278"/>
      <c r="M76" s="272">
        <f>+M36</f>
        <v>35197.497000000003</v>
      </c>
      <c r="N76" s="278"/>
      <c r="O76" s="272">
        <f>+O36</f>
        <v>35129.561126999994</v>
      </c>
      <c r="P76" s="278"/>
      <c r="Q76" s="272">
        <f>+Q36</f>
        <v>34766.900999999998</v>
      </c>
      <c r="R76" s="278"/>
      <c r="S76" s="272">
        <f>+S36</f>
        <v>17288.619168000001</v>
      </c>
      <c r="T76" s="278"/>
      <c r="U76" s="272">
        <f>+U36</f>
        <v>16796.622458000002</v>
      </c>
      <c r="V76" s="278"/>
      <c r="W76" s="272">
        <f>+W36</f>
        <v>16076.098374450001</v>
      </c>
      <c r="X76" s="278"/>
      <c r="Y76" s="272">
        <f>+Y36</f>
        <v>15329.815615</v>
      </c>
      <c r="Z76" s="278"/>
      <c r="AA76" s="272">
        <f>+AA36</f>
        <v>15533.628225</v>
      </c>
      <c r="AB76" s="278"/>
    </row>
    <row r="77" spans="1:28" ht="13">
      <c r="A77" s="264"/>
      <c r="B77" s="286" t="s">
        <v>224</v>
      </c>
      <c r="C77" s="272">
        <f>+C37</f>
        <v>1605.809</v>
      </c>
      <c r="D77" s="278"/>
      <c r="E77" s="272">
        <f>+E37</f>
        <v>1623.794453</v>
      </c>
      <c r="F77" s="278"/>
      <c r="G77" s="272">
        <f>+G37</f>
        <v>1324.1435019999999</v>
      </c>
      <c r="H77" s="278"/>
      <c r="I77" s="272">
        <f>+I37</f>
        <v>1333.118905</v>
      </c>
      <c r="J77" s="278"/>
      <c r="K77" s="272">
        <f>+K37</f>
        <v>1278.919551</v>
      </c>
      <c r="L77" s="278"/>
      <c r="M77" s="272">
        <f>+M37</f>
        <v>1307.7759999999998</v>
      </c>
      <c r="N77" s="278"/>
      <c r="O77" s="272">
        <f>+O37</f>
        <v>1159.912239</v>
      </c>
      <c r="P77" s="278"/>
      <c r="Q77" s="272">
        <f>+Q37</f>
        <v>1169.7469999999998</v>
      </c>
      <c r="R77" s="278"/>
      <c r="S77" s="272">
        <f>+S37</f>
        <v>560.18392900000003</v>
      </c>
      <c r="T77" s="278"/>
      <c r="U77" s="272">
        <f>+U37</f>
        <v>564.16929500000003</v>
      </c>
      <c r="V77" s="278"/>
      <c r="W77" s="272">
        <f>+W37</f>
        <v>568.14836700000001</v>
      </c>
      <c r="X77" s="278"/>
      <c r="Y77" s="272">
        <f>+Y37</f>
        <v>574.10100399999999</v>
      </c>
      <c r="Z77" s="278"/>
      <c r="AA77" s="272">
        <f>+AA37</f>
        <v>601.47104200000001</v>
      </c>
      <c r="AB77" s="278"/>
    </row>
    <row r="78" spans="1:28" ht="14" thickBot="1">
      <c r="A78" s="337" t="s">
        <v>317</v>
      </c>
      <c r="B78" s="282" t="s">
        <v>260</v>
      </c>
      <c r="C78" s="288">
        <f>+C75+C76+C77</f>
        <v>153703.29173600001</v>
      </c>
      <c r="D78" s="289"/>
      <c r="E78" s="288">
        <f>+E75+E76+E77</f>
        <v>147396.252978</v>
      </c>
      <c r="F78" s="289"/>
      <c r="G78" s="288">
        <f>+G75+G76+G77</f>
        <v>144285.786257</v>
      </c>
      <c r="H78" s="289"/>
      <c r="I78" s="288">
        <f>+I75+I76+I77</f>
        <v>144517.37319800002</v>
      </c>
      <c r="J78" s="289"/>
      <c r="K78" s="288">
        <f>+K75+K76+K77</f>
        <v>138661.09153000003</v>
      </c>
      <c r="L78" s="289"/>
      <c r="M78" s="288">
        <f>+M75+M76+M77</f>
        <v>137746.90647000005</v>
      </c>
      <c r="N78" s="289"/>
      <c r="O78" s="288">
        <f>+O75+O76+O77</f>
        <v>136009.41636599999</v>
      </c>
      <c r="P78" s="289"/>
      <c r="Q78" s="288">
        <f>+Q75+Q76+Q77</f>
        <v>136819.39800000002</v>
      </c>
      <c r="R78" s="289"/>
      <c r="S78" s="288">
        <f>+S75+S76+S77</f>
        <v>75033.383097000013</v>
      </c>
      <c r="T78" s="289"/>
      <c r="U78" s="288">
        <f>+U75+U76+U77</f>
        <v>73330.791752999998</v>
      </c>
      <c r="V78" s="289"/>
      <c r="W78" s="288">
        <f>+W75+W76+W77</f>
        <v>71144.846741450005</v>
      </c>
      <c r="X78" s="289"/>
      <c r="Y78" s="288">
        <f>+Y75+Y76+Y77</f>
        <v>69462.31661899999</v>
      </c>
      <c r="Z78" s="289"/>
      <c r="AA78" s="288">
        <f>+AA75+AA76+AA77</f>
        <v>67236.099266999998</v>
      </c>
      <c r="AB78" s="289"/>
    </row>
    <row r="79" spans="1:28" ht="13">
      <c r="A79" s="264"/>
      <c r="B79" s="26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</row>
    <row r="80" spans="1:28" ht="13">
      <c r="A80" s="264"/>
      <c r="B80" s="296" t="s">
        <v>37</v>
      </c>
      <c r="C80" s="276">
        <v>4.8372890000000002</v>
      </c>
      <c r="D80" s="276">
        <v>4.8372890000000002</v>
      </c>
      <c r="E80" s="276">
        <v>-20.143094999999999</v>
      </c>
      <c r="F80" s="276">
        <v>-13</v>
      </c>
      <c r="G80" s="276">
        <v>-6.5001689999999996</v>
      </c>
      <c r="H80" s="276">
        <v>14.499831</v>
      </c>
      <c r="I80" s="276">
        <v>-20.920946000000001</v>
      </c>
      <c r="J80" s="276">
        <v>5.2380539999999982</v>
      </c>
      <c r="K80" s="276">
        <v>-26.158999999999999</v>
      </c>
      <c r="L80" s="276">
        <v>-26.158999999999999</v>
      </c>
      <c r="M80" s="276">
        <v>75.163342</v>
      </c>
      <c r="N80" s="276"/>
      <c r="O80" s="276">
        <v>32.571090560000002</v>
      </c>
      <c r="P80" s="276">
        <v>3.3884404799999999</v>
      </c>
      <c r="Q80" s="276">
        <v>29</v>
      </c>
      <c r="R80" s="276">
        <v>20.2</v>
      </c>
      <c r="S80" s="276">
        <v>8.9</v>
      </c>
      <c r="T80" s="276">
        <v>8.9</v>
      </c>
      <c r="U80" s="276">
        <v>55.8</v>
      </c>
      <c r="V80" s="276">
        <v>17.799999999999997</v>
      </c>
      <c r="W80" s="276">
        <v>38.1</v>
      </c>
      <c r="X80" s="276">
        <v>-2</v>
      </c>
      <c r="Y80" s="276">
        <v>40</v>
      </c>
      <c r="Z80" s="276">
        <v>35</v>
      </c>
      <c r="AA80" s="276">
        <v>5</v>
      </c>
      <c r="AB80" s="276">
        <v>5</v>
      </c>
    </row>
    <row r="81" spans="1:28" ht="13">
      <c r="A81" s="264"/>
      <c r="B81" s="268" t="s">
        <v>261</v>
      </c>
      <c r="C81" s="272">
        <f>C80/C7*$A$1</f>
        <v>19.617894277777779</v>
      </c>
      <c r="D81" s="272">
        <f t="shared" ref="D81:AB81" si="23">D80/D7*$A$1</f>
        <v>19.617894277777779</v>
      </c>
      <c r="E81" s="272">
        <f t="shared" si="23"/>
        <v>-20.143094999999999</v>
      </c>
      <c r="F81" s="272">
        <f t="shared" si="23"/>
        <v>-51.576086956521735</v>
      </c>
      <c r="G81" s="272">
        <f t="shared" si="23"/>
        <v>-8.6907021428571429</v>
      </c>
      <c r="H81" s="272">
        <f t="shared" si="23"/>
        <v>57.526503423913049</v>
      </c>
      <c r="I81" s="272">
        <f t="shared" si="23"/>
        <v>-42.188648011049722</v>
      </c>
      <c r="J81" s="272">
        <f t="shared" si="23"/>
        <v>21.009777032967026</v>
      </c>
      <c r="K81" s="272">
        <f t="shared" si="23"/>
        <v>-106.08927777777778</v>
      </c>
      <c r="L81" s="272">
        <f t="shared" si="23"/>
        <v>-106.08927777777778</v>
      </c>
      <c r="M81" s="272">
        <f t="shared" si="23"/>
        <v>74.957977677595622</v>
      </c>
      <c r="N81" s="272">
        <f t="shared" si="23"/>
        <v>0</v>
      </c>
      <c r="O81" s="272">
        <f t="shared" si="23"/>
        <v>43.38849654890511</v>
      </c>
      <c r="P81" s="272">
        <f t="shared" si="23"/>
        <v>13.443269295652172</v>
      </c>
      <c r="Q81" s="272">
        <f t="shared" si="23"/>
        <v>58.159340659340657</v>
      </c>
      <c r="R81" s="272">
        <f t="shared" si="23"/>
        <v>81.021978021978015</v>
      </c>
      <c r="S81" s="272">
        <f t="shared" si="23"/>
        <v>35.697802197802197</v>
      </c>
      <c r="T81" s="272">
        <f t="shared" si="23"/>
        <v>35.697802197802197</v>
      </c>
      <c r="U81" s="272">
        <f t="shared" si="23"/>
        <v>55.8</v>
      </c>
      <c r="V81" s="272">
        <f t="shared" si="23"/>
        <v>70.619565217391298</v>
      </c>
      <c r="W81" s="272">
        <f t="shared" si="23"/>
        <v>50.939560439560438</v>
      </c>
      <c r="X81" s="272">
        <f t="shared" si="23"/>
        <v>-7.9347826086956523</v>
      </c>
      <c r="Y81" s="272">
        <f t="shared" si="23"/>
        <v>80.662983425414367</v>
      </c>
      <c r="Z81" s="272">
        <f t="shared" si="23"/>
        <v>140.38461538461539</v>
      </c>
      <c r="AA81" s="272">
        <f t="shared" si="23"/>
        <v>20.277777777777775</v>
      </c>
      <c r="AB81" s="272">
        <f t="shared" si="23"/>
        <v>20.277777777777775</v>
      </c>
    </row>
    <row r="82" spans="1:28" ht="13">
      <c r="A82" s="264"/>
      <c r="B82" s="268"/>
      <c r="C82" s="278"/>
      <c r="D82" s="278"/>
      <c r="E82" s="278"/>
      <c r="F82" s="272"/>
      <c r="G82" s="272"/>
      <c r="H82" s="272"/>
      <c r="I82" s="272"/>
      <c r="J82" s="272"/>
      <c r="K82" s="272"/>
      <c r="L82" s="272"/>
      <c r="M82" s="278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</row>
    <row r="83" spans="1:28" ht="13">
      <c r="A83" s="264"/>
      <c r="B83" s="268" t="s">
        <v>37</v>
      </c>
      <c r="C83" s="272">
        <f>+C81</f>
        <v>19.617894277777779</v>
      </c>
      <c r="D83" s="272">
        <f t="shared" ref="D83:AA83" si="24">D81</f>
        <v>19.617894277777779</v>
      </c>
      <c r="E83" s="272">
        <f t="shared" si="24"/>
        <v>-20.143094999999999</v>
      </c>
      <c r="F83" s="272">
        <f t="shared" si="24"/>
        <v>-51.576086956521735</v>
      </c>
      <c r="G83" s="272">
        <f t="shared" si="24"/>
        <v>-8.6907021428571429</v>
      </c>
      <c r="H83" s="272">
        <f t="shared" si="24"/>
        <v>57.526503423913049</v>
      </c>
      <c r="I83" s="272">
        <f t="shared" si="24"/>
        <v>-42.188648011049722</v>
      </c>
      <c r="J83" s="272">
        <f t="shared" si="24"/>
        <v>21.009777032967026</v>
      </c>
      <c r="K83" s="272">
        <f t="shared" si="24"/>
        <v>-106.08927777777778</v>
      </c>
      <c r="L83" s="272">
        <f t="shared" si="24"/>
        <v>-106.08927777777778</v>
      </c>
      <c r="M83" s="272">
        <f t="shared" si="24"/>
        <v>74.957977677595622</v>
      </c>
      <c r="N83" s="272">
        <f t="shared" si="24"/>
        <v>0</v>
      </c>
      <c r="O83" s="272">
        <f t="shared" si="24"/>
        <v>43.38849654890511</v>
      </c>
      <c r="P83" s="272">
        <f t="shared" si="24"/>
        <v>13.443269295652172</v>
      </c>
      <c r="Q83" s="272">
        <f t="shared" si="24"/>
        <v>58.159340659340657</v>
      </c>
      <c r="R83" s="272">
        <f t="shared" si="24"/>
        <v>81.021978021978015</v>
      </c>
      <c r="S83" s="272">
        <f t="shared" si="24"/>
        <v>35.697802197802197</v>
      </c>
      <c r="T83" s="272">
        <f t="shared" si="24"/>
        <v>35.697802197802197</v>
      </c>
      <c r="U83" s="272">
        <f t="shared" si="24"/>
        <v>55.8</v>
      </c>
      <c r="V83" s="272">
        <f t="shared" si="24"/>
        <v>70.619565217391298</v>
      </c>
      <c r="W83" s="272">
        <f t="shared" si="24"/>
        <v>50.939560439560438</v>
      </c>
      <c r="X83" s="272">
        <f t="shared" si="24"/>
        <v>-7.9347826086956523</v>
      </c>
      <c r="Y83" s="272">
        <f t="shared" si="24"/>
        <v>80.662983425414367</v>
      </c>
      <c r="Z83" s="272">
        <f t="shared" si="24"/>
        <v>140.38461538461539</v>
      </c>
      <c r="AA83" s="272">
        <f t="shared" si="24"/>
        <v>20.277777777777775</v>
      </c>
      <c r="AB83" s="278">
        <f t="shared" ref="AB83" si="25">+AB80</f>
        <v>5</v>
      </c>
    </row>
    <row r="84" spans="1:28" ht="13">
      <c r="A84" s="264"/>
      <c r="B84" s="268" t="s">
        <v>288</v>
      </c>
      <c r="C84" s="272">
        <f>C35</f>
        <v>92817.744119980198</v>
      </c>
      <c r="D84" s="272">
        <f>+C84</f>
        <v>92817.744119980198</v>
      </c>
      <c r="E84" s="272">
        <f>E35</f>
        <v>90460.14825605003</v>
      </c>
      <c r="F84" s="272">
        <f>+E84</f>
        <v>90460.14825605003</v>
      </c>
      <c r="G84" s="272">
        <f>G35</f>
        <v>88945.039514610005</v>
      </c>
      <c r="H84" s="272">
        <f>+G84</f>
        <v>88945.039514610005</v>
      </c>
      <c r="I84" s="272">
        <f>I35</f>
        <v>87527.837190519887</v>
      </c>
      <c r="J84" s="272">
        <f>+I84</f>
        <v>87527.837190519887</v>
      </c>
      <c r="K84" s="272">
        <f>K35</f>
        <v>84901.214854689984</v>
      </c>
      <c r="L84" s="272">
        <f>+K84</f>
        <v>84901.214854689984</v>
      </c>
      <c r="M84" s="272">
        <f>M35</f>
        <v>82944.802144999994</v>
      </c>
      <c r="N84" s="272">
        <f>+M84</f>
        <v>82944.802144999994</v>
      </c>
      <c r="O84" s="272">
        <f>O35</f>
        <v>81336.069999999992</v>
      </c>
      <c r="P84" s="272">
        <f>+O84</f>
        <v>81336.069999999992</v>
      </c>
      <c r="Q84" s="272">
        <f>Q35</f>
        <v>79286.388672980014</v>
      </c>
      <c r="R84" s="272">
        <f>+Q84</f>
        <v>79286.388672980014</v>
      </c>
      <c r="S84" s="272">
        <f>S35</f>
        <v>44307.5</v>
      </c>
      <c r="T84" s="272">
        <f>+S84</f>
        <v>44307.5</v>
      </c>
      <c r="U84" s="272">
        <f>U35</f>
        <v>43779.16</v>
      </c>
      <c r="V84" s="272">
        <f>+U84</f>
        <v>43779.16</v>
      </c>
      <c r="W84" s="272">
        <f>W35</f>
        <v>42793.5</v>
      </c>
      <c r="X84" s="272">
        <f>+W84</f>
        <v>42793.5</v>
      </c>
      <c r="Y84" s="272">
        <f>Y35</f>
        <v>42090.69</v>
      </c>
      <c r="Z84" s="272">
        <f>+Y84</f>
        <v>42090.69</v>
      </c>
      <c r="AA84" s="272">
        <f>AA35</f>
        <v>40483.611327409999</v>
      </c>
      <c r="AB84" s="272">
        <f>+AA84</f>
        <v>40483.611327409999</v>
      </c>
    </row>
    <row r="85" spans="1:28" ht="14" thickBot="1">
      <c r="A85" s="337" t="s">
        <v>307</v>
      </c>
      <c r="B85" s="282" t="s">
        <v>262</v>
      </c>
      <c r="C85" s="283">
        <f>C83/C84</f>
        <v>2.1135930919004934E-4</v>
      </c>
      <c r="D85" s="283">
        <f>D83/D84</f>
        <v>2.1135930919004934E-4</v>
      </c>
      <c r="E85" s="283">
        <f>E83/E84</f>
        <v>-2.2267368988810845E-4</v>
      </c>
      <c r="F85" s="283">
        <f t="shared" ref="F85:AB85" si="26">F83/F84</f>
        <v>-5.7015258045492196E-4</v>
      </c>
      <c r="G85" s="283">
        <f t="shared" si="26"/>
        <v>-9.7708677069389778E-5</v>
      </c>
      <c r="H85" s="283">
        <f t="shared" si="26"/>
        <v>6.4676460584925388E-4</v>
      </c>
      <c r="I85" s="283">
        <f t="shared" si="26"/>
        <v>-4.8200263327904052E-4</v>
      </c>
      <c r="J85" s="283">
        <f t="shared" si="26"/>
        <v>2.4003537282928076E-4</v>
      </c>
      <c r="K85" s="283">
        <f t="shared" si="26"/>
        <v>-1.2495613632779172E-3</v>
      </c>
      <c r="L85" s="283">
        <f t="shared" si="26"/>
        <v>-1.2495613632779172E-3</v>
      </c>
      <c r="M85" s="283">
        <f t="shared" si="26"/>
        <v>9.0370916246876808E-4</v>
      </c>
      <c r="N85" s="283">
        <f t="shared" si="26"/>
        <v>0</v>
      </c>
      <c r="O85" s="283">
        <f t="shared" si="26"/>
        <v>5.3344717231733861E-4</v>
      </c>
      <c r="P85" s="283">
        <f t="shared" si="26"/>
        <v>1.6528053661373328E-4</v>
      </c>
      <c r="Q85" s="283">
        <f t="shared" si="26"/>
        <v>7.3353499425003776E-4</v>
      </c>
      <c r="R85" s="283">
        <f t="shared" si="26"/>
        <v>1.0218901299207423E-3</v>
      </c>
      <c r="S85" s="283">
        <f t="shared" si="26"/>
        <v>8.0568306038034641E-4</v>
      </c>
      <c r="T85" s="283">
        <f t="shared" si="26"/>
        <v>8.0568306038034641E-4</v>
      </c>
      <c r="U85" s="283">
        <f t="shared" si="26"/>
        <v>1.2745790462859495E-3</v>
      </c>
      <c r="V85" s="283">
        <f t="shared" si="26"/>
        <v>1.6130863455898032E-3</v>
      </c>
      <c r="W85" s="283">
        <f t="shared" si="26"/>
        <v>1.1903574243649255E-3</v>
      </c>
      <c r="X85" s="283">
        <f t="shared" si="26"/>
        <v>-1.8542027664705276E-4</v>
      </c>
      <c r="Y85" s="283">
        <f t="shared" si="26"/>
        <v>1.9164091495153528E-3</v>
      </c>
      <c r="Z85" s="283">
        <f t="shared" si="26"/>
        <v>3.3352890005988352E-3</v>
      </c>
      <c r="AA85" s="283">
        <f t="shared" si="26"/>
        <v>5.0088855991086995E-4</v>
      </c>
      <c r="AB85" s="283">
        <f t="shared" si="26"/>
        <v>1.2350676819720082E-4</v>
      </c>
    </row>
    <row r="86" spans="1:28" ht="13">
      <c r="A86" s="264"/>
      <c r="B86" s="26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</row>
    <row r="87" spans="1:28" ht="13">
      <c r="A87" s="264"/>
      <c r="B87" s="26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</row>
    <row r="88" spans="1:28" ht="13">
      <c r="A88" s="264"/>
      <c r="B88" s="268" t="s">
        <v>287</v>
      </c>
      <c r="C88" s="272">
        <v>231.518</v>
      </c>
      <c r="D88" s="278"/>
      <c r="E88" s="272">
        <v>286.57365616999999</v>
      </c>
      <c r="F88" s="278"/>
      <c r="G88" s="287">
        <v>284.02508992999998</v>
      </c>
      <c r="H88" s="297"/>
      <c r="I88" s="287">
        <v>262.17069946000004</v>
      </c>
      <c r="J88" s="297"/>
      <c r="K88" s="287">
        <v>222.20291896000003</v>
      </c>
      <c r="L88" s="297"/>
      <c r="M88" s="287">
        <v>232.715</v>
      </c>
      <c r="N88" s="297"/>
      <c r="O88" s="287">
        <v>336.17699999999996</v>
      </c>
      <c r="P88" s="297"/>
      <c r="Q88" s="272">
        <v>332.45699999999999</v>
      </c>
      <c r="R88" s="278"/>
      <c r="S88" s="272">
        <v>259.5</v>
      </c>
      <c r="T88" s="278"/>
      <c r="U88" s="272">
        <v>286.5</v>
      </c>
      <c r="V88" s="278"/>
      <c r="W88" s="272">
        <v>331.45699999999999</v>
      </c>
      <c r="X88" s="278"/>
      <c r="Y88" s="272">
        <v>373.90199999999999</v>
      </c>
      <c r="Z88" s="278"/>
      <c r="AA88" s="272">
        <v>300.7</v>
      </c>
      <c r="AB88" s="278"/>
    </row>
    <row r="89" spans="1:28" ht="13">
      <c r="A89" s="264"/>
      <c r="B89" s="268" t="s">
        <v>288</v>
      </c>
      <c r="C89" s="272">
        <f>C35</f>
        <v>92817.744119980198</v>
      </c>
      <c r="D89" s="278"/>
      <c r="E89" s="272">
        <f>E35</f>
        <v>90460.14825605003</v>
      </c>
      <c r="F89" s="278"/>
      <c r="G89" s="272">
        <f>G35</f>
        <v>88945.039514610005</v>
      </c>
      <c r="H89" s="278"/>
      <c r="I89" s="272">
        <f>I35</f>
        <v>87527.837190519887</v>
      </c>
      <c r="J89" s="278"/>
      <c r="K89" s="272">
        <f>K35</f>
        <v>84901.214854689984</v>
      </c>
      <c r="L89" s="278"/>
      <c r="M89" s="272">
        <f>M35</f>
        <v>82944.802144999994</v>
      </c>
      <c r="N89" s="278"/>
      <c r="O89" s="272">
        <f>O35</f>
        <v>81336.069999999992</v>
      </c>
      <c r="P89" s="278"/>
      <c r="Q89" s="272">
        <f>Q35</f>
        <v>79286.388672980014</v>
      </c>
      <c r="R89" s="278"/>
      <c r="S89" s="272">
        <f>S35</f>
        <v>44307.5</v>
      </c>
      <c r="T89" s="278"/>
      <c r="U89" s="272">
        <f>U35</f>
        <v>43779.16</v>
      </c>
      <c r="V89" s="278"/>
      <c r="W89" s="272">
        <f>W35</f>
        <v>42793.5</v>
      </c>
      <c r="X89" s="278"/>
      <c r="Y89" s="272">
        <f>Y35</f>
        <v>42090.69</v>
      </c>
      <c r="Z89" s="278"/>
      <c r="AA89" s="272">
        <f>AA35</f>
        <v>40483.611327409999</v>
      </c>
      <c r="AB89" s="278"/>
    </row>
    <row r="90" spans="1:28" ht="14" thickBot="1">
      <c r="A90" s="337" t="s">
        <v>324</v>
      </c>
      <c r="B90" s="282" t="s">
        <v>321</v>
      </c>
      <c r="C90" s="298">
        <f>C88/C89</f>
        <v>2.4943290983319944E-3</v>
      </c>
      <c r="D90" s="289"/>
      <c r="E90" s="298">
        <f>E88/E89</f>
        <v>3.1679547479719476E-3</v>
      </c>
      <c r="F90" s="289"/>
      <c r="G90" s="298">
        <f>G88/G89</f>
        <v>3.193265093590142E-3</v>
      </c>
      <c r="H90" s="289"/>
      <c r="I90" s="298">
        <f>I88/I89</f>
        <v>2.9952836477535592E-3</v>
      </c>
      <c r="J90" s="289"/>
      <c r="K90" s="298">
        <f>K88/K89</f>
        <v>2.6171936330982365E-3</v>
      </c>
      <c r="L90" s="289"/>
      <c r="M90" s="298">
        <f>M88/M89</f>
        <v>2.8056610418236839E-3</v>
      </c>
      <c r="N90" s="289"/>
      <c r="O90" s="298">
        <f>O88/O89</f>
        <v>4.1331846989902509E-3</v>
      </c>
      <c r="P90" s="289"/>
      <c r="Q90" s="298">
        <f>Q88/Q89</f>
        <v>4.193115685609451E-3</v>
      </c>
      <c r="R90" s="289"/>
      <c r="S90" s="298">
        <f>S88/S89</f>
        <v>5.8567962534559611E-3</v>
      </c>
      <c r="T90" s="289"/>
      <c r="U90" s="298">
        <f>U88/U89</f>
        <v>6.5442096193714079E-3</v>
      </c>
      <c r="V90" s="289"/>
      <c r="W90" s="298">
        <f>W88/W89</f>
        <v>7.7454987322841083E-3</v>
      </c>
      <c r="X90" s="289"/>
      <c r="Y90" s="298">
        <f>Y88/Y89</f>
        <v>8.8832471028628887E-3</v>
      </c>
      <c r="Z90" s="289"/>
      <c r="AA90" s="298">
        <f>AA88/AA89</f>
        <v>7.4276970393796571E-3</v>
      </c>
      <c r="AB90" s="289"/>
    </row>
    <row r="91" spans="1:28" ht="13">
      <c r="A91" s="264"/>
      <c r="B91" s="26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2"/>
      <c r="Z91" s="278"/>
      <c r="AA91" s="278"/>
      <c r="AB91" s="278"/>
    </row>
    <row r="92" spans="1:28" ht="13">
      <c r="A92" s="264"/>
      <c r="B92" s="270" t="s">
        <v>289</v>
      </c>
      <c r="C92" s="272">
        <v>252.654</v>
      </c>
      <c r="D92" s="278"/>
      <c r="E92" s="272">
        <v>254.45234506</v>
      </c>
      <c r="F92" s="278"/>
      <c r="G92" s="272">
        <v>250.24210007000002</v>
      </c>
      <c r="H92" s="278"/>
      <c r="I92" s="272">
        <v>262.46432599999997</v>
      </c>
      <c r="J92" s="278"/>
      <c r="K92" s="272">
        <v>256.79862200000002</v>
      </c>
      <c r="L92" s="278"/>
      <c r="M92" s="272">
        <v>272.18251900000001</v>
      </c>
      <c r="N92" s="278"/>
      <c r="O92" s="272">
        <v>223.315</v>
      </c>
      <c r="P92" s="278"/>
      <c r="Q92" s="272">
        <v>232.28300000000002</v>
      </c>
      <c r="R92" s="278"/>
      <c r="S92" s="272">
        <v>219.3</v>
      </c>
      <c r="T92" s="278"/>
      <c r="U92" s="272">
        <v>256.5</v>
      </c>
      <c r="V92" s="278"/>
      <c r="W92" s="272">
        <v>211.9</v>
      </c>
      <c r="X92" s="278"/>
      <c r="Y92" s="272">
        <v>216.64699999999999</v>
      </c>
      <c r="Z92" s="278"/>
      <c r="AA92" s="277">
        <v>217.36</v>
      </c>
      <c r="AB92" s="278"/>
    </row>
    <row r="93" spans="1:28" ht="13">
      <c r="A93" s="264"/>
      <c r="B93" s="268" t="s">
        <v>288</v>
      </c>
      <c r="C93" s="272">
        <f>+C84</f>
        <v>92817.744119980198</v>
      </c>
      <c r="D93" s="278"/>
      <c r="E93" s="272">
        <f>E35</f>
        <v>90460.14825605003</v>
      </c>
      <c r="F93" s="278"/>
      <c r="G93" s="272">
        <f>G35</f>
        <v>88945.039514610005</v>
      </c>
      <c r="H93" s="278"/>
      <c r="I93" s="272">
        <f>I35</f>
        <v>87527.837190519887</v>
      </c>
      <c r="J93" s="278"/>
      <c r="K93" s="272">
        <f>K35</f>
        <v>84901.214854689984</v>
      </c>
      <c r="L93" s="278"/>
      <c r="M93" s="272">
        <f>M35</f>
        <v>82944.802144999994</v>
      </c>
      <c r="N93" s="278"/>
      <c r="O93" s="272">
        <f>O35</f>
        <v>81336.069999999992</v>
      </c>
      <c r="P93" s="278"/>
      <c r="Q93" s="272">
        <f>Q35</f>
        <v>79286.388672980014</v>
      </c>
      <c r="R93" s="278"/>
      <c r="S93" s="272">
        <f>S35</f>
        <v>44307.5</v>
      </c>
      <c r="T93" s="278"/>
      <c r="U93" s="272">
        <f>U35</f>
        <v>43779.16</v>
      </c>
      <c r="V93" s="278"/>
      <c r="W93" s="272">
        <f>W35</f>
        <v>42793.5</v>
      </c>
      <c r="X93" s="278"/>
      <c r="Y93" s="272">
        <f>Y35</f>
        <v>42090.69</v>
      </c>
      <c r="Z93" s="278"/>
      <c r="AA93" s="272">
        <f>AA35</f>
        <v>40483.611327409999</v>
      </c>
      <c r="AB93" s="278"/>
    </row>
    <row r="94" spans="1:28" ht="14" thickBot="1">
      <c r="A94" s="337" t="s">
        <v>323</v>
      </c>
      <c r="B94" s="295" t="s">
        <v>322</v>
      </c>
      <c r="C94" s="298">
        <f>C92/C93</f>
        <v>2.7220441780335513E-3</v>
      </c>
      <c r="D94" s="289"/>
      <c r="E94" s="298">
        <f>E92/E93</f>
        <v>2.8128667702352794E-3</v>
      </c>
      <c r="F94" s="289"/>
      <c r="G94" s="298">
        <f>G92/G93</f>
        <v>2.8134463870679999E-3</v>
      </c>
      <c r="H94" s="289"/>
      <c r="I94" s="298">
        <f>I92/I93</f>
        <v>2.9986383123885461E-3</v>
      </c>
      <c r="J94" s="289"/>
      <c r="K94" s="298">
        <f>K92/K93</f>
        <v>3.0246754706574654E-3</v>
      </c>
      <c r="L94" s="289"/>
      <c r="M94" s="298">
        <f>M92/M93</f>
        <v>3.2814897613979961E-3</v>
      </c>
      <c r="N94" s="289"/>
      <c r="O94" s="298">
        <f>O92/O93</f>
        <v>2.745583847363169E-3</v>
      </c>
      <c r="P94" s="289"/>
      <c r="Q94" s="298">
        <f>Q92/Q93</f>
        <v>2.9296705763464754E-3</v>
      </c>
      <c r="R94" s="289"/>
      <c r="S94" s="298">
        <f>S92/S93</f>
        <v>4.9495006488743439E-3</v>
      </c>
      <c r="T94" s="289"/>
      <c r="U94" s="298">
        <f>U92/U93</f>
        <v>5.8589520676047687E-3</v>
      </c>
      <c r="V94" s="289"/>
      <c r="W94" s="298">
        <f>W92/W93</f>
        <v>4.9516865879163895E-3</v>
      </c>
      <c r="X94" s="289"/>
      <c r="Y94" s="298">
        <f>Y92/Y93</f>
        <v>5.147147742172912E-3</v>
      </c>
      <c r="Z94" s="289"/>
      <c r="AA94" s="298">
        <f>AA92/AA93</f>
        <v>5.369086227068714E-3</v>
      </c>
      <c r="AB94" s="289"/>
    </row>
    <row r="95" spans="1:28" ht="13">
      <c r="A95" s="264"/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1"/>
      <c r="Z95" s="300"/>
      <c r="AA95" s="300"/>
      <c r="AB95" s="300"/>
    </row>
    <row r="96" spans="1:28" ht="13">
      <c r="A96" s="264"/>
      <c r="B96" s="268" t="s">
        <v>290</v>
      </c>
      <c r="C96" s="277">
        <v>193.17000000000002</v>
      </c>
      <c r="D96" s="302"/>
      <c r="E96" s="277">
        <v>244.41251417000001</v>
      </c>
      <c r="F96" s="302"/>
      <c r="G96" s="277">
        <v>230.18639757</v>
      </c>
      <c r="H96" s="302"/>
      <c r="I96" s="277">
        <v>221.43033446000004</v>
      </c>
      <c r="J96" s="302"/>
      <c r="K96" s="277">
        <v>176.29389296000005</v>
      </c>
      <c r="L96" s="303"/>
      <c r="M96" s="277">
        <v>178.596238</v>
      </c>
      <c r="N96" s="303"/>
      <c r="O96" s="277">
        <v>286.62699999999995</v>
      </c>
      <c r="P96" s="303"/>
      <c r="Q96" s="277">
        <v>285.33299999999997</v>
      </c>
      <c r="R96" s="303"/>
      <c r="S96" s="277">
        <v>208.2</v>
      </c>
      <c r="T96" s="302"/>
      <c r="U96" s="277">
        <v>245.8</v>
      </c>
      <c r="V96" s="302"/>
      <c r="W96" s="277">
        <v>288.25700000000001</v>
      </c>
      <c r="X96" s="279"/>
      <c r="Y96" s="277">
        <v>323.09199999999998</v>
      </c>
      <c r="Z96" s="279"/>
      <c r="AA96" s="277">
        <v>250.7</v>
      </c>
      <c r="AB96" s="279"/>
    </row>
    <row r="97" spans="1:28" ht="13">
      <c r="A97" s="264"/>
      <c r="B97" s="275" t="s">
        <v>291</v>
      </c>
      <c r="C97" s="276">
        <v>160.41399999999999</v>
      </c>
      <c r="D97" s="304"/>
      <c r="E97" s="276">
        <v>150.86494906000001</v>
      </c>
      <c r="F97" s="304"/>
      <c r="G97" s="276">
        <v>152.74032990000001</v>
      </c>
      <c r="H97" s="304"/>
      <c r="I97" s="276">
        <v>157.60262899999998</v>
      </c>
      <c r="J97" s="304"/>
      <c r="K97" s="276">
        <v>149.49618800000002</v>
      </c>
      <c r="L97" s="305"/>
      <c r="M97" s="276">
        <v>170.83889500000004</v>
      </c>
      <c r="N97" s="305"/>
      <c r="O97" s="276">
        <v>134.68</v>
      </c>
      <c r="P97" s="305"/>
      <c r="Q97" s="276">
        <v>130.21000000000004</v>
      </c>
      <c r="R97" s="305"/>
      <c r="S97" s="276">
        <v>119.80000000000001</v>
      </c>
      <c r="T97" s="304"/>
      <c r="U97" s="276">
        <v>150</v>
      </c>
      <c r="V97" s="304"/>
      <c r="W97" s="276">
        <v>109</v>
      </c>
      <c r="X97" s="291"/>
      <c r="Y97" s="276">
        <v>116.38699999999999</v>
      </c>
      <c r="Z97" s="291"/>
      <c r="AA97" s="276">
        <v>131.36000000000001</v>
      </c>
      <c r="AB97" s="291"/>
    </row>
    <row r="98" spans="1:28" ht="13">
      <c r="A98" s="264"/>
      <c r="B98" s="306" t="s">
        <v>292</v>
      </c>
      <c r="C98" s="277">
        <f>C96+C97</f>
        <v>353.584</v>
      </c>
      <c r="D98" s="302"/>
      <c r="E98" s="277">
        <f>E96+E97</f>
        <v>395.27746323000002</v>
      </c>
      <c r="F98" s="302"/>
      <c r="G98" s="277">
        <f>G96+G97</f>
        <v>382.92672747</v>
      </c>
      <c r="H98" s="302"/>
      <c r="I98" s="277">
        <f>I96+I97</f>
        <v>379.03296346000002</v>
      </c>
      <c r="J98" s="302"/>
      <c r="K98" s="277">
        <f>K96+K97</f>
        <v>325.79008096000007</v>
      </c>
      <c r="L98" s="303"/>
      <c r="M98" s="277">
        <f>M96+M97</f>
        <v>349.43513300000006</v>
      </c>
      <c r="N98" s="303"/>
      <c r="O98" s="277">
        <f>O96+O97</f>
        <v>421.30699999999996</v>
      </c>
      <c r="P98" s="303"/>
      <c r="Q98" s="277">
        <f>Q96+Q97</f>
        <v>415.54300000000001</v>
      </c>
      <c r="R98" s="303"/>
      <c r="S98" s="277">
        <f>S96+S97</f>
        <v>328</v>
      </c>
      <c r="T98" s="302"/>
      <c r="U98" s="277">
        <f>U96+U97</f>
        <v>395.8</v>
      </c>
      <c r="V98" s="302"/>
      <c r="W98" s="277">
        <f>W96+W97</f>
        <v>397.25700000000001</v>
      </c>
      <c r="X98" s="302"/>
      <c r="Y98" s="277">
        <f>Y96+Y97</f>
        <v>439.47899999999998</v>
      </c>
      <c r="Z98" s="302"/>
      <c r="AA98" s="277">
        <f>AA96+AA97</f>
        <v>382.06</v>
      </c>
      <c r="AB98" s="302"/>
    </row>
    <row r="99" spans="1:28" ht="13">
      <c r="A99" s="264"/>
      <c r="B99" s="268" t="s">
        <v>288</v>
      </c>
      <c r="C99" s="277">
        <f>C35</f>
        <v>92817.744119980198</v>
      </c>
      <c r="D99" s="302"/>
      <c r="E99" s="277">
        <f>E35</f>
        <v>90460.14825605003</v>
      </c>
      <c r="F99" s="302"/>
      <c r="G99" s="277">
        <f>G35</f>
        <v>88945.039514610005</v>
      </c>
      <c r="H99" s="302"/>
      <c r="I99" s="277">
        <f>I35</f>
        <v>87527.837190519887</v>
      </c>
      <c r="J99" s="302"/>
      <c r="K99" s="277">
        <f>K35</f>
        <v>84901.214854689984</v>
      </c>
      <c r="L99" s="303"/>
      <c r="M99" s="277">
        <f>M35</f>
        <v>82944.802144999994</v>
      </c>
      <c r="N99" s="303"/>
      <c r="O99" s="277">
        <f>O35</f>
        <v>81336.069999999992</v>
      </c>
      <c r="P99" s="303"/>
      <c r="Q99" s="277">
        <f>Q35</f>
        <v>79286.388672980014</v>
      </c>
      <c r="R99" s="303"/>
      <c r="S99" s="277">
        <f>S35</f>
        <v>44307.5</v>
      </c>
      <c r="T99" s="302"/>
      <c r="U99" s="277">
        <f>U35</f>
        <v>43779.16</v>
      </c>
      <c r="V99" s="302"/>
      <c r="W99" s="277">
        <f>W35</f>
        <v>42793.5</v>
      </c>
      <c r="X99" s="302"/>
      <c r="Y99" s="277">
        <f>Y35</f>
        <v>42090.69</v>
      </c>
      <c r="Z99" s="302"/>
      <c r="AA99" s="277">
        <f>AA35</f>
        <v>40483.611327409999</v>
      </c>
      <c r="AB99" s="302"/>
    </row>
    <row r="100" spans="1:28" ht="14" thickBot="1">
      <c r="A100" s="337" t="s">
        <v>316</v>
      </c>
      <c r="B100" s="295" t="s">
        <v>297</v>
      </c>
      <c r="C100" s="283">
        <f>C98/C99</f>
        <v>3.8094440168998521E-3</v>
      </c>
      <c r="D100" s="289"/>
      <c r="E100" s="283">
        <f>E98/E99</f>
        <v>4.3696309463384462E-3</v>
      </c>
      <c r="F100" s="289"/>
      <c r="G100" s="283">
        <f>G98/G99</f>
        <v>4.305206108847711E-3</v>
      </c>
      <c r="H100" s="289"/>
      <c r="I100" s="283">
        <f>I98/I99</f>
        <v>4.3304276173872251E-3</v>
      </c>
      <c r="J100" s="289"/>
      <c r="K100" s="283">
        <f>K98/K99</f>
        <v>3.8372840897223422E-3</v>
      </c>
      <c r="L100" s="288"/>
      <c r="M100" s="283">
        <f>M98/M99</f>
        <v>4.2128635425416399E-3</v>
      </c>
      <c r="N100" s="288"/>
      <c r="O100" s="283">
        <f>O98/O99</f>
        <v>5.1798298098248412E-3</v>
      </c>
      <c r="P100" s="288"/>
      <c r="Q100" s="283">
        <f>Q98/Q99</f>
        <v>5.2410383037361464E-3</v>
      </c>
      <c r="R100" s="288"/>
      <c r="S100" s="283">
        <f>S98/S99</f>
        <v>7.4028099080291144E-3</v>
      </c>
      <c r="T100" s="289"/>
      <c r="U100" s="283">
        <f>U98/U99</f>
        <v>9.0408312996411982E-3</v>
      </c>
      <c r="V100" s="289"/>
      <c r="W100" s="283">
        <f>W98/W99</f>
        <v>9.2831154264082158E-3</v>
      </c>
      <c r="X100" s="289"/>
      <c r="Y100" s="283">
        <f>Y98/Y99</f>
        <v>1.0441240093711933E-2</v>
      </c>
      <c r="Z100" s="289"/>
      <c r="AA100" s="283">
        <f>AA98/AA99</f>
        <v>9.4373991714845097E-3</v>
      </c>
      <c r="AB100" s="289"/>
    </row>
    <row r="101" spans="1:28" ht="13">
      <c r="A101" s="264"/>
      <c r="B101" s="26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2"/>
      <c r="Z101" s="278"/>
      <c r="AA101" s="272"/>
      <c r="AB101" s="278"/>
    </row>
    <row r="102" spans="1:28" ht="13">
      <c r="A102" s="264"/>
      <c r="B102" s="26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2"/>
      <c r="Z102" s="278"/>
      <c r="AA102" s="272"/>
      <c r="AB102" s="278"/>
    </row>
    <row r="103" spans="1:28" ht="13">
      <c r="A103" s="264"/>
      <c r="B103" s="270" t="s">
        <v>294</v>
      </c>
      <c r="C103" s="272">
        <v>38.347999999999999</v>
      </c>
      <c r="D103" s="278"/>
      <c r="E103" s="272">
        <v>42.161141999999998</v>
      </c>
      <c r="F103" s="278"/>
      <c r="G103" s="272">
        <v>53.838692359999996</v>
      </c>
      <c r="H103" s="278"/>
      <c r="I103" s="272">
        <v>40.740365000000004</v>
      </c>
      <c r="J103" s="278"/>
      <c r="K103" s="272">
        <v>45.909025999999997</v>
      </c>
      <c r="L103" s="278"/>
      <c r="M103" s="272">
        <v>54.118761999999997</v>
      </c>
      <c r="N103" s="278"/>
      <c r="O103" s="272">
        <v>49.550000000000004</v>
      </c>
      <c r="P103" s="278"/>
      <c r="Q103" s="272">
        <v>47.124000000000002</v>
      </c>
      <c r="R103" s="278"/>
      <c r="S103" s="272">
        <v>51.3</v>
      </c>
      <c r="T103" s="278"/>
      <c r="U103" s="272">
        <v>40.700000000000003</v>
      </c>
      <c r="V103" s="278"/>
      <c r="W103" s="272">
        <v>43.2</v>
      </c>
      <c r="X103" s="278"/>
      <c r="Y103" s="272">
        <v>50.81</v>
      </c>
      <c r="Z103" s="278"/>
      <c r="AA103" s="272">
        <v>50</v>
      </c>
      <c r="AB103" s="278"/>
    </row>
    <row r="104" spans="1:28" ht="13">
      <c r="A104" s="264"/>
      <c r="B104" s="268" t="s">
        <v>286</v>
      </c>
      <c r="C104" s="272">
        <f>+C88</f>
        <v>231.518</v>
      </c>
      <c r="D104" s="278"/>
      <c r="E104" s="272">
        <f>+E88</f>
        <v>286.57365616999999</v>
      </c>
      <c r="F104" s="278"/>
      <c r="G104" s="272">
        <f>+G88</f>
        <v>284.02508992999998</v>
      </c>
      <c r="H104" s="278"/>
      <c r="I104" s="272">
        <f>+I88</f>
        <v>262.17069946000004</v>
      </c>
      <c r="J104" s="278"/>
      <c r="K104" s="272">
        <f>+K88</f>
        <v>222.20291896000003</v>
      </c>
      <c r="L104" s="278"/>
      <c r="M104" s="272">
        <f>+M88</f>
        <v>232.715</v>
      </c>
      <c r="N104" s="278"/>
      <c r="O104" s="272">
        <f>+O88</f>
        <v>336.17699999999996</v>
      </c>
      <c r="P104" s="278"/>
      <c r="Q104" s="272">
        <f>+Q88</f>
        <v>332.45699999999999</v>
      </c>
      <c r="R104" s="278"/>
      <c r="S104" s="272">
        <f>+S88</f>
        <v>259.5</v>
      </c>
      <c r="T104" s="278"/>
      <c r="U104" s="272">
        <f>+U88</f>
        <v>286.5</v>
      </c>
      <c r="V104" s="278"/>
      <c r="W104" s="272">
        <f>+W88</f>
        <v>331.45699999999999</v>
      </c>
      <c r="X104" s="278"/>
      <c r="Y104" s="272">
        <f>+Y88</f>
        <v>373.90199999999999</v>
      </c>
      <c r="Z104" s="278"/>
      <c r="AA104" s="272">
        <f>+AA88</f>
        <v>300.7</v>
      </c>
      <c r="AB104" s="278"/>
    </row>
    <row r="105" spans="1:28" ht="14" thickBot="1">
      <c r="A105" s="337" t="s">
        <v>309</v>
      </c>
      <c r="B105" s="282" t="s">
        <v>293</v>
      </c>
      <c r="C105" s="307">
        <f>C103/C104</f>
        <v>0.1656372290707418</v>
      </c>
      <c r="D105" s="289"/>
      <c r="E105" s="307">
        <f>E103/E104</f>
        <v>0.14712148549687118</v>
      </c>
      <c r="F105" s="289"/>
      <c r="G105" s="307">
        <f>G103/G104</f>
        <v>0.18955611412100576</v>
      </c>
      <c r="H105" s="289"/>
      <c r="I105" s="307">
        <f>I103/I104</f>
        <v>0.15539633179418608</v>
      </c>
      <c r="J105" s="289"/>
      <c r="K105" s="307">
        <f>K103/K104</f>
        <v>0.20660856398679592</v>
      </c>
      <c r="L105" s="289"/>
      <c r="M105" s="307">
        <f>M103/M104</f>
        <v>0.2325538190490514</v>
      </c>
      <c r="N105" s="289"/>
      <c r="O105" s="307">
        <f>O103/O104</f>
        <v>0.14739259378244202</v>
      </c>
      <c r="P105" s="289"/>
      <c r="Q105" s="307">
        <f>Q103/Q104</f>
        <v>0.1417446466761115</v>
      </c>
      <c r="R105" s="289"/>
      <c r="S105" s="307">
        <f>S103/S104</f>
        <v>0.19768786127167629</v>
      </c>
      <c r="T105" s="289"/>
      <c r="U105" s="307">
        <f>U103/U104</f>
        <v>0.14205933682373473</v>
      </c>
      <c r="V105" s="289"/>
      <c r="W105" s="307">
        <f>W103/W104</f>
        <v>0.13033364810518408</v>
      </c>
      <c r="X105" s="289"/>
      <c r="Y105" s="307">
        <f>Y103/Y104</f>
        <v>0.13589122283379068</v>
      </c>
      <c r="Z105" s="289"/>
      <c r="AA105" s="307">
        <f>AA103/AA104</f>
        <v>0.16627868307283006</v>
      </c>
      <c r="AB105" s="289"/>
    </row>
    <row r="106" spans="1:28" ht="13">
      <c r="A106" s="264"/>
      <c r="B106" s="26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2"/>
      <c r="Z106" s="278"/>
      <c r="AA106" s="272"/>
      <c r="AB106" s="278"/>
    </row>
    <row r="107" spans="1:28" ht="13">
      <c r="A107" s="264"/>
      <c r="B107" s="270" t="s">
        <v>295</v>
      </c>
      <c r="C107" s="272">
        <v>92.24</v>
      </c>
      <c r="D107" s="278"/>
      <c r="E107" s="272">
        <v>103.58739599999998</v>
      </c>
      <c r="F107" s="278"/>
      <c r="G107" s="272">
        <v>97.50177017</v>
      </c>
      <c r="H107" s="278"/>
      <c r="I107" s="272">
        <v>104.86169700000001</v>
      </c>
      <c r="J107" s="278"/>
      <c r="K107" s="272">
        <v>107.30243400000001</v>
      </c>
      <c r="L107" s="278"/>
      <c r="M107" s="272">
        <v>101.34362399999999</v>
      </c>
      <c r="N107" s="278"/>
      <c r="O107" s="272">
        <v>88.635000000000005</v>
      </c>
      <c r="P107" s="278"/>
      <c r="Q107" s="272">
        <v>102.07299999999999</v>
      </c>
      <c r="R107" s="278"/>
      <c r="S107" s="272">
        <v>99.5</v>
      </c>
      <c r="T107" s="278"/>
      <c r="U107" s="272">
        <v>106.5</v>
      </c>
      <c r="V107" s="278"/>
      <c r="W107" s="272">
        <v>102.9</v>
      </c>
      <c r="X107" s="278"/>
      <c r="Y107" s="272">
        <v>100.26</v>
      </c>
      <c r="Z107" s="278"/>
      <c r="AA107" s="272">
        <v>86</v>
      </c>
      <c r="AB107" s="278"/>
    </row>
    <row r="108" spans="1:28" ht="13">
      <c r="A108" s="264"/>
      <c r="B108" s="268" t="s">
        <v>289</v>
      </c>
      <c r="C108" s="272">
        <f>C92</f>
        <v>252.654</v>
      </c>
      <c r="D108" s="278"/>
      <c r="E108" s="272">
        <f>E92</f>
        <v>254.45234506</v>
      </c>
      <c r="F108" s="278"/>
      <c r="G108" s="272">
        <f>G92</f>
        <v>250.24210007000002</v>
      </c>
      <c r="H108" s="278"/>
      <c r="I108" s="272">
        <f>I92</f>
        <v>262.46432599999997</v>
      </c>
      <c r="J108" s="278"/>
      <c r="K108" s="272">
        <f>K92</f>
        <v>256.79862200000002</v>
      </c>
      <c r="L108" s="278"/>
      <c r="M108" s="272">
        <f>M92</f>
        <v>272.18251900000001</v>
      </c>
      <c r="N108" s="278"/>
      <c r="O108" s="272">
        <f>O92</f>
        <v>223.315</v>
      </c>
      <c r="P108" s="278"/>
      <c r="Q108" s="272">
        <f>Q92</f>
        <v>232.28300000000002</v>
      </c>
      <c r="R108" s="278"/>
      <c r="S108" s="272">
        <f>S92</f>
        <v>219.3</v>
      </c>
      <c r="T108" s="278"/>
      <c r="U108" s="272">
        <f>U92</f>
        <v>256.5</v>
      </c>
      <c r="V108" s="278"/>
      <c r="W108" s="272">
        <f>W92</f>
        <v>211.9</v>
      </c>
      <c r="X108" s="278"/>
      <c r="Y108" s="272">
        <f>Y92</f>
        <v>216.64699999999999</v>
      </c>
      <c r="Z108" s="278"/>
      <c r="AA108" s="272">
        <f>AA92</f>
        <v>217.36</v>
      </c>
      <c r="AB108" s="278"/>
    </row>
    <row r="109" spans="1:28" ht="14" thickBot="1">
      <c r="A109" s="337" t="s">
        <v>310</v>
      </c>
      <c r="B109" s="282" t="s">
        <v>296</v>
      </c>
      <c r="C109" s="307">
        <f>C107/C108</f>
        <v>0.36508426543810901</v>
      </c>
      <c r="D109" s="289"/>
      <c r="E109" s="307">
        <f>E107/E108</f>
        <v>0.40709939606009143</v>
      </c>
      <c r="F109" s="289"/>
      <c r="G109" s="307">
        <f>G107/G108</f>
        <v>0.38962976310830955</v>
      </c>
      <c r="H109" s="289"/>
      <c r="I109" s="307">
        <f>I107/I108</f>
        <v>0.3995274275864828</v>
      </c>
      <c r="J109" s="289"/>
      <c r="K109" s="307">
        <f>K107/K108</f>
        <v>0.41784661134201878</v>
      </c>
      <c r="L109" s="289"/>
      <c r="M109" s="307">
        <f>M107/M108</f>
        <v>0.3723370052284658</v>
      </c>
      <c r="N109" s="289"/>
      <c r="O109" s="307">
        <f>O107/O108</f>
        <v>0.39690571614087727</v>
      </c>
      <c r="P109" s="289"/>
      <c r="Q109" s="307">
        <f>Q107/Q108</f>
        <v>0.43943379412182548</v>
      </c>
      <c r="R109" s="289"/>
      <c r="S109" s="307">
        <f>S107/S108</f>
        <v>0.45371637026903783</v>
      </c>
      <c r="T109" s="289"/>
      <c r="U109" s="307">
        <f>U107/U108</f>
        <v>0.41520467836257308</v>
      </c>
      <c r="V109" s="289"/>
      <c r="W109" s="307">
        <f>W107/W108</f>
        <v>0.48560641812175553</v>
      </c>
      <c r="X109" s="289"/>
      <c r="Y109" s="307">
        <f>Y107/Y108</f>
        <v>0.46278046776553566</v>
      </c>
      <c r="Z109" s="289"/>
      <c r="AA109" s="307">
        <f>AA107/AA108</f>
        <v>0.39565697460434301</v>
      </c>
      <c r="AB109" s="289"/>
    </row>
    <row r="110" spans="1:28" ht="13">
      <c r="A110" s="264"/>
      <c r="B110" s="26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</row>
    <row r="111" spans="1:28" ht="13">
      <c r="A111" s="264"/>
      <c r="B111" s="26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</row>
    <row r="112" spans="1:28" ht="13">
      <c r="A112" s="264"/>
      <c r="B112" s="268" t="s">
        <v>263</v>
      </c>
      <c r="C112" s="272">
        <f>C18</f>
        <v>13006.999244000001</v>
      </c>
      <c r="D112" s="278"/>
      <c r="E112" s="272">
        <f>E18</f>
        <v>13331.214576718428</v>
      </c>
      <c r="F112" s="278"/>
      <c r="G112" s="272">
        <f>G18</f>
        <v>12991.201010299999</v>
      </c>
      <c r="H112" s="278"/>
      <c r="I112" s="272">
        <f>I18</f>
        <v>12591.153999999999</v>
      </c>
      <c r="J112" s="278"/>
      <c r="K112" s="272">
        <f>K18</f>
        <v>12369.748290755098</v>
      </c>
      <c r="L112" s="278"/>
      <c r="M112" s="272">
        <f>M18</f>
        <v>12107.396449</v>
      </c>
      <c r="N112" s="278"/>
      <c r="O112" s="272">
        <f>O18</f>
        <v>11775.9</v>
      </c>
      <c r="P112" s="278"/>
      <c r="Q112" s="272">
        <f>Q18</f>
        <v>10950.12103489</v>
      </c>
      <c r="R112" s="278"/>
      <c r="S112" s="272">
        <f>S18</f>
        <v>8995.4</v>
      </c>
      <c r="T112" s="278"/>
      <c r="U112" s="272">
        <f>U18</f>
        <v>8717.7999999999993</v>
      </c>
      <c r="V112" s="278"/>
      <c r="W112" s="272">
        <f>W18</f>
        <v>8449.2000000000007</v>
      </c>
      <c r="X112" s="278"/>
      <c r="Y112" s="272">
        <f>Y18</f>
        <v>8128</v>
      </c>
      <c r="Z112" s="278"/>
      <c r="AA112" s="272">
        <f>AA18</f>
        <v>7889</v>
      </c>
      <c r="AB112" s="278"/>
    </row>
    <row r="113" spans="1:28" ht="13">
      <c r="A113" s="264"/>
      <c r="B113" s="268" t="s">
        <v>264</v>
      </c>
      <c r="C113" s="272">
        <f>+C71</f>
        <v>114088.20773600001</v>
      </c>
      <c r="D113" s="278"/>
      <c r="E113" s="272">
        <f>+E71</f>
        <v>108321.32653799999</v>
      </c>
      <c r="F113" s="278"/>
      <c r="G113" s="272">
        <f>+G71</f>
        <v>106311.634504</v>
      </c>
      <c r="H113" s="278"/>
      <c r="I113" s="272">
        <f>+I71</f>
        <v>107652.02759400001</v>
      </c>
      <c r="J113" s="278"/>
      <c r="K113" s="272">
        <f>+K71</f>
        <v>101861.10500000003</v>
      </c>
      <c r="L113" s="278"/>
      <c r="M113" s="272">
        <f>+M71</f>
        <v>101241.63347000002</v>
      </c>
      <c r="N113" s="278"/>
      <c r="O113" s="272">
        <f>+O71</f>
        <v>99719.943000000014</v>
      </c>
      <c r="P113" s="278"/>
      <c r="Q113" s="272">
        <f>+Q71</f>
        <v>100882.75</v>
      </c>
      <c r="R113" s="278"/>
      <c r="S113" s="272">
        <f>+S71</f>
        <v>57184.580000000009</v>
      </c>
      <c r="T113" s="278"/>
      <c r="U113" s="272">
        <f>+U71</f>
        <v>55970</v>
      </c>
      <c r="V113" s="278"/>
      <c r="W113" s="272">
        <f>+W71</f>
        <v>54500.600000000006</v>
      </c>
      <c r="X113" s="278"/>
      <c r="Y113" s="272">
        <f>+Y71</f>
        <v>53558.399999999994</v>
      </c>
      <c r="Z113" s="278"/>
      <c r="AA113" s="272">
        <f>+AA71</f>
        <v>51101</v>
      </c>
      <c r="AB113" s="278"/>
    </row>
    <row r="114" spans="1:28" ht="14" thickBot="1">
      <c r="A114" s="337" t="s">
        <v>311</v>
      </c>
      <c r="B114" s="282" t="s">
        <v>265</v>
      </c>
      <c r="C114" s="298">
        <f>C112/C113</f>
        <v>0.11400827046120475</v>
      </c>
      <c r="D114" s="289"/>
      <c r="E114" s="298">
        <f>E112/E113</f>
        <v>0.12307100552393743</v>
      </c>
      <c r="F114" s="289"/>
      <c r="G114" s="298">
        <f>G112/G113</f>
        <v>0.12219924066552849</v>
      </c>
      <c r="H114" s="289"/>
      <c r="I114" s="298">
        <f>I112/I113</f>
        <v>0.11696160566047496</v>
      </c>
      <c r="J114" s="289"/>
      <c r="K114" s="298">
        <f>K112/K113</f>
        <v>0.12143740528590471</v>
      </c>
      <c r="L114" s="289"/>
      <c r="M114" s="298">
        <f>M112/M113</f>
        <v>0.11958910612191645</v>
      </c>
      <c r="N114" s="289"/>
      <c r="O114" s="298">
        <f>O112/O113</f>
        <v>0.11808971852300396</v>
      </c>
      <c r="P114" s="289"/>
      <c r="Q114" s="298">
        <f>Q112/Q113</f>
        <v>0.10854304660499442</v>
      </c>
      <c r="R114" s="289"/>
      <c r="S114" s="298">
        <f>S112/S113</f>
        <v>0.15730464401417302</v>
      </c>
      <c r="T114" s="289"/>
      <c r="U114" s="298">
        <f>U112/U113</f>
        <v>0.15575844202251204</v>
      </c>
      <c r="V114" s="289"/>
      <c r="W114" s="298">
        <f>W112/W113</f>
        <v>0.15502948591391655</v>
      </c>
      <c r="X114" s="289"/>
      <c r="Y114" s="298">
        <f>Y112/Y113</f>
        <v>0.15175957459520822</v>
      </c>
      <c r="Z114" s="289"/>
      <c r="AA114" s="298">
        <f>AA112/AA113</f>
        <v>0.154380540498229</v>
      </c>
      <c r="AB114" s="289"/>
    </row>
    <row r="115" spans="1:28" ht="13">
      <c r="A115" s="264"/>
      <c r="B115" s="26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</row>
    <row r="116" spans="1:28" ht="13">
      <c r="A116" s="264"/>
      <c r="B116" s="26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</row>
    <row r="117" spans="1:28" ht="13">
      <c r="A117" s="264"/>
      <c r="B117" s="268" t="s">
        <v>263</v>
      </c>
      <c r="C117" s="272">
        <f>C18</f>
        <v>13006.999244000001</v>
      </c>
      <c r="D117" s="278"/>
      <c r="E117" s="272">
        <f>E18</f>
        <v>13331.214576718428</v>
      </c>
      <c r="F117" s="278"/>
      <c r="G117" s="272">
        <f>G18</f>
        <v>12991.201010299999</v>
      </c>
      <c r="H117" s="272"/>
      <c r="I117" s="272">
        <f>I18</f>
        <v>12591.153999999999</v>
      </c>
      <c r="J117" s="278"/>
      <c r="K117" s="272">
        <f>K18</f>
        <v>12369.748290755098</v>
      </c>
      <c r="L117" s="278"/>
      <c r="M117" s="272">
        <f>+M112</f>
        <v>12107.396449</v>
      </c>
      <c r="N117" s="278"/>
      <c r="O117" s="272">
        <f>+O112</f>
        <v>11775.9</v>
      </c>
      <c r="P117" s="278"/>
      <c r="Q117" s="272">
        <f>+Q112</f>
        <v>10950.12103489</v>
      </c>
      <c r="R117" s="278"/>
      <c r="S117" s="308" t="s">
        <v>198</v>
      </c>
      <c r="T117" s="278"/>
      <c r="U117" s="308" t="s">
        <v>198</v>
      </c>
      <c r="V117" s="278"/>
      <c r="W117" s="308" t="s">
        <v>198</v>
      </c>
      <c r="X117" s="278"/>
      <c r="Y117" s="308" t="s">
        <v>198</v>
      </c>
      <c r="Z117" s="278"/>
      <c r="AA117" s="308" t="s">
        <v>198</v>
      </c>
      <c r="AB117" s="278"/>
    </row>
    <row r="118" spans="1:28" ht="13">
      <c r="A118" s="264"/>
      <c r="B118" s="286" t="s">
        <v>266</v>
      </c>
      <c r="C118" s="272">
        <v>57.376956999999997</v>
      </c>
      <c r="D118" s="278"/>
      <c r="E118" s="272">
        <v>62.4</v>
      </c>
      <c r="F118" s="278"/>
      <c r="G118" s="272">
        <v>53.335999999999999</v>
      </c>
      <c r="H118" s="272"/>
      <c r="I118" s="272">
        <v>50.855761000000001</v>
      </c>
      <c r="J118" s="278"/>
      <c r="K118" s="272">
        <v>49</v>
      </c>
      <c r="L118" s="278"/>
      <c r="M118" s="272">
        <v>47.279034750000001</v>
      </c>
      <c r="N118" s="278"/>
      <c r="O118" s="272">
        <v>46</v>
      </c>
      <c r="P118" s="278"/>
      <c r="Q118" s="272">
        <v>45</v>
      </c>
      <c r="R118" s="278"/>
      <c r="S118" s="308" t="s">
        <v>198</v>
      </c>
      <c r="T118" s="278"/>
      <c r="U118" s="308" t="s">
        <v>198</v>
      </c>
      <c r="V118" s="278"/>
      <c r="W118" s="308" t="s">
        <v>198</v>
      </c>
      <c r="X118" s="278"/>
      <c r="Y118" s="308" t="s">
        <v>198</v>
      </c>
      <c r="Z118" s="278"/>
      <c r="AA118" s="308" t="s">
        <v>198</v>
      </c>
      <c r="AB118" s="278"/>
    </row>
    <row r="119" spans="1:28" ht="13">
      <c r="A119" s="338"/>
      <c r="B119" s="286" t="s">
        <v>267</v>
      </c>
      <c r="C119" s="272">
        <v>19.237159999999999</v>
      </c>
      <c r="D119" s="278"/>
      <c r="E119" s="272">
        <v>19.520132000000004</v>
      </c>
      <c r="F119" s="278"/>
      <c r="G119" s="272">
        <v>23.610119999999998</v>
      </c>
      <c r="H119" s="272"/>
      <c r="I119" s="272">
        <v>27.225885000000002</v>
      </c>
      <c r="J119" s="278"/>
      <c r="K119" s="272">
        <v>28.733000000000001</v>
      </c>
      <c r="L119" s="278"/>
      <c r="M119" s="272">
        <v>32.701132000000001</v>
      </c>
      <c r="N119" s="278"/>
      <c r="O119" s="272">
        <v>40.4</v>
      </c>
      <c r="P119" s="278"/>
      <c r="Q119" s="272">
        <v>43.90314489</v>
      </c>
      <c r="R119" s="278"/>
      <c r="S119" s="308" t="s">
        <v>198</v>
      </c>
      <c r="T119" s="278"/>
      <c r="U119" s="308" t="s">
        <v>198</v>
      </c>
      <c r="V119" s="278"/>
      <c r="W119" s="308" t="s">
        <v>198</v>
      </c>
      <c r="X119" s="278"/>
      <c r="Y119" s="308" t="s">
        <v>198</v>
      </c>
      <c r="Z119" s="278"/>
      <c r="AA119" s="308" t="s">
        <v>198</v>
      </c>
      <c r="AB119" s="278"/>
    </row>
    <row r="120" spans="1:28" ht="13">
      <c r="A120" s="338"/>
      <c r="B120" s="286" t="s">
        <v>268</v>
      </c>
      <c r="C120" s="272">
        <v>400</v>
      </c>
      <c r="D120" s="278"/>
      <c r="E120" s="272">
        <v>400</v>
      </c>
      <c r="F120" s="278"/>
      <c r="G120" s="272">
        <v>400</v>
      </c>
      <c r="H120" s="272"/>
      <c r="I120" s="272">
        <v>400</v>
      </c>
      <c r="J120" s="278"/>
      <c r="K120" s="272">
        <v>400</v>
      </c>
      <c r="L120" s="278"/>
      <c r="M120" s="272">
        <v>400</v>
      </c>
      <c r="N120" s="278"/>
      <c r="O120" s="272">
        <v>400</v>
      </c>
      <c r="P120" s="278"/>
      <c r="Q120" s="272">
        <v>400</v>
      </c>
      <c r="R120" s="278"/>
      <c r="S120" s="308" t="s">
        <v>198</v>
      </c>
      <c r="T120" s="278"/>
      <c r="U120" s="308" t="s">
        <v>198</v>
      </c>
      <c r="V120" s="278"/>
      <c r="W120" s="308" t="s">
        <v>198</v>
      </c>
      <c r="X120" s="278"/>
      <c r="Y120" s="308" t="s">
        <v>198</v>
      </c>
      <c r="Z120" s="278"/>
      <c r="AA120" s="308" t="s">
        <v>198</v>
      </c>
      <c r="AB120" s="278"/>
    </row>
    <row r="121" spans="1:28" ht="13">
      <c r="A121" s="338"/>
      <c r="B121" s="306" t="s">
        <v>269</v>
      </c>
      <c r="C121" s="277">
        <v>34.439278000000002</v>
      </c>
      <c r="D121" s="279"/>
      <c r="E121" s="277">
        <v>29.5</v>
      </c>
      <c r="F121" s="279"/>
      <c r="G121" s="277">
        <v>26.188611000000002</v>
      </c>
      <c r="H121" s="277"/>
      <c r="I121" s="277">
        <v>22</v>
      </c>
      <c r="J121" s="279"/>
      <c r="K121" s="277">
        <v>17.637833999999998</v>
      </c>
      <c r="L121" s="279"/>
      <c r="M121" s="277">
        <f>+M10</f>
        <v>13.238778</v>
      </c>
      <c r="N121" s="279"/>
      <c r="O121" s="277">
        <f>+O10</f>
        <v>8.8353889999999993</v>
      </c>
      <c r="P121" s="279"/>
      <c r="Q121" s="277">
        <f>+Q10</f>
        <v>4.4354440000000004</v>
      </c>
      <c r="R121" s="279"/>
      <c r="S121" s="309" t="s">
        <v>198</v>
      </c>
      <c r="T121" s="279"/>
      <c r="U121" s="309" t="s">
        <v>198</v>
      </c>
      <c r="V121" s="279"/>
      <c r="W121" s="309" t="s">
        <v>198</v>
      </c>
      <c r="X121" s="279"/>
      <c r="Y121" s="309" t="s">
        <v>198</v>
      </c>
      <c r="Z121" s="279"/>
      <c r="AA121" s="309" t="s">
        <v>198</v>
      </c>
      <c r="AB121" s="279"/>
    </row>
    <row r="122" spans="1:28" ht="13">
      <c r="A122" s="338"/>
      <c r="B122" s="275" t="s">
        <v>270</v>
      </c>
      <c r="C122" s="276">
        <v>1.0351250000000001</v>
      </c>
      <c r="D122" s="291"/>
      <c r="E122" s="276"/>
      <c r="F122" s="291"/>
      <c r="G122" s="276"/>
      <c r="H122" s="276"/>
      <c r="I122" s="276"/>
      <c r="J122" s="291"/>
      <c r="K122" s="276"/>
      <c r="L122" s="291"/>
      <c r="M122" s="276"/>
      <c r="N122" s="291"/>
      <c r="O122" s="276"/>
      <c r="P122" s="291"/>
      <c r="Q122" s="276"/>
      <c r="R122" s="291"/>
      <c r="S122" s="310"/>
      <c r="T122" s="291"/>
      <c r="U122" s="310"/>
      <c r="V122" s="291"/>
      <c r="W122" s="310"/>
      <c r="X122" s="291"/>
      <c r="Y122" s="310"/>
      <c r="Z122" s="291"/>
      <c r="AA122" s="310"/>
      <c r="AB122" s="291"/>
    </row>
    <row r="123" spans="1:28" ht="13">
      <c r="A123" s="339"/>
      <c r="B123" s="311" t="s">
        <v>271</v>
      </c>
      <c r="C123" s="272">
        <f>C117-C118-C119-C120+C121-C122</f>
        <v>12563.789279999999</v>
      </c>
      <c r="D123" s="278"/>
      <c r="E123" s="272">
        <f>E117-E118-E119-E120+E121</f>
        <v>12878.794444718429</v>
      </c>
      <c r="F123" s="278"/>
      <c r="G123" s="272">
        <f>G117-G118-G119-G120+G121</f>
        <v>12540.4435013</v>
      </c>
      <c r="H123" s="272"/>
      <c r="I123" s="272">
        <f>I117-I118-I119-I120+I121</f>
        <v>12135.072353999998</v>
      </c>
      <c r="J123" s="278"/>
      <c r="K123" s="272">
        <f>K117-K118-K119-K120+K121</f>
        <v>11909.653124755097</v>
      </c>
      <c r="L123" s="278"/>
      <c r="M123" s="272">
        <f>M117-M118-M119-M120+M121</f>
        <v>11640.655060250001</v>
      </c>
      <c r="N123" s="272"/>
      <c r="O123" s="272">
        <f>O117-O118-O119-O120+O121</f>
        <v>11298.335389</v>
      </c>
      <c r="P123" s="278"/>
      <c r="Q123" s="272">
        <f>Q117-Q118-Q119-Q120+Q121</f>
        <v>10465.653334000001</v>
      </c>
      <c r="R123" s="278"/>
      <c r="S123" s="308" t="s">
        <v>198</v>
      </c>
      <c r="T123" s="278"/>
      <c r="U123" s="308" t="s">
        <v>198</v>
      </c>
      <c r="V123" s="278"/>
      <c r="W123" s="308" t="s">
        <v>198</v>
      </c>
      <c r="X123" s="278"/>
      <c r="Y123" s="308" t="s">
        <v>198</v>
      </c>
      <c r="Z123" s="278"/>
      <c r="AA123" s="308" t="s">
        <v>198</v>
      </c>
      <c r="AB123" s="278"/>
    </row>
    <row r="124" spans="1:28" ht="13">
      <c r="A124" s="338"/>
      <c r="B124" s="312" t="s">
        <v>272</v>
      </c>
      <c r="C124" s="313">
        <v>0.67552884523400603</v>
      </c>
      <c r="D124" s="278"/>
      <c r="E124" s="314">
        <v>0.67527848656046996</v>
      </c>
      <c r="F124" s="314"/>
      <c r="G124" s="314">
        <v>0.67909544299689906</v>
      </c>
      <c r="H124" s="314"/>
      <c r="I124" s="314">
        <v>0.68019204285072066</v>
      </c>
      <c r="J124" s="314"/>
      <c r="K124" s="314">
        <v>0.67294279680764146</v>
      </c>
      <c r="L124" s="315"/>
      <c r="M124" s="314">
        <v>0.67300000000000004</v>
      </c>
      <c r="N124" s="314">
        <f>+M124</f>
        <v>0.67300000000000004</v>
      </c>
      <c r="O124" s="314">
        <v>0.67255691881993418</v>
      </c>
      <c r="P124" s="315"/>
      <c r="Q124" s="314">
        <v>0.67255691881993418</v>
      </c>
      <c r="R124" s="314"/>
      <c r="S124" s="308" t="s">
        <v>198</v>
      </c>
      <c r="T124" s="308"/>
      <c r="U124" s="308" t="s">
        <v>198</v>
      </c>
      <c r="V124" s="316"/>
      <c r="W124" s="308" t="s">
        <v>198</v>
      </c>
      <c r="X124" s="308"/>
      <c r="Y124" s="308" t="s">
        <v>198</v>
      </c>
      <c r="Z124" s="308"/>
      <c r="AA124" s="308" t="s">
        <v>198</v>
      </c>
      <c r="AB124" s="308"/>
    </row>
    <row r="125" spans="1:28" ht="13">
      <c r="A125" s="339"/>
      <c r="B125" s="311" t="s">
        <v>273</v>
      </c>
      <c r="C125" s="272">
        <f>C123*C124</f>
        <v>8487.2020640817827</v>
      </c>
      <c r="D125" s="278"/>
      <c r="E125" s="272">
        <f>E123*E124</f>
        <v>8696.772821352848</v>
      </c>
      <c r="F125" s="272"/>
      <c r="G125" s="272">
        <f>G123*G124</f>
        <v>8516.1580348929074</v>
      </c>
      <c r="H125" s="272"/>
      <c r="I125" s="272">
        <f>I123*I124</f>
        <v>8254.1796546085625</v>
      </c>
      <c r="J125" s="272"/>
      <c r="K125" s="272">
        <f>K123*K124</f>
        <v>8014.5152827815618</v>
      </c>
      <c r="L125" s="278"/>
      <c r="M125" s="272">
        <f>M123*M124</f>
        <v>7834.1608555482508</v>
      </c>
      <c r="N125" s="272"/>
      <c r="O125" s="272">
        <f>O123*O124</f>
        <v>7598.7736370200628</v>
      </c>
      <c r="P125" s="278"/>
      <c r="Q125" s="272">
        <f>Q123*Q124</f>
        <v>7038.7475597526118</v>
      </c>
      <c r="R125" s="272"/>
      <c r="S125" s="308" t="s">
        <v>198</v>
      </c>
      <c r="T125" s="308"/>
      <c r="U125" s="308" t="s">
        <v>198</v>
      </c>
      <c r="V125" s="272"/>
      <c r="W125" s="308" t="s">
        <v>198</v>
      </c>
      <c r="X125" s="308"/>
      <c r="Y125" s="308" t="s">
        <v>198</v>
      </c>
      <c r="Z125" s="308"/>
      <c r="AA125" s="308" t="s">
        <v>198</v>
      </c>
      <c r="AB125" s="308"/>
    </row>
    <row r="126" spans="1:28" ht="13">
      <c r="A126" s="339"/>
      <c r="B126" s="312" t="s">
        <v>274</v>
      </c>
      <c r="C126" s="272">
        <v>107179987</v>
      </c>
      <c r="D126" s="278"/>
      <c r="E126" s="272">
        <v>107179987</v>
      </c>
      <c r="F126" s="272"/>
      <c r="G126" s="272">
        <v>107179987</v>
      </c>
      <c r="H126" s="272"/>
      <c r="I126" s="272">
        <v>107179987</v>
      </c>
      <c r="J126" s="272"/>
      <c r="K126" s="272">
        <v>106202540</v>
      </c>
      <c r="L126" s="278"/>
      <c r="M126" s="272">
        <v>106202540</v>
      </c>
      <c r="N126" s="272">
        <f>+M126</f>
        <v>106202540</v>
      </c>
      <c r="O126" s="272">
        <v>106202540</v>
      </c>
      <c r="P126" s="278"/>
      <c r="Q126" s="272">
        <v>106202540</v>
      </c>
      <c r="R126" s="272">
        <f>+Q126</f>
        <v>106202540</v>
      </c>
      <c r="S126" s="308" t="s">
        <v>198</v>
      </c>
      <c r="T126" s="308"/>
      <c r="U126" s="308" t="s">
        <v>198</v>
      </c>
      <c r="V126" s="308"/>
      <c r="W126" s="308" t="s">
        <v>198</v>
      </c>
      <c r="X126" s="308"/>
      <c r="Y126" s="308" t="s">
        <v>198</v>
      </c>
      <c r="Z126" s="308"/>
      <c r="AA126" s="308" t="s">
        <v>198</v>
      </c>
      <c r="AB126" s="308"/>
    </row>
    <row r="127" spans="1:28" ht="14" thickBot="1">
      <c r="A127" s="337" t="s">
        <v>312</v>
      </c>
      <c r="B127" s="282" t="s">
        <v>275</v>
      </c>
      <c r="C127" s="317">
        <f>C125*1000000/C126</f>
        <v>79.186444238715779</v>
      </c>
      <c r="D127" s="289"/>
      <c r="E127" s="317">
        <f>E125*1000000/E126</f>
        <v>81.141760367566079</v>
      </c>
      <c r="F127" s="289"/>
      <c r="G127" s="317">
        <f>G125*1000000/G126</f>
        <v>79.456606342869847</v>
      </c>
      <c r="H127" s="288"/>
      <c r="I127" s="317">
        <f>I125*1000000/I126</f>
        <v>77.012321848934008</v>
      </c>
      <c r="J127" s="289"/>
      <c r="K127" s="317">
        <f>K125*1000000/K126</f>
        <v>75.464440707176706</v>
      </c>
      <c r="L127" s="289"/>
      <c r="M127" s="317">
        <f>M125*1000000/M126</f>
        <v>73.766228713063271</v>
      </c>
      <c r="N127" s="289"/>
      <c r="O127" s="317">
        <f>O125*1000000/O126</f>
        <v>71.549829571120071</v>
      </c>
      <c r="P127" s="289"/>
      <c r="Q127" s="317">
        <f>Q125*1000000/Q126</f>
        <v>66.276640462201868</v>
      </c>
      <c r="R127" s="289"/>
      <c r="S127" s="318" t="s">
        <v>198</v>
      </c>
      <c r="T127" s="318"/>
      <c r="U127" s="318" t="s">
        <v>198</v>
      </c>
      <c r="V127" s="288"/>
      <c r="W127" s="318" t="s">
        <v>198</v>
      </c>
      <c r="X127" s="318"/>
      <c r="Y127" s="318" t="s">
        <v>198</v>
      </c>
      <c r="Z127" s="318"/>
      <c r="AA127" s="318" t="s">
        <v>198</v>
      </c>
      <c r="AB127" s="318"/>
    </row>
    <row r="128" spans="1:28" ht="13">
      <c r="A128" s="264"/>
      <c r="B128" s="299"/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1"/>
      <c r="P128" s="300"/>
      <c r="Q128" s="300"/>
      <c r="R128" s="300"/>
      <c r="S128" s="302"/>
      <c r="T128" s="300"/>
      <c r="U128" s="300"/>
      <c r="V128" s="300"/>
      <c r="W128" s="300"/>
      <c r="X128" s="300"/>
      <c r="Y128" s="300"/>
      <c r="Z128" s="300"/>
      <c r="AA128" s="300"/>
      <c r="AB128" s="300"/>
    </row>
    <row r="129" spans="1:28" ht="13">
      <c r="A129" s="264"/>
      <c r="B129" s="319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3"/>
      <c r="P129" s="302"/>
      <c r="Q129" s="302"/>
      <c r="R129" s="302"/>
      <c r="S129" s="302"/>
      <c r="T129" s="302"/>
      <c r="U129" s="302"/>
      <c r="V129" s="302"/>
      <c r="W129" s="302"/>
      <c r="X129" s="302"/>
      <c r="Y129" s="302"/>
      <c r="Z129" s="302"/>
      <c r="AA129" s="302"/>
      <c r="AB129" s="302"/>
    </row>
    <row r="130" spans="1:28" ht="13">
      <c r="A130" s="264"/>
      <c r="B130" s="312" t="s">
        <v>276</v>
      </c>
      <c r="C130" s="277">
        <v>312.25379600000002</v>
      </c>
      <c r="D130" s="279"/>
      <c r="E130" s="277">
        <v>1256.9342140499998</v>
      </c>
      <c r="F130" s="277"/>
      <c r="G130" s="277">
        <v>919.86124299999983</v>
      </c>
      <c r="H130" s="277"/>
      <c r="I130" s="277">
        <v>544.72297700000024</v>
      </c>
      <c r="J130" s="277"/>
      <c r="K130" s="277">
        <v>272.52399999999989</v>
      </c>
      <c r="L130" s="277"/>
      <c r="M130" s="277">
        <v>1095.30046425</v>
      </c>
      <c r="N130" s="277"/>
      <c r="O130" s="277">
        <v>816.02027437000027</v>
      </c>
      <c r="P130" s="279"/>
      <c r="Q130" s="277">
        <v>393.79049599999996</v>
      </c>
      <c r="R130" s="277"/>
      <c r="S130" s="308" t="s">
        <v>198</v>
      </c>
      <c r="T130" s="279"/>
      <c r="U130" s="308" t="s">
        <v>198</v>
      </c>
      <c r="V130" s="279"/>
      <c r="W130" s="308" t="s">
        <v>198</v>
      </c>
      <c r="X130" s="279"/>
      <c r="Y130" s="308" t="s">
        <v>198</v>
      </c>
      <c r="Z130" s="279"/>
      <c r="AA130" s="308" t="s">
        <v>198</v>
      </c>
      <c r="AB130" s="279"/>
    </row>
    <row r="131" spans="1:28" ht="13">
      <c r="A131" s="338"/>
      <c r="B131" s="320" t="s">
        <v>272</v>
      </c>
      <c r="C131" s="321">
        <f>+C124</f>
        <v>0.67552884523400603</v>
      </c>
      <c r="D131" s="304"/>
      <c r="E131" s="322">
        <f>E124</f>
        <v>0.67527848656046996</v>
      </c>
      <c r="F131" s="322"/>
      <c r="G131" s="322">
        <v>0.67909544299689906</v>
      </c>
      <c r="H131" s="322"/>
      <c r="I131" s="322">
        <f>I124</f>
        <v>0.68019204285072066</v>
      </c>
      <c r="J131" s="322"/>
      <c r="K131" s="322">
        <f>K124</f>
        <v>0.67294279680764146</v>
      </c>
      <c r="L131" s="322"/>
      <c r="M131" s="322">
        <f>M124</f>
        <v>0.67300000000000004</v>
      </c>
      <c r="N131" s="322"/>
      <c r="O131" s="322">
        <v>0.67255252798887311</v>
      </c>
      <c r="P131" s="323"/>
      <c r="Q131" s="322">
        <f>Q124</f>
        <v>0.67255691881993418</v>
      </c>
      <c r="R131" s="322"/>
      <c r="S131" s="324" t="str">
        <f>S124</f>
        <v>-</v>
      </c>
      <c r="T131" s="324"/>
      <c r="U131" s="324" t="str">
        <f>U124</f>
        <v>-</v>
      </c>
      <c r="V131" s="324"/>
      <c r="W131" s="324" t="str">
        <f>W124</f>
        <v>-</v>
      </c>
      <c r="X131" s="324"/>
      <c r="Y131" s="324" t="str">
        <f>Y124</f>
        <v>-</v>
      </c>
      <c r="Z131" s="324"/>
      <c r="AA131" s="324" t="str">
        <f>AA124</f>
        <v>-</v>
      </c>
      <c r="AB131" s="324"/>
    </row>
    <row r="132" spans="1:28" ht="13">
      <c r="A132" s="338"/>
      <c r="B132" s="311" t="s">
        <v>277</v>
      </c>
      <c r="C132" s="277">
        <f t="shared" ref="C132" si="27">C130*C131</f>
        <v>210.9364462318149</v>
      </c>
      <c r="D132" s="279"/>
      <c r="E132" s="277">
        <f>E130*E131</f>
        <v>848.78063376975763</v>
      </c>
      <c r="F132" s="277"/>
      <c r="G132" s="277">
        <f t="shared" ref="G132" si="28">G130*G131</f>
        <v>624.67357831076311</v>
      </c>
      <c r="H132" s="277"/>
      <c r="I132" s="277">
        <f t="shared" ref="I132" si="29">I130*I131</f>
        <v>370.51623451335627</v>
      </c>
      <c r="J132" s="277"/>
      <c r="K132" s="277">
        <f t="shared" ref="K132" si="30">K130*K131</f>
        <v>183.3930627572056</v>
      </c>
      <c r="L132" s="277"/>
      <c r="M132" s="277">
        <f t="shared" ref="M132" si="31">M130*M131</f>
        <v>737.1372124402501</v>
      </c>
      <c r="N132" s="277"/>
      <c r="O132" s="277">
        <f t="shared" ref="O132" si="32">O130*O131</f>
        <v>548.81649841771753</v>
      </c>
      <c r="P132" s="279"/>
      <c r="Q132" s="277">
        <f t="shared" ref="Q132" si="33">Q130*Q131</f>
        <v>264.84652265033361</v>
      </c>
      <c r="R132" s="277"/>
      <c r="S132" s="308" t="s">
        <v>198</v>
      </c>
      <c r="T132" s="308"/>
      <c r="U132" s="308" t="s">
        <v>198</v>
      </c>
      <c r="V132" s="308"/>
      <c r="W132" s="308" t="s">
        <v>198</v>
      </c>
      <c r="X132" s="308"/>
      <c r="Y132" s="308" t="s">
        <v>198</v>
      </c>
      <c r="Z132" s="308"/>
      <c r="AA132" s="308" t="s">
        <v>198</v>
      </c>
      <c r="AB132" s="308"/>
    </row>
    <row r="133" spans="1:28" ht="13">
      <c r="A133" s="338"/>
      <c r="B133" s="320" t="s">
        <v>278</v>
      </c>
      <c r="C133" s="276">
        <f t="shared" ref="C133:Q133" si="34">+C126</f>
        <v>107179987</v>
      </c>
      <c r="D133" s="291"/>
      <c r="E133" s="276">
        <f>+E126</f>
        <v>107179987</v>
      </c>
      <c r="F133" s="276"/>
      <c r="G133" s="276">
        <f t="shared" si="34"/>
        <v>107179987</v>
      </c>
      <c r="H133" s="276"/>
      <c r="I133" s="276">
        <f t="shared" si="34"/>
        <v>107179987</v>
      </c>
      <c r="J133" s="276"/>
      <c r="K133" s="276">
        <f t="shared" si="34"/>
        <v>106202540</v>
      </c>
      <c r="L133" s="276"/>
      <c r="M133" s="276">
        <f t="shared" si="34"/>
        <v>106202540</v>
      </c>
      <c r="N133" s="276"/>
      <c r="O133" s="276">
        <f t="shared" si="34"/>
        <v>106202540</v>
      </c>
      <c r="P133" s="291"/>
      <c r="Q133" s="276">
        <f t="shared" si="34"/>
        <v>106202540</v>
      </c>
      <c r="R133" s="276"/>
      <c r="S133" s="310" t="s">
        <v>198</v>
      </c>
      <c r="T133" s="310"/>
      <c r="U133" s="310" t="s">
        <v>198</v>
      </c>
      <c r="V133" s="310"/>
      <c r="W133" s="310" t="s">
        <v>198</v>
      </c>
      <c r="X133" s="310"/>
      <c r="Y133" s="310" t="s">
        <v>198</v>
      </c>
      <c r="Z133" s="310"/>
      <c r="AA133" s="310" t="s">
        <v>198</v>
      </c>
      <c r="AB133" s="310"/>
    </row>
    <row r="134" spans="1:28" ht="14" thickBot="1">
      <c r="A134" s="337" t="s">
        <v>313</v>
      </c>
      <c r="B134" s="282" t="s">
        <v>279</v>
      </c>
      <c r="C134" s="317">
        <f>C132*1000000/C133</f>
        <v>1.9680581434649258</v>
      </c>
      <c r="D134" s="325"/>
      <c r="E134" s="317">
        <f>E132*1000000/E133</f>
        <v>7.9192082171997056</v>
      </c>
      <c r="F134" s="317"/>
      <c r="G134" s="317">
        <f t="shared" ref="G134:Q134" si="35">G132*1000000/G133</f>
        <v>5.8282669721798257</v>
      </c>
      <c r="H134" s="317"/>
      <c r="I134" s="317">
        <f t="shared" si="35"/>
        <v>3.4569535310109365</v>
      </c>
      <c r="J134" s="317"/>
      <c r="K134" s="317">
        <f t="shared" si="35"/>
        <v>1.7268236970340409</v>
      </c>
      <c r="L134" s="317"/>
      <c r="M134" s="317">
        <f t="shared" si="35"/>
        <v>6.9408623601681283</v>
      </c>
      <c r="N134" s="317"/>
      <c r="O134" s="317">
        <f t="shared" si="35"/>
        <v>5.1676400434275633</v>
      </c>
      <c r="P134" s="317"/>
      <c r="Q134" s="317">
        <f t="shared" si="35"/>
        <v>2.4937870850389605</v>
      </c>
      <c r="R134" s="317"/>
      <c r="S134" s="326" t="s">
        <v>198</v>
      </c>
      <c r="T134" s="326"/>
      <c r="U134" s="326" t="s">
        <v>198</v>
      </c>
      <c r="V134" s="326"/>
      <c r="W134" s="326" t="s">
        <v>198</v>
      </c>
      <c r="X134" s="326"/>
      <c r="Y134" s="326" t="s">
        <v>198</v>
      </c>
      <c r="Z134" s="326"/>
      <c r="AA134" s="326" t="s">
        <v>198</v>
      </c>
      <c r="AB134" s="326"/>
    </row>
    <row r="135" spans="1:28" ht="13">
      <c r="A135" s="264"/>
      <c r="B135" s="312"/>
      <c r="C135" s="302"/>
      <c r="D135" s="302"/>
      <c r="E135" s="303"/>
      <c r="F135" s="302"/>
      <c r="G135" s="302"/>
      <c r="H135" s="302"/>
      <c r="I135" s="303"/>
      <c r="J135" s="302"/>
      <c r="K135" s="303"/>
      <c r="L135" s="302"/>
      <c r="M135" s="303"/>
      <c r="N135" s="303"/>
      <c r="O135" s="303"/>
      <c r="P135" s="302"/>
      <c r="Q135" s="303"/>
      <c r="R135" s="303"/>
      <c r="S135" s="303"/>
      <c r="T135" s="303"/>
      <c r="U135" s="303"/>
      <c r="V135" s="303"/>
      <c r="W135" s="303"/>
      <c r="X135" s="303"/>
      <c r="Y135" s="303"/>
      <c r="Z135" s="303"/>
      <c r="AA135" s="303"/>
      <c r="AB135" s="303"/>
    </row>
    <row r="136" spans="1:28" ht="13">
      <c r="A136" s="264"/>
      <c r="B136" s="312" t="s">
        <v>280</v>
      </c>
      <c r="C136" s="327">
        <f>C134/C7*$A$1</f>
        <v>7.9815691373855326</v>
      </c>
      <c r="D136" s="327"/>
      <c r="E136" s="327">
        <f t="shared" ref="E136:Q136" si="36">E134/E7*$A$1</f>
        <v>7.9192082171997056</v>
      </c>
      <c r="F136" s="327"/>
      <c r="G136" s="327">
        <f t="shared" si="36"/>
        <v>7.7923715928411594</v>
      </c>
      <c r="H136" s="327"/>
      <c r="I136" s="327">
        <f t="shared" si="36"/>
        <v>6.9712046343590712</v>
      </c>
      <c r="J136" s="327"/>
      <c r="K136" s="327">
        <f t="shared" si="36"/>
        <v>7.0032294379713891</v>
      </c>
      <c r="L136" s="327"/>
      <c r="M136" s="327">
        <f t="shared" si="36"/>
        <v>6.9218982553589266</v>
      </c>
      <c r="N136" s="327"/>
      <c r="O136" s="327">
        <f t="shared" si="36"/>
        <v>6.8839000578505862</v>
      </c>
      <c r="P136" s="327"/>
      <c r="Q136" s="327">
        <f t="shared" si="36"/>
        <v>5.0012762969187943</v>
      </c>
      <c r="R136" s="327"/>
      <c r="S136" s="308" t="s">
        <v>198</v>
      </c>
      <c r="T136" s="277"/>
      <c r="U136" s="308" t="s">
        <v>198</v>
      </c>
      <c r="V136" s="277"/>
      <c r="W136" s="308" t="s">
        <v>198</v>
      </c>
      <c r="X136" s="277"/>
      <c r="Y136" s="308" t="s">
        <v>198</v>
      </c>
      <c r="Z136" s="277"/>
      <c r="AA136" s="308" t="s">
        <v>198</v>
      </c>
      <c r="AB136" s="277"/>
    </row>
    <row r="137" spans="1:28" ht="13">
      <c r="A137" s="340"/>
      <c r="B137" s="319"/>
      <c r="C137" s="302"/>
      <c r="D137" s="302"/>
      <c r="E137" s="302"/>
      <c r="F137" s="302"/>
      <c r="G137" s="302"/>
      <c r="H137" s="302"/>
      <c r="I137" s="303"/>
      <c r="J137" s="302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  <c r="AA137" s="302"/>
      <c r="AB137" s="302"/>
    </row>
    <row r="138" spans="1:28" ht="13">
      <c r="A138" s="339"/>
      <c r="B138" s="280" t="s">
        <v>281</v>
      </c>
      <c r="C138" s="327">
        <v>84.2</v>
      </c>
      <c r="D138" s="328"/>
      <c r="E138" s="327">
        <v>90.5</v>
      </c>
      <c r="F138" s="328"/>
      <c r="G138" s="327">
        <v>85.5</v>
      </c>
      <c r="H138" s="328"/>
      <c r="I138" s="327">
        <v>79.25</v>
      </c>
      <c r="J138" s="328"/>
      <c r="K138" s="309" t="s">
        <v>198</v>
      </c>
      <c r="L138" s="328"/>
      <c r="M138" s="309" t="s">
        <v>198</v>
      </c>
      <c r="N138" s="328"/>
      <c r="O138" s="329" t="s">
        <v>198</v>
      </c>
      <c r="P138" s="328"/>
      <c r="Q138" s="309" t="s">
        <v>198</v>
      </c>
      <c r="R138" s="327"/>
      <c r="S138" s="309" t="s">
        <v>198</v>
      </c>
      <c r="T138" s="327"/>
      <c r="U138" s="309" t="s">
        <v>198</v>
      </c>
      <c r="V138" s="327"/>
      <c r="W138" s="309" t="s">
        <v>198</v>
      </c>
      <c r="X138" s="327"/>
      <c r="Y138" s="309" t="s">
        <v>198</v>
      </c>
      <c r="Z138" s="327"/>
      <c r="AA138" s="309" t="s">
        <v>198</v>
      </c>
      <c r="AB138" s="327"/>
    </row>
    <row r="139" spans="1:28" ht="13">
      <c r="A139" s="339"/>
      <c r="B139" s="280" t="s">
        <v>282</v>
      </c>
      <c r="C139" s="327">
        <f>+C136</f>
        <v>7.9815691373855326</v>
      </c>
      <c r="D139" s="279"/>
      <c r="E139" s="327">
        <f>+E136</f>
        <v>7.9192082171997056</v>
      </c>
      <c r="F139" s="279"/>
      <c r="G139" s="327">
        <f>+G136</f>
        <v>7.7923715928411594</v>
      </c>
      <c r="H139" s="279"/>
      <c r="I139" s="327">
        <f>+I136</f>
        <v>6.9712046343590712</v>
      </c>
      <c r="J139" s="279"/>
      <c r="K139" s="330" t="s">
        <v>198</v>
      </c>
      <c r="L139" s="279"/>
      <c r="M139" s="330" t="s">
        <v>198</v>
      </c>
      <c r="N139" s="279"/>
      <c r="O139" s="331" t="s">
        <v>198</v>
      </c>
      <c r="P139" s="279"/>
      <c r="Q139" s="330" t="s">
        <v>198</v>
      </c>
      <c r="R139" s="277"/>
      <c r="S139" s="330" t="s">
        <v>198</v>
      </c>
      <c r="T139" s="277"/>
      <c r="U139" s="330" t="s">
        <v>198</v>
      </c>
      <c r="V139" s="277"/>
      <c r="W139" s="330" t="s">
        <v>198</v>
      </c>
      <c r="X139" s="277"/>
      <c r="Y139" s="330" t="s">
        <v>198</v>
      </c>
      <c r="Z139" s="277"/>
      <c r="AA139" s="330" t="s">
        <v>198</v>
      </c>
      <c r="AB139" s="277"/>
    </row>
    <row r="140" spans="1:28" ht="14" thickBot="1">
      <c r="A140" s="337" t="s">
        <v>314</v>
      </c>
      <c r="B140" s="282" t="s">
        <v>283</v>
      </c>
      <c r="C140" s="317">
        <f>C138/C139</f>
        <v>10.54930409681082</v>
      </c>
      <c r="D140" s="289"/>
      <c r="E140" s="317">
        <f>E138/E139</f>
        <v>11.427910154381761</v>
      </c>
      <c r="F140" s="289"/>
      <c r="G140" s="317">
        <f>G138/G139</f>
        <v>10.972269351034123</v>
      </c>
      <c r="H140" s="289"/>
      <c r="I140" s="317">
        <f>I138/I139</f>
        <v>11.368193039320557</v>
      </c>
      <c r="J140" s="289"/>
      <c r="K140" s="326" t="s">
        <v>198</v>
      </c>
      <c r="L140" s="289"/>
      <c r="M140" s="326" t="s">
        <v>198</v>
      </c>
      <c r="N140" s="289"/>
      <c r="O140" s="332" t="s">
        <v>198</v>
      </c>
      <c r="P140" s="289"/>
      <c r="Q140" s="326" t="s">
        <v>198</v>
      </c>
      <c r="R140" s="288"/>
      <c r="S140" s="326" t="s">
        <v>198</v>
      </c>
      <c r="T140" s="288"/>
      <c r="U140" s="326" t="s">
        <v>198</v>
      </c>
      <c r="V140" s="288"/>
      <c r="W140" s="326" t="s">
        <v>198</v>
      </c>
      <c r="X140" s="288"/>
      <c r="Y140" s="326" t="s">
        <v>198</v>
      </c>
      <c r="Z140" s="288"/>
      <c r="AA140" s="326" t="s">
        <v>198</v>
      </c>
      <c r="AB140" s="288"/>
    </row>
    <row r="141" spans="1:28" ht="13">
      <c r="A141" s="264"/>
      <c r="B141" s="319"/>
      <c r="C141" s="302"/>
      <c r="D141" s="302"/>
      <c r="E141" s="302"/>
      <c r="F141" s="302"/>
      <c r="G141" s="302"/>
      <c r="H141" s="302"/>
      <c r="I141" s="302"/>
      <c r="J141" s="302"/>
      <c r="K141" s="303"/>
      <c r="L141" s="302"/>
      <c r="M141" s="303"/>
      <c r="N141" s="302"/>
      <c r="O141" s="302"/>
      <c r="P141" s="302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03"/>
    </row>
    <row r="142" spans="1:28" ht="13">
      <c r="A142" s="338"/>
      <c r="B142" s="280" t="s">
        <v>281</v>
      </c>
      <c r="C142" s="327">
        <f>+C138</f>
        <v>84.2</v>
      </c>
      <c r="D142" s="279"/>
      <c r="E142" s="327">
        <v>90.5</v>
      </c>
      <c r="F142" s="279"/>
      <c r="G142" s="327">
        <v>85.5</v>
      </c>
      <c r="H142" s="279"/>
      <c r="I142" s="327">
        <f>+I138</f>
        <v>79.25</v>
      </c>
      <c r="J142" s="329"/>
      <c r="K142" s="309" t="s">
        <v>198</v>
      </c>
      <c r="L142" s="329"/>
      <c r="M142" s="309" t="s">
        <v>198</v>
      </c>
      <c r="N142" s="329"/>
      <c r="O142" s="329" t="s">
        <v>198</v>
      </c>
      <c r="P142" s="329"/>
      <c r="Q142" s="309" t="s">
        <v>198</v>
      </c>
      <c r="R142" s="309"/>
      <c r="S142" s="309" t="s">
        <v>198</v>
      </c>
      <c r="T142" s="309"/>
      <c r="U142" s="309" t="s">
        <v>198</v>
      </c>
      <c r="V142" s="309"/>
      <c r="W142" s="309" t="s">
        <v>198</v>
      </c>
      <c r="X142" s="309"/>
      <c r="Y142" s="309" t="s">
        <v>198</v>
      </c>
      <c r="Z142" s="309"/>
      <c r="AA142" s="309" t="s">
        <v>198</v>
      </c>
      <c r="AB142" s="309"/>
    </row>
    <row r="143" spans="1:28" ht="13">
      <c r="A143" s="338"/>
      <c r="B143" s="280" t="s">
        <v>284</v>
      </c>
      <c r="C143" s="327">
        <f>+C127</f>
        <v>79.186444238715779</v>
      </c>
      <c r="D143" s="279"/>
      <c r="E143" s="327">
        <f>+E127</f>
        <v>81.141760367566079</v>
      </c>
      <c r="F143" s="279"/>
      <c r="G143" s="327">
        <f>+G127</f>
        <v>79.456606342869847</v>
      </c>
      <c r="H143" s="279"/>
      <c r="I143" s="327">
        <f>+I127</f>
        <v>77.012321848934008</v>
      </c>
      <c r="J143" s="331"/>
      <c r="K143" s="330" t="s">
        <v>198</v>
      </c>
      <c r="L143" s="331"/>
      <c r="M143" s="330" t="s">
        <v>198</v>
      </c>
      <c r="N143" s="331"/>
      <c r="O143" s="331" t="s">
        <v>198</v>
      </c>
      <c r="P143" s="331"/>
      <c r="Q143" s="330" t="s">
        <v>198</v>
      </c>
      <c r="R143" s="330"/>
      <c r="S143" s="330" t="s">
        <v>198</v>
      </c>
      <c r="T143" s="330"/>
      <c r="U143" s="330" t="s">
        <v>198</v>
      </c>
      <c r="V143" s="330"/>
      <c r="W143" s="330" t="s">
        <v>198</v>
      </c>
      <c r="X143" s="330"/>
      <c r="Y143" s="330" t="s">
        <v>198</v>
      </c>
      <c r="Z143" s="330"/>
      <c r="AA143" s="330" t="s">
        <v>198</v>
      </c>
      <c r="AB143" s="330"/>
    </row>
    <row r="144" spans="1:28" ht="14" thickBot="1">
      <c r="A144" s="337" t="s">
        <v>315</v>
      </c>
      <c r="B144" s="282" t="s">
        <v>285</v>
      </c>
      <c r="C144" s="317">
        <f>C142/C143</f>
        <v>1.0633133083507367</v>
      </c>
      <c r="D144" s="289"/>
      <c r="E144" s="317">
        <f>E142/E143</f>
        <v>1.1153319769011887</v>
      </c>
      <c r="F144" s="289"/>
      <c r="G144" s="317">
        <f>G142/G143</f>
        <v>1.0760590457519894</v>
      </c>
      <c r="H144" s="289"/>
      <c r="I144" s="317">
        <f>I142/I143</f>
        <v>1.0290561055340648</v>
      </c>
      <c r="J144" s="332"/>
      <c r="K144" s="326" t="s">
        <v>198</v>
      </c>
      <c r="L144" s="332"/>
      <c r="M144" s="326" t="s">
        <v>198</v>
      </c>
      <c r="N144" s="332"/>
      <c r="O144" s="332" t="s">
        <v>198</v>
      </c>
      <c r="P144" s="332"/>
      <c r="Q144" s="326" t="s">
        <v>198</v>
      </c>
      <c r="R144" s="326"/>
      <c r="S144" s="326" t="s">
        <v>198</v>
      </c>
      <c r="T144" s="326"/>
      <c r="U144" s="326" t="s">
        <v>198</v>
      </c>
      <c r="V144" s="326"/>
      <c r="W144" s="326" t="s">
        <v>198</v>
      </c>
      <c r="X144" s="326"/>
      <c r="Y144" s="326" t="s">
        <v>198</v>
      </c>
      <c r="Z144" s="326"/>
      <c r="AA144" s="326" t="s">
        <v>198</v>
      </c>
      <c r="AB144" s="326"/>
    </row>
  </sheetData>
  <pageMargins left="0.7" right="0.7" top="0.75" bottom="0.75" header="0.3" footer="0.3"/>
  <pageSetup paperSize="9" orientation="portrait" verticalDpi="0" r:id="rId1"/>
  <ignoredErrors>
    <ignoredError sqref="D84 L84 C13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0" tint="-4.9989318521683403E-2"/>
  </sheetPr>
  <dimension ref="A1:AB62"/>
  <sheetViews>
    <sheetView showGridLines="0" zoomScale="85" zoomScaleNormal="85" workbookViewId="0"/>
  </sheetViews>
  <sheetFormatPr baseColWidth="10" defaultColWidth="11.453125" defaultRowHeight="13.5"/>
  <cols>
    <col min="1" max="1" width="4.26953125" style="21" customWidth="1"/>
    <col min="2" max="2" width="67.1796875" style="21" customWidth="1"/>
    <col min="3" max="9" width="14.26953125" style="21" customWidth="1"/>
    <col min="10" max="16384" width="11.453125" style="21"/>
  </cols>
  <sheetData>
    <row r="1" spans="1:28" ht="18.75" customHeight="1"/>
    <row r="2" spans="1:28" ht="18.75" customHeight="1">
      <c r="A2" s="22" t="s">
        <v>199</v>
      </c>
      <c r="B2" s="23"/>
      <c r="C2" s="24"/>
      <c r="D2" s="24"/>
      <c r="E2" s="24"/>
    </row>
    <row r="3" spans="1:28" ht="14.25" customHeight="1">
      <c r="A3" s="22"/>
      <c r="B3" s="23"/>
      <c r="C3" s="24"/>
      <c r="D3" s="24"/>
      <c r="E3" s="24"/>
    </row>
    <row r="4" spans="1:28" ht="14.25" customHeight="1">
      <c r="A4" s="22"/>
      <c r="B4" s="25"/>
      <c r="C4" s="24"/>
      <c r="D4" s="24"/>
      <c r="E4" s="24"/>
    </row>
    <row r="5" spans="1:28" ht="14.25" customHeight="1">
      <c r="A5" s="22"/>
      <c r="B5" s="23"/>
      <c r="C5" s="24"/>
      <c r="D5" s="24"/>
      <c r="E5" s="24"/>
    </row>
    <row r="6" spans="1:28" ht="14.25" customHeight="1">
      <c r="B6" s="27"/>
      <c r="C6" s="156" t="s">
        <v>15</v>
      </c>
      <c r="D6" s="28" t="s">
        <v>16</v>
      </c>
      <c r="E6" s="28" t="s">
        <v>17</v>
      </c>
      <c r="F6" s="28" t="s">
        <v>18</v>
      </c>
      <c r="G6" s="28" t="s">
        <v>19</v>
      </c>
      <c r="H6" s="28" t="s">
        <v>16</v>
      </c>
      <c r="I6" s="28" t="s">
        <v>17</v>
      </c>
      <c r="J6" s="28" t="s">
        <v>18</v>
      </c>
      <c r="K6" s="28" t="s">
        <v>15</v>
      </c>
      <c r="L6" s="28" t="s">
        <v>16</v>
      </c>
    </row>
    <row r="7" spans="1:28" ht="14.25" customHeight="1">
      <c r="B7" s="29" t="s">
        <v>216</v>
      </c>
      <c r="C7" s="157">
        <v>2018</v>
      </c>
      <c r="D7" s="30">
        <v>2017</v>
      </c>
      <c r="E7" s="30">
        <v>2017</v>
      </c>
      <c r="F7" s="30">
        <v>2017</v>
      </c>
      <c r="G7" s="30">
        <v>2017</v>
      </c>
      <c r="H7" s="30">
        <v>2016</v>
      </c>
      <c r="I7" s="30">
        <v>2016</v>
      </c>
      <c r="J7" s="30">
        <v>2016</v>
      </c>
      <c r="K7" s="30">
        <v>2016</v>
      </c>
      <c r="L7" s="30">
        <v>2015</v>
      </c>
    </row>
    <row r="8" spans="1:28" ht="14">
      <c r="B8" s="31" t="s">
        <v>20</v>
      </c>
      <c r="C8" s="155">
        <v>810.7</v>
      </c>
      <c r="D8" s="32">
        <v>820</v>
      </c>
      <c r="E8" s="32">
        <v>808.6</v>
      </c>
      <c r="F8" s="32">
        <v>822.9</v>
      </c>
      <c r="G8" s="32">
        <v>786.8</v>
      </c>
      <c r="H8" s="32">
        <v>785.5</v>
      </c>
      <c r="I8" s="32">
        <v>765</v>
      </c>
      <c r="J8" s="32">
        <v>472</v>
      </c>
      <c r="K8" s="32">
        <v>472</v>
      </c>
      <c r="L8" s="32">
        <v>480.9</v>
      </c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</row>
    <row r="9" spans="1:28" ht="14.25" customHeight="1">
      <c r="B9" s="33" t="s">
        <v>21</v>
      </c>
      <c r="C9" s="158">
        <v>315.7</v>
      </c>
      <c r="D9" s="34">
        <v>318</v>
      </c>
      <c r="E9" s="34">
        <v>310.2</v>
      </c>
      <c r="F9" s="34">
        <v>331.5</v>
      </c>
      <c r="G9" s="34">
        <v>322.3</v>
      </c>
      <c r="H9" s="34">
        <v>333.2</v>
      </c>
      <c r="I9" s="34">
        <v>323</v>
      </c>
      <c r="J9" s="34">
        <v>171.8</v>
      </c>
      <c r="K9" s="34">
        <v>175.7</v>
      </c>
      <c r="L9" s="34">
        <v>191.8</v>
      </c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</row>
    <row r="10" spans="1:28" ht="14.25" customHeight="1">
      <c r="B10" s="35" t="s">
        <v>22</v>
      </c>
      <c r="C10" s="159">
        <v>495</v>
      </c>
      <c r="D10" s="36">
        <v>501</v>
      </c>
      <c r="E10" s="37">
        <v>498.4</v>
      </c>
      <c r="F10" s="37">
        <v>491.4</v>
      </c>
      <c r="G10" s="37">
        <v>464.5</v>
      </c>
      <c r="H10" s="37">
        <v>452.3</v>
      </c>
      <c r="I10" s="37">
        <v>442</v>
      </c>
      <c r="J10" s="37">
        <v>300</v>
      </c>
      <c r="K10" s="37">
        <v>296.60000000000002</v>
      </c>
      <c r="L10" s="37">
        <v>289.10000000000002</v>
      </c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</row>
    <row r="11" spans="1:28" ht="14.25" customHeight="1">
      <c r="B11" s="38" t="s">
        <v>23</v>
      </c>
      <c r="C11" s="155">
        <v>304.39999999999998</v>
      </c>
      <c r="D11" s="32">
        <v>312</v>
      </c>
      <c r="E11" s="32">
        <v>310.7</v>
      </c>
      <c r="F11" s="32">
        <v>297.39999999999998</v>
      </c>
      <c r="G11" s="32">
        <v>276.89999999999998</v>
      </c>
      <c r="H11" s="32">
        <v>275</v>
      </c>
      <c r="I11" s="32">
        <v>295</v>
      </c>
      <c r="J11" s="32">
        <v>137</v>
      </c>
      <c r="K11" s="32">
        <v>122.9</v>
      </c>
      <c r="L11" s="32">
        <v>128.5</v>
      </c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</row>
    <row r="12" spans="1:28" ht="14.25" customHeight="1">
      <c r="B12" s="38" t="s">
        <v>24</v>
      </c>
      <c r="C12" s="155">
        <v>22.5</v>
      </c>
      <c r="D12" s="32">
        <v>27</v>
      </c>
      <c r="E12" s="32">
        <v>27.5</v>
      </c>
      <c r="F12" s="32">
        <v>26.1</v>
      </c>
      <c r="G12" s="32">
        <v>22.3</v>
      </c>
      <c r="H12" s="32">
        <v>22.6</v>
      </c>
      <c r="I12" s="32">
        <v>23</v>
      </c>
      <c r="J12" s="32">
        <v>12.9</v>
      </c>
      <c r="K12" s="32">
        <v>12.5</v>
      </c>
      <c r="L12" s="32">
        <v>13.6</v>
      </c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</row>
    <row r="13" spans="1:28" ht="14.25" customHeight="1">
      <c r="B13" s="33" t="s">
        <v>25</v>
      </c>
      <c r="C13" s="158">
        <v>41.5</v>
      </c>
      <c r="D13" s="34">
        <v>29</v>
      </c>
      <c r="E13" s="34">
        <v>41.6</v>
      </c>
      <c r="F13" s="34">
        <v>44.8</v>
      </c>
      <c r="G13" s="34">
        <v>53.2</v>
      </c>
      <c r="H13" s="34">
        <v>42.8</v>
      </c>
      <c r="I13" s="34">
        <v>37</v>
      </c>
      <c r="J13" s="34">
        <v>50.5</v>
      </c>
      <c r="K13" s="34">
        <v>49.7</v>
      </c>
      <c r="L13" s="34">
        <v>44.2</v>
      </c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</row>
    <row r="14" spans="1:28" ht="14.25" customHeight="1">
      <c r="B14" s="35" t="s">
        <v>26</v>
      </c>
      <c r="C14" s="160">
        <v>323.39999999999998</v>
      </c>
      <c r="D14" s="37">
        <v>315</v>
      </c>
      <c r="E14" s="37">
        <v>324.89999999999998</v>
      </c>
      <c r="F14" s="37">
        <v>316</v>
      </c>
      <c r="G14" s="37">
        <v>307.8</v>
      </c>
      <c r="H14" s="37">
        <v>295.2</v>
      </c>
      <c r="I14" s="37">
        <v>310</v>
      </c>
      <c r="J14" s="37">
        <v>174.6</v>
      </c>
      <c r="K14" s="37">
        <v>160.1</v>
      </c>
      <c r="L14" s="37">
        <v>159.1</v>
      </c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</row>
    <row r="15" spans="1:28" ht="14.25" customHeight="1">
      <c r="B15" s="39" t="s">
        <v>27</v>
      </c>
      <c r="C15" s="155">
        <v>12.1</v>
      </c>
      <c r="D15" s="32">
        <v>0</v>
      </c>
      <c r="E15" s="32">
        <v>-0.2</v>
      </c>
      <c r="F15" s="32">
        <v>1.8</v>
      </c>
      <c r="G15" s="32">
        <v>8.6999999999999993</v>
      </c>
      <c r="H15" s="32">
        <v>0.3</v>
      </c>
      <c r="I15" s="32">
        <v>1</v>
      </c>
      <c r="J15" s="32">
        <v>45</v>
      </c>
      <c r="K15" s="32">
        <v>0</v>
      </c>
      <c r="L15" s="32">
        <v>0</v>
      </c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</row>
    <row r="16" spans="1:28" ht="14.25" customHeight="1">
      <c r="B16" s="38" t="s">
        <v>28</v>
      </c>
      <c r="C16" s="155">
        <v>29.7</v>
      </c>
      <c r="D16" s="32">
        <v>77</v>
      </c>
      <c r="E16" s="32">
        <v>81.8</v>
      </c>
      <c r="F16" s="32">
        <v>30.3</v>
      </c>
      <c r="G16" s="32">
        <v>6</v>
      </c>
      <c r="H16" s="32">
        <v>48.6</v>
      </c>
      <c r="I16" s="32">
        <v>21</v>
      </c>
      <c r="J16" s="32">
        <v>96</v>
      </c>
      <c r="K16" s="32">
        <v>70</v>
      </c>
      <c r="L16" s="32">
        <v>70.2</v>
      </c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</row>
    <row r="17" spans="2:28" ht="14.25" customHeight="1">
      <c r="B17" s="33" t="s">
        <v>29</v>
      </c>
      <c r="C17" s="158">
        <v>3.6</v>
      </c>
      <c r="D17" s="34">
        <v>67</v>
      </c>
      <c r="E17" s="34">
        <v>18.600000000000001</v>
      </c>
      <c r="F17" s="34">
        <v>1.7</v>
      </c>
      <c r="G17" s="34">
        <v>-14.5</v>
      </c>
      <c r="H17" s="34">
        <v>17.100000000000001</v>
      </c>
      <c r="I17" s="34">
        <v>30</v>
      </c>
      <c r="J17" s="34">
        <v>-47</v>
      </c>
      <c r="K17" s="34">
        <v>-62.7</v>
      </c>
      <c r="L17" s="34">
        <v>33</v>
      </c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</row>
    <row r="18" spans="2:28" ht="14.25" customHeight="1">
      <c r="B18" s="35" t="s">
        <v>30</v>
      </c>
      <c r="C18" s="160">
        <v>45.4</v>
      </c>
      <c r="D18" s="40">
        <v>143</v>
      </c>
      <c r="E18" s="37">
        <v>100.1</v>
      </c>
      <c r="F18" s="37">
        <v>33.799999999999997</v>
      </c>
      <c r="G18" s="37">
        <v>0.3</v>
      </c>
      <c r="H18" s="37">
        <v>66</v>
      </c>
      <c r="I18" s="37">
        <v>53</v>
      </c>
      <c r="J18" s="37">
        <v>94</v>
      </c>
      <c r="K18" s="37">
        <v>7.3</v>
      </c>
      <c r="L18" s="37">
        <v>103.2</v>
      </c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</row>
    <row r="19" spans="2:28" ht="14.25" customHeight="1">
      <c r="B19" s="41" t="s">
        <v>31</v>
      </c>
      <c r="C19" s="161">
        <v>863.8</v>
      </c>
      <c r="D19" s="32">
        <v>959</v>
      </c>
      <c r="E19" s="40">
        <v>923.4</v>
      </c>
      <c r="F19" s="40">
        <v>841.3</v>
      </c>
      <c r="G19" s="40">
        <v>772.6</v>
      </c>
      <c r="H19" s="40">
        <v>813.5</v>
      </c>
      <c r="I19" s="40">
        <v>805</v>
      </c>
      <c r="J19" s="40">
        <v>568.6</v>
      </c>
      <c r="K19" s="40">
        <v>464</v>
      </c>
      <c r="L19" s="40">
        <v>551.4</v>
      </c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</row>
    <row r="20" spans="2:28" ht="14.25" customHeight="1">
      <c r="B20" s="38" t="s">
        <v>32</v>
      </c>
      <c r="C20" s="155">
        <v>257.8</v>
      </c>
      <c r="D20" s="32">
        <v>308</v>
      </c>
      <c r="E20" s="32">
        <v>233.2</v>
      </c>
      <c r="F20" s="32">
        <v>236.6</v>
      </c>
      <c r="G20" s="32">
        <v>232.5</v>
      </c>
      <c r="H20" s="32">
        <v>253.5</v>
      </c>
      <c r="I20" s="32">
        <v>27</v>
      </c>
      <c r="J20" s="32">
        <v>145</v>
      </c>
      <c r="K20" s="32">
        <v>148.1</v>
      </c>
      <c r="L20" s="32">
        <v>155.19999999999999</v>
      </c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</row>
    <row r="21" spans="2:28" ht="14.25" customHeight="1">
      <c r="B21" s="39" t="s">
        <v>33</v>
      </c>
      <c r="C21" s="155">
        <v>23.2</v>
      </c>
      <c r="D21" s="32">
        <v>22</v>
      </c>
      <c r="E21" s="32">
        <v>20.7</v>
      </c>
      <c r="F21" s="32">
        <v>20.8</v>
      </c>
      <c r="G21" s="32">
        <v>20.5</v>
      </c>
      <c r="H21" s="32">
        <v>21.9</v>
      </c>
      <c r="I21" s="32">
        <v>19</v>
      </c>
      <c r="J21" s="32">
        <v>12</v>
      </c>
      <c r="K21" s="32">
        <v>11</v>
      </c>
      <c r="L21" s="32">
        <v>13</v>
      </c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</row>
    <row r="22" spans="2:28" ht="14.25" customHeight="1">
      <c r="B22" s="33" t="s">
        <v>34</v>
      </c>
      <c r="C22" s="158">
        <v>168.5</v>
      </c>
      <c r="D22" s="34">
        <v>220</v>
      </c>
      <c r="E22" s="34">
        <v>178.9</v>
      </c>
      <c r="F22" s="34">
        <v>220.8</v>
      </c>
      <c r="G22" s="34">
        <v>184.3</v>
      </c>
      <c r="H22" s="34">
        <v>201.2</v>
      </c>
      <c r="I22" s="34">
        <v>168</v>
      </c>
      <c r="J22" s="34">
        <v>102</v>
      </c>
      <c r="K22" s="34">
        <v>93.7</v>
      </c>
      <c r="L22" s="34">
        <v>126.1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</row>
    <row r="23" spans="2:28" ht="14.25" customHeight="1">
      <c r="B23" s="35" t="s">
        <v>35</v>
      </c>
      <c r="C23" s="160">
        <v>449.5</v>
      </c>
      <c r="D23" s="40">
        <v>550</v>
      </c>
      <c r="E23" s="37">
        <v>432.8</v>
      </c>
      <c r="F23" s="37">
        <v>478.1</v>
      </c>
      <c r="G23" s="37">
        <v>437.3</v>
      </c>
      <c r="H23" s="37">
        <v>476.5</v>
      </c>
      <c r="I23" s="37">
        <v>214</v>
      </c>
      <c r="J23" s="37">
        <v>259</v>
      </c>
      <c r="K23" s="37">
        <v>252.8</v>
      </c>
      <c r="L23" s="37">
        <v>294.3</v>
      </c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</row>
    <row r="24" spans="2:28" ht="14.25" customHeight="1">
      <c r="B24" s="42" t="s">
        <v>36</v>
      </c>
      <c r="C24" s="161">
        <v>414.3</v>
      </c>
      <c r="D24" s="32">
        <v>409</v>
      </c>
      <c r="E24" s="40">
        <v>490.5</v>
      </c>
      <c r="F24" s="40">
        <v>363.1</v>
      </c>
      <c r="G24" s="40">
        <v>335.3</v>
      </c>
      <c r="H24" s="40">
        <v>336.9</v>
      </c>
      <c r="I24" s="40">
        <v>590</v>
      </c>
      <c r="J24" s="40">
        <v>309.60000000000002</v>
      </c>
      <c r="K24" s="40">
        <v>210.9</v>
      </c>
      <c r="L24" s="40">
        <v>259.5</v>
      </c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</row>
    <row r="25" spans="2:28" ht="14.25" customHeight="1">
      <c r="B25" s="33" t="s">
        <v>37</v>
      </c>
      <c r="C25" s="158">
        <v>4.8</v>
      </c>
      <c r="D25" s="34">
        <v>-13</v>
      </c>
      <c r="E25" s="34">
        <v>14.5</v>
      </c>
      <c r="F25" s="34">
        <v>5.2</v>
      </c>
      <c r="G25" s="34">
        <v>-26.2</v>
      </c>
      <c r="H25" s="34">
        <v>42.6</v>
      </c>
      <c r="I25" s="34">
        <v>3</v>
      </c>
      <c r="J25" s="34">
        <v>20.2</v>
      </c>
      <c r="K25" s="34">
        <v>8.9</v>
      </c>
      <c r="L25" s="34">
        <v>17.8</v>
      </c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</row>
    <row r="26" spans="2:28" ht="14.25" customHeight="1">
      <c r="B26" s="35" t="s">
        <v>38</v>
      </c>
      <c r="C26" s="160">
        <v>409.5</v>
      </c>
      <c r="D26" s="40">
        <v>422</v>
      </c>
      <c r="E26" s="37">
        <v>476</v>
      </c>
      <c r="F26" s="37">
        <v>357.9</v>
      </c>
      <c r="G26" s="37">
        <v>361.4</v>
      </c>
      <c r="H26" s="37">
        <v>294.39999999999998</v>
      </c>
      <c r="I26" s="37">
        <v>587</v>
      </c>
      <c r="J26" s="37">
        <v>289.39999999999998</v>
      </c>
      <c r="K26" s="37">
        <v>202</v>
      </c>
      <c r="L26" s="37">
        <v>241.7</v>
      </c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</row>
    <row r="27" spans="2:28" ht="14.25" customHeight="1">
      <c r="B27" s="33" t="s">
        <v>39</v>
      </c>
      <c r="C27" s="162">
        <v>95.6</v>
      </c>
      <c r="D27" s="34">
        <v>85</v>
      </c>
      <c r="E27" s="43">
        <v>99.2</v>
      </c>
      <c r="F27" s="43">
        <v>83.9</v>
      </c>
      <c r="G27" s="43">
        <v>87.6</v>
      </c>
      <c r="H27" s="43">
        <v>13.5</v>
      </c>
      <c r="I27" s="43">
        <v>163</v>
      </c>
      <c r="J27" s="43">
        <v>62.2</v>
      </c>
      <c r="K27" s="43">
        <v>33</v>
      </c>
      <c r="L27" s="43">
        <v>48.2</v>
      </c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</row>
    <row r="28" spans="2:28" ht="14.25" customHeight="1">
      <c r="B28" s="44" t="s">
        <v>40</v>
      </c>
      <c r="C28" s="163">
        <v>313.89999999999998</v>
      </c>
      <c r="D28" s="45">
        <v>337</v>
      </c>
      <c r="E28" s="46">
        <v>376.8</v>
      </c>
      <c r="F28" s="46">
        <v>274</v>
      </c>
      <c r="G28" s="46">
        <v>273.89999999999998</v>
      </c>
      <c r="H28" s="46">
        <v>280.8</v>
      </c>
      <c r="I28" s="46">
        <v>424</v>
      </c>
      <c r="J28" s="46">
        <v>227.2</v>
      </c>
      <c r="K28" s="46">
        <v>169</v>
      </c>
      <c r="L28" s="46">
        <v>193.5</v>
      </c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</row>
    <row r="29" spans="2:28" ht="14.25" customHeight="1">
      <c r="B29" s="47"/>
      <c r="C29" s="164"/>
      <c r="D29" s="48"/>
      <c r="E29" s="48"/>
      <c r="F29" s="48"/>
      <c r="G29" s="48"/>
      <c r="H29" s="48"/>
      <c r="I29" s="49"/>
      <c r="J29" s="49"/>
      <c r="K29" s="49"/>
      <c r="L29" s="49"/>
    </row>
    <row r="30" spans="2:28" ht="14.25" customHeight="1">
      <c r="B30" s="47"/>
      <c r="C30" s="156" t="s">
        <v>15</v>
      </c>
      <c r="D30" s="28" t="s">
        <v>16</v>
      </c>
      <c r="E30" s="28" t="s">
        <v>17</v>
      </c>
      <c r="F30" s="28" t="s">
        <v>18</v>
      </c>
      <c r="G30" s="28" t="s">
        <v>19</v>
      </c>
      <c r="H30" s="28" t="s">
        <v>16</v>
      </c>
      <c r="I30" s="28" t="s">
        <v>17</v>
      </c>
      <c r="J30" s="28" t="s">
        <v>18</v>
      </c>
      <c r="K30" s="28" t="s">
        <v>15</v>
      </c>
      <c r="L30" s="28" t="s">
        <v>16</v>
      </c>
    </row>
    <row r="31" spans="2:28" ht="14.25" customHeight="1">
      <c r="B31" s="50"/>
      <c r="C31" s="157">
        <v>2018</v>
      </c>
      <c r="D31" s="30">
        <v>2017</v>
      </c>
      <c r="E31" s="30">
        <v>2017</v>
      </c>
      <c r="F31" s="30">
        <v>2017</v>
      </c>
      <c r="G31" s="30">
        <v>2017</v>
      </c>
      <c r="H31" s="30">
        <v>2016</v>
      </c>
      <c r="I31" s="30">
        <v>2016</v>
      </c>
      <c r="J31" s="30">
        <v>2016</v>
      </c>
      <c r="K31" s="30">
        <v>2016</v>
      </c>
      <c r="L31" s="30">
        <v>2015</v>
      </c>
    </row>
    <row r="32" spans="2:28" ht="14.25" customHeight="1">
      <c r="B32" s="51" t="s">
        <v>41</v>
      </c>
      <c r="C32" s="165"/>
      <c r="D32" s="52"/>
      <c r="E32" s="52"/>
      <c r="F32" s="52"/>
      <c r="G32" s="52"/>
      <c r="H32" s="52"/>
      <c r="I32" s="52"/>
      <c r="J32" s="52"/>
      <c r="K32" s="52"/>
      <c r="L32" s="52"/>
    </row>
    <row r="33" spans="2:23" ht="14.25" customHeight="1">
      <c r="B33" s="53" t="s">
        <v>53</v>
      </c>
      <c r="C33" s="166">
        <v>9.8718530466129092E-2</v>
      </c>
      <c r="D33" s="54">
        <v>0.104</v>
      </c>
      <c r="E33" s="54">
        <v>0.11963768594542483</v>
      </c>
      <c r="F33" s="54">
        <v>8.9898277387968142E-2</v>
      </c>
      <c r="G33" s="54">
        <v>9.2213275370305686E-2</v>
      </c>
      <c r="H33" s="54">
        <v>9.3904522868818091E-2</v>
      </c>
      <c r="I33" s="54">
        <v>0.14992409630498033</v>
      </c>
      <c r="J33" s="54">
        <v>9.0290287344681225E-2</v>
      </c>
      <c r="K33" s="54">
        <v>7.6999999999999999E-2</v>
      </c>
      <c r="L33" s="54">
        <v>8.9436891969963225E-2</v>
      </c>
    </row>
    <row r="34" spans="2:23" ht="14.25" customHeight="1">
      <c r="B34" s="53" t="s">
        <v>54</v>
      </c>
      <c r="C34" s="167">
        <v>1.8051702661913416E-2</v>
      </c>
      <c r="D34" s="55">
        <v>1.8499999999999999E-2</v>
      </c>
      <c r="E34" s="55">
        <v>1.8482305724621995E-2</v>
      </c>
      <c r="F34" s="55">
        <v>1.8816458079217023E-2</v>
      </c>
      <c r="G34" s="55">
        <v>1.8514002321617137E-2</v>
      </c>
      <c r="H34" s="55">
        <v>1.7871202954242278E-2</v>
      </c>
      <c r="I34" s="55">
        <v>1.7531074385281023E-2</v>
      </c>
      <c r="J34" s="55">
        <v>1.5269661810367211E-2</v>
      </c>
      <c r="K34" s="55">
        <v>2.085552428517521E-2</v>
      </c>
      <c r="L34" s="55">
        <v>2.076513883439015E-2</v>
      </c>
    </row>
    <row r="35" spans="2:23" ht="14.25" customHeight="1">
      <c r="B35" s="53" t="s">
        <v>55</v>
      </c>
      <c r="C35" s="166">
        <v>0.520355215279799</v>
      </c>
      <c r="D35" s="54">
        <v>0.57399999999999995</v>
      </c>
      <c r="E35" s="54">
        <v>0.46874258094775179</v>
      </c>
      <c r="F35" s="54">
        <v>0.56834671267374404</v>
      </c>
      <c r="G35" s="54">
        <v>0.56606069235100342</v>
      </c>
      <c r="H35" s="54">
        <v>0.58578992165698129</v>
      </c>
      <c r="I35" s="54">
        <v>0.26583850931677017</v>
      </c>
      <c r="J35" s="54">
        <v>0.45550474850510025</v>
      </c>
      <c r="K35" s="54">
        <v>0.5448158444861102</v>
      </c>
      <c r="L35" s="54">
        <v>0.52900000000000003</v>
      </c>
    </row>
    <row r="36" spans="2:23" ht="14.25" customHeight="1">
      <c r="B36" s="56" t="s">
        <v>42</v>
      </c>
      <c r="C36" s="168"/>
      <c r="D36" s="57"/>
      <c r="E36" s="57"/>
      <c r="F36" s="57"/>
      <c r="G36" s="57"/>
      <c r="H36" s="57"/>
      <c r="I36" s="57"/>
      <c r="J36" s="57"/>
      <c r="K36" s="57"/>
      <c r="L36" s="57"/>
    </row>
    <row r="37" spans="2:23" ht="14.25" customHeight="1">
      <c r="B37" s="31" t="s">
        <v>43</v>
      </c>
      <c r="C37" s="155">
        <v>92817.7</v>
      </c>
      <c r="D37" s="32">
        <v>90460</v>
      </c>
      <c r="E37" s="32">
        <v>88945</v>
      </c>
      <c r="F37" s="58">
        <v>87527.8</v>
      </c>
      <c r="G37" s="58">
        <v>84901.4</v>
      </c>
      <c r="H37" s="58">
        <v>82944.800000000003</v>
      </c>
      <c r="I37" s="58">
        <v>81336</v>
      </c>
      <c r="J37" s="58">
        <v>79286</v>
      </c>
      <c r="K37" s="58">
        <v>44308</v>
      </c>
      <c r="L37" s="58">
        <v>43779.199999999997</v>
      </c>
      <c r="N37" s="249"/>
      <c r="O37" s="249"/>
      <c r="P37" s="249"/>
      <c r="Q37" s="249"/>
      <c r="R37" s="249"/>
      <c r="S37" s="249"/>
      <c r="T37" s="249"/>
      <c r="U37" s="249"/>
      <c r="V37" s="249"/>
      <c r="W37" s="249"/>
    </row>
    <row r="38" spans="2:23" ht="14.25" customHeight="1">
      <c r="B38" s="31" t="s">
        <v>56</v>
      </c>
      <c r="C38" s="155">
        <v>132432.79999999999</v>
      </c>
      <c r="D38" s="32">
        <v>129535</v>
      </c>
      <c r="E38" s="32">
        <v>126919</v>
      </c>
      <c r="F38" s="58">
        <v>124393.2</v>
      </c>
      <c r="G38" s="58">
        <v>121701.4</v>
      </c>
      <c r="H38" s="58">
        <v>119450.1</v>
      </c>
      <c r="I38" s="58">
        <v>117625</v>
      </c>
      <c r="J38" s="58">
        <v>115224</v>
      </c>
      <c r="K38" s="58">
        <v>62156</v>
      </c>
      <c r="L38" s="58">
        <v>61140</v>
      </c>
      <c r="N38" s="249"/>
      <c r="O38" s="249"/>
      <c r="P38" s="249"/>
      <c r="Q38" s="249"/>
      <c r="R38" s="249"/>
      <c r="S38" s="249"/>
      <c r="T38" s="249"/>
      <c r="U38" s="249"/>
      <c r="V38" s="249"/>
      <c r="W38" s="249"/>
    </row>
    <row r="39" spans="2:23" ht="14.25" customHeight="1">
      <c r="B39" s="31" t="s">
        <v>57</v>
      </c>
      <c r="C39" s="169">
        <v>9.3241288298602412E-2</v>
      </c>
      <c r="D39" s="59">
        <v>9.0999999999999998E-2</v>
      </c>
      <c r="E39" s="59">
        <v>9.3550697287916859E-2</v>
      </c>
      <c r="F39" s="60">
        <v>0.10395072510304325</v>
      </c>
      <c r="G39" s="60">
        <v>0.91618632962816671</v>
      </c>
      <c r="H39" s="60">
        <v>0.8946184016550337</v>
      </c>
      <c r="I39" s="60">
        <v>0.90100000000000002</v>
      </c>
      <c r="J39" s="60">
        <v>0.88400000000000001</v>
      </c>
      <c r="K39" s="60">
        <v>9.4E-2</v>
      </c>
      <c r="L39" s="60">
        <v>9.6222679199101158E-2</v>
      </c>
      <c r="N39" s="249"/>
      <c r="O39" s="249"/>
      <c r="P39" s="249"/>
      <c r="Q39" s="249"/>
      <c r="R39" s="249"/>
      <c r="S39" s="249"/>
      <c r="T39" s="249"/>
      <c r="U39" s="249"/>
      <c r="V39" s="249"/>
      <c r="W39" s="249"/>
    </row>
    <row r="40" spans="2:23" ht="14.25" customHeight="1">
      <c r="B40" s="31" t="s">
        <v>58</v>
      </c>
      <c r="C40" s="169">
        <v>8.8178235441355363E-2</v>
      </c>
      <c r="D40" s="59">
        <v>8.4000000000000005E-2</v>
      </c>
      <c r="E40" s="59">
        <v>7.9014132638554668E-2</v>
      </c>
      <c r="F40" s="60">
        <v>7.9577022100603079E-2</v>
      </c>
      <c r="G40" s="60">
        <v>0.95798997575466982</v>
      </c>
      <c r="H40" s="60">
        <v>0.95371404514229607</v>
      </c>
      <c r="I40" s="60">
        <v>0.999</v>
      </c>
      <c r="J40" s="60">
        <v>0.98699999999999999</v>
      </c>
      <c r="K40" s="60">
        <v>9.8000000000000004E-2</v>
      </c>
      <c r="L40" s="60">
        <v>9.3143949061668202E-2</v>
      </c>
      <c r="N40" s="249"/>
      <c r="O40" s="249"/>
      <c r="P40" s="249"/>
      <c r="Q40" s="249"/>
      <c r="R40" s="249"/>
      <c r="S40" s="249"/>
      <c r="T40" s="249"/>
      <c r="U40" s="249"/>
      <c r="V40" s="249"/>
      <c r="W40" s="249"/>
    </row>
    <row r="41" spans="2:23" ht="14.25" customHeight="1">
      <c r="B41" s="31" t="s">
        <v>44</v>
      </c>
      <c r="C41" s="155">
        <v>66109.600000000006</v>
      </c>
      <c r="D41" s="32">
        <v>65985</v>
      </c>
      <c r="E41" s="32">
        <v>65267.8</v>
      </c>
      <c r="F41" s="58">
        <v>66652.5</v>
      </c>
      <c r="G41" s="58">
        <v>62781.8</v>
      </c>
      <c r="H41" s="58">
        <v>63070.3</v>
      </c>
      <c r="I41" s="58">
        <v>62107</v>
      </c>
      <c r="J41" s="58">
        <v>62637</v>
      </c>
      <c r="K41" s="58">
        <v>33675</v>
      </c>
      <c r="L41" s="58">
        <v>33458.199999999997</v>
      </c>
      <c r="N41" s="249"/>
      <c r="O41" s="249"/>
      <c r="P41" s="249"/>
      <c r="Q41" s="249"/>
      <c r="R41" s="249"/>
      <c r="S41" s="249"/>
      <c r="T41" s="249"/>
      <c r="U41" s="249"/>
      <c r="V41" s="249"/>
      <c r="W41" s="249"/>
    </row>
    <row r="42" spans="2:23" ht="14.25" customHeight="1">
      <c r="B42" s="31" t="s">
        <v>59</v>
      </c>
      <c r="C42" s="169">
        <v>0.71225155411603103</v>
      </c>
      <c r="D42" s="59">
        <v>0.72899999999999998</v>
      </c>
      <c r="E42" s="59">
        <v>0.73379943876779308</v>
      </c>
      <c r="F42" s="60">
        <v>0.76150075776371529</v>
      </c>
      <c r="G42" s="60">
        <v>0.73946669809637056</v>
      </c>
      <c r="H42" s="60">
        <v>0.7603890024325286</v>
      </c>
      <c r="I42" s="60">
        <v>0.76400000000000001</v>
      </c>
      <c r="J42" s="60">
        <v>0.79</v>
      </c>
      <c r="K42" s="60">
        <v>0.76</v>
      </c>
      <c r="L42" s="60">
        <v>0.76424947395061926</v>
      </c>
      <c r="N42" s="249"/>
      <c r="O42" s="249"/>
      <c r="P42" s="249"/>
      <c r="Q42" s="249"/>
      <c r="R42" s="249"/>
      <c r="S42" s="249"/>
      <c r="T42" s="249"/>
      <c r="U42" s="249"/>
      <c r="V42" s="249"/>
      <c r="W42" s="249"/>
    </row>
    <row r="43" spans="2:23" ht="14.25" customHeight="1">
      <c r="B43" s="31" t="s">
        <v>220</v>
      </c>
      <c r="C43" s="169">
        <v>0.49919331511297699</v>
      </c>
      <c r="D43" s="59">
        <v>0.50939900413015782</v>
      </c>
      <c r="E43" s="59">
        <v>0.51424767662068993</v>
      </c>
      <c r="F43" s="60">
        <v>0.53582127933892176</v>
      </c>
      <c r="G43" s="60">
        <v>0.51586728369070856</v>
      </c>
      <c r="H43" s="60">
        <v>0.52800564965597796</v>
      </c>
      <c r="I43" s="60">
        <v>0.52800850159404888</v>
      </c>
      <c r="J43" s="60">
        <v>0.54361070610289519</v>
      </c>
      <c r="K43" s="60">
        <v>0.5417819679516056</v>
      </c>
      <c r="L43" s="60">
        <v>0.54723956190282186</v>
      </c>
      <c r="N43" s="249"/>
      <c r="O43" s="249"/>
      <c r="P43" s="249"/>
      <c r="Q43" s="249"/>
      <c r="R43" s="249"/>
      <c r="S43" s="249"/>
      <c r="T43" s="249"/>
      <c r="U43" s="249"/>
      <c r="V43" s="249"/>
      <c r="W43" s="249"/>
    </row>
    <row r="44" spans="2:23" ht="14.25" customHeight="1">
      <c r="B44" s="31" t="s">
        <v>45</v>
      </c>
      <c r="C44" s="169">
        <v>5.3005914423224984E-2</v>
      </c>
      <c r="D44" s="59">
        <v>4.5999999999999999E-2</v>
      </c>
      <c r="E44" s="59">
        <v>5.0893137279211631E-2</v>
      </c>
      <c r="F44" s="60">
        <v>6.4107705445663049E-2</v>
      </c>
      <c r="G44" s="60">
        <v>0.86437146802476661</v>
      </c>
      <c r="H44" s="60">
        <v>0.8850480707270566</v>
      </c>
      <c r="I44" s="60">
        <v>0.879</v>
      </c>
      <c r="J44" s="60">
        <v>0.88600000000000001</v>
      </c>
      <c r="K44" s="60">
        <v>8.4000000000000005E-2</v>
      </c>
      <c r="L44" s="60">
        <v>7.6865143224975771E-2</v>
      </c>
      <c r="N44" s="249"/>
      <c r="O44" s="249"/>
      <c r="P44" s="249"/>
      <c r="Q44" s="249"/>
      <c r="R44" s="249"/>
      <c r="S44" s="249"/>
      <c r="T44" s="249"/>
      <c r="U44" s="249"/>
      <c r="V44" s="249"/>
      <c r="W44" s="249"/>
    </row>
    <row r="45" spans="2:23" ht="14.25" customHeight="1">
      <c r="B45" s="31" t="s">
        <v>46</v>
      </c>
      <c r="C45" s="155">
        <v>111204.8</v>
      </c>
      <c r="D45" s="32">
        <v>107316</v>
      </c>
      <c r="E45" s="32">
        <v>106981.7</v>
      </c>
      <c r="F45" s="58">
        <v>104756.6</v>
      </c>
      <c r="G45" s="58">
        <v>101749</v>
      </c>
      <c r="H45" s="58">
        <v>100678.7</v>
      </c>
      <c r="I45" s="58">
        <v>100301.4</v>
      </c>
      <c r="J45" s="58">
        <v>79019</v>
      </c>
      <c r="K45" s="58">
        <v>56577.4</v>
      </c>
      <c r="L45" s="58">
        <v>55235.5</v>
      </c>
      <c r="N45" s="249"/>
      <c r="O45" s="249"/>
      <c r="P45" s="249"/>
      <c r="Q45" s="249"/>
      <c r="R45" s="249"/>
      <c r="S45" s="249"/>
      <c r="T45" s="249"/>
      <c r="U45" s="249"/>
      <c r="V45" s="249"/>
      <c r="W45" s="249"/>
    </row>
    <row r="46" spans="2:23" ht="14.25" customHeight="1">
      <c r="B46" s="31" t="s">
        <v>1</v>
      </c>
      <c r="C46" s="155">
        <v>114088.2</v>
      </c>
      <c r="D46" s="32">
        <v>108321</v>
      </c>
      <c r="E46" s="32">
        <v>106311.6</v>
      </c>
      <c r="F46" s="58">
        <v>107652</v>
      </c>
      <c r="G46" s="58">
        <v>101861.1</v>
      </c>
      <c r="H46" s="58">
        <v>101639.9</v>
      </c>
      <c r="I46" s="58">
        <v>99720</v>
      </c>
      <c r="J46" s="58">
        <v>100883</v>
      </c>
      <c r="K46" s="58">
        <v>57185</v>
      </c>
      <c r="L46" s="58">
        <v>55970.3</v>
      </c>
      <c r="N46" s="249"/>
      <c r="O46" s="249"/>
      <c r="P46" s="249"/>
      <c r="Q46" s="249"/>
      <c r="R46" s="249"/>
      <c r="S46" s="249"/>
      <c r="T46" s="249"/>
      <c r="U46" s="249"/>
      <c r="V46" s="249"/>
      <c r="W46" s="249"/>
    </row>
    <row r="47" spans="2:23" ht="14.25" customHeight="1">
      <c r="B47" s="61" t="s">
        <v>60</v>
      </c>
      <c r="C47" s="155">
        <v>153703.29999999999</v>
      </c>
      <c r="D47" s="32">
        <v>147396</v>
      </c>
      <c r="E47" s="32">
        <v>144285.6</v>
      </c>
      <c r="F47" s="58">
        <v>144517.4</v>
      </c>
      <c r="G47" s="58">
        <v>138661.1</v>
      </c>
      <c r="H47" s="58">
        <v>138145.20000000001</v>
      </c>
      <c r="I47" s="58">
        <v>136009</v>
      </c>
      <c r="J47" s="58">
        <v>136821</v>
      </c>
      <c r="K47" s="58">
        <v>75033</v>
      </c>
      <c r="L47" s="58">
        <v>73331.100000000006</v>
      </c>
      <c r="N47" s="249"/>
      <c r="O47" s="249"/>
      <c r="P47" s="249"/>
      <c r="Q47" s="249"/>
      <c r="R47" s="249"/>
      <c r="S47" s="249"/>
      <c r="T47" s="249"/>
      <c r="U47" s="249"/>
      <c r="V47" s="249"/>
      <c r="W47" s="249"/>
    </row>
    <row r="48" spans="2:23" ht="14.25" customHeight="1">
      <c r="B48" s="56" t="s">
        <v>47</v>
      </c>
      <c r="C48" s="168"/>
      <c r="D48" s="57"/>
      <c r="E48" s="57"/>
      <c r="F48" s="57"/>
      <c r="G48" s="57"/>
      <c r="H48" s="57"/>
      <c r="I48" s="57"/>
      <c r="J48" s="57"/>
      <c r="K48" s="57"/>
      <c r="L48" s="57"/>
    </row>
    <row r="49" spans="2:12" ht="14">
      <c r="B49" s="62" t="s">
        <v>61</v>
      </c>
      <c r="C49" s="170">
        <v>2.1135930919004934E-4</v>
      </c>
      <c r="D49" s="63">
        <v>-1E-3</v>
      </c>
      <c r="E49" s="63">
        <v>6.4676460584925388E-4</v>
      </c>
      <c r="F49" s="64">
        <v>2.4003537282928076E-4</v>
      </c>
      <c r="G49" s="64">
        <v>-1.249558258629124E-3</v>
      </c>
      <c r="H49" s="64">
        <v>2.0428415177094279E-3</v>
      </c>
      <c r="I49" s="64">
        <v>1.4673431947348839E-4</v>
      </c>
      <c r="J49" s="64">
        <v>1.0246948521044831E-3</v>
      </c>
      <c r="K49" s="64">
        <v>8.0788129447513751E-4</v>
      </c>
      <c r="L49" s="64">
        <v>1.6130863455898032E-3</v>
      </c>
    </row>
    <row r="50" spans="2:12" ht="14">
      <c r="B50" s="65" t="s">
        <v>62</v>
      </c>
      <c r="C50" s="170">
        <v>2.4943290983319944E-3</v>
      </c>
      <c r="D50" s="63">
        <v>3.0000000000000001E-3</v>
      </c>
      <c r="E50" s="63">
        <v>3.193265093590142E-3</v>
      </c>
      <c r="F50" s="64">
        <v>2.9952836477535592E-3</v>
      </c>
      <c r="G50" s="64">
        <v>2.6147970768236497E-3</v>
      </c>
      <c r="H50" s="64">
        <v>3.4549923414010455E-3</v>
      </c>
      <c r="I50" s="64">
        <v>4.1310120979640014E-3</v>
      </c>
      <c r="J50" s="64">
        <v>2.3538293624676436E-3</v>
      </c>
      <c r="K50" s="64">
        <v>5.8680148054527396E-3</v>
      </c>
      <c r="L50" s="64">
        <v>5.3450089037797889E-3</v>
      </c>
    </row>
    <row r="51" spans="2:12" ht="14">
      <c r="B51" s="65" t="s">
        <v>63</v>
      </c>
      <c r="C51" s="169">
        <v>2.7220441780335513E-3</v>
      </c>
      <c r="D51" s="59">
        <v>3.0000000000000001E-3</v>
      </c>
      <c r="E51" s="59">
        <v>2.8134463870679999E-3</v>
      </c>
      <c r="F51" s="60">
        <v>2.9986383123885461E-3</v>
      </c>
      <c r="G51" s="60">
        <v>2.9917047635730047E-3</v>
      </c>
      <c r="H51" s="60">
        <v>3.0677310510088267E-3</v>
      </c>
      <c r="I51" s="60">
        <v>2.7417133864463461E-3</v>
      </c>
      <c r="J51" s="60">
        <v>2.7203069137612976E-3</v>
      </c>
      <c r="K51" s="60">
        <v>4.9426740092082698E-3</v>
      </c>
      <c r="L51" s="60">
        <v>5.8703730268008791E-3</v>
      </c>
    </row>
    <row r="52" spans="2:12" ht="26">
      <c r="B52" s="65" t="s">
        <v>64</v>
      </c>
      <c r="C52" s="169">
        <v>3.8094440168998521E-3</v>
      </c>
      <c r="D52" s="59">
        <v>4.0000000000000001E-3</v>
      </c>
      <c r="E52" s="59">
        <v>4.305206108847711E-3</v>
      </c>
      <c r="F52" s="60">
        <v>4.3304276173872251E-3</v>
      </c>
      <c r="G52" s="60">
        <v>3.8279686935481362E-3</v>
      </c>
      <c r="H52" s="60">
        <v>4.7655483286221543E-3</v>
      </c>
      <c r="I52" s="60">
        <v>5.1883544801809775E-3</v>
      </c>
      <c r="J52" s="60">
        <v>3.4511439460541225E-3</v>
      </c>
      <c r="K52" s="60">
        <v>7.402726369955764E-3</v>
      </c>
      <c r="L52" s="60">
        <v>7.8347780085319136E-3</v>
      </c>
    </row>
    <row r="53" spans="2:12" ht="14">
      <c r="B53" s="66"/>
      <c r="C53" s="171"/>
      <c r="D53" s="67"/>
      <c r="E53" s="67"/>
      <c r="F53" s="67"/>
      <c r="G53" s="67"/>
      <c r="H53" s="67"/>
      <c r="I53" s="67"/>
      <c r="J53" s="67"/>
      <c r="K53" s="67"/>
      <c r="L53" s="67"/>
    </row>
    <row r="54" spans="2:12" ht="14.25" customHeight="1">
      <c r="B54" s="68" t="s">
        <v>48</v>
      </c>
      <c r="C54" s="172"/>
      <c r="D54" s="69"/>
      <c r="E54" s="69"/>
      <c r="F54" s="69"/>
      <c r="G54" s="69"/>
      <c r="H54" s="69"/>
      <c r="I54" s="69"/>
      <c r="J54" s="69"/>
      <c r="K54" s="69"/>
      <c r="L54" s="69"/>
    </row>
    <row r="55" spans="2:12" ht="14.25" customHeight="1">
      <c r="B55" s="53" t="s">
        <v>49</v>
      </c>
      <c r="C55" s="170">
        <v>0.16200000000000001</v>
      </c>
      <c r="D55" s="63">
        <v>0.16800000000000001</v>
      </c>
      <c r="E55" s="63">
        <v>0.16904691016046353</v>
      </c>
      <c r="F55" s="64">
        <v>0.16728993952436366</v>
      </c>
      <c r="G55" s="64">
        <v>0.1671850404112834</v>
      </c>
      <c r="H55" s="64">
        <v>0.16912237515982342</v>
      </c>
      <c r="I55" s="64">
        <v>0.17499999999999999</v>
      </c>
      <c r="J55" s="64">
        <v>0.16</v>
      </c>
      <c r="K55" s="64">
        <v>0.16900000000000001</v>
      </c>
      <c r="L55" s="64">
        <v>0.17164537610378716</v>
      </c>
    </row>
    <row r="56" spans="2:12" ht="14.25" customHeight="1">
      <c r="B56" s="53" t="s">
        <v>50</v>
      </c>
      <c r="C56" s="170">
        <v>0.17</v>
      </c>
      <c r="D56" s="63">
        <v>0.17699999999999999</v>
      </c>
      <c r="E56" s="63">
        <v>0.17823123747045869</v>
      </c>
      <c r="F56" s="64">
        <v>0.17645196408748351</v>
      </c>
      <c r="G56" s="64">
        <v>0.17577394801537041</v>
      </c>
      <c r="H56" s="64">
        <v>0.17905896998433671</v>
      </c>
      <c r="I56" s="64">
        <v>0.183</v>
      </c>
      <c r="J56" s="64">
        <v>0.16700000000000001</v>
      </c>
      <c r="K56" s="64">
        <v>0.17299999999999999</v>
      </c>
      <c r="L56" s="64">
        <v>0.17509574781498574</v>
      </c>
    </row>
    <row r="57" spans="2:12" ht="14.25" customHeight="1">
      <c r="B57" s="53" t="s">
        <v>51</v>
      </c>
      <c r="C57" s="170">
        <v>0.19400000000000001</v>
      </c>
      <c r="D57" s="63">
        <v>0.20499999999999999</v>
      </c>
      <c r="E57" s="63">
        <v>0.19922772977857001</v>
      </c>
      <c r="F57" s="64">
        <v>0.19899450243251088</v>
      </c>
      <c r="G57" s="64">
        <v>0.192948041099678</v>
      </c>
      <c r="H57" s="64">
        <v>0.20325903515439406</v>
      </c>
      <c r="I57" s="64">
        <v>0.20200000000000001</v>
      </c>
      <c r="J57" s="64">
        <v>0.186</v>
      </c>
      <c r="K57" s="64">
        <v>0.188</v>
      </c>
      <c r="L57" s="64">
        <v>0.19051625523195787</v>
      </c>
    </row>
    <row r="58" spans="2:12" ht="14.25" customHeight="1">
      <c r="B58" s="70" t="s">
        <v>52</v>
      </c>
      <c r="C58" s="162">
        <v>14028</v>
      </c>
      <c r="D58" s="43">
        <v>14138</v>
      </c>
      <c r="E58" s="43">
        <v>13423.270844741101</v>
      </c>
      <c r="F58" s="71">
        <v>13440.194272883036</v>
      </c>
      <c r="G58" s="71">
        <v>12648.510290755101</v>
      </c>
      <c r="H58" s="71">
        <v>12655.881342749999</v>
      </c>
      <c r="I58" s="71">
        <v>9608</v>
      </c>
      <c r="J58" s="71">
        <v>9305</v>
      </c>
      <c r="K58" s="71">
        <v>7229</v>
      </c>
      <c r="L58" s="71">
        <v>7178.0999999999995</v>
      </c>
    </row>
    <row r="59" spans="2:12" s="72" customFormat="1" ht="14.25" customHeight="1">
      <c r="B59" s="73"/>
      <c r="C59" s="74"/>
      <c r="D59" s="74"/>
      <c r="E59" s="74"/>
      <c r="F59" s="74"/>
      <c r="G59" s="74"/>
      <c r="H59" s="74"/>
      <c r="I59" s="74"/>
    </row>
    <row r="60" spans="2:12" s="72" customFormat="1" ht="14.25" customHeight="1">
      <c r="B60" s="260" t="s">
        <v>217</v>
      </c>
      <c r="C60" s="76"/>
      <c r="D60" s="76"/>
      <c r="E60" s="76"/>
      <c r="F60" s="76"/>
      <c r="G60" s="76"/>
      <c r="H60" s="76"/>
      <c r="I60" s="76"/>
    </row>
    <row r="61" spans="2:12" s="72" customFormat="1" ht="14.25" customHeight="1">
      <c r="B61" s="260" t="s">
        <v>218</v>
      </c>
      <c r="C61" s="76"/>
      <c r="D61" s="76"/>
      <c r="E61" s="76"/>
      <c r="F61" s="76"/>
      <c r="G61" s="76"/>
      <c r="H61" s="76"/>
      <c r="I61" s="76"/>
    </row>
    <row r="62" spans="2:12" s="72" customFormat="1" ht="14.25" customHeight="1">
      <c r="B62" s="260" t="s">
        <v>219</v>
      </c>
      <c r="C62" s="74"/>
      <c r="D62" s="74"/>
      <c r="E62" s="74"/>
      <c r="F62" s="74"/>
      <c r="G62" s="74"/>
      <c r="H62" s="74"/>
      <c r="I62" s="74"/>
    </row>
  </sheetData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0" tint="-4.9989318521683403E-2"/>
  </sheetPr>
  <dimension ref="A1:P132"/>
  <sheetViews>
    <sheetView showGridLines="0" zoomScale="85" zoomScaleNormal="85" workbookViewId="0"/>
  </sheetViews>
  <sheetFormatPr baseColWidth="10" defaultColWidth="11.453125" defaultRowHeight="13.5"/>
  <cols>
    <col min="1" max="2" width="4.26953125" style="21" customWidth="1"/>
    <col min="3" max="3" width="67.81640625" style="21" bestFit="1" customWidth="1"/>
    <col min="4" max="8" width="14.26953125" style="21" customWidth="1"/>
    <col min="9" max="10" width="11.453125" style="21"/>
    <col min="11" max="11" width="70.453125" style="21" bestFit="1" customWidth="1"/>
    <col min="12" max="16384" width="11.453125" style="21"/>
  </cols>
  <sheetData>
    <row r="1" spans="1:16" ht="18.75" customHeight="1">
      <c r="K1" s="198"/>
      <c r="L1" s="198"/>
      <c r="M1" s="198"/>
      <c r="N1" s="198"/>
      <c r="O1" s="198"/>
      <c r="P1" s="198"/>
    </row>
    <row r="2" spans="1:16" ht="18.75" customHeight="1">
      <c r="A2" s="22" t="s">
        <v>165</v>
      </c>
      <c r="B2" s="23"/>
      <c r="C2" s="23"/>
      <c r="D2" s="24"/>
      <c r="E2" s="24"/>
      <c r="F2" s="24"/>
      <c r="G2" s="24"/>
      <c r="K2" s="198"/>
      <c r="L2" s="198"/>
      <c r="M2" s="198"/>
      <c r="N2" s="198"/>
      <c r="O2" s="198"/>
    </row>
    <row r="3" spans="1:16" ht="14.25" customHeight="1">
      <c r="A3" s="22"/>
      <c r="B3" s="23"/>
      <c r="C3" s="23"/>
      <c r="D3" s="248"/>
      <c r="E3" s="248"/>
      <c r="F3" s="248"/>
      <c r="G3" s="248"/>
      <c r="H3" s="248"/>
    </row>
    <row r="4" spans="1:16" ht="14.25" customHeight="1">
      <c r="A4" s="22"/>
      <c r="B4" s="109"/>
      <c r="C4" s="114" t="s">
        <v>103</v>
      </c>
      <c r="D4" s="244" t="s">
        <v>96</v>
      </c>
      <c r="E4" s="245" t="s">
        <v>95</v>
      </c>
      <c r="F4" s="245" t="s">
        <v>94</v>
      </c>
      <c r="G4" s="245" t="s">
        <v>100</v>
      </c>
      <c r="H4" s="245" t="s">
        <v>93</v>
      </c>
    </row>
    <row r="5" spans="1:16" ht="14.25" customHeight="1">
      <c r="A5" s="22"/>
      <c r="B5" s="110"/>
      <c r="C5" s="110" t="s">
        <v>22</v>
      </c>
      <c r="D5" s="173">
        <v>495</v>
      </c>
      <c r="E5" s="111">
        <v>501.2</v>
      </c>
      <c r="F5" s="111">
        <v>498</v>
      </c>
      <c r="G5" s="111">
        <v>482.5</v>
      </c>
      <c r="H5" s="111">
        <v>464.5</v>
      </c>
    </row>
    <row r="6" spans="1:16" ht="14.25" customHeight="1">
      <c r="B6" s="110"/>
      <c r="C6" s="115" t="s">
        <v>97</v>
      </c>
      <c r="D6" s="174">
        <v>106.7</v>
      </c>
      <c r="E6" s="190">
        <v>109.3</v>
      </c>
      <c r="F6" s="118">
        <v>100.5</v>
      </c>
      <c r="G6" s="118">
        <v>90.8</v>
      </c>
      <c r="H6" s="118">
        <v>76</v>
      </c>
    </row>
    <row r="7" spans="1:16" ht="14.25" customHeight="1">
      <c r="B7" s="110"/>
      <c r="C7" s="116" t="s">
        <v>98</v>
      </c>
      <c r="D7" s="175">
        <f>+D5+D6</f>
        <v>601.70000000000005</v>
      </c>
      <c r="E7" s="191">
        <f>+E5+E6</f>
        <v>610.5</v>
      </c>
      <c r="F7" s="117">
        <f>+F5+F6</f>
        <v>598.5</v>
      </c>
      <c r="G7" s="117">
        <f>+G5+G6</f>
        <v>573.29999999999995</v>
      </c>
      <c r="H7" s="117">
        <f>+H5+H6</f>
        <v>540.5</v>
      </c>
    </row>
    <row r="8" spans="1:16" ht="14.5">
      <c r="B8" s="112"/>
      <c r="C8" s="112" t="s">
        <v>99</v>
      </c>
      <c r="D8" s="176">
        <v>1.8100000000000002E-2</v>
      </c>
      <c r="E8" s="192">
        <v>1.8596715041282436E-2</v>
      </c>
      <c r="F8" s="113">
        <v>1.8599999999999998E-2</v>
      </c>
      <c r="G8" s="113">
        <v>1.84E-2</v>
      </c>
      <c r="H8" s="113">
        <v>1.8499999999999999E-2</v>
      </c>
    </row>
    <row r="9" spans="1:16" ht="14.5">
      <c r="B9" s="112"/>
      <c r="C9" s="193"/>
      <c r="D9" s="194">
        <f>H8</f>
        <v>1.8499999999999999E-2</v>
      </c>
      <c r="E9" s="194">
        <f>G8</f>
        <v>1.84E-2</v>
      </c>
      <c r="F9" s="194">
        <f>F8</f>
        <v>1.8599999999999998E-2</v>
      </c>
      <c r="G9" s="194">
        <f>E8</f>
        <v>1.8596715041282436E-2</v>
      </c>
      <c r="H9" s="194">
        <f>D8</f>
        <v>1.8100000000000002E-2</v>
      </c>
    </row>
    <row r="10" spans="1:16" ht="14.25" customHeight="1">
      <c r="B10" s="105"/>
      <c r="C10" s="106"/>
      <c r="D10" s="74"/>
      <c r="E10" s="74"/>
      <c r="F10" s="74"/>
      <c r="G10" s="74"/>
    </row>
    <row r="11" spans="1:16" ht="14.25" customHeight="1">
      <c r="B11" s="107"/>
      <c r="C11" s="100"/>
      <c r="D11" s="76"/>
      <c r="E11" s="76"/>
      <c r="F11" s="76"/>
      <c r="G11" s="76"/>
      <c r="H11" s="76"/>
    </row>
    <row r="12" spans="1:16" ht="14.25" customHeight="1">
      <c r="B12" s="107"/>
      <c r="C12" s="100"/>
      <c r="D12" s="76"/>
      <c r="E12" s="76"/>
      <c r="F12" s="76"/>
      <c r="G12" s="76"/>
      <c r="H12" s="76"/>
    </row>
    <row r="13" spans="1:16" ht="14.25" customHeight="1">
      <c r="B13" s="107"/>
      <c r="C13" s="100"/>
      <c r="D13" s="76"/>
      <c r="E13" s="76"/>
      <c r="F13" s="76"/>
      <c r="G13" s="76"/>
      <c r="H13" s="76"/>
    </row>
    <row r="14" spans="1:16" ht="14.25" customHeight="1">
      <c r="B14" s="107"/>
      <c r="C14" s="100"/>
      <c r="D14" s="76"/>
      <c r="E14" s="76"/>
      <c r="F14" s="76"/>
      <c r="G14" s="76"/>
      <c r="H14" s="76"/>
    </row>
    <row r="15" spans="1:16" ht="14.25" customHeight="1">
      <c r="B15" s="107"/>
      <c r="C15" s="100"/>
      <c r="D15" s="76"/>
      <c r="E15" s="76"/>
      <c r="F15" s="76"/>
      <c r="G15" s="76"/>
      <c r="H15" s="76"/>
    </row>
    <row r="16" spans="1:16" ht="14.25" customHeight="1">
      <c r="B16" s="107"/>
      <c r="C16" s="100"/>
      <c r="D16" s="76"/>
      <c r="E16" s="76"/>
      <c r="F16" s="76"/>
      <c r="G16" s="76"/>
      <c r="H16" s="76"/>
    </row>
    <row r="17" spans="2:8" ht="14.25" customHeight="1">
      <c r="B17" s="107"/>
      <c r="C17" s="100"/>
      <c r="D17" s="76"/>
      <c r="E17" s="76"/>
      <c r="F17" s="76"/>
      <c r="G17" s="76"/>
      <c r="H17" s="76"/>
    </row>
    <row r="18" spans="2:8" ht="14.25" customHeight="1">
      <c r="B18" s="107"/>
      <c r="C18" s="100"/>
      <c r="D18" s="76"/>
      <c r="E18" s="76"/>
      <c r="F18" s="76"/>
      <c r="G18" s="76"/>
      <c r="H18" s="76"/>
    </row>
    <row r="19" spans="2:8" ht="14.25" customHeight="1">
      <c r="B19" s="107"/>
      <c r="C19" s="100"/>
      <c r="D19" s="76"/>
      <c r="E19" s="76"/>
      <c r="F19" s="76"/>
      <c r="G19" s="76"/>
      <c r="H19" s="76"/>
    </row>
    <row r="20" spans="2:8" ht="14.25" customHeight="1">
      <c r="B20" s="107"/>
      <c r="C20" s="100"/>
      <c r="D20" s="76"/>
      <c r="E20" s="76"/>
      <c r="F20" s="76"/>
      <c r="G20" s="76"/>
      <c r="H20" s="76"/>
    </row>
    <row r="21" spans="2:8" ht="14.25" customHeight="1">
      <c r="B21" s="107"/>
      <c r="C21" s="100"/>
      <c r="D21" s="76"/>
      <c r="E21" s="76"/>
      <c r="F21" s="76"/>
      <c r="G21" s="76"/>
      <c r="H21" s="76"/>
    </row>
    <row r="22" spans="2:8" ht="14.25" customHeight="1">
      <c r="B22" s="107"/>
      <c r="C22" s="100"/>
      <c r="D22" s="76"/>
      <c r="E22" s="76"/>
      <c r="F22" s="76"/>
      <c r="G22" s="76"/>
      <c r="H22" s="76"/>
    </row>
    <row r="23" spans="2:8" ht="14.25" customHeight="1">
      <c r="B23" s="107"/>
      <c r="C23" s="108"/>
      <c r="D23" s="76"/>
      <c r="E23" s="76"/>
      <c r="F23" s="76"/>
      <c r="G23" s="76"/>
      <c r="H23" s="76"/>
    </row>
    <row r="24" spans="2:8" ht="14.25" customHeight="1">
      <c r="B24" s="107"/>
      <c r="C24" s="108"/>
      <c r="D24" s="76"/>
      <c r="E24" s="76"/>
      <c r="F24" s="76"/>
      <c r="G24" s="76"/>
      <c r="H24" s="76"/>
    </row>
    <row r="25" spans="2:8" ht="14.25" customHeight="1">
      <c r="B25" s="107"/>
      <c r="C25" s="108"/>
      <c r="D25" s="76"/>
      <c r="E25" s="76"/>
      <c r="F25" s="76"/>
      <c r="G25" s="76"/>
      <c r="H25" s="76"/>
    </row>
    <row r="26" spans="2:8" ht="14.25" customHeight="1">
      <c r="B26" s="107"/>
      <c r="C26" s="108"/>
      <c r="D26" s="76"/>
      <c r="E26" s="76"/>
      <c r="F26" s="76"/>
      <c r="G26" s="76"/>
      <c r="H26" s="76"/>
    </row>
    <row r="27" spans="2:8" ht="14.25" customHeight="1">
      <c r="B27" s="107"/>
      <c r="C27" s="100"/>
      <c r="D27" s="76"/>
      <c r="E27" s="76"/>
      <c r="F27" s="76"/>
      <c r="G27" s="76"/>
      <c r="H27" s="76"/>
    </row>
    <row r="28" spans="2:8" ht="14.25" customHeight="1">
      <c r="B28" s="105"/>
      <c r="C28" s="106"/>
      <c r="D28" s="74"/>
      <c r="E28" s="74"/>
      <c r="F28" s="74"/>
      <c r="G28" s="74"/>
      <c r="H28" s="74"/>
    </row>
    <row r="43" spans="1:8" ht="15">
      <c r="A43" s="22" t="s">
        <v>166</v>
      </c>
    </row>
    <row r="44" spans="1:8">
      <c r="D44" s="198"/>
      <c r="E44" s="198"/>
      <c r="F44" s="198"/>
      <c r="G44" s="198"/>
      <c r="H44" s="198"/>
    </row>
    <row r="45" spans="1:8" ht="14">
      <c r="C45" s="341" t="s">
        <v>103</v>
      </c>
      <c r="D45" s="177" t="s">
        <v>96</v>
      </c>
      <c r="E45" s="178" t="s">
        <v>95</v>
      </c>
      <c r="F45" s="178" t="s">
        <v>94</v>
      </c>
      <c r="G45" s="178" t="s">
        <v>113</v>
      </c>
      <c r="H45" s="178" t="s">
        <v>93</v>
      </c>
    </row>
    <row r="46" spans="1:8" ht="14">
      <c r="C46" s="150" t="s">
        <v>97</v>
      </c>
      <c r="D46" s="179">
        <v>106.7</v>
      </c>
      <c r="E46" s="151">
        <v>108.8</v>
      </c>
      <c r="F46" s="151">
        <v>100.5</v>
      </c>
      <c r="G46" s="151">
        <v>90.8</v>
      </c>
      <c r="H46" s="151">
        <v>76</v>
      </c>
    </row>
    <row r="47" spans="1:8" ht="14">
      <c r="C47" s="150" t="s">
        <v>114</v>
      </c>
      <c r="D47" s="179">
        <v>16.100000000000001</v>
      </c>
      <c r="E47" s="151">
        <v>14.8</v>
      </c>
      <c r="F47" s="151">
        <v>16</v>
      </c>
      <c r="G47" s="151">
        <v>15.5</v>
      </c>
      <c r="H47" s="151">
        <v>14.8</v>
      </c>
    </row>
    <row r="48" spans="1:8" ht="14">
      <c r="C48" s="150" t="s">
        <v>115</v>
      </c>
      <c r="D48" s="179">
        <v>33.6</v>
      </c>
      <c r="E48" s="151">
        <v>37.6</v>
      </c>
      <c r="F48" s="151">
        <v>41</v>
      </c>
      <c r="G48" s="151">
        <v>36.4</v>
      </c>
      <c r="H48" s="151">
        <v>36.200000000000003</v>
      </c>
    </row>
    <row r="49" spans="3:8" ht="14">
      <c r="C49" s="150" t="s">
        <v>116</v>
      </c>
      <c r="D49" s="179">
        <v>53.7</v>
      </c>
      <c r="E49" s="151">
        <v>52.5</v>
      </c>
      <c r="F49" s="151">
        <v>49.5</v>
      </c>
      <c r="G49" s="151">
        <v>47.1</v>
      </c>
      <c r="H49" s="151">
        <v>47.9</v>
      </c>
    </row>
    <row r="50" spans="3:8" ht="14">
      <c r="C50" s="150" t="s">
        <v>117</v>
      </c>
      <c r="D50" s="179">
        <v>66.599999999999994</v>
      </c>
      <c r="E50" s="151">
        <v>68.7</v>
      </c>
      <c r="F50" s="151">
        <v>72.900000000000006</v>
      </c>
      <c r="G50" s="151">
        <v>83.3</v>
      </c>
      <c r="H50" s="151">
        <v>70.7</v>
      </c>
    </row>
    <row r="51" spans="3:8" ht="14">
      <c r="C51" s="150" t="s">
        <v>118</v>
      </c>
      <c r="D51" s="179">
        <v>37.299999999999997</v>
      </c>
      <c r="E51" s="151">
        <v>32.700000000000003</v>
      </c>
      <c r="F51" s="151">
        <v>28.6</v>
      </c>
      <c r="G51" s="151">
        <v>41.1</v>
      </c>
      <c r="H51" s="151">
        <v>45.9</v>
      </c>
    </row>
    <row r="52" spans="3:8" ht="14">
      <c r="C52" s="152" t="s">
        <v>119</v>
      </c>
      <c r="D52" s="180">
        <v>9.4</v>
      </c>
      <c r="E52" s="186">
        <v>0</v>
      </c>
      <c r="F52" s="153">
        <v>16.899999999999999</v>
      </c>
      <c r="G52" s="153">
        <v>10.4</v>
      </c>
      <c r="H52" s="153">
        <v>16.399999999999999</v>
      </c>
    </row>
    <row r="53" spans="3:8" ht="14">
      <c r="C53" s="148" t="s">
        <v>120</v>
      </c>
      <c r="D53" s="181">
        <v>323.39999999999998</v>
      </c>
      <c r="E53" s="189">
        <v>315.2</v>
      </c>
      <c r="F53" s="154">
        <v>325.3</v>
      </c>
      <c r="G53" s="154">
        <v>324.5</v>
      </c>
      <c r="H53" s="154">
        <v>307.8</v>
      </c>
    </row>
    <row r="54" spans="3:8">
      <c r="C54" s="246" t="s">
        <v>221</v>
      </c>
    </row>
    <row r="86" spans="1:16">
      <c r="A86" s="195"/>
      <c r="K86" s="198"/>
      <c r="L86" s="198"/>
      <c r="M86" s="198"/>
      <c r="N86" s="198"/>
      <c r="O86" s="198"/>
      <c r="P86" s="198"/>
    </row>
    <row r="87" spans="1:16">
      <c r="K87" s="198"/>
      <c r="L87" s="198"/>
      <c r="M87" s="198"/>
      <c r="N87" s="198"/>
      <c r="O87" s="198"/>
      <c r="P87" s="198"/>
    </row>
    <row r="88" spans="1:16">
      <c r="K88" s="198"/>
      <c r="L88" s="198"/>
      <c r="M88" s="198"/>
      <c r="N88" s="198"/>
      <c r="O88" s="198"/>
      <c r="P88" s="198"/>
    </row>
    <row r="89" spans="1:16">
      <c r="K89" s="198"/>
      <c r="L89" s="198"/>
      <c r="M89" s="198"/>
      <c r="N89" s="198"/>
      <c r="O89" s="198"/>
      <c r="P89" s="198"/>
    </row>
    <row r="90" spans="1:16" ht="15">
      <c r="A90" s="22" t="s">
        <v>167</v>
      </c>
      <c r="K90" s="198"/>
      <c r="L90" s="198"/>
      <c r="M90" s="198"/>
      <c r="N90" s="198"/>
      <c r="O90" s="198"/>
      <c r="P90" s="198"/>
    </row>
    <row r="91" spans="1:16">
      <c r="K91" s="198"/>
      <c r="L91" s="198"/>
      <c r="M91" s="198"/>
      <c r="N91" s="198"/>
      <c r="O91" s="198"/>
      <c r="P91" s="198"/>
    </row>
    <row r="92" spans="1:16">
      <c r="K92" s="198"/>
      <c r="L92" s="198"/>
      <c r="M92" s="198"/>
      <c r="N92" s="198"/>
      <c r="O92" s="198"/>
      <c r="P92" s="198"/>
    </row>
    <row r="93" spans="1:16" ht="14">
      <c r="C93" s="114" t="s">
        <v>125</v>
      </c>
      <c r="D93" s="177" t="str">
        <f>D45</f>
        <v>Q1-18</v>
      </c>
      <c r="E93" s="187" t="str">
        <f>E45</f>
        <v>Q4-17</v>
      </c>
      <c r="F93" s="187" t="str">
        <f>F45</f>
        <v>Q3-17</v>
      </c>
      <c r="G93" s="187" t="s">
        <v>100</v>
      </c>
      <c r="H93" s="187" t="str">
        <f>H45</f>
        <v>Q1-17</v>
      </c>
      <c r="K93" s="198"/>
      <c r="L93" s="198"/>
      <c r="M93" s="198"/>
      <c r="N93" s="198"/>
      <c r="O93" s="198"/>
      <c r="P93" s="198"/>
    </row>
    <row r="94" spans="1:16" ht="14">
      <c r="C94" s="150" t="s">
        <v>27</v>
      </c>
      <c r="D94" s="179">
        <v>12.1</v>
      </c>
      <c r="E94" s="188">
        <v>0.2</v>
      </c>
      <c r="F94" s="188">
        <v>0.2</v>
      </c>
      <c r="G94" s="188">
        <v>1.8</v>
      </c>
      <c r="H94" s="188">
        <v>8.6999999999999993</v>
      </c>
      <c r="K94" s="198"/>
    </row>
    <row r="95" spans="1:16" ht="14">
      <c r="C95" s="150" t="s">
        <v>28</v>
      </c>
      <c r="D95" s="179">
        <v>29.7</v>
      </c>
      <c r="E95" s="188">
        <v>76.599999999999994</v>
      </c>
      <c r="F95" s="188">
        <v>81.5</v>
      </c>
      <c r="G95" s="188">
        <v>30.3</v>
      </c>
      <c r="H95" s="188">
        <v>6</v>
      </c>
      <c r="K95" s="198"/>
    </row>
    <row r="96" spans="1:16" ht="14">
      <c r="C96" s="152" t="s">
        <v>29</v>
      </c>
      <c r="D96" s="180">
        <v>3.6</v>
      </c>
      <c r="E96" s="186">
        <v>66.599999999999994</v>
      </c>
      <c r="F96" s="186">
        <v>18.399999999999999</v>
      </c>
      <c r="G96" s="186">
        <v>1.6</v>
      </c>
      <c r="H96" s="186">
        <v>-14.4</v>
      </c>
      <c r="K96" s="198"/>
    </row>
    <row r="97" spans="1:16" ht="14">
      <c r="C97" s="148" t="s">
        <v>26</v>
      </c>
      <c r="D97" s="181">
        <v>45.434691999999998</v>
      </c>
      <c r="E97" s="189">
        <f>SUM(E94:E96)</f>
        <v>143.39999999999998</v>
      </c>
      <c r="F97" s="189">
        <f t="shared" ref="F97:H97" si="0">SUM(F94:F96)</f>
        <v>100.1</v>
      </c>
      <c r="G97" s="189">
        <f t="shared" si="0"/>
        <v>33.700000000000003</v>
      </c>
      <c r="H97" s="189">
        <f t="shared" si="0"/>
        <v>0.29999999999999893</v>
      </c>
    </row>
    <row r="98" spans="1:16">
      <c r="D98" s="198"/>
      <c r="E98" s="198"/>
      <c r="F98" s="198"/>
      <c r="G98" s="198"/>
      <c r="H98" s="198"/>
    </row>
    <row r="99" spans="1:16">
      <c r="E99" s="198"/>
      <c r="G99" s="198"/>
    </row>
    <row r="103" spans="1:16" ht="15">
      <c r="A103" s="22" t="s">
        <v>168</v>
      </c>
    </row>
    <row r="104" spans="1:16" ht="14">
      <c r="A104" s="247"/>
    </row>
    <row r="106" spans="1:16" ht="14">
      <c r="C106" s="114" t="s">
        <v>126</v>
      </c>
      <c r="D106" s="177" t="str">
        <f>D93</f>
        <v>Q1-18</v>
      </c>
      <c r="E106" s="187" t="str">
        <f t="shared" ref="E106:H106" si="1">E93</f>
        <v>Q4-17</v>
      </c>
      <c r="F106" s="187" t="str">
        <f t="shared" si="1"/>
        <v>Q3-17</v>
      </c>
      <c r="G106" s="187" t="str">
        <f t="shared" si="1"/>
        <v>Q2-17</v>
      </c>
      <c r="H106" s="187" t="str">
        <f t="shared" si="1"/>
        <v>Q1-17</v>
      </c>
    </row>
    <row r="107" spans="1:16" ht="14">
      <c r="C107" s="150" t="s">
        <v>127</v>
      </c>
      <c r="D107" s="179">
        <v>441.4</v>
      </c>
      <c r="E107" s="188">
        <v>276.10000000000002</v>
      </c>
      <c r="F107" s="188">
        <v>262.8</v>
      </c>
      <c r="G107" s="188">
        <v>372.5</v>
      </c>
      <c r="H107" s="188">
        <v>190.4</v>
      </c>
      <c r="I107" s="198"/>
      <c r="K107" s="198"/>
      <c r="L107" s="198"/>
      <c r="M107" s="198"/>
      <c r="N107" s="198"/>
      <c r="O107" s="198"/>
      <c r="P107" s="198"/>
    </row>
    <row r="108" spans="1:16" ht="14">
      <c r="C108" s="150" t="s">
        <v>128</v>
      </c>
      <c r="D108" s="179">
        <v>-185.4</v>
      </c>
      <c r="E108" s="188">
        <v>-22.4</v>
      </c>
      <c r="F108" s="188">
        <v>0</v>
      </c>
      <c r="G108" s="188">
        <v>-159.6</v>
      </c>
      <c r="H108" s="188">
        <v>-83.7</v>
      </c>
      <c r="I108" s="198"/>
      <c r="K108" s="198"/>
      <c r="L108" s="198"/>
      <c r="M108" s="198"/>
      <c r="N108" s="198"/>
      <c r="O108" s="198"/>
      <c r="P108" s="198"/>
    </row>
    <row r="109" spans="1:16" ht="14.5">
      <c r="C109" s="261"/>
      <c r="D109" s="179"/>
      <c r="E109" s="196"/>
      <c r="F109" s="196"/>
      <c r="G109" s="196"/>
      <c r="H109" s="199"/>
      <c r="I109" s="198"/>
      <c r="K109" s="198"/>
      <c r="L109" s="198"/>
      <c r="M109" s="198"/>
      <c r="N109" s="198"/>
      <c r="O109" s="198"/>
      <c r="P109" s="198"/>
    </row>
    <row r="110" spans="1:16" ht="14.5">
      <c r="C110" s="262" t="s">
        <v>129</v>
      </c>
      <c r="D110" s="179"/>
      <c r="E110" s="196"/>
      <c r="F110" s="196"/>
      <c r="G110" s="196"/>
      <c r="H110" s="199"/>
      <c r="I110" s="198"/>
      <c r="K110" s="198"/>
      <c r="L110" s="198"/>
      <c r="M110" s="198"/>
      <c r="N110" s="198"/>
      <c r="O110" s="198"/>
      <c r="P110" s="198"/>
    </row>
    <row r="111" spans="1:16" ht="14">
      <c r="C111" s="261" t="s">
        <v>12</v>
      </c>
      <c r="D111" s="179">
        <v>22.9</v>
      </c>
      <c r="E111" s="199">
        <v>85.4</v>
      </c>
      <c r="F111" s="199">
        <v>51</v>
      </c>
      <c r="G111" s="199">
        <v>43.3</v>
      </c>
      <c r="H111" s="199">
        <v>42.3</v>
      </c>
      <c r="I111" s="198"/>
      <c r="K111" s="198"/>
      <c r="L111" s="198"/>
      <c r="M111" s="198"/>
      <c r="N111" s="198"/>
      <c r="O111" s="198"/>
      <c r="P111" s="198"/>
    </row>
    <row r="112" spans="1:16" ht="14">
      <c r="C112" s="261" t="s">
        <v>130</v>
      </c>
      <c r="D112" s="179">
        <v>0</v>
      </c>
      <c r="E112" s="199">
        <v>0</v>
      </c>
      <c r="F112" s="199">
        <v>0</v>
      </c>
      <c r="G112" s="199">
        <v>0</v>
      </c>
      <c r="H112" s="199">
        <v>118.6</v>
      </c>
      <c r="I112" s="198"/>
      <c r="K112" s="198"/>
      <c r="L112" s="198"/>
      <c r="M112" s="198"/>
      <c r="N112" s="198"/>
      <c r="O112" s="198"/>
      <c r="P112" s="198"/>
    </row>
    <row r="113" spans="3:16" ht="14">
      <c r="C113" s="261" t="s">
        <v>9</v>
      </c>
      <c r="D113" s="179">
        <v>3.4</v>
      </c>
      <c r="E113" s="199">
        <v>-10.199999999999999</v>
      </c>
      <c r="F113" s="199">
        <v>9.6999999999999993</v>
      </c>
      <c r="G113" s="199">
        <v>-17.5</v>
      </c>
      <c r="H113" s="199">
        <v>-25.7</v>
      </c>
      <c r="I113" s="198"/>
      <c r="K113" s="198"/>
      <c r="L113" s="198"/>
      <c r="M113" s="198"/>
      <c r="N113" s="198"/>
      <c r="O113" s="198"/>
      <c r="P113" s="198"/>
    </row>
    <row r="114" spans="3:16" ht="14">
      <c r="C114" s="261" t="s">
        <v>10</v>
      </c>
      <c r="D114" s="179">
        <v>0.7</v>
      </c>
      <c r="E114" s="199">
        <v>0.2</v>
      </c>
      <c r="F114" s="199">
        <v>0.3</v>
      </c>
      <c r="G114" s="199">
        <v>0.1</v>
      </c>
      <c r="H114" s="199">
        <v>0.6</v>
      </c>
      <c r="I114" s="198"/>
      <c r="K114" s="198"/>
      <c r="L114" s="198"/>
      <c r="M114" s="198"/>
      <c r="N114" s="198"/>
      <c r="O114" s="198"/>
      <c r="P114" s="198"/>
    </row>
    <row r="115" spans="3:16" ht="14">
      <c r="C115" s="261" t="s">
        <v>7</v>
      </c>
      <c r="D115" s="179">
        <v>-1.6</v>
      </c>
      <c r="E115" s="199">
        <v>-4.7</v>
      </c>
      <c r="F115" s="199">
        <v>5.4</v>
      </c>
      <c r="G115" s="199">
        <v>7.3</v>
      </c>
      <c r="H115" s="199">
        <v>2.2999999999999998</v>
      </c>
      <c r="I115" s="198"/>
      <c r="K115" s="198"/>
      <c r="L115" s="198"/>
      <c r="M115" s="198"/>
      <c r="N115" s="198"/>
      <c r="O115" s="198"/>
      <c r="P115" s="198"/>
    </row>
    <row r="116" spans="3:16" ht="14">
      <c r="C116" s="261" t="s">
        <v>131</v>
      </c>
      <c r="D116" s="179">
        <v>-1.5</v>
      </c>
      <c r="E116" s="200">
        <v>-10.8</v>
      </c>
      <c r="F116" s="200">
        <v>-4.2</v>
      </c>
      <c r="G116" s="200">
        <v>3.4</v>
      </c>
      <c r="H116" s="200">
        <v>-0.3</v>
      </c>
      <c r="I116" s="198"/>
      <c r="K116" s="198"/>
      <c r="L116" s="198"/>
      <c r="M116" s="198"/>
      <c r="N116" s="198"/>
      <c r="O116" s="198"/>
      <c r="P116" s="198"/>
    </row>
    <row r="117" spans="3:16" ht="14">
      <c r="C117" s="261" t="s">
        <v>6</v>
      </c>
      <c r="D117" s="179">
        <v>33.4</v>
      </c>
      <c r="E117" s="199">
        <v>27.4</v>
      </c>
      <c r="F117" s="199">
        <v>28.8</v>
      </c>
      <c r="G117" s="199">
        <v>34.4</v>
      </c>
      <c r="H117" s="199">
        <v>27.7</v>
      </c>
      <c r="I117" s="198"/>
      <c r="K117" s="198"/>
      <c r="L117" s="198"/>
      <c r="M117" s="198"/>
      <c r="N117" s="198"/>
      <c r="O117" s="198"/>
      <c r="P117" s="198"/>
    </row>
    <row r="118" spans="3:16" ht="14">
      <c r="C118" s="263" t="s">
        <v>8</v>
      </c>
      <c r="D118" s="179">
        <v>-2.9</v>
      </c>
      <c r="E118" s="199">
        <v>-4.0999999999999996</v>
      </c>
      <c r="F118" s="199">
        <v>-1.9</v>
      </c>
      <c r="G118" s="199">
        <v>1</v>
      </c>
      <c r="H118" s="199">
        <v>2.1</v>
      </c>
      <c r="I118" s="198"/>
      <c r="K118" s="198"/>
      <c r="L118" s="198"/>
      <c r="M118" s="198"/>
      <c r="N118" s="198"/>
      <c r="O118" s="198"/>
      <c r="P118" s="198"/>
    </row>
    <row r="119" spans="3:16" ht="14">
      <c r="C119" s="263" t="s">
        <v>11</v>
      </c>
      <c r="D119" s="179">
        <v>6.3</v>
      </c>
      <c r="E119" s="199">
        <v>5.0999999999999996</v>
      </c>
      <c r="F119" s="199">
        <v>3.8</v>
      </c>
      <c r="G119" s="199">
        <v>5.7</v>
      </c>
      <c r="H119" s="199">
        <v>2.1</v>
      </c>
      <c r="I119" s="198"/>
      <c r="K119" s="198"/>
      <c r="L119" s="198"/>
      <c r="M119" s="198"/>
      <c r="N119" s="198"/>
      <c r="O119" s="198"/>
      <c r="P119" s="198"/>
    </row>
    <row r="120" spans="3:16" ht="14">
      <c r="C120" s="150" t="s">
        <v>13</v>
      </c>
      <c r="D120" s="179">
        <v>-3</v>
      </c>
      <c r="E120" s="188">
        <v>-10.3</v>
      </c>
      <c r="F120" s="188">
        <v>18.3</v>
      </c>
      <c r="G120" s="188">
        <v>-1.5</v>
      </c>
      <c r="H120" s="188">
        <v>-13.6</v>
      </c>
      <c r="I120" s="198"/>
      <c r="K120" s="198"/>
      <c r="L120" s="198"/>
      <c r="M120" s="198"/>
      <c r="N120" s="198"/>
      <c r="O120" s="198"/>
      <c r="P120" s="198"/>
    </row>
    <row r="121" spans="3:16" ht="14">
      <c r="C121" s="152" t="s">
        <v>132</v>
      </c>
      <c r="D121" s="180">
        <v>0.3</v>
      </c>
      <c r="E121" s="186">
        <v>5.5</v>
      </c>
      <c r="F121" s="186">
        <v>3.4</v>
      </c>
      <c r="G121" s="186">
        <v>-14.8</v>
      </c>
      <c r="H121" s="186">
        <v>11</v>
      </c>
      <c r="I121" s="198"/>
      <c r="K121" s="198"/>
      <c r="L121" s="198"/>
      <c r="M121" s="198"/>
      <c r="N121" s="198"/>
      <c r="O121" s="198"/>
      <c r="P121" s="198"/>
    </row>
    <row r="122" spans="3:16" ht="14">
      <c r="C122" s="148" t="s">
        <v>133</v>
      </c>
      <c r="D122" s="181">
        <f t="shared" ref="D122:H122" si="2">SUM(D107:D121)</f>
        <v>313.99999999999994</v>
      </c>
      <c r="E122" s="189">
        <f t="shared" si="2"/>
        <v>337.2</v>
      </c>
      <c r="F122" s="189">
        <f t="shared" si="2"/>
        <v>377.40000000000003</v>
      </c>
      <c r="G122" s="189">
        <f t="shared" si="2"/>
        <v>274.29999999999995</v>
      </c>
      <c r="H122" s="189">
        <f t="shared" si="2"/>
        <v>273.80000000000007</v>
      </c>
      <c r="I122" s="189"/>
      <c r="J122" s="189"/>
      <c r="K122" s="198"/>
      <c r="L122" s="198"/>
      <c r="M122" s="198"/>
      <c r="N122" s="198"/>
      <c r="O122" s="198"/>
      <c r="P122" s="198"/>
    </row>
    <row r="123" spans="3:16">
      <c r="C123"/>
      <c r="D123"/>
      <c r="H123" s="201"/>
      <c r="K123" s="198"/>
      <c r="L123" s="198"/>
      <c r="M123" s="198"/>
      <c r="N123" s="198"/>
      <c r="O123" s="198"/>
      <c r="P123" s="198"/>
    </row>
    <row r="124" spans="3:16">
      <c r="C124"/>
      <c r="D124"/>
      <c r="H124" s="201"/>
      <c r="K124" s="198"/>
      <c r="L124" s="198"/>
      <c r="M124" s="198"/>
      <c r="N124" s="198"/>
      <c r="O124" s="198"/>
      <c r="P124" s="198"/>
    </row>
    <row r="125" spans="3:16" ht="14">
      <c r="C125" s="114" t="s">
        <v>134</v>
      </c>
      <c r="D125" s="177" t="str">
        <f>D106</f>
        <v>Q1-18</v>
      </c>
      <c r="E125" s="187" t="str">
        <f t="shared" ref="E125:H125" si="3">E106</f>
        <v>Q4-17</v>
      </c>
      <c r="F125" s="187" t="str">
        <f t="shared" si="3"/>
        <v>Q3-17</v>
      </c>
      <c r="G125" s="187" t="str">
        <f t="shared" si="3"/>
        <v>Q2-17</v>
      </c>
      <c r="H125" s="187" t="str">
        <f t="shared" si="3"/>
        <v>Q1-17</v>
      </c>
      <c r="K125" s="198"/>
      <c r="L125" s="198"/>
      <c r="M125" s="198"/>
      <c r="N125" s="198"/>
      <c r="O125" s="198"/>
      <c r="P125" s="198"/>
    </row>
    <row r="126" spans="3:16" ht="14">
      <c r="C126" s="150" t="s">
        <v>12</v>
      </c>
      <c r="D126" s="179">
        <v>22.9</v>
      </c>
      <c r="E126" s="188">
        <v>85.4</v>
      </c>
      <c r="F126" s="188">
        <v>51</v>
      </c>
      <c r="G126" s="188">
        <v>43.2</v>
      </c>
      <c r="H126" s="188">
        <v>42.3</v>
      </c>
      <c r="I126" s="198"/>
      <c r="K126" s="198"/>
      <c r="L126" s="198"/>
      <c r="M126" s="198"/>
      <c r="N126" s="198"/>
      <c r="O126" s="198"/>
      <c r="P126" s="198"/>
    </row>
    <row r="127" spans="3:16" ht="14">
      <c r="C127" s="150" t="s">
        <v>9</v>
      </c>
      <c r="D127" s="179">
        <v>3.4</v>
      </c>
      <c r="E127" s="188">
        <v>-10</v>
      </c>
      <c r="F127" s="188">
        <v>9.6999999999999993</v>
      </c>
      <c r="G127" s="188">
        <v>-17.5</v>
      </c>
      <c r="H127" s="188">
        <v>-25.7</v>
      </c>
      <c r="I127" s="198"/>
      <c r="K127" s="198"/>
      <c r="L127" s="198"/>
      <c r="M127" s="198"/>
      <c r="N127" s="198"/>
      <c r="O127" s="198"/>
      <c r="P127" s="198"/>
    </row>
    <row r="128" spans="3:16" ht="14">
      <c r="C128" s="197" t="s">
        <v>10</v>
      </c>
      <c r="D128" s="179">
        <v>0.7</v>
      </c>
      <c r="E128" s="199">
        <v>0.2</v>
      </c>
      <c r="F128" s="199">
        <v>0.3</v>
      </c>
      <c r="G128" s="199">
        <v>0.1</v>
      </c>
      <c r="H128" s="199">
        <v>0.6</v>
      </c>
      <c r="I128" s="198"/>
      <c r="K128" s="198"/>
      <c r="L128" s="198"/>
      <c r="M128" s="198"/>
      <c r="N128" s="198"/>
      <c r="O128" s="198"/>
      <c r="P128" s="198"/>
    </row>
    <row r="129" spans="3:16" ht="14">
      <c r="C129" s="197" t="s">
        <v>11</v>
      </c>
      <c r="D129" s="179">
        <v>6.3</v>
      </c>
      <c r="E129" s="199">
        <v>5.0999999999999996</v>
      </c>
      <c r="F129" s="199">
        <v>3.8</v>
      </c>
      <c r="G129" s="199">
        <v>5.5</v>
      </c>
      <c r="H129" s="199">
        <v>2.1</v>
      </c>
      <c r="I129" s="198"/>
      <c r="K129" s="198"/>
      <c r="L129" s="198"/>
      <c r="M129" s="198"/>
      <c r="N129" s="198"/>
      <c r="O129" s="198"/>
      <c r="P129" s="198"/>
    </row>
    <row r="130" spans="3:16" ht="14">
      <c r="C130" s="150" t="s">
        <v>13</v>
      </c>
      <c r="D130" s="179">
        <v>-3</v>
      </c>
      <c r="E130" s="188">
        <v>-10.3</v>
      </c>
      <c r="F130" s="188">
        <v>18.399999999999999</v>
      </c>
      <c r="G130" s="188">
        <v>-1.5</v>
      </c>
      <c r="H130" s="188">
        <v>-13.6</v>
      </c>
      <c r="I130" s="198"/>
      <c r="K130" s="198"/>
      <c r="L130" s="198"/>
      <c r="M130" s="198"/>
      <c r="N130" s="198"/>
      <c r="O130" s="198"/>
      <c r="P130" s="198"/>
    </row>
    <row r="131" spans="3:16" ht="14">
      <c r="C131" s="152" t="s">
        <v>132</v>
      </c>
      <c r="D131" s="180">
        <v>0</v>
      </c>
      <c r="E131" s="186">
        <v>6.2</v>
      </c>
      <c r="F131" s="186">
        <v>-1.7</v>
      </c>
      <c r="G131" s="186">
        <v>0.5</v>
      </c>
      <c r="H131" s="186">
        <v>0</v>
      </c>
      <c r="I131" s="198"/>
      <c r="K131" s="198"/>
      <c r="L131" s="198"/>
      <c r="M131" s="198"/>
      <c r="N131" s="198"/>
      <c r="O131" s="198"/>
      <c r="P131" s="198"/>
    </row>
    <row r="132" spans="3:16" ht="14">
      <c r="C132" s="148" t="s">
        <v>28</v>
      </c>
      <c r="D132" s="181">
        <f t="shared" ref="D132:H132" si="4">SUM(D126:D131)</f>
        <v>30.299999999999997</v>
      </c>
      <c r="E132" s="189">
        <f t="shared" si="4"/>
        <v>76.600000000000009</v>
      </c>
      <c r="F132" s="189">
        <f t="shared" si="4"/>
        <v>81.499999999999986</v>
      </c>
      <c r="G132" s="189">
        <f t="shared" si="4"/>
        <v>30.300000000000004</v>
      </c>
      <c r="H132" s="189">
        <f t="shared" si="4"/>
        <v>5.7000000000000011</v>
      </c>
      <c r="I132" s="198"/>
      <c r="K132" s="198"/>
      <c r="L132" s="198"/>
      <c r="M132" s="198"/>
      <c r="N132" s="198"/>
      <c r="O132" s="198"/>
      <c r="P132" s="198"/>
    </row>
  </sheetData>
  <sortState columnSort="1" ref="D44:H52">
    <sortCondition descending="1" ref="D44:H44"/>
  </sortState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AO55"/>
  <sheetViews>
    <sheetView showGridLines="0" zoomScale="85" zoomScaleNormal="85" workbookViewId="0"/>
  </sheetViews>
  <sheetFormatPr baseColWidth="10" defaultColWidth="11.453125" defaultRowHeight="13.5"/>
  <cols>
    <col min="1" max="1" width="4.26953125" style="72" customWidth="1"/>
    <col min="2" max="2" width="44.81640625" style="72" bestFit="1" customWidth="1"/>
    <col min="3" max="7" width="19" style="72" customWidth="1"/>
    <col min="8" max="16384" width="11.453125" style="72"/>
  </cols>
  <sheetData>
    <row r="1" spans="1:22" ht="18.75" customHeight="1"/>
    <row r="2" spans="1:22" ht="18.75" customHeight="1">
      <c r="A2" s="144" t="s">
        <v>169</v>
      </c>
      <c r="B2" s="104"/>
      <c r="C2" s="104"/>
      <c r="D2" s="103"/>
    </row>
    <row r="3" spans="1:22" ht="18.75" customHeight="1">
      <c r="A3" s="144"/>
      <c r="B3" s="104"/>
      <c r="C3" s="104"/>
      <c r="D3" s="103"/>
    </row>
    <row r="4" spans="1:22" ht="14.25" customHeight="1">
      <c r="A4" s="144"/>
      <c r="B4" s="104"/>
      <c r="F4" s="103"/>
      <c r="G4" s="104"/>
    </row>
    <row r="5" spans="1:22" ht="14.25" customHeight="1">
      <c r="A5" s="144"/>
      <c r="B5" s="114" t="s">
        <v>103</v>
      </c>
      <c r="C5" s="177" t="s">
        <v>96</v>
      </c>
      <c r="D5" s="178" t="s">
        <v>95</v>
      </c>
      <c r="E5" s="178" t="s">
        <v>94</v>
      </c>
      <c r="F5" s="178" t="s">
        <v>100</v>
      </c>
      <c r="G5" s="178" t="s">
        <v>93</v>
      </c>
      <c r="Q5" s="250"/>
      <c r="R5" s="250"/>
      <c r="S5" s="250"/>
      <c r="T5" s="250"/>
      <c r="U5" s="250"/>
      <c r="V5" s="250"/>
    </row>
    <row r="6" spans="1:22" ht="14.25" customHeight="1">
      <c r="B6" s="150" t="s">
        <v>104</v>
      </c>
      <c r="C6" s="179">
        <v>189.7</v>
      </c>
      <c r="D6" s="151">
        <v>216.6</v>
      </c>
      <c r="E6" s="151">
        <v>165.7</v>
      </c>
      <c r="F6" s="151">
        <v>161</v>
      </c>
      <c r="G6" s="151">
        <v>208.9</v>
      </c>
      <c r="Q6" s="250"/>
      <c r="R6" s="250"/>
      <c r="S6" s="250"/>
      <c r="T6" s="250"/>
      <c r="U6" s="250"/>
      <c r="V6" s="250"/>
    </row>
    <row r="7" spans="1:22" ht="14.25" customHeight="1">
      <c r="B7" s="150" t="s">
        <v>105</v>
      </c>
      <c r="C7" s="179">
        <v>16.399999999999999</v>
      </c>
      <c r="D7" s="151">
        <v>30.4</v>
      </c>
      <c r="E7" s="151">
        <v>16.2</v>
      </c>
      <c r="F7" s="151">
        <v>10.7</v>
      </c>
      <c r="G7" s="151">
        <v>-26.2</v>
      </c>
      <c r="Q7" s="250"/>
      <c r="R7" s="250"/>
      <c r="S7" s="250"/>
      <c r="T7" s="250"/>
      <c r="U7" s="250"/>
      <c r="V7" s="250"/>
    </row>
    <row r="8" spans="1:22" ht="14">
      <c r="B8" s="150" t="s">
        <v>106</v>
      </c>
      <c r="C8" s="179">
        <v>51.6</v>
      </c>
      <c r="D8" s="151">
        <v>60.6</v>
      </c>
      <c r="E8" s="151">
        <v>50.5</v>
      </c>
      <c r="F8" s="151">
        <v>64.8</v>
      </c>
      <c r="G8" s="151">
        <v>49.9</v>
      </c>
      <c r="Q8" s="250"/>
      <c r="R8" s="250"/>
      <c r="S8" s="250"/>
      <c r="T8" s="250"/>
      <c r="U8" s="250"/>
      <c r="V8" s="250"/>
    </row>
    <row r="9" spans="1:22" ht="14.25" customHeight="1">
      <c r="B9" s="150" t="s">
        <v>107</v>
      </c>
      <c r="C9" s="179">
        <v>121.4</v>
      </c>
      <c r="D9" s="151">
        <v>131.80000000000001</v>
      </c>
      <c r="E9" s="151">
        <v>153.4</v>
      </c>
      <c r="F9" s="151">
        <v>141</v>
      </c>
      <c r="G9" s="151">
        <v>121.6</v>
      </c>
      <c r="Q9" s="250"/>
      <c r="R9" s="250"/>
      <c r="S9" s="250"/>
      <c r="T9" s="250"/>
      <c r="U9" s="250"/>
      <c r="V9" s="250"/>
    </row>
    <row r="10" spans="1:22" ht="14.25" customHeight="1">
      <c r="B10" s="150" t="s">
        <v>33</v>
      </c>
      <c r="C10" s="179">
        <v>23.2</v>
      </c>
      <c r="D10" s="151">
        <v>22</v>
      </c>
      <c r="E10" s="151">
        <v>20.399999999999999</v>
      </c>
      <c r="F10" s="151">
        <v>20.8</v>
      </c>
      <c r="G10" s="151">
        <v>20.5</v>
      </c>
      <c r="Q10" s="250"/>
      <c r="R10" s="250"/>
      <c r="S10" s="250"/>
      <c r="T10" s="250"/>
      <c r="U10" s="250"/>
      <c r="V10" s="250"/>
    </row>
    <row r="11" spans="1:22" ht="14.25" customHeight="1">
      <c r="B11" s="152" t="s">
        <v>34</v>
      </c>
      <c r="C11" s="180">
        <v>47.1</v>
      </c>
      <c r="D11" s="153">
        <v>88.4</v>
      </c>
      <c r="E11" s="153">
        <v>26.6</v>
      </c>
      <c r="F11" s="153">
        <v>79.8</v>
      </c>
      <c r="G11" s="153">
        <v>62.8</v>
      </c>
      <c r="Q11" s="250"/>
      <c r="R11" s="250"/>
      <c r="S11" s="250"/>
      <c r="T11" s="250"/>
      <c r="U11" s="250"/>
      <c r="V11" s="250"/>
    </row>
    <row r="12" spans="1:22" ht="14.25" customHeight="1">
      <c r="B12" s="148" t="s">
        <v>222</v>
      </c>
      <c r="C12" s="181">
        <v>449.4</v>
      </c>
      <c r="D12" s="154">
        <v>549.79999999999995</v>
      </c>
      <c r="E12" s="154">
        <v>432.9</v>
      </c>
      <c r="F12" s="154">
        <v>478.2</v>
      </c>
      <c r="G12" s="154">
        <v>437.3</v>
      </c>
      <c r="Q12" s="250"/>
      <c r="R12" s="250"/>
      <c r="S12" s="250"/>
      <c r="T12" s="250"/>
      <c r="U12" s="250"/>
      <c r="V12" s="250"/>
    </row>
    <row r="13" spans="1:22" ht="14.25" customHeight="1">
      <c r="B13" s="185" t="s">
        <v>121</v>
      </c>
      <c r="C13" s="151">
        <v>1</v>
      </c>
      <c r="D13" s="151">
        <v>75</v>
      </c>
      <c r="E13" s="151">
        <v>3</v>
      </c>
      <c r="F13" s="151">
        <v>40</v>
      </c>
      <c r="G13" s="151">
        <v>-19</v>
      </c>
    </row>
    <row r="14" spans="1:22" ht="14.25" customHeight="1">
      <c r="B14" s="133"/>
      <c r="C14" s="145"/>
      <c r="D14" s="145"/>
      <c r="E14" s="145"/>
    </row>
    <row r="15" spans="1:22" ht="14.25" customHeight="1">
      <c r="B15" s="133"/>
      <c r="C15" s="145"/>
      <c r="D15" s="145"/>
      <c r="E15" s="145"/>
    </row>
    <row r="16" spans="1:22" ht="14.25" customHeight="1">
      <c r="B16" s="133"/>
      <c r="C16" s="145"/>
      <c r="D16" s="145"/>
      <c r="E16" s="145"/>
    </row>
    <row r="17" spans="2:5" ht="15" customHeight="1">
      <c r="B17" s="133"/>
      <c r="C17" s="145"/>
      <c r="D17" s="145"/>
      <c r="E17" s="145"/>
    </row>
    <row r="18" spans="2:5" ht="14.25" customHeight="1">
      <c r="B18" s="133"/>
      <c r="C18" s="145"/>
      <c r="D18" s="145"/>
      <c r="E18" s="145"/>
    </row>
    <row r="19" spans="2:5" ht="14.25" customHeight="1">
      <c r="B19" s="133"/>
      <c r="C19" s="145"/>
      <c r="D19" s="145"/>
      <c r="E19" s="145"/>
    </row>
    <row r="20" spans="2:5" ht="14.25" customHeight="1">
      <c r="B20" s="133"/>
      <c r="C20" s="145"/>
      <c r="D20" s="145"/>
      <c r="E20" s="145"/>
    </row>
    <row r="21" spans="2:5" ht="14.25" customHeight="1">
      <c r="B21" s="133"/>
      <c r="C21" s="145"/>
      <c r="D21" s="145"/>
      <c r="E21" s="145"/>
    </row>
    <row r="22" spans="2:5" ht="14.25" customHeight="1">
      <c r="B22" s="133"/>
      <c r="C22" s="145"/>
      <c r="D22" s="145"/>
      <c r="E22" s="145"/>
    </row>
    <row r="23" spans="2:5" ht="14.25" customHeight="1">
      <c r="B23" s="133"/>
      <c r="C23" s="145"/>
      <c r="D23" s="145"/>
      <c r="E23" s="145"/>
    </row>
    <row r="24" spans="2:5" ht="14.25" customHeight="1">
      <c r="B24" s="133"/>
      <c r="C24" s="145"/>
      <c r="D24" s="145"/>
      <c r="E24" s="145"/>
    </row>
    <row r="25" spans="2:5" ht="14.25" customHeight="1">
      <c r="B25" s="146"/>
      <c r="C25" s="147"/>
      <c r="D25" s="147"/>
      <c r="E25" s="147"/>
    </row>
    <row r="34" spans="1:41">
      <c r="M34" s="149"/>
      <c r="N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</row>
    <row r="44" spans="1:41" ht="15">
      <c r="A44" s="144" t="s">
        <v>319</v>
      </c>
    </row>
    <row r="46" spans="1:41">
      <c r="B46" s="101"/>
      <c r="F46" s="103"/>
      <c r="G46" s="102"/>
    </row>
    <row r="47" spans="1:41" ht="14">
      <c r="B47" s="114" t="s">
        <v>320</v>
      </c>
      <c r="C47" s="177" t="s">
        <v>96</v>
      </c>
      <c r="D47" s="178" t="s">
        <v>95</v>
      </c>
      <c r="E47" s="178" t="s">
        <v>94</v>
      </c>
      <c r="F47" s="178" t="s">
        <v>100</v>
      </c>
      <c r="G47" s="178" t="s">
        <v>93</v>
      </c>
      <c r="Q47" s="250"/>
      <c r="R47" s="250"/>
      <c r="S47" s="250"/>
      <c r="T47" s="250"/>
      <c r="U47" s="250"/>
      <c r="V47" s="250"/>
    </row>
    <row r="48" spans="1:41" ht="14">
      <c r="B48" s="150" t="s">
        <v>104</v>
      </c>
      <c r="C48" s="179">
        <v>117.7</v>
      </c>
      <c r="D48" s="151">
        <v>151.80000000000001</v>
      </c>
      <c r="E48" s="151">
        <v>117.8</v>
      </c>
      <c r="F48" s="151">
        <v>114.9</v>
      </c>
      <c r="G48" s="151">
        <v>138.30000000000001</v>
      </c>
      <c r="Q48" s="250"/>
      <c r="R48" s="250"/>
      <c r="S48" s="250"/>
      <c r="T48" s="250"/>
      <c r="U48" s="250"/>
      <c r="V48" s="250"/>
    </row>
    <row r="49" spans="2:22" ht="14">
      <c r="B49" s="150" t="s">
        <v>105</v>
      </c>
      <c r="C49" s="179">
        <v>13</v>
      </c>
      <c r="D49" s="151">
        <v>27.4</v>
      </c>
      <c r="E49" s="151">
        <v>12.6</v>
      </c>
      <c r="F49" s="151">
        <v>8.4</v>
      </c>
      <c r="G49" s="151">
        <v>-29.7</v>
      </c>
      <c r="Q49" s="250"/>
      <c r="R49" s="250"/>
      <c r="S49" s="250"/>
      <c r="T49" s="250"/>
      <c r="U49" s="250"/>
      <c r="V49" s="250"/>
    </row>
    <row r="50" spans="2:22" ht="14">
      <c r="B50" s="150" t="s">
        <v>106</v>
      </c>
      <c r="C50" s="179">
        <v>35.9</v>
      </c>
      <c r="D50" s="151">
        <v>45.2</v>
      </c>
      <c r="E50" s="151">
        <v>36.799999999999997</v>
      </c>
      <c r="F50" s="151">
        <v>53.3</v>
      </c>
      <c r="G50" s="151">
        <v>34.9</v>
      </c>
      <c r="Q50" s="250"/>
      <c r="R50" s="250"/>
      <c r="S50" s="250"/>
      <c r="T50" s="250"/>
      <c r="U50" s="250"/>
      <c r="V50" s="250"/>
    </row>
    <row r="51" spans="2:22" ht="14">
      <c r="B51" s="150" t="s">
        <v>107</v>
      </c>
      <c r="C51" s="179">
        <v>107</v>
      </c>
      <c r="D51" s="151">
        <v>136</v>
      </c>
      <c r="E51" s="151">
        <v>102.6</v>
      </c>
      <c r="F51" s="151">
        <v>137.4</v>
      </c>
      <c r="G51" s="151">
        <v>106.3</v>
      </c>
      <c r="Q51" s="250"/>
      <c r="R51" s="250"/>
      <c r="S51" s="250"/>
      <c r="T51" s="250"/>
      <c r="U51" s="250"/>
      <c r="V51" s="250"/>
    </row>
    <row r="52" spans="2:22" ht="14">
      <c r="B52" s="150" t="s">
        <v>33</v>
      </c>
      <c r="C52" s="179">
        <v>16.7</v>
      </c>
      <c r="D52" s="151">
        <v>16.399999999999999</v>
      </c>
      <c r="E52" s="151">
        <v>14.8</v>
      </c>
      <c r="F52" s="151">
        <v>15.1</v>
      </c>
      <c r="G52" s="151">
        <v>14.8</v>
      </c>
      <c r="Q52" s="250"/>
      <c r="R52" s="250"/>
      <c r="S52" s="250"/>
      <c r="T52" s="250"/>
      <c r="U52" s="250"/>
      <c r="V52" s="250"/>
    </row>
    <row r="53" spans="2:22" ht="14">
      <c r="B53" s="152" t="s">
        <v>34</v>
      </c>
      <c r="C53" s="180">
        <v>27.8</v>
      </c>
      <c r="D53" s="186">
        <v>33.9</v>
      </c>
      <c r="E53" s="153">
        <v>25.6</v>
      </c>
      <c r="F53" s="153">
        <v>27.4</v>
      </c>
      <c r="G53" s="153">
        <v>40.1</v>
      </c>
      <c r="Q53" s="250"/>
      <c r="R53" s="250"/>
      <c r="S53" s="250"/>
      <c r="T53" s="250"/>
      <c r="U53" s="250"/>
      <c r="V53" s="250"/>
    </row>
    <row r="54" spans="2:22" ht="14">
      <c r="B54" s="148" t="s">
        <v>222</v>
      </c>
      <c r="C54" s="181">
        <v>318.10000000000002</v>
      </c>
      <c r="D54" s="154">
        <v>410.7</v>
      </c>
      <c r="E54" s="154">
        <v>310.39999999999998</v>
      </c>
      <c r="F54" s="154">
        <v>356.5</v>
      </c>
      <c r="G54" s="154">
        <v>304.7</v>
      </c>
      <c r="Q54" s="250"/>
      <c r="R54" s="250"/>
      <c r="S54" s="250"/>
      <c r="T54" s="250"/>
      <c r="U54" s="250"/>
      <c r="V54" s="250"/>
    </row>
    <row r="55" spans="2:22" ht="14">
      <c r="B55" s="185" t="s">
        <v>121</v>
      </c>
      <c r="C55" s="151">
        <v>1</v>
      </c>
      <c r="D55" s="151">
        <v>75</v>
      </c>
      <c r="E55" s="151">
        <v>14</v>
      </c>
      <c r="F55" s="151">
        <v>40</v>
      </c>
      <c r="G55" s="151">
        <v>16</v>
      </c>
    </row>
  </sheetData>
  <sortState columnSort="1" ref="C4:G12">
    <sortCondition descending="1" ref="C4:G4"/>
  </sortState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3"/>
  <dimension ref="A1:I108"/>
  <sheetViews>
    <sheetView showGridLines="0" topLeftCell="A46" zoomScale="85" zoomScaleNormal="85" workbookViewId="0"/>
  </sheetViews>
  <sheetFormatPr baseColWidth="10" defaultColWidth="11.453125" defaultRowHeight="13.5"/>
  <cols>
    <col min="1" max="2" width="4.26953125" style="119" customWidth="1"/>
    <col min="3" max="3" width="2.1796875" style="119" customWidth="1"/>
    <col min="4" max="4" width="50.453125" style="119" bestFit="1" customWidth="1"/>
    <col min="5" max="6" width="14.26953125" style="119" customWidth="1"/>
    <col min="7" max="16384" width="11.453125" style="119"/>
  </cols>
  <sheetData>
    <row r="1" spans="1:9" ht="18.75" customHeight="1"/>
    <row r="2" spans="1:9" ht="18.75" customHeight="1">
      <c r="A2" s="120" t="s">
        <v>170</v>
      </c>
      <c r="B2" s="121"/>
      <c r="C2" s="121"/>
      <c r="D2" s="121"/>
      <c r="E2" s="122"/>
    </row>
    <row r="3" spans="1:9" ht="14.25" customHeight="1">
      <c r="A3" s="120"/>
      <c r="B3" s="121"/>
      <c r="C3" s="121"/>
      <c r="D3" s="121"/>
      <c r="E3" s="72"/>
      <c r="F3" s="72"/>
      <c r="G3" s="72"/>
      <c r="H3" s="103"/>
      <c r="I3" s="102"/>
    </row>
    <row r="4" spans="1:9" ht="14.25" customHeight="1">
      <c r="A4" s="120"/>
      <c r="B4" s="121"/>
      <c r="C4" s="121"/>
      <c r="D4" s="121"/>
      <c r="E4" s="72"/>
      <c r="F4" s="72"/>
      <c r="G4" s="72"/>
      <c r="H4" s="103"/>
      <c r="I4" s="102"/>
    </row>
    <row r="5" spans="1:9" ht="14.25" customHeight="1">
      <c r="A5" s="120"/>
      <c r="B5" s="123"/>
      <c r="C5" s="124"/>
      <c r="D5" s="114" t="s">
        <v>2</v>
      </c>
      <c r="E5" s="177" t="s">
        <v>96</v>
      </c>
      <c r="F5" s="178" t="s">
        <v>95</v>
      </c>
      <c r="G5" s="178" t="s">
        <v>94</v>
      </c>
      <c r="H5" s="178" t="s">
        <v>100</v>
      </c>
      <c r="I5" s="178" t="s">
        <v>93</v>
      </c>
    </row>
    <row r="6" spans="1:9" s="129" customFormat="1" ht="14.25" customHeight="1">
      <c r="A6" s="125"/>
      <c r="B6" s="126"/>
      <c r="C6" s="127"/>
      <c r="D6" s="150" t="s">
        <v>101</v>
      </c>
      <c r="E6" s="182">
        <v>8.0000000000000004E-4</v>
      </c>
      <c r="F6" s="183">
        <v>-4.0000000000000002E-4</v>
      </c>
      <c r="G6" s="183">
        <v>-5.0000000000000001E-4</v>
      </c>
      <c r="H6" s="183">
        <v>5.9999999999999995E-4</v>
      </c>
      <c r="I6" s="183">
        <v>1.6000000000000001E-3</v>
      </c>
    </row>
    <row r="7" spans="1:9" s="129" customFormat="1" ht="14.25" customHeight="1">
      <c r="A7" s="125"/>
      <c r="B7" s="130"/>
      <c r="C7" s="130"/>
      <c r="D7" s="150" t="s">
        <v>102</v>
      </c>
      <c r="E7" s="182">
        <v>2.3E-3</v>
      </c>
      <c r="F7" s="183">
        <v>1.1000000000000001E-3</v>
      </c>
      <c r="G7" s="183">
        <v>8.9999999999999998E-4</v>
      </c>
      <c r="H7" s="183">
        <v>1.2999999999999999E-3</v>
      </c>
      <c r="I7" s="183">
        <v>2.3E-3</v>
      </c>
    </row>
    <row r="8" spans="1:9" s="129" customFormat="1" ht="14.25" customHeight="1">
      <c r="A8" s="125"/>
      <c r="B8" s="131"/>
      <c r="C8" s="132"/>
      <c r="D8" s="132"/>
      <c r="E8" s="133"/>
    </row>
    <row r="9" spans="1:9" s="129" customFormat="1" ht="14.25" customHeight="1">
      <c r="A9" s="125"/>
      <c r="B9" s="131"/>
      <c r="C9" s="132"/>
      <c r="D9" s="134"/>
      <c r="E9" s="135"/>
    </row>
    <row r="10" spans="1:9" s="129" customFormat="1" ht="14.25" customHeight="1">
      <c r="A10" s="125"/>
      <c r="B10" s="131"/>
      <c r="C10" s="132"/>
      <c r="D10" s="134"/>
      <c r="E10" s="135"/>
    </row>
    <row r="11" spans="1:9" s="129" customFormat="1" ht="14.25" customHeight="1">
      <c r="A11" s="125"/>
      <c r="B11" s="131"/>
      <c r="C11" s="132"/>
      <c r="D11" s="132"/>
      <c r="E11" s="133"/>
    </row>
    <row r="12" spans="1:9" s="129" customFormat="1" ht="14.25" customHeight="1">
      <c r="A12" s="125"/>
      <c r="B12" s="131"/>
      <c r="C12" s="132"/>
      <c r="D12" s="132"/>
      <c r="E12" s="133"/>
    </row>
    <row r="13" spans="1:9" s="129" customFormat="1" ht="14.25" customHeight="1">
      <c r="A13" s="125"/>
      <c r="B13" s="131"/>
      <c r="C13" s="132"/>
      <c r="D13" s="132"/>
      <c r="E13" s="133"/>
    </row>
    <row r="14" spans="1:9" s="129" customFormat="1" ht="14.25" customHeight="1">
      <c r="A14" s="125"/>
      <c r="B14" s="131"/>
      <c r="C14" s="132"/>
      <c r="D14" s="132"/>
      <c r="E14" s="133"/>
    </row>
    <row r="15" spans="1:9" s="129" customFormat="1" ht="14.25" customHeight="1">
      <c r="A15" s="125"/>
      <c r="B15" s="136"/>
      <c r="C15" s="130"/>
      <c r="D15" s="130"/>
      <c r="E15" s="137"/>
    </row>
    <row r="16" spans="1:9" s="129" customFormat="1" ht="14.25" customHeight="1">
      <c r="A16" s="125"/>
      <c r="B16" s="130"/>
      <c r="C16" s="130"/>
      <c r="D16" s="130"/>
      <c r="E16" s="130"/>
    </row>
    <row r="17" spans="1:5" s="129" customFormat="1" ht="14.25" customHeight="1">
      <c r="A17" s="125"/>
      <c r="B17" s="131"/>
      <c r="C17" s="132"/>
      <c r="D17" s="132"/>
      <c r="E17" s="133"/>
    </row>
    <row r="18" spans="1:5" s="129" customFormat="1" ht="14.25" customHeight="1">
      <c r="A18" s="125"/>
      <c r="B18" s="131"/>
      <c r="C18" s="132"/>
      <c r="D18" s="132"/>
      <c r="E18" s="133"/>
    </row>
    <row r="19" spans="1:5" s="129" customFormat="1" ht="14.25" customHeight="1">
      <c r="A19" s="125"/>
      <c r="B19" s="131"/>
      <c r="C19" s="132"/>
      <c r="D19" s="132"/>
      <c r="E19" s="133"/>
    </row>
    <row r="20" spans="1:5" s="129" customFormat="1" ht="14.25" customHeight="1">
      <c r="A20" s="125"/>
      <c r="B20" s="131"/>
      <c r="C20" s="132"/>
      <c r="D20" s="132"/>
      <c r="E20" s="133"/>
    </row>
    <row r="21" spans="1:5" s="129" customFormat="1" ht="14.25" customHeight="1">
      <c r="A21" s="125"/>
      <c r="B21" s="131"/>
      <c r="C21" s="132"/>
      <c r="D21" s="132"/>
      <c r="E21" s="133"/>
    </row>
    <row r="22" spans="1:5" s="129" customFormat="1" ht="14.25" customHeight="1">
      <c r="A22" s="125"/>
      <c r="B22" s="131"/>
      <c r="C22" s="132"/>
      <c r="D22" s="132"/>
      <c r="E22" s="133"/>
    </row>
    <row r="23" spans="1:5" s="129" customFormat="1" ht="14.25" customHeight="1">
      <c r="A23" s="125"/>
      <c r="B23" s="131"/>
      <c r="C23" s="132"/>
      <c r="D23" s="132"/>
      <c r="E23" s="133"/>
    </row>
    <row r="24" spans="1:5" s="129" customFormat="1" ht="14.25" customHeight="1">
      <c r="A24" s="125"/>
      <c r="B24" s="131"/>
      <c r="C24" s="132"/>
      <c r="D24" s="132"/>
      <c r="E24" s="133"/>
    </row>
    <row r="25" spans="1:5" s="129" customFormat="1" ht="14.25" customHeight="1">
      <c r="A25" s="125"/>
      <c r="B25" s="131"/>
      <c r="C25" s="132"/>
      <c r="D25" s="132"/>
      <c r="E25" s="133"/>
    </row>
    <row r="26" spans="1:5" s="129" customFormat="1" ht="14.25" customHeight="1">
      <c r="A26" s="125"/>
      <c r="B26" s="131"/>
      <c r="C26" s="132"/>
      <c r="D26" s="132"/>
      <c r="E26" s="133"/>
    </row>
    <row r="27" spans="1:5" s="129" customFormat="1" ht="14.25" customHeight="1">
      <c r="A27" s="125"/>
      <c r="B27" s="131"/>
      <c r="C27" s="132"/>
      <c r="D27" s="132"/>
      <c r="E27" s="133"/>
    </row>
    <row r="28" spans="1:5" s="129" customFormat="1" ht="14.25" customHeight="1">
      <c r="A28" s="125"/>
      <c r="B28" s="131"/>
      <c r="C28" s="132"/>
      <c r="D28" s="132"/>
      <c r="E28" s="133"/>
    </row>
    <row r="29" spans="1:5" s="129" customFormat="1" ht="14.25" customHeight="1">
      <c r="A29" s="125"/>
      <c r="B29" s="131"/>
      <c r="C29" s="132"/>
      <c r="D29" s="132"/>
      <c r="E29" s="133"/>
    </row>
    <row r="30" spans="1:5" s="129" customFormat="1" ht="14.25" customHeight="1">
      <c r="A30" s="125"/>
      <c r="B30" s="131"/>
      <c r="C30" s="132"/>
      <c r="D30" s="132"/>
      <c r="E30" s="133"/>
    </row>
    <row r="31" spans="1:5" s="129" customFormat="1" ht="14.25" customHeight="1">
      <c r="A31" s="120" t="s">
        <v>171</v>
      </c>
      <c r="B31" s="131"/>
      <c r="C31" s="132"/>
      <c r="D31" s="132"/>
      <c r="E31" s="133"/>
    </row>
    <row r="32" spans="1:5" s="129" customFormat="1" ht="14.25" customHeight="1">
      <c r="A32" s="125"/>
      <c r="B32" s="131"/>
      <c r="C32" s="132"/>
      <c r="D32" s="134"/>
      <c r="E32" s="135"/>
    </row>
    <row r="33" spans="1:9" s="129" customFormat="1" ht="14.25" customHeight="1">
      <c r="A33" s="125"/>
      <c r="B33" s="131"/>
      <c r="C33" s="132"/>
      <c r="D33" s="134"/>
      <c r="E33" s="102"/>
      <c r="F33" s="103"/>
      <c r="G33" s="72"/>
      <c r="H33" s="72"/>
      <c r="I33" s="72"/>
    </row>
    <row r="34" spans="1:9" s="129" customFormat="1" ht="14.25" customHeight="1">
      <c r="A34" s="125"/>
      <c r="B34" s="131"/>
      <c r="C34" s="132"/>
      <c r="D34" s="114" t="s">
        <v>2</v>
      </c>
      <c r="E34" s="177" t="s">
        <v>96</v>
      </c>
      <c r="F34" s="178" t="s">
        <v>95</v>
      </c>
      <c r="G34" s="178" t="s">
        <v>94</v>
      </c>
      <c r="H34" s="178" t="s">
        <v>100</v>
      </c>
      <c r="I34" s="178" t="s">
        <v>93</v>
      </c>
    </row>
    <row r="35" spans="1:9" s="129" customFormat="1" ht="14.25" customHeight="1">
      <c r="A35" s="125"/>
      <c r="B35" s="131"/>
      <c r="C35" s="132"/>
      <c r="D35" s="150" t="s">
        <v>108</v>
      </c>
      <c r="E35" s="182">
        <v>1.7600000000000001E-2</v>
      </c>
      <c r="F35" s="183">
        <v>1.9300000000000001E-2</v>
      </c>
      <c r="G35" s="183">
        <v>1.9199999999999998E-2</v>
      </c>
      <c r="H35" s="183">
        <v>1.8499999999999999E-2</v>
      </c>
      <c r="I35" s="183">
        <v>1.7100000000000001E-2</v>
      </c>
    </row>
    <row r="36" spans="1:9" s="129" customFormat="1" ht="14.25" customHeight="1">
      <c r="A36" s="125"/>
      <c r="B36" s="131"/>
      <c r="C36" s="132"/>
      <c r="D36" s="150" t="s">
        <v>109</v>
      </c>
      <c r="E36" s="182">
        <v>2.4899999999999999E-2</v>
      </c>
      <c r="F36" s="183">
        <v>2.6800000000000001E-2</v>
      </c>
      <c r="G36" s="183">
        <v>2.76E-2</v>
      </c>
      <c r="H36" s="183">
        <v>2.6599999999999999E-2</v>
      </c>
      <c r="I36" s="183">
        <v>2.6800000000000001E-2</v>
      </c>
    </row>
    <row r="37" spans="1:9" s="129" customFormat="1" ht="14.25" customHeight="1">
      <c r="A37" s="125"/>
      <c r="B37" s="131"/>
      <c r="C37" s="132"/>
      <c r="D37" s="132"/>
      <c r="E37" s="133"/>
    </row>
    <row r="38" spans="1:9" s="129" customFormat="1" ht="14.25" customHeight="1">
      <c r="A38" s="125"/>
      <c r="B38" s="136"/>
      <c r="C38" s="130"/>
      <c r="D38" s="130"/>
      <c r="E38" s="137"/>
    </row>
    <row r="39" spans="1:9" s="129" customFormat="1" ht="14.25" customHeight="1">
      <c r="A39" s="125"/>
      <c r="B39" s="130"/>
      <c r="C39" s="130"/>
      <c r="D39" s="130"/>
      <c r="E39" s="130"/>
    </row>
    <row r="40" spans="1:9" s="129" customFormat="1" ht="14.25" customHeight="1">
      <c r="A40" s="125"/>
      <c r="B40" s="131"/>
      <c r="C40" s="132"/>
      <c r="D40" s="132"/>
      <c r="E40" s="133"/>
    </row>
    <row r="41" spans="1:9" s="129" customFormat="1" ht="14.25" customHeight="1">
      <c r="A41" s="125"/>
      <c r="B41" s="131"/>
      <c r="C41" s="132"/>
      <c r="D41" s="134"/>
      <c r="E41" s="135"/>
    </row>
    <row r="42" spans="1:9" s="129" customFormat="1" ht="14.25" customHeight="1">
      <c r="A42" s="125"/>
      <c r="B42" s="131"/>
      <c r="C42" s="132"/>
      <c r="D42" s="134"/>
      <c r="E42" s="135"/>
    </row>
    <row r="43" spans="1:9" s="129" customFormat="1" ht="14.25" customHeight="1">
      <c r="A43" s="125"/>
      <c r="B43" s="131"/>
      <c r="C43" s="132"/>
      <c r="D43" s="132"/>
      <c r="E43" s="133"/>
    </row>
    <row r="44" spans="1:9" s="129" customFormat="1" ht="14.25" customHeight="1">
      <c r="A44" s="125"/>
      <c r="B44" s="136"/>
      <c r="C44" s="130"/>
      <c r="D44" s="130"/>
      <c r="E44" s="137"/>
    </row>
    <row r="45" spans="1:9" s="129" customFormat="1" ht="14.25" customHeight="1">
      <c r="A45" s="125"/>
      <c r="B45" s="130"/>
      <c r="C45" s="130"/>
      <c r="D45" s="130"/>
      <c r="E45" s="130"/>
    </row>
    <row r="46" spans="1:9" s="129" customFormat="1" ht="14.25" customHeight="1">
      <c r="A46" s="125"/>
      <c r="B46" s="131"/>
      <c r="C46" s="132"/>
      <c r="D46" s="132"/>
      <c r="E46" s="133"/>
    </row>
    <row r="47" spans="1:9" s="129" customFormat="1" ht="14.25" customHeight="1">
      <c r="A47" s="125"/>
      <c r="B47" s="131"/>
      <c r="C47" s="132"/>
      <c r="D47" s="132"/>
      <c r="E47" s="133"/>
    </row>
    <row r="48" spans="1:9" s="129" customFormat="1" ht="14.25" customHeight="1">
      <c r="A48" s="125"/>
      <c r="B48" s="131"/>
      <c r="C48" s="132"/>
      <c r="D48" s="132"/>
      <c r="E48" s="133"/>
    </row>
    <row r="49" spans="1:5" s="129" customFormat="1" ht="14.25" customHeight="1">
      <c r="A49" s="125"/>
      <c r="B49" s="131"/>
      <c r="C49" s="132"/>
      <c r="D49" s="132"/>
      <c r="E49" s="133"/>
    </row>
    <row r="50" spans="1:5" s="129" customFormat="1" ht="14.25" customHeight="1">
      <c r="A50" s="125"/>
      <c r="B50" s="131"/>
      <c r="C50" s="132"/>
      <c r="D50" s="132"/>
      <c r="E50" s="133"/>
    </row>
    <row r="51" spans="1:5" s="129" customFormat="1" ht="14.25" customHeight="1">
      <c r="A51" s="125"/>
      <c r="B51" s="131"/>
      <c r="C51" s="132"/>
      <c r="D51" s="132"/>
      <c r="E51" s="133"/>
    </row>
    <row r="52" spans="1:5" s="129" customFormat="1" ht="14.25" customHeight="1">
      <c r="A52" s="125"/>
      <c r="B52" s="136"/>
      <c r="C52" s="130"/>
      <c r="D52" s="130"/>
      <c r="E52" s="137"/>
    </row>
    <row r="53" spans="1:5" s="129" customFormat="1" ht="14.25" customHeight="1">
      <c r="A53" s="125"/>
      <c r="B53" s="130"/>
      <c r="C53" s="130"/>
      <c r="D53" s="130"/>
      <c r="E53" s="130"/>
    </row>
    <row r="54" spans="1:5" s="129" customFormat="1" ht="14.25" customHeight="1">
      <c r="A54" s="125"/>
      <c r="B54" s="131"/>
      <c r="C54" s="132"/>
      <c r="D54" s="132"/>
      <c r="E54" s="133"/>
    </row>
    <row r="55" spans="1:5" s="129" customFormat="1" ht="14.25" customHeight="1">
      <c r="A55" s="125"/>
      <c r="B55" s="131"/>
      <c r="C55" s="132"/>
      <c r="D55" s="132"/>
      <c r="E55" s="133"/>
    </row>
    <row r="56" spans="1:5" s="129" customFormat="1" ht="14.25" customHeight="1">
      <c r="A56" s="125"/>
      <c r="B56" s="131"/>
      <c r="C56" s="132"/>
      <c r="D56" s="132"/>
      <c r="E56" s="133"/>
    </row>
    <row r="57" spans="1:5" s="129" customFormat="1" ht="14.25" customHeight="1">
      <c r="A57" s="125"/>
      <c r="B57" s="136"/>
      <c r="C57" s="130"/>
      <c r="D57" s="130"/>
      <c r="E57" s="137"/>
    </row>
    <row r="58" spans="1:5" s="129" customFormat="1" ht="14.25" customHeight="1">
      <c r="A58" s="125"/>
      <c r="B58" s="130"/>
      <c r="C58" s="130"/>
      <c r="D58" s="130"/>
      <c r="E58" s="130"/>
    </row>
    <row r="59" spans="1:5" s="129" customFormat="1" ht="14.25" customHeight="1">
      <c r="A59" s="125"/>
      <c r="B59" s="131"/>
      <c r="C59" s="132"/>
      <c r="D59" s="132"/>
      <c r="E59" s="133"/>
    </row>
    <row r="60" spans="1:5" s="129" customFormat="1" ht="14.25" customHeight="1">
      <c r="A60" s="125"/>
      <c r="B60" s="131"/>
      <c r="C60" s="132"/>
      <c r="D60" s="132"/>
      <c r="E60" s="133"/>
    </row>
    <row r="61" spans="1:5" s="129" customFormat="1" ht="14.25" customHeight="1">
      <c r="A61" s="125"/>
      <c r="B61" s="131"/>
      <c r="C61" s="132"/>
      <c r="D61" s="132"/>
      <c r="E61" s="133"/>
    </row>
    <row r="62" spans="1:5" s="129" customFormat="1" ht="14.25" customHeight="1">
      <c r="A62" s="125"/>
      <c r="B62" s="131"/>
      <c r="C62" s="132"/>
      <c r="D62" s="134"/>
      <c r="E62" s="135"/>
    </row>
    <row r="63" spans="1:5" s="129" customFormat="1" ht="14.25" customHeight="1">
      <c r="A63" s="125"/>
      <c r="B63" s="131"/>
      <c r="C63" s="132"/>
      <c r="D63" s="134"/>
      <c r="E63" s="135"/>
    </row>
    <row r="64" spans="1:5" s="129" customFormat="1" ht="14.25" customHeight="1">
      <c r="A64" s="125"/>
      <c r="B64" s="131"/>
      <c r="C64" s="132"/>
      <c r="D64" s="132"/>
      <c r="E64" s="133"/>
    </row>
    <row r="65" spans="1:5" s="129" customFormat="1" ht="14.25" customHeight="1">
      <c r="A65" s="125"/>
      <c r="B65" s="131"/>
      <c r="C65" s="132"/>
      <c r="D65" s="132"/>
      <c r="E65" s="133"/>
    </row>
    <row r="66" spans="1:5" s="129" customFormat="1" ht="14.25" customHeight="1">
      <c r="A66" s="125"/>
      <c r="B66" s="136"/>
      <c r="C66" s="130"/>
      <c r="D66" s="130"/>
      <c r="E66" s="137"/>
    </row>
    <row r="67" spans="1:5" s="129" customFormat="1" ht="14.25" customHeight="1">
      <c r="A67" s="125"/>
      <c r="B67" s="136"/>
      <c r="C67" s="130"/>
      <c r="D67" s="130"/>
      <c r="E67" s="137"/>
    </row>
    <row r="68" spans="1:5" s="129" customFormat="1" ht="14.25" customHeight="1">
      <c r="A68" s="125"/>
      <c r="B68" s="136"/>
      <c r="C68" s="130"/>
      <c r="D68" s="130"/>
      <c r="E68" s="137"/>
    </row>
    <row r="69" spans="1:5" s="129" customFormat="1" ht="14.25" customHeight="1">
      <c r="A69" s="125"/>
      <c r="B69" s="130"/>
      <c r="C69" s="130"/>
      <c r="D69" s="130"/>
      <c r="E69" s="130"/>
    </row>
    <row r="70" spans="1:5" s="129" customFormat="1" ht="14.25" customHeight="1">
      <c r="A70" s="125"/>
      <c r="B70" s="131"/>
      <c r="C70" s="132"/>
      <c r="D70" s="132"/>
      <c r="E70" s="138"/>
    </row>
    <row r="71" spans="1:5" s="129" customFormat="1" ht="14.25" customHeight="1">
      <c r="A71" s="125"/>
      <c r="B71" s="131"/>
      <c r="C71" s="132"/>
      <c r="D71" s="132"/>
      <c r="E71" s="138"/>
    </row>
    <row r="72" spans="1:5" s="129" customFormat="1" ht="14.25" customHeight="1">
      <c r="A72" s="125"/>
      <c r="B72" s="131"/>
      <c r="C72" s="132"/>
      <c r="D72" s="132"/>
      <c r="E72" s="138"/>
    </row>
    <row r="73" spans="1:5" s="129" customFormat="1" ht="14.25" customHeight="1">
      <c r="A73" s="125"/>
      <c r="B73" s="131"/>
      <c r="C73" s="132"/>
      <c r="D73" s="132"/>
      <c r="E73" s="138"/>
    </row>
    <row r="74" spans="1:5" s="129" customFormat="1" ht="14.25" customHeight="1">
      <c r="A74" s="125"/>
      <c r="B74" s="131"/>
      <c r="C74" s="132"/>
      <c r="D74" s="132"/>
      <c r="E74" s="138"/>
    </row>
    <row r="75" spans="1:5" s="129" customFormat="1" ht="14.25" customHeight="1">
      <c r="A75" s="125"/>
      <c r="B75" s="131"/>
      <c r="C75" s="132"/>
      <c r="D75" s="132"/>
      <c r="E75" s="138"/>
    </row>
    <row r="76" spans="1:5" s="129" customFormat="1" ht="14.25" customHeight="1">
      <c r="A76" s="125"/>
      <c r="B76" s="131"/>
      <c r="C76" s="132"/>
      <c r="D76" s="132"/>
      <c r="E76" s="138"/>
    </row>
    <row r="77" spans="1:5" s="129" customFormat="1" ht="14.25" customHeight="1">
      <c r="A77" s="125"/>
      <c r="B77" s="131"/>
      <c r="C77" s="132"/>
      <c r="D77" s="132"/>
      <c r="E77" s="138"/>
    </row>
    <row r="78" spans="1:5" s="129" customFormat="1" ht="14.25" customHeight="1">
      <c r="A78" s="125"/>
      <c r="B78" s="130"/>
      <c r="C78" s="130"/>
      <c r="D78" s="130"/>
      <c r="E78" s="130"/>
    </row>
    <row r="79" spans="1:5" s="129" customFormat="1" ht="14.25" customHeight="1">
      <c r="A79" s="125"/>
      <c r="B79" s="131"/>
      <c r="C79" s="132"/>
      <c r="D79" s="132"/>
      <c r="E79" s="133"/>
    </row>
    <row r="80" spans="1:5" s="129" customFormat="1" ht="14.25" customHeight="1">
      <c r="A80" s="125"/>
      <c r="B80" s="131"/>
      <c r="C80" s="132"/>
      <c r="D80" s="132"/>
      <c r="E80" s="133"/>
    </row>
    <row r="81" spans="1:5" s="129" customFormat="1" ht="14.25" customHeight="1">
      <c r="A81" s="125"/>
      <c r="B81" s="131"/>
      <c r="C81" s="132"/>
      <c r="D81" s="132"/>
      <c r="E81" s="133"/>
    </row>
    <row r="82" spans="1:5" s="129" customFormat="1" ht="14.25" customHeight="1">
      <c r="A82" s="125"/>
      <c r="B82" s="130"/>
      <c r="C82" s="130"/>
      <c r="D82" s="130"/>
      <c r="E82" s="130"/>
    </row>
    <row r="83" spans="1:5" s="129" customFormat="1" ht="14.25" customHeight="1">
      <c r="A83" s="125"/>
      <c r="B83" s="131"/>
      <c r="C83" s="132"/>
      <c r="D83" s="132"/>
      <c r="E83" s="133"/>
    </row>
    <row r="84" spans="1:5" s="129" customFormat="1" ht="14.25" customHeight="1">
      <c r="A84" s="125"/>
      <c r="B84" s="131"/>
      <c r="C84" s="132"/>
      <c r="D84" s="132"/>
      <c r="E84" s="133"/>
    </row>
    <row r="85" spans="1:5" s="129" customFormat="1" ht="14.25" customHeight="1">
      <c r="A85" s="125"/>
      <c r="B85" s="131"/>
      <c r="C85" s="132"/>
      <c r="D85" s="132"/>
      <c r="E85" s="133"/>
    </row>
    <row r="86" spans="1:5" s="129" customFormat="1" ht="14.25" customHeight="1">
      <c r="A86" s="125"/>
      <c r="B86" s="131"/>
      <c r="C86" s="132"/>
      <c r="D86" s="132"/>
      <c r="E86" s="133"/>
    </row>
    <row r="87" spans="1:5" s="129" customFormat="1" ht="15" customHeight="1">
      <c r="A87" s="125"/>
      <c r="B87" s="126"/>
      <c r="C87" s="127"/>
      <c r="D87" s="127"/>
      <c r="E87" s="128"/>
    </row>
    <row r="88" spans="1:5" s="129" customFormat="1" ht="15" customHeight="1">
      <c r="A88" s="125"/>
      <c r="B88" s="126"/>
      <c r="C88" s="127"/>
      <c r="D88" s="127"/>
      <c r="E88" s="128"/>
    </row>
    <row r="89" spans="1:5" s="129" customFormat="1" ht="15" customHeight="1">
      <c r="A89" s="125"/>
      <c r="B89" s="126"/>
      <c r="C89" s="127"/>
      <c r="D89" s="127"/>
      <c r="E89" s="128"/>
    </row>
    <row r="90" spans="1:5" s="129" customFormat="1" ht="15" customHeight="1">
      <c r="A90" s="125"/>
      <c r="B90" s="126"/>
      <c r="C90" s="127"/>
      <c r="D90" s="127"/>
      <c r="E90" s="128"/>
    </row>
    <row r="91" spans="1:5" s="129" customFormat="1" ht="15" customHeight="1">
      <c r="A91" s="125"/>
      <c r="B91" s="126"/>
      <c r="C91" s="127"/>
      <c r="D91" s="127"/>
      <c r="E91" s="128"/>
    </row>
    <row r="92" spans="1:5" s="129" customFormat="1" ht="15" customHeight="1">
      <c r="A92" s="125"/>
      <c r="B92" s="126"/>
      <c r="C92" s="127"/>
      <c r="D92" s="127"/>
      <c r="E92" s="128"/>
    </row>
    <row r="93" spans="1:5" s="129" customFormat="1" ht="15" customHeight="1">
      <c r="A93" s="125"/>
      <c r="B93" s="126"/>
      <c r="C93" s="127"/>
      <c r="D93" s="127"/>
      <c r="E93" s="128"/>
    </row>
    <row r="94" spans="1:5" s="139" customFormat="1" ht="15" customHeight="1">
      <c r="B94" s="140"/>
      <c r="C94" s="127"/>
      <c r="D94" s="127"/>
      <c r="E94" s="127"/>
    </row>
    <row r="95" spans="1:5" s="139" customFormat="1" ht="15" customHeight="1">
      <c r="B95" s="140"/>
      <c r="C95" s="127"/>
      <c r="D95" s="127"/>
      <c r="E95" s="127"/>
    </row>
    <row r="96" spans="1:5" s="139" customFormat="1" ht="15" customHeight="1">
      <c r="B96" s="140"/>
      <c r="C96" s="127"/>
      <c r="D96" s="127"/>
      <c r="E96" s="127"/>
    </row>
    <row r="97" spans="1:9" s="139" customFormat="1" ht="15" customHeight="1">
      <c r="B97" s="140"/>
      <c r="C97" s="127"/>
      <c r="D97" s="127"/>
      <c r="E97" s="127"/>
    </row>
    <row r="98" spans="1:9" s="139" customFormat="1" ht="15" customHeight="1">
      <c r="B98" s="140"/>
      <c r="C98" s="127"/>
      <c r="D98" s="127"/>
      <c r="E98" s="127"/>
    </row>
    <row r="99" spans="1:9" s="139" customFormat="1" ht="15" customHeight="1">
      <c r="B99" s="140"/>
      <c r="C99" s="127"/>
      <c r="D99" s="127"/>
      <c r="E99" s="127"/>
    </row>
    <row r="100" spans="1:9" s="139" customFormat="1" ht="15" customHeight="1">
      <c r="B100" s="140"/>
      <c r="C100" s="127"/>
      <c r="D100" s="127"/>
      <c r="E100" s="127"/>
    </row>
    <row r="101" spans="1:9" s="139" customFormat="1" ht="15" customHeight="1">
      <c r="B101" s="140"/>
      <c r="C101" s="127"/>
      <c r="D101" s="127"/>
      <c r="E101" s="127"/>
    </row>
    <row r="102" spans="1:9" s="139" customFormat="1" ht="15" customHeight="1">
      <c r="B102" s="140"/>
      <c r="C102" s="127"/>
      <c r="D102" s="127"/>
      <c r="E102" s="127"/>
    </row>
    <row r="103" spans="1:9" s="142" customFormat="1" ht="15" customHeight="1">
      <c r="A103" s="141"/>
      <c r="B103" s="140"/>
      <c r="C103" s="127"/>
      <c r="D103" s="127"/>
      <c r="E103" s="127"/>
      <c r="F103" s="139"/>
      <c r="G103" s="139"/>
    </row>
    <row r="104" spans="1:9" ht="15" customHeight="1">
      <c r="A104" s="120"/>
      <c r="B104" s="140"/>
      <c r="C104" s="127"/>
      <c r="D104" s="127"/>
      <c r="E104" s="127"/>
      <c r="F104" s="139"/>
    </row>
    <row r="108" spans="1:9">
      <c r="I108" s="143"/>
    </row>
  </sheetData>
  <sortState columnSort="1" ref="E33:I36">
    <sortCondition ref="E33:I33"/>
  </sortState>
  <pageMargins left="0.7" right="0.7" top="0.75" bottom="0.75" header="0.3" footer="0.3"/>
  <pageSetup paperSize="9" orientation="portrait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showGridLines="0" topLeftCell="A16" zoomScale="85" zoomScaleNormal="85" workbookViewId="0">
      <selection activeCell="H25" sqref="H25"/>
    </sheetView>
  </sheetViews>
  <sheetFormatPr baseColWidth="10" defaultColWidth="11.453125" defaultRowHeight="13.5"/>
  <cols>
    <col min="1" max="2" width="4.26953125" style="119" customWidth="1"/>
    <col min="3" max="3" width="52.453125" style="119" bestFit="1" customWidth="1"/>
    <col min="4" max="18" width="14.26953125" style="119" customWidth="1"/>
    <col min="19" max="16384" width="11.453125" style="119"/>
  </cols>
  <sheetData>
    <row r="1" spans="1:27" ht="18.75" customHeight="1"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</row>
    <row r="2" spans="1:27" ht="18.75" customHeight="1">
      <c r="A2" s="144" t="s">
        <v>172</v>
      </c>
      <c r="B2" s="121"/>
      <c r="C2" s="121"/>
      <c r="D2" s="122"/>
      <c r="E2" s="122"/>
      <c r="F2" s="122"/>
      <c r="G2" s="122"/>
      <c r="H2" s="122"/>
      <c r="I2" s="122"/>
      <c r="J2" s="122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</row>
    <row r="3" spans="1:27" ht="14.25" customHeight="1">
      <c r="A3" s="120"/>
      <c r="B3" s="121"/>
      <c r="C3" s="121"/>
      <c r="D3" s="122"/>
      <c r="E3" s="122"/>
      <c r="F3" s="122"/>
      <c r="G3" s="122"/>
      <c r="H3" s="122"/>
      <c r="I3" s="122"/>
      <c r="J3" s="122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</row>
    <row r="4" spans="1:27" ht="14.25" customHeight="1">
      <c r="A4" s="120"/>
      <c r="B4" s="123"/>
      <c r="C4" s="124"/>
      <c r="D4" s="122"/>
      <c r="E4" s="122"/>
      <c r="F4" s="122"/>
      <c r="G4" s="122"/>
      <c r="H4" s="122"/>
      <c r="I4" s="122"/>
      <c r="J4" s="122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</row>
    <row r="5" spans="1:27" s="129" customFormat="1" ht="14.25" customHeight="1">
      <c r="A5" s="125"/>
      <c r="B5" s="126"/>
      <c r="C5" s="114" t="s">
        <v>2</v>
      </c>
      <c r="D5" s="177" t="s">
        <v>96</v>
      </c>
      <c r="E5" s="178" t="s">
        <v>95</v>
      </c>
      <c r="F5" s="178" t="s">
        <v>94</v>
      </c>
      <c r="G5" s="178" t="s">
        <v>100</v>
      </c>
      <c r="H5" s="178" t="s">
        <v>93</v>
      </c>
      <c r="I5" s="242"/>
      <c r="J5" s="243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</row>
    <row r="6" spans="1:27" s="129" customFormat="1" ht="12.75" customHeight="1">
      <c r="A6" s="125"/>
      <c r="B6" s="131"/>
      <c r="C6" s="207" t="s">
        <v>135</v>
      </c>
      <c r="D6" s="215">
        <v>532.4</v>
      </c>
      <c r="E6" s="208">
        <v>295.39999999999998</v>
      </c>
      <c r="F6" s="208">
        <v>250.8</v>
      </c>
      <c r="G6" s="208">
        <v>224.1</v>
      </c>
      <c r="H6" s="208">
        <v>215.9</v>
      </c>
      <c r="I6" s="236"/>
      <c r="J6" s="233"/>
      <c r="K6" s="202"/>
      <c r="L6" s="202"/>
      <c r="M6" s="202"/>
      <c r="N6" s="202"/>
      <c r="O6" s="202"/>
      <c r="P6" s="253"/>
      <c r="Q6" s="253"/>
      <c r="R6" s="253"/>
      <c r="S6" s="252"/>
      <c r="T6" s="252"/>
      <c r="U6" s="252"/>
      <c r="V6" s="252"/>
      <c r="W6" s="252"/>
      <c r="X6" s="252"/>
      <c r="Y6" s="252"/>
      <c r="Z6" s="252"/>
      <c r="AA6" s="252"/>
    </row>
    <row r="7" spans="1:27" s="129" customFormat="1" ht="14.25" customHeight="1">
      <c r="A7" s="125"/>
      <c r="B7" s="131"/>
      <c r="C7" s="207" t="s">
        <v>136</v>
      </c>
      <c r="D7" s="215">
        <v>4122.6000000000004</v>
      </c>
      <c r="E7" s="208">
        <v>4179</v>
      </c>
      <c r="F7" s="208">
        <v>4792.8999999999996</v>
      </c>
      <c r="G7" s="208">
        <v>4570.7</v>
      </c>
      <c r="H7" s="208">
        <v>4412.3999999999996</v>
      </c>
      <c r="I7" s="236"/>
      <c r="J7" s="233"/>
      <c r="K7" s="202"/>
      <c r="L7" s="202"/>
      <c r="M7" s="202"/>
      <c r="N7" s="202"/>
      <c r="O7" s="202"/>
      <c r="P7" s="253"/>
      <c r="Q7" s="253"/>
      <c r="R7" s="253"/>
      <c r="S7" s="253"/>
      <c r="T7" s="253"/>
      <c r="U7" s="253"/>
      <c r="V7" s="253"/>
      <c r="W7" s="253"/>
      <c r="X7" s="252"/>
      <c r="Y7" s="252"/>
      <c r="Z7" s="252"/>
      <c r="AA7" s="252"/>
    </row>
    <row r="8" spans="1:27" s="129" customFormat="1" ht="14.25" customHeight="1">
      <c r="A8" s="125"/>
      <c r="B8" s="131"/>
      <c r="C8" s="207" t="s">
        <v>137</v>
      </c>
      <c r="D8" s="215">
        <v>973.4</v>
      </c>
      <c r="E8" s="208">
        <v>946</v>
      </c>
      <c r="F8" s="208">
        <v>18.899999999999999</v>
      </c>
      <c r="G8" s="208">
        <v>18.3</v>
      </c>
      <c r="H8" s="208">
        <v>16.7</v>
      </c>
      <c r="I8" s="236"/>
      <c r="J8" s="233"/>
      <c r="K8" s="202"/>
      <c r="L8" s="202"/>
      <c r="M8" s="202"/>
      <c r="N8" s="202"/>
      <c r="O8" s="202"/>
      <c r="P8" s="253"/>
      <c r="Q8" s="253"/>
      <c r="R8" s="253"/>
      <c r="S8" s="253"/>
      <c r="T8" s="253"/>
      <c r="U8" s="253"/>
      <c r="V8" s="253"/>
      <c r="W8" s="253"/>
      <c r="X8" s="252"/>
      <c r="Y8" s="252"/>
      <c r="Z8" s="252"/>
      <c r="AA8" s="252"/>
    </row>
    <row r="9" spans="1:27" s="129" customFormat="1" ht="14.25" customHeight="1">
      <c r="A9" s="125"/>
      <c r="B9" s="131"/>
      <c r="C9" s="207" t="s">
        <v>138</v>
      </c>
      <c r="D9" s="215">
        <v>1024.8</v>
      </c>
      <c r="E9" s="208">
        <v>1030.0999999999999</v>
      </c>
      <c r="F9" s="208">
        <v>1112.8</v>
      </c>
      <c r="G9" s="208">
        <v>1171.7</v>
      </c>
      <c r="H9" s="208">
        <v>1129.3</v>
      </c>
      <c r="I9" s="236"/>
      <c r="J9" s="233"/>
      <c r="K9" s="202"/>
      <c r="L9" s="202"/>
      <c r="M9" s="202"/>
      <c r="N9" s="202"/>
      <c r="O9" s="202"/>
      <c r="P9" s="253"/>
      <c r="Q9" s="253"/>
      <c r="R9" s="253"/>
      <c r="S9" s="253"/>
      <c r="T9" s="253"/>
      <c r="U9" s="253"/>
      <c r="V9" s="253"/>
      <c r="W9" s="253"/>
      <c r="X9" s="252"/>
      <c r="Y9" s="252"/>
      <c r="Z9" s="252"/>
      <c r="AA9" s="252"/>
    </row>
    <row r="10" spans="1:27" s="129" customFormat="1" ht="14.25" customHeight="1">
      <c r="A10" s="125"/>
      <c r="B10" s="131"/>
      <c r="C10" s="207" t="s">
        <v>139</v>
      </c>
      <c r="D10" s="215">
        <v>4131.8999999999996</v>
      </c>
      <c r="E10" s="208">
        <v>3923.4</v>
      </c>
      <c r="F10" s="208">
        <v>3066</v>
      </c>
      <c r="G10" s="208">
        <v>2884.4</v>
      </c>
      <c r="H10" s="208">
        <v>3038.3</v>
      </c>
      <c r="I10" s="236"/>
      <c r="J10" s="233"/>
      <c r="K10" s="203"/>
      <c r="L10" s="203"/>
      <c r="M10" s="203"/>
      <c r="N10" s="203"/>
      <c r="O10" s="203"/>
      <c r="P10" s="253"/>
      <c r="Q10" s="253"/>
      <c r="R10" s="253"/>
      <c r="S10" s="253"/>
      <c r="T10" s="253"/>
      <c r="U10" s="253"/>
      <c r="V10" s="253"/>
      <c r="W10" s="253"/>
      <c r="X10" s="252"/>
      <c r="Y10" s="252"/>
      <c r="Z10" s="252"/>
      <c r="AA10" s="252"/>
    </row>
    <row r="11" spans="1:27" s="129" customFormat="1" ht="14.25" customHeight="1">
      <c r="A11" s="125"/>
      <c r="B11" s="131"/>
      <c r="C11" s="207" t="s">
        <v>140</v>
      </c>
      <c r="D11" s="215">
        <v>368.2</v>
      </c>
      <c r="E11" s="208">
        <v>427.2</v>
      </c>
      <c r="F11" s="208">
        <v>434.5</v>
      </c>
      <c r="G11" s="208">
        <v>399.9</v>
      </c>
      <c r="H11" s="208">
        <v>403.7</v>
      </c>
      <c r="I11" s="236"/>
      <c r="J11" s="233"/>
      <c r="K11" s="202"/>
      <c r="L11" s="202"/>
      <c r="M11" s="202"/>
      <c r="N11" s="202"/>
      <c r="O11" s="202"/>
      <c r="P11" s="253"/>
      <c r="Q11" s="253"/>
      <c r="R11" s="253"/>
      <c r="S11" s="253"/>
      <c r="T11" s="253"/>
      <c r="U11" s="253"/>
      <c r="V11" s="253"/>
      <c r="W11" s="253"/>
      <c r="X11" s="252"/>
      <c r="Y11" s="252"/>
      <c r="Z11" s="252"/>
      <c r="AA11" s="252"/>
    </row>
    <row r="12" spans="1:27" s="129" customFormat="1" ht="14.25" customHeight="1">
      <c r="A12" s="125"/>
      <c r="B12" s="131"/>
      <c r="C12" s="207" t="s">
        <v>141</v>
      </c>
      <c r="D12" s="215">
        <v>1363.5</v>
      </c>
      <c r="E12" s="208">
        <v>1316.4</v>
      </c>
      <c r="F12" s="208">
        <v>1376.6</v>
      </c>
      <c r="G12" s="208">
        <v>1383.8</v>
      </c>
      <c r="H12" s="208">
        <v>1387.8</v>
      </c>
      <c r="I12" s="236"/>
      <c r="J12" s="233"/>
      <c r="K12" s="202"/>
      <c r="L12" s="202"/>
      <c r="M12" s="202"/>
      <c r="N12" s="202"/>
      <c r="O12" s="202"/>
      <c r="P12" s="253"/>
      <c r="Q12" s="253"/>
      <c r="R12" s="253"/>
      <c r="S12" s="253"/>
      <c r="T12" s="253"/>
      <c r="U12" s="253"/>
      <c r="V12" s="253"/>
      <c r="W12" s="253"/>
      <c r="X12" s="252"/>
      <c r="Y12" s="252"/>
      <c r="Z12" s="252"/>
      <c r="AA12" s="252"/>
    </row>
    <row r="13" spans="1:27" s="129" customFormat="1" ht="13">
      <c r="A13" s="125"/>
      <c r="B13" s="131"/>
      <c r="C13" s="207" t="s">
        <v>142</v>
      </c>
      <c r="D13" s="215">
        <v>518.9</v>
      </c>
      <c r="E13" s="208">
        <v>504.6</v>
      </c>
      <c r="F13" s="208">
        <v>499.2</v>
      </c>
      <c r="G13" s="208">
        <v>489.4</v>
      </c>
      <c r="H13" s="208">
        <v>462</v>
      </c>
      <c r="I13" s="236"/>
      <c r="J13" s="233"/>
      <c r="K13" s="202"/>
      <c r="L13" s="202"/>
      <c r="M13" s="202"/>
      <c r="N13" s="202"/>
      <c r="O13" s="202"/>
      <c r="P13" s="253"/>
      <c r="Q13" s="253"/>
      <c r="R13" s="253"/>
      <c r="S13" s="253"/>
      <c r="T13" s="253"/>
      <c r="U13" s="253"/>
      <c r="V13" s="253"/>
      <c r="W13" s="253"/>
      <c r="X13" s="252"/>
      <c r="Y13" s="252"/>
      <c r="Z13" s="252"/>
      <c r="AA13" s="252"/>
    </row>
    <row r="14" spans="1:27" s="129" customFormat="1" ht="13">
      <c r="A14" s="125"/>
      <c r="B14" s="131"/>
      <c r="C14" s="207" t="s">
        <v>143</v>
      </c>
      <c r="D14" s="215">
        <v>13806</v>
      </c>
      <c r="E14" s="208">
        <v>12860.9</v>
      </c>
      <c r="F14" s="208">
        <v>14438.6</v>
      </c>
      <c r="G14" s="208">
        <v>14510.7</v>
      </c>
      <c r="H14" s="208">
        <v>14275.3</v>
      </c>
      <c r="I14" s="236"/>
      <c r="J14" s="233"/>
      <c r="K14" s="202"/>
      <c r="L14" s="202"/>
      <c r="M14" s="202"/>
      <c r="N14" s="202"/>
      <c r="O14" s="202"/>
      <c r="P14" s="253"/>
      <c r="Q14" s="253"/>
      <c r="R14" s="253"/>
      <c r="S14" s="253"/>
      <c r="T14" s="253"/>
      <c r="U14" s="253"/>
      <c r="V14" s="253"/>
      <c r="W14" s="253"/>
      <c r="X14" s="252"/>
      <c r="Y14" s="252"/>
      <c r="Z14" s="252"/>
      <c r="AA14" s="252"/>
    </row>
    <row r="15" spans="1:27" s="129" customFormat="1" ht="14.25" customHeight="1">
      <c r="A15" s="125"/>
      <c r="B15" s="131"/>
      <c r="C15" s="207" t="s">
        <v>144</v>
      </c>
      <c r="D15" s="215">
        <v>4371.1000000000004</v>
      </c>
      <c r="E15" s="208">
        <v>4368</v>
      </c>
      <c r="F15" s="208">
        <v>3773.5</v>
      </c>
      <c r="G15" s="208">
        <v>3534.9</v>
      </c>
      <c r="H15" s="208">
        <v>3404</v>
      </c>
      <c r="I15" s="236"/>
      <c r="J15" s="233"/>
      <c r="K15" s="133"/>
      <c r="L15" s="133"/>
      <c r="M15" s="133"/>
      <c r="N15" s="133"/>
      <c r="O15" s="133"/>
      <c r="P15" s="253"/>
      <c r="Q15" s="253"/>
      <c r="R15" s="253"/>
      <c r="S15" s="253"/>
      <c r="T15" s="253"/>
      <c r="U15" s="253"/>
      <c r="V15" s="253"/>
      <c r="W15" s="253"/>
      <c r="X15" s="252"/>
      <c r="Y15" s="252"/>
      <c r="Z15" s="252"/>
      <c r="AA15" s="252"/>
    </row>
    <row r="16" spans="1:27" s="129" customFormat="1" ht="14.25" customHeight="1">
      <c r="A16" s="125"/>
      <c r="B16" s="131"/>
      <c r="C16" s="207" t="s">
        <v>145</v>
      </c>
      <c r="D16" s="215">
        <v>1614.3</v>
      </c>
      <c r="E16" s="208">
        <v>1730.3</v>
      </c>
      <c r="F16" s="208">
        <v>1506.9</v>
      </c>
      <c r="G16" s="208">
        <v>1482.2</v>
      </c>
      <c r="H16" s="208">
        <v>1442.5</v>
      </c>
      <c r="I16" s="236"/>
      <c r="J16" s="233"/>
      <c r="K16" s="133"/>
      <c r="L16" s="133"/>
      <c r="M16" s="133"/>
      <c r="N16" s="133"/>
      <c r="O16" s="133"/>
      <c r="P16" s="253"/>
      <c r="Q16" s="253"/>
      <c r="R16" s="253"/>
      <c r="S16" s="253"/>
      <c r="T16" s="253"/>
      <c r="U16" s="253"/>
      <c r="V16" s="253"/>
      <c r="W16" s="253"/>
      <c r="X16" s="252"/>
      <c r="Y16" s="252"/>
      <c r="Z16" s="252"/>
      <c r="AA16" s="252"/>
    </row>
    <row r="17" spans="1:27" s="129" customFormat="1" ht="14.25" customHeight="1">
      <c r="A17" s="125"/>
      <c r="B17" s="131"/>
      <c r="C17" s="207" t="s">
        <v>0</v>
      </c>
      <c r="D17" s="215">
        <v>0</v>
      </c>
      <c r="E17" s="208">
        <v>8</v>
      </c>
      <c r="F17" s="208">
        <v>163.5</v>
      </c>
      <c r="G17" s="208">
        <v>492.4</v>
      </c>
      <c r="H17" s="208">
        <v>468.9</v>
      </c>
      <c r="I17" s="236"/>
      <c r="J17" s="233"/>
      <c r="K17" s="133"/>
      <c r="L17" s="133"/>
      <c r="M17" s="133"/>
      <c r="N17" s="133"/>
      <c r="O17" s="133"/>
      <c r="P17" s="253"/>
      <c r="Q17" s="253"/>
      <c r="R17" s="253"/>
      <c r="S17" s="253"/>
      <c r="T17" s="253"/>
      <c r="U17" s="253"/>
      <c r="V17" s="253"/>
      <c r="W17" s="253"/>
      <c r="X17" s="252"/>
      <c r="Y17" s="252"/>
      <c r="Z17" s="252"/>
      <c r="AA17" s="252"/>
    </row>
    <row r="18" spans="1:27" s="129" customFormat="1" ht="14.25" customHeight="1">
      <c r="A18" s="125"/>
      <c r="B18" s="131"/>
      <c r="C18" s="211" t="s">
        <v>146</v>
      </c>
      <c r="D18" s="216">
        <f>SUM(D6:D17)</f>
        <v>32827.1</v>
      </c>
      <c r="E18" s="210">
        <f t="shared" ref="E18:H18" si="0">SUM(E6:E17)</f>
        <v>31589.3</v>
      </c>
      <c r="F18" s="210">
        <f t="shared" si="0"/>
        <v>31434.200000000004</v>
      </c>
      <c r="G18" s="210">
        <f t="shared" si="0"/>
        <v>31162.500000000004</v>
      </c>
      <c r="H18" s="210">
        <f t="shared" si="0"/>
        <v>30656.799999999999</v>
      </c>
      <c r="K18" s="133"/>
      <c r="L18" s="133"/>
      <c r="M18" s="133"/>
      <c r="N18" s="133"/>
      <c r="O18" s="133"/>
      <c r="P18" s="253"/>
      <c r="Q18" s="253"/>
      <c r="R18" s="253"/>
      <c r="S18" s="253"/>
      <c r="T18" s="253"/>
      <c r="U18" s="253"/>
      <c r="V18" s="253"/>
      <c r="W18" s="253"/>
      <c r="X18" s="252"/>
      <c r="Y18" s="252"/>
      <c r="Z18" s="252"/>
      <c r="AA18" s="252"/>
    </row>
    <row r="19" spans="1:27" s="129" customFormat="1" ht="13">
      <c r="A19" s="125"/>
      <c r="B19" s="131"/>
      <c r="C19" s="207" t="s">
        <v>147</v>
      </c>
      <c r="D19" s="215">
        <v>59990.7</v>
      </c>
      <c r="E19" s="208">
        <v>58871.8</v>
      </c>
      <c r="F19" s="208">
        <v>57510.8</v>
      </c>
      <c r="G19" s="208">
        <v>56365.3</v>
      </c>
      <c r="H19" s="208">
        <v>54244.4</v>
      </c>
      <c r="I19" s="236"/>
      <c r="J19" s="233"/>
      <c r="K19" s="204"/>
      <c r="L19" s="204"/>
      <c r="M19" s="204"/>
      <c r="N19" s="204"/>
      <c r="O19" s="204"/>
      <c r="P19" s="253"/>
      <c r="Q19" s="253"/>
      <c r="R19" s="253"/>
      <c r="S19" s="253"/>
      <c r="T19" s="253"/>
      <c r="U19" s="253"/>
      <c r="V19" s="253"/>
      <c r="W19" s="253"/>
      <c r="X19" s="252"/>
      <c r="Y19" s="252"/>
      <c r="Z19" s="252"/>
      <c r="AA19" s="252"/>
    </row>
    <row r="20" spans="1:27" s="129" customFormat="1" ht="14.25" customHeight="1">
      <c r="A20" s="125"/>
      <c r="B20" s="131"/>
      <c r="C20" s="211" t="s">
        <v>148</v>
      </c>
      <c r="D20" s="216">
        <f>SUM(D18:D19)</f>
        <v>92817.799999999988</v>
      </c>
      <c r="E20" s="210">
        <f t="shared" ref="E20:H20" si="1">SUM(E18:E19)</f>
        <v>90461.1</v>
      </c>
      <c r="F20" s="210">
        <f t="shared" si="1"/>
        <v>88945</v>
      </c>
      <c r="G20" s="210">
        <f t="shared" si="1"/>
        <v>87527.8</v>
      </c>
      <c r="H20" s="210">
        <f t="shared" si="1"/>
        <v>84901.2</v>
      </c>
      <c r="I20" s="239"/>
      <c r="J20" s="240"/>
      <c r="K20" s="205"/>
      <c r="L20" s="205"/>
      <c r="M20" s="205"/>
      <c r="N20" s="205"/>
      <c r="O20" s="205"/>
      <c r="P20" s="253"/>
      <c r="Q20" s="253"/>
      <c r="R20" s="253"/>
      <c r="S20" s="253"/>
      <c r="T20" s="253"/>
      <c r="U20" s="253"/>
      <c r="V20" s="253"/>
      <c r="W20" s="253"/>
      <c r="X20" s="252"/>
      <c r="Y20" s="252"/>
      <c r="Z20" s="252"/>
      <c r="AA20" s="252"/>
    </row>
    <row r="21" spans="1:27" s="129" customFormat="1" ht="14.25" customHeight="1">
      <c r="A21" s="125"/>
      <c r="B21" s="131"/>
      <c r="C21" s="207" t="s">
        <v>149</v>
      </c>
      <c r="D21" s="215">
        <v>-308.2</v>
      </c>
      <c r="E21" s="212"/>
      <c r="F21" s="212"/>
      <c r="G21" s="212"/>
      <c r="H21" s="212"/>
      <c r="K21" s="133"/>
      <c r="L21" s="133"/>
      <c r="M21" s="133"/>
      <c r="N21" s="133"/>
      <c r="O21" s="133"/>
      <c r="P21" s="253"/>
      <c r="Q21" s="253"/>
      <c r="R21" s="253"/>
      <c r="S21" s="253"/>
      <c r="T21" s="253"/>
      <c r="U21" s="253"/>
      <c r="V21" s="253"/>
      <c r="W21" s="253"/>
      <c r="X21" s="252"/>
      <c r="Y21" s="252"/>
      <c r="Z21" s="252"/>
      <c r="AA21" s="252"/>
    </row>
    <row r="22" spans="1:27" s="129" customFormat="1" ht="14.25" customHeight="1">
      <c r="A22" s="125"/>
      <c r="B22" s="131"/>
      <c r="C22" s="207" t="s">
        <v>150</v>
      </c>
      <c r="D22" s="215">
        <v>-59.6</v>
      </c>
      <c r="E22" s="212"/>
      <c r="F22" s="212"/>
      <c r="G22" s="212"/>
      <c r="H22" s="212"/>
      <c r="K22" s="133"/>
      <c r="L22" s="205"/>
      <c r="M22" s="133"/>
      <c r="N22" s="133"/>
      <c r="O22" s="133"/>
      <c r="P22" s="253"/>
      <c r="Q22" s="253"/>
      <c r="R22" s="253"/>
      <c r="S22" s="253"/>
      <c r="T22" s="253"/>
      <c r="U22" s="253"/>
      <c r="V22" s="253"/>
      <c r="W22" s="253"/>
      <c r="X22" s="252"/>
      <c r="Y22" s="252"/>
      <c r="Z22" s="252"/>
      <c r="AA22" s="252"/>
    </row>
    <row r="23" spans="1:27" s="129" customFormat="1" ht="14.25" customHeight="1">
      <c r="A23" s="125"/>
      <c r="B23" s="131"/>
      <c r="C23" s="207" t="s">
        <v>151</v>
      </c>
      <c r="D23" s="215"/>
      <c r="E23" s="208">
        <v>-142.30000000000001</v>
      </c>
      <c r="F23" s="208">
        <v>-141.30000000000001</v>
      </c>
      <c r="G23" s="208">
        <v>-135.6</v>
      </c>
      <c r="H23" s="208">
        <v>-143</v>
      </c>
      <c r="I23" s="236"/>
      <c r="J23" s="233"/>
      <c r="K23" s="133"/>
      <c r="L23" s="133"/>
      <c r="M23" s="133"/>
      <c r="N23" s="133"/>
      <c r="O23" s="133"/>
      <c r="P23" s="253"/>
      <c r="Q23" s="253"/>
      <c r="R23" s="253"/>
      <c r="S23" s="253"/>
      <c r="T23" s="253"/>
      <c r="U23" s="253"/>
      <c r="V23" s="253"/>
      <c r="W23" s="253"/>
      <c r="X23" s="252"/>
      <c r="Y23" s="252"/>
      <c r="Z23" s="252"/>
      <c r="AA23" s="252"/>
    </row>
    <row r="24" spans="1:27" s="129" customFormat="1" ht="14.25" customHeight="1">
      <c r="A24" s="125"/>
      <c r="B24" s="343"/>
      <c r="C24" s="207" t="s">
        <v>152</v>
      </c>
      <c r="D24" s="215"/>
      <c r="E24" s="208">
        <v>-221</v>
      </c>
      <c r="F24" s="208">
        <v>-238.3</v>
      </c>
      <c r="G24" s="208">
        <v>-237.7</v>
      </c>
      <c r="H24" s="208">
        <v>-235</v>
      </c>
      <c r="I24" s="236"/>
      <c r="J24" s="233"/>
      <c r="K24" s="205"/>
      <c r="L24" s="205"/>
      <c r="M24" s="205"/>
      <c r="N24" s="205"/>
      <c r="O24" s="205"/>
      <c r="P24" s="253"/>
      <c r="Q24" s="253"/>
      <c r="R24" s="253"/>
      <c r="S24" s="253"/>
      <c r="T24" s="253"/>
      <c r="U24" s="253"/>
      <c r="V24" s="253"/>
      <c r="W24" s="253"/>
      <c r="X24" s="252"/>
      <c r="Y24" s="252"/>
      <c r="Z24" s="252"/>
      <c r="AA24" s="252"/>
    </row>
    <row r="25" spans="1:27" s="129" customFormat="1" ht="13">
      <c r="A25" s="125"/>
      <c r="B25" s="343"/>
      <c r="C25" s="211" t="s">
        <v>153</v>
      </c>
      <c r="D25" s="216">
        <f>SUM(D20:D24)</f>
        <v>92449.999999999985</v>
      </c>
      <c r="E25" s="210">
        <f t="shared" ref="E25:G25" si="2">SUM(E20:E24)</f>
        <v>90097.8</v>
      </c>
      <c r="F25" s="210">
        <f t="shared" si="2"/>
        <v>88565.4</v>
      </c>
      <c r="G25" s="210">
        <f t="shared" si="2"/>
        <v>87154.5</v>
      </c>
      <c r="H25" s="210">
        <f>SUM(H20:H24)</f>
        <v>84523.199999999997</v>
      </c>
      <c r="I25" s="239"/>
      <c r="J25" s="240"/>
      <c r="K25" s="133"/>
      <c r="L25" s="133"/>
      <c r="M25" s="133"/>
      <c r="N25" s="133"/>
      <c r="O25" s="133"/>
      <c r="P25" s="253"/>
      <c r="Q25" s="253"/>
      <c r="R25" s="253"/>
      <c r="S25" s="253"/>
      <c r="T25" s="253"/>
      <c r="U25" s="253"/>
      <c r="V25" s="253"/>
      <c r="W25" s="253"/>
      <c r="X25" s="252"/>
      <c r="Y25" s="252"/>
      <c r="Z25" s="252"/>
      <c r="AA25" s="252"/>
    </row>
    <row r="26" spans="1:27" s="129" customFormat="1" ht="14.25" customHeight="1">
      <c r="A26" s="125"/>
      <c r="B26" s="131"/>
      <c r="C26" s="207" t="s">
        <v>154</v>
      </c>
      <c r="D26" s="215">
        <v>38009.300000000003</v>
      </c>
      <c r="E26" s="208">
        <v>37451</v>
      </c>
      <c r="F26" s="208">
        <v>36650</v>
      </c>
      <c r="G26" s="208">
        <v>35532.199999999997</v>
      </c>
      <c r="H26" s="208">
        <v>35521.1</v>
      </c>
      <c r="I26" s="241"/>
      <c r="J26" s="233"/>
      <c r="K26" s="133"/>
      <c r="L26" s="133"/>
      <c r="M26" s="133"/>
      <c r="N26" s="133"/>
      <c r="O26" s="133"/>
      <c r="P26" s="253"/>
      <c r="Q26" s="253"/>
      <c r="R26" s="253"/>
      <c r="S26" s="253"/>
      <c r="T26" s="253"/>
      <c r="U26" s="253"/>
      <c r="V26" s="253"/>
      <c r="W26" s="253"/>
      <c r="X26" s="252"/>
      <c r="Y26" s="252"/>
      <c r="Z26" s="252"/>
      <c r="AA26" s="252"/>
    </row>
    <row r="27" spans="1:27" s="129" customFormat="1" ht="14.25" customHeight="1">
      <c r="A27" s="125"/>
      <c r="B27" s="131"/>
      <c r="C27" s="209" t="s">
        <v>155</v>
      </c>
      <c r="D27" s="217">
        <v>1605.8</v>
      </c>
      <c r="E27" s="213">
        <v>1624</v>
      </c>
      <c r="F27" s="213">
        <v>1324.1</v>
      </c>
      <c r="G27" s="213">
        <v>1333.1</v>
      </c>
      <c r="H27" s="213">
        <v>1278.9000000000001</v>
      </c>
      <c r="I27" s="241"/>
      <c r="J27" s="233"/>
      <c r="K27" s="135"/>
      <c r="L27" s="135"/>
      <c r="M27" s="135"/>
      <c r="N27" s="135"/>
      <c r="O27" s="135"/>
      <c r="P27" s="253"/>
      <c r="Q27" s="253"/>
      <c r="R27" s="253"/>
      <c r="S27" s="253"/>
      <c r="T27" s="253"/>
      <c r="U27" s="253"/>
      <c r="V27" s="253"/>
      <c r="W27" s="253"/>
      <c r="X27" s="252"/>
      <c r="Y27" s="252"/>
      <c r="Z27" s="252"/>
      <c r="AA27" s="252"/>
    </row>
    <row r="28" spans="1:27" s="129" customFormat="1" ht="14.25" customHeight="1">
      <c r="A28" s="125"/>
      <c r="B28" s="131"/>
      <c r="C28" s="214" t="s">
        <v>156</v>
      </c>
      <c r="D28" s="216">
        <f>SUM(D25:D27)</f>
        <v>132065.09999999998</v>
      </c>
      <c r="E28" s="210">
        <f t="shared" ref="E28:H28" si="3">SUM(E25:E27)</f>
        <v>129172.8</v>
      </c>
      <c r="F28" s="210">
        <f t="shared" si="3"/>
        <v>126539.5</v>
      </c>
      <c r="G28" s="210">
        <f t="shared" si="3"/>
        <v>124019.8</v>
      </c>
      <c r="H28" s="210">
        <f t="shared" si="3"/>
        <v>121323.19999999998</v>
      </c>
      <c r="I28" s="239"/>
      <c r="J28" s="240"/>
      <c r="K28" s="133"/>
      <c r="L28" s="133"/>
      <c r="M28" s="133"/>
      <c r="N28" s="133"/>
      <c r="O28" s="133"/>
      <c r="P28" s="253"/>
      <c r="Q28" s="253"/>
      <c r="R28" s="253"/>
      <c r="S28" s="253"/>
      <c r="T28" s="253"/>
      <c r="U28" s="253"/>
      <c r="V28" s="253"/>
      <c r="W28" s="253"/>
      <c r="X28" s="252"/>
      <c r="Y28" s="252"/>
      <c r="Z28" s="252"/>
      <c r="AA28" s="252"/>
    </row>
    <row r="29" spans="1:27" s="129" customFormat="1" ht="7">
      <c r="A29" s="125"/>
      <c r="B29" s="131"/>
      <c r="C29" s="132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53"/>
      <c r="Q29" s="253"/>
      <c r="R29" s="253"/>
      <c r="S29" s="253"/>
      <c r="T29" s="253"/>
      <c r="U29" s="253"/>
      <c r="V29" s="253"/>
      <c r="W29" s="253"/>
      <c r="X29" s="252"/>
      <c r="Y29" s="252"/>
      <c r="Z29" s="252"/>
      <c r="AA29" s="252"/>
    </row>
    <row r="30" spans="1:27" s="129" customFormat="1" ht="14.25" customHeight="1">
      <c r="A30" s="125"/>
      <c r="B30" s="131"/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254"/>
      <c r="Q30" s="254"/>
      <c r="R30" s="254"/>
      <c r="S30" s="252"/>
      <c r="T30" s="252"/>
      <c r="U30" s="252"/>
      <c r="V30" s="252"/>
      <c r="W30" s="252"/>
      <c r="X30" s="252"/>
      <c r="Y30" s="252"/>
      <c r="Z30" s="252"/>
      <c r="AA30" s="252"/>
    </row>
    <row r="31" spans="1:27" s="129" customFormat="1" ht="14.25" customHeight="1">
      <c r="A31" s="125"/>
      <c r="B31" s="131"/>
      <c r="C31" s="132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254"/>
      <c r="Q31" s="254"/>
      <c r="R31" s="254"/>
      <c r="S31" s="252"/>
      <c r="T31" s="252"/>
      <c r="U31" s="252"/>
      <c r="V31" s="252"/>
      <c r="W31" s="252"/>
      <c r="X31" s="252"/>
      <c r="Y31" s="252"/>
      <c r="Z31" s="252"/>
      <c r="AA31" s="252"/>
    </row>
    <row r="32" spans="1:27" s="129" customFormat="1" ht="14.25" customHeight="1">
      <c r="A32" s="125"/>
      <c r="B32" s="131"/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254"/>
      <c r="Q32" s="254"/>
      <c r="R32" s="254"/>
      <c r="S32" s="252"/>
      <c r="T32" s="252"/>
      <c r="U32" s="252"/>
      <c r="V32" s="252"/>
      <c r="W32" s="252"/>
      <c r="X32" s="252"/>
      <c r="Y32" s="252"/>
      <c r="Z32" s="252"/>
      <c r="AA32" s="252"/>
    </row>
    <row r="33" spans="1:27" s="129" customFormat="1" ht="14.25" customHeight="1">
      <c r="A33" s="125"/>
      <c r="B33" s="131"/>
      <c r="C33" s="132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254"/>
      <c r="Q33" s="254"/>
      <c r="R33" s="254"/>
      <c r="S33" s="252"/>
      <c r="T33" s="252"/>
      <c r="U33" s="252"/>
      <c r="V33" s="252"/>
      <c r="W33" s="252"/>
      <c r="X33" s="252"/>
      <c r="Y33" s="252"/>
      <c r="Z33" s="252"/>
      <c r="AA33" s="252"/>
    </row>
    <row r="34" spans="1:27" s="129" customFormat="1" ht="14.25" customHeight="1">
      <c r="A34" s="125"/>
      <c r="B34" s="131"/>
      <c r="C34" s="13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254"/>
      <c r="Q34" s="254"/>
      <c r="R34" s="254"/>
      <c r="S34" s="252"/>
      <c r="T34" s="252"/>
      <c r="U34" s="252"/>
      <c r="V34" s="252"/>
      <c r="W34" s="252"/>
      <c r="X34" s="252"/>
      <c r="Y34" s="252"/>
      <c r="Z34" s="252"/>
      <c r="AA34" s="252"/>
    </row>
    <row r="35" spans="1:27" s="129" customFormat="1" ht="14.25" customHeight="1">
      <c r="A35" s="125"/>
      <c r="B35" s="131"/>
      <c r="C35" s="134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254"/>
      <c r="Q35" s="254"/>
      <c r="R35" s="254"/>
      <c r="S35" s="252"/>
      <c r="T35" s="252"/>
      <c r="U35" s="252"/>
      <c r="V35" s="252"/>
      <c r="W35" s="252"/>
      <c r="X35" s="252"/>
      <c r="Y35" s="252"/>
      <c r="Z35" s="252"/>
      <c r="AA35" s="252"/>
    </row>
    <row r="36" spans="1:27" s="129" customFormat="1" ht="14.25" customHeight="1">
      <c r="A36" s="125"/>
      <c r="B36" s="131"/>
      <c r="C36" s="132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55"/>
      <c r="Q36" s="255"/>
      <c r="R36" s="255"/>
      <c r="S36" s="252"/>
      <c r="T36" s="252"/>
      <c r="U36" s="252"/>
      <c r="V36" s="252"/>
      <c r="W36" s="252"/>
      <c r="X36" s="252"/>
      <c r="Y36" s="252"/>
      <c r="Z36" s="252"/>
      <c r="AA36" s="252"/>
    </row>
    <row r="37" spans="1:27" s="129" customFormat="1" ht="163.5" customHeight="1">
      <c r="A37" s="125"/>
      <c r="B37" s="131"/>
      <c r="C37" s="13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53"/>
      <c r="Q37" s="253"/>
      <c r="R37" s="253"/>
      <c r="S37" s="252"/>
      <c r="T37" s="252"/>
      <c r="U37" s="252"/>
      <c r="V37" s="252"/>
      <c r="W37" s="252"/>
      <c r="X37" s="252"/>
      <c r="Y37" s="252"/>
      <c r="Z37" s="252"/>
      <c r="AA37" s="252"/>
    </row>
    <row r="38" spans="1:27" s="129" customFormat="1" ht="14.25" customHeight="1">
      <c r="A38" s="125"/>
      <c r="B38" s="131"/>
      <c r="C38" s="13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</row>
    <row r="39" spans="1:27" s="129" customFormat="1" ht="14.25" customHeight="1">
      <c r="A39" s="125"/>
      <c r="B39" s="131"/>
      <c r="C39" s="13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</row>
    <row r="40" spans="1:27" s="129" customFormat="1" ht="14.25" customHeight="1">
      <c r="A40" s="125"/>
      <c r="B40" s="131"/>
      <c r="C40" s="13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</row>
    <row r="41" spans="1:27" s="129" customFormat="1" ht="14.25" customHeight="1">
      <c r="A41" s="125"/>
      <c r="B41" s="131"/>
      <c r="C41" s="13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27" s="129" customFormat="1" ht="14.25" customHeight="1">
      <c r="A42" s="125"/>
      <c r="B42" s="131"/>
      <c r="C42" s="13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</row>
    <row r="43" spans="1:27" s="129" customFormat="1" ht="183" customHeight="1">
      <c r="A43" s="125"/>
      <c r="B43" s="131"/>
      <c r="C43" s="75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</row>
    <row r="44" spans="1:27" s="129" customFormat="1" ht="150.75" customHeight="1">
      <c r="A44" s="125"/>
      <c r="B44" s="131"/>
      <c r="C44" s="13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</row>
    <row r="45" spans="1:27" s="129" customFormat="1" ht="173.25" customHeight="1">
      <c r="A45" s="125"/>
      <c r="B45" s="131"/>
      <c r="C45" s="13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</row>
    <row r="46" spans="1:27" s="129" customFormat="1" ht="14.25" customHeight="1">
      <c r="A46" s="125"/>
      <c r="B46" s="131"/>
      <c r="C46" s="13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</row>
    <row r="47" spans="1:27" s="129" customFormat="1" ht="7">
      <c r="A47" s="125"/>
      <c r="B47" s="131"/>
      <c r="C47" s="75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</row>
    <row r="48" spans="1:27" s="129" customFormat="1" ht="7">
      <c r="A48" s="125"/>
      <c r="B48" s="131"/>
      <c r="C48" s="13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</row>
    <row r="49" spans="1:18" s="129" customFormat="1" ht="14.25" customHeight="1">
      <c r="A49" s="125"/>
      <c r="B49" s="131"/>
      <c r="C49" s="13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18" s="129" customFormat="1" ht="14.25" customHeight="1">
      <c r="A50" s="125"/>
      <c r="B50" s="131"/>
      <c r="C50" s="13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</row>
    <row r="51" spans="1:18" s="129" customFormat="1" ht="15" customHeight="1">
      <c r="A51" s="125"/>
      <c r="B51" s="131"/>
      <c r="C51" s="100"/>
      <c r="D51" s="76"/>
      <c r="E51" s="76"/>
      <c r="F51" s="76"/>
      <c r="G51" s="76"/>
      <c r="H51" s="76"/>
      <c r="I51" s="76"/>
      <c r="J51" s="76"/>
    </row>
    <row r="52" spans="1:18" s="129" customFormat="1" ht="15" customHeight="1">
      <c r="A52" s="125"/>
      <c r="B52" s="126"/>
      <c r="C52" s="127"/>
      <c r="D52" s="128"/>
      <c r="E52" s="128"/>
      <c r="F52" s="128"/>
      <c r="G52" s="128"/>
      <c r="H52" s="128"/>
      <c r="I52" s="128"/>
      <c r="J52" s="128"/>
    </row>
    <row r="53" spans="1:18" s="129" customFormat="1" ht="15" customHeight="1">
      <c r="A53" s="125"/>
      <c r="B53" s="126"/>
      <c r="C53" s="127"/>
      <c r="D53" s="128"/>
      <c r="E53" s="128"/>
      <c r="F53" s="128"/>
      <c r="G53" s="128"/>
      <c r="H53" s="128"/>
      <c r="I53" s="128"/>
      <c r="J53" s="128"/>
    </row>
    <row r="54" spans="1:18" s="129" customFormat="1" ht="15" customHeight="1">
      <c r="A54" s="125"/>
      <c r="B54" s="126"/>
      <c r="C54" s="127"/>
      <c r="D54" s="128"/>
      <c r="E54" s="128"/>
      <c r="F54" s="128"/>
      <c r="G54" s="128"/>
      <c r="H54" s="128"/>
      <c r="I54" s="128"/>
      <c r="J54" s="128"/>
    </row>
    <row r="55" spans="1:18" s="129" customFormat="1" ht="15" customHeight="1">
      <c r="A55" s="125"/>
      <c r="B55" s="126"/>
      <c r="C55" s="127"/>
      <c r="D55" s="128"/>
      <c r="E55" s="128"/>
      <c r="F55" s="128"/>
      <c r="G55" s="128"/>
      <c r="H55" s="128"/>
      <c r="I55" s="128"/>
      <c r="J55" s="128"/>
    </row>
    <row r="56" spans="1:18" s="129" customFormat="1" ht="15" customHeight="1">
      <c r="A56" s="125"/>
      <c r="B56" s="126"/>
      <c r="C56" s="127"/>
      <c r="D56" s="128"/>
      <c r="E56" s="128"/>
      <c r="F56" s="128"/>
      <c r="G56" s="128"/>
      <c r="H56" s="128"/>
      <c r="I56" s="128"/>
      <c r="J56" s="128"/>
    </row>
    <row r="57" spans="1:18" s="129" customFormat="1" ht="15" customHeight="1">
      <c r="A57" s="125"/>
      <c r="B57" s="126"/>
      <c r="C57" s="127"/>
      <c r="D57" s="128"/>
      <c r="E57" s="128"/>
      <c r="F57" s="128"/>
      <c r="G57" s="128"/>
      <c r="H57" s="128"/>
      <c r="I57" s="128"/>
      <c r="J57" s="128"/>
    </row>
    <row r="58" spans="1:18" s="129" customFormat="1" ht="15" customHeight="1">
      <c r="A58" s="125"/>
      <c r="B58" s="126"/>
      <c r="C58" s="127"/>
      <c r="D58" s="128"/>
      <c r="E58" s="128"/>
      <c r="F58" s="128"/>
      <c r="G58" s="128"/>
      <c r="H58" s="128"/>
      <c r="I58" s="128"/>
      <c r="J58" s="128"/>
    </row>
    <row r="59" spans="1:18" s="139" customFormat="1" ht="15" customHeight="1">
      <c r="B59" s="140"/>
      <c r="C59" s="127"/>
      <c r="D59" s="127"/>
      <c r="E59" s="127"/>
      <c r="F59" s="127"/>
      <c r="G59" s="127"/>
      <c r="H59" s="127"/>
      <c r="I59" s="127"/>
      <c r="J59" s="127"/>
    </row>
    <row r="60" spans="1:18" s="139" customFormat="1" ht="15" customHeight="1">
      <c r="B60" s="140"/>
      <c r="C60" s="127"/>
      <c r="D60" s="127"/>
      <c r="E60" s="127"/>
      <c r="F60" s="127"/>
      <c r="G60" s="127"/>
      <c r="H60" s="127"/>
      <c r="I60" s="127"/>
      <c r="J60" s="127"/>
    </row>
    <row r="61" spans="1:18" s="139" customFormat="1" ht="15" customHeight="1">
      <c r="B61" s="140"/>
      <c r="C61" s="127"/>
      <c r="D61" s="127"/>
      <c r="E61" s="127"/>
      <c r="F61" s="127"/>
      <c r="G61" s="127"/>
      <c r="H61" s="127"/>
      <c r="I61" s="127"/>
      <c r="J61" s="127"/>
    </row>
    <row r="62" spans="1:18" s="139" customFormat="1" ht="15" customHeight="1">
      <c r="B62" s="140"/>
      <c r="C62" s="127"/>
      <c r="D62" s="127"/>
      <c r="E62" s="127"/>
      <c r="F62" s="127"/>
      <c r="G62" s="127"/>
      <c r="H62" s="127"/>
      <c r="I62" s="127"/>
      <c r="J62" s="127"/>
    </row>
    <row r="63" spans="1:18" s="139" customFormat="1" ht="15" customHeight="1">
      <c r="B63" s="140"/>
      <c r="C63" s="127"/>
      <c r="D63" s="127"/>
      <c r="E63" s="127"/>
      <c r="F63" s="127"/>
      <c r="G63" s="127"/>
      <c r="H63" s="127"/>
      <c r="I63" s="127"/>
      <c r="J63" s="127"/>
    </row>
    <row r="64" spans="1:18" s="139" customFormat="1" ht="15" customHeight="1">
      <c r="B64" s="140"/>
      <c r="C64" s="127"/>
      <c r="D64" s="127"/>
      <c r="E64" s="127"/>
      <c r="F64" s="127"/>
      <c r="G64" s="127"/>
      <c r="H64" s="127"/>
      <c r="I64" s="127"/>
      <c r="J64" s="127"/>
    </row>
    <row r="65" spans="1:10" s="139" customFormat="1" ht="15" customHeight="1">
      <c r="B65" s="140"/>
      <c r="C65" s="127"/>
      <c r="D65" s="127"/>
      <c r="E65" s="127"/>
      <c r="F65" s="127"/>
      <c r="G65" s="127"/>
      <c r="H65" s="127"/>
      <c r="I65" s="127"/>
      <c r="J65" s="127"/>
    </row>
    <row r="66" spans="1:10" s="139" customFormat="1" ht="15" customHeight="1">
      <c r="B66" s="140"/>
      <c r="C66" s="127"/>
      <c r="D66" s="127"/>
      <c r="E66" s="127"/>
      <c r="F66" s="127"/>
      <c r="G66" s="127"/>
      <c r="H66" s="127"/>
      <c r="I66" s="127"/>
      <c r="J66" s="127"/>
    </row>
    <row r="67" spans="1:10" s="139" customFormat="1" ht="15" customHeight="1">
      <c r="B67" s="140"/>
      <c r="C67" s="127"/>
      <c r="D67" s="127"/>
      <c r="E67" s="127"/>
      <c r="F67" s="127"/>
      <c r="G67" s="127"/>
      <c r="H67" s="127"/>
      <c r="I67" s="127"/>
      <c r="J67" s="127"/>
    </row>
    <row r="68" spans="1:10" s="142" customFormat="1" ht="15" customHeight="1">
      <c r="A68" s="141"/>
      <c r="B68" s="140"/>
      <c r="C68" s="127"/>
      <c r="D68" s="127"/>
      <c r="E68" s="127"/>
      <c r="F68" s="127"/>
      <c r="G68" s="127"/>
      <c r="H68" s="127"/>
      <c r="I68" s="127"/>
      <c r="J68" s="127"/>
    </row>
    <row r="69" spans="1:10" ht="15" customHeight="1">
      <c r="A69" s="120"/>
      <c r="B69" s="140"/>
      <c r="C69" s="127"/>
      <c r="D69" s="127"/>
      <c r="E69" s="127"/>
      <c r="F69" s="127"/>
      <c r="G69" s="127"/>
      <c r="H69" s="127"/>
      <c r="I69" s="127"/>
      <c r="J69" s="127"/>
    </row>
  </sheetData>
  <mergeCells count="1">
    <mergeCell ref="B24:B25"/>
  </mergeCells>
  <pageMargins left="0.7" right="0.7" top="0.75" bottom="0.75" header="0.3" footer="0.3"/>
  <pageSetup paperSize="9" orientation="portrait" verticalDpi="14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Front</vt:lpstr>
      <vt:lpstr>Contact info</vt:lpstr>
      <vt:lpstr>Contents</vt:lpstr>
      <vt:lpstr>1 APM</vt:lpstr>
      <vt:lpstr>2 Results and key figures</vt:lpstr>
      <vt:lpstr>3 Income</vt:lpstr>
      <vt:lpstr>4 Expences</vt:lpstr>
      <vt:lpstr>5 Margins</vt:lpstr>
      <vt:lpstr>6 Lending</vt:lpstr>
      <vt:lpstr>7 Deposits</vt:lpstr>
    </vt:vector>
  </TitlesOfParts>
  <Company>SpareBank1 Østlandet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Frode Nipseth Kleven</cp:lastModifiedBy>
  <dcterms:created xsi:type="dcterms:W3CDTF">2017-12-01T09:54:14Z</dcterms:created>
  <dcterms:modified xsi:type="dcterms:W3CDTF">2018-04-27T05:00:08Z</dcterms:modified>
</cp:coreProperties>
</file>