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802889\AppData\Local\Microsoft\Windows\INetCache\Content.Outlook\GIOBI2UZ\"/>
    </mc:Choice>
  </mc:AlternateContent>
  <bookViews>
    <workbookView xWindow="0" yWindow="0" windowWidth="14940" windowHeight="7755"/>
  </bookViews>
  <sheets>
    <sheet name="Front" sheetId="87" r:id="rId1"/>
    <sheet name="Contact info" sheetId="95" r:id="rId2"/>
    <sheet name="Contents" sheetId="1" r:id="rId3"/>
    <sheet name="1 APM" sheetId="96" r:id="rId4"/>
    <sheet name="2 Results and key figures" sheetId="5" r:id="rId5"/>
    <sheet name="3 Income" sheetId="6" r:id="rId6"/>
    <sheet name="4 Expences" sheetId="7" r:id="rId7"/>
    <sheet name="5 Margins" sheetId="57" r:id="rId8"/>
    <sheet name="6 Lending" sheetId="86" r:id="rId9"/>
    <sheet name="7 Deposits" sheetId="3" r:id="rId10"/>
    <sheet name="8 Customers" sheetId="97" r:id="rId11"/>
  </sheets>
  <externalReferences>
    <externalReference r:id="rId12"/>
    <externalReference r:id="rId13"/>
    <externalReference r:id="rId14"/>
  </externalReferences>
  <definedNames>
    <definedName name="__123Graph_ABALADAGS" localSheetId="4" hidden="1">[1]Tabell!#REF!</definedName>
    <definedName name="__123Graph_ABALADAGS" localSheetId="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hidden="1">[1]Tabell!#REF!</definedName>
    <definedName name="__123Graph_BBALADAGS" localSheetId="4" hidden="1">[1]Tabell!#REF!</definedName>
    <definedName name="__123Graph_BBALADAGS" localSheetId="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hidden="1">[1]Tabell!#REF!</definedName>
    <definedName name="__123Graph_CBALADAGS" localSheetId="4" hidden="1">[1]Tabell!#REF!</definedName>
    <definedName name="__123Graph_CBALADAGS" localSheetId="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hidden="1">[1]Tabell!#REF!</definedName>
    <definedName name="__123Graph_DBALADAGS" localSheetId="4" hidden="1">[1]Tabell!#REF!</definedName>
    <definedName name="__123Graph_DBALADAGS" localSheetId="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hidden="1">[1]Tabell!#REF!</definedName>
    <definedName name="__123Graph_EBALADAGS" localSheetId="4" hidden="1">[1]Tabell!#REF!</definedName>
    <definedName name="__123Graph_EBALADAGS" localSheetId="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hidden="1">[1]Tabell!#REF!</definedName>
    <definedName name="__123Graph_FBALADAGS" localSheetId="4" hidden="1">[1]Tabell!#REF!</definedName>
    <definedName name="__123Graph_FBALADAGS" localSheetId="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hidden="1">[1]Tabell!#REF!</definedName>
    <definedName name="__123Graph_LBL_ABALADAGS" localSheetId="4" hidden="1">[1]Tabell!#REF!</definedName>
    <definedName name="__123Graph_LBL_ABALADAGS" localSheetId="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hidden="1">[1]Tabell!#REF!</definedName>
    <definedName name="__123Graph_LBL_BBALADAGS" localSheetId="4" hidden="1">[1]Tabell!#REF!</definedName>
    <definedName name="__123Graph_LBL_BBALADAGS" localSheetId="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hidden="1">[1]Tabell!#REF!</definedName>
    <definedName name="__123Graph_LBL_CBALADAGS" localSheetId="4" hidden="1">[1]Tabell!#REF!</definedName>
    <definedName name="__123Graph_LBL_CBALADAGS" localSheetId="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hidden="1">[1]Tabell!#REF!</definedName>
    <definedName name="__123Graph_LBL_DBALADAGS" localSheetId="4" hidden="1">[1]Tabell!#REF!</definedName>
    <definedName name="__123Graph_LBL_DBALADAGS" localSheetId="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hidden="1">[1]Tabell!#REF!</definedName>
    <definedName name="__123Graph_LBL_EBALADAGS" localSheetId="4" hidden="1">[1]Tabell!#REF!</definedName>
    <definedName name="__123Graph_LBL_EBALADAGS" localSheetId="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hidden="1">[1]Tabell!#REF!</definedName>
    <definedName name="__123Graph_LBL_FBALADAGS" localSheetId="4" hidden="1">[1]Tabell!#REF!</definedName>
    <definedName name="__123Graph_LBL_FBALADAGS" localSheetId="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hidden="1">[1]Tabell!#REF!</definedName>
    <definedName name="__123Graph_XBALADAGS" localSheetId="4" hidden="1">[1]Tabell!#REF!</definedName>
    <definedName name="__123Graph_XBALADAGS" localSheetId="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hidden="1">[1]Tabell!#REF!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4" hidden="1">'[2]Market Cap'!#REF!</definedName>
    <definedName name="_GSRATESR_2" localSheetId="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hidden="1">#REF!</definedName>
    <definedName name="_Order1" hidden="1">255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4" hidden="1">[1]Tabell!#REF!</definedName>
    <definedName name="ads" localSheetId="5" hidden="1">[1]Tabell!#REF!</definedName>
    <definedName name="ads" localSheetId="6" hidden="1">[1]Tabell!#REF!</definedName>
    <definedName name="ads" localSheetId="7" hidden="1">[1]Tabell!#REF!</definedName>
    <definedName name="ads" localSheetId="8" hidden="1">[1]Tabell!#REF!</definedName>
    <definedName name="ads" localSheetId="9" hidden="1">[1]Tabell!#REF!</definedName>
    <definedName name="ads" hidden="1">[1]Tabell!#REF!</definedName>
    <definedName name="AS2DocOpenMode" hidden="1">"AS2DocumentEdit"</definedName>
    <definedName name="BLPB1" localSheetId="4" hidden="1">#REF!</definedName>
    <definedName name="BLPB1" localSheetId="5" hidden="1">#REF!</definedName>
    <definedName name="BLPB1" localSheetId="6" hidden="1">#REF!</definedName>
    <definedName name="BLPB1" localSheetId="7" hidden="1">#REF!</definedName>
    <definedName name="BLPB1" localSheetId="8" hidden="1">#REF!</definedName>
    <definedName name="BLPB1" localSheetId="9" hidden="1">#REF!</definedName>
    <definedName name="BLPB1" hidden="1">#REF!</definedName>
    <definedName name="BLPB2" localSheetId="4" hidden="1">#REF!</definedName>
    <definedName name="BLPB2" localSheetId="5" hidden="1">#REF!</definedName>
    <definedName name="BLPB2" localSheetId="6" hidden="1">#REF!</definedName>
    <definedName name="BLPB2" localSheetId="7" hidden="1">#REF!</definedName>
    <definedName name="BLPB2" localSheetId="8" hidden="1">#REF!</definedName>
    <definedName name="BLPB2" localSheetId="9" hidden="1">#REF!</definedName>
    <definedName name="BLPB2" hidden="1">#REF!</definedName>
    <definedName name="BLPH1" localSheetId="4" hidden="1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localSheetId="8" hidden="1">#REF!</definedName>
    <definedName name="BLPH1" localSheetId="9" hidden="1">#REF!</definedName>
    <definedName name="BLPH1" hidden="1">#REF!</definedName>
    <definedName name="BLPH2" localSheetId="4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localSheetId="8" hidden="1">#REF!</definedName>
    <definedName name="BLPH2" localSheetId="9" hidden="1">#REF!</definedName>
    <definedName name="BLPH2" hidden="1">#REF!</definedName>
    <definedName name="BLPH3" localSheetId="4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localSheetId="8" hidden="1">#REF!</definedName>
    <definedName name="BLPH3" localSheetId="9" hidden="1">#REF!</definedName>
    <definedName name="BLPH3" hidden="1">#REF!</definedName>
    <definedName name="BLPH4" localSheetId="4" hidden="1">#REF!</definedName>
    <definedName name="BLPH4" localSheetId="5" hidden="1">#REF!</definedName>
    <definedName name="BLPH4" localSheetId="6" hidden="1">#REF!</definedName>
    <definedName name="BLPH4" localSheetId="7" hidden="1">#REF!</definedName>
    <definedName name="BLPH4" localSheetId="8" hidden="1">#REF!</definedName>
    <definedName name="BLPH4" localSheetId="9" hidden="1">#REF!</definedName>
    <definedName name="BLPH4" hidden="1">#REF!</definedName>
    <definedName name="BLPH5" localSheetId="4" hidden="1">#REF!</definedName>
    <definedName name="BLPH5" localSheetId="5" hidden="1">#REF!</definedName>
    <definedName name="BLPH5" localSheetId="6" hidden="1">#REF!</definedName>
    <definedName name="BLPH5" localSheetId="7" hidden="1">#REF!</definedName>
    <definedName name="BLPH5" localSheetId="8" hidden="1">#REF!</definedName>
    <definedName name="BLPH5" localSheetId="9" hidden="1">#REF!</definedName>
    <definedName name="BLPH5" hidden="1">#REF!</definedName>
    <definedName name="BLPH6" localSheetId="4" hidden="1">#REF!</definedName>
    <definedName name="BLPH6" localSheetId="5" hidden="1">#REF!</definedName>
    <definedName name="BLPH6" localSheetId="6" hidden="1">#REF!</definedName>
    <definedName name="BLPH6" localSheetId="7" hidden="1">#REF!</definedName>
    <definedName name="BLPH6" localSheetId="8" hidden="1">#REF!</definedName>
    <definedName name="BLPH6" localSheetId="9" hidden="1">#REF!</definedName>
    <definedName name="BLPH6" hidden="1">#REF!</definedName>
    <definedName name="BLPH7" localSheetId="4" hidden="1">#REF!</definedName>
    <definedName name="BLPH7" localSheetId="5" hidden="1">#REF!</definedName>
    <definedName name="BLPH7" localSheetId="6" hidden="1">#REF!</definedName>
    <definedName name="BLPH7" localSheetId="7" hidden="1">#REF!</definedName>
    <definedName name="BLPH7" localSheetId="8" hidden="1">#REF!</definedName>
    <definedName name="BLPH7" localSheetId="9" hidden="1">#REF!</definedName>
    <definedName name="BLPH7" hidden="1">#REF!</definedName>
    <definedName name="BLPH8" localSheetId="4" hidden="1">#REF!</definedName>
    <definedName name="BLPH8" localSheetId="5" hidden="1">#REF!</definedName>
    <definedName name="BLPH8" localSheetId="6" hidden="1">#REF!</definedName>
    <definedName name="BLPH8" localSheetId="7" hidden="1">#REF!</definedName>
    <definedName name="BLPH8" localSheetId="8" hidden="1">#REF!</definedName>
    <definedName name="BLPH8" localSheetId="9" hidden="1">#REF!</definedName>
    <definedName name="BLPH8" hidden="1">#REF!</definedName>
    <definedName name="business_model" hidden="1">{#N/A,#N/A,FALSE,"Annual Earnings Model";#N/A,#N/A,FALSE,"Quarterly Earnings Model";#N/A,#N/A,FALSE,"Header";#N/A,#N/A,FALSE,"Notes"}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5" hidden="1">[1]Tabell!#REF!</definedName>
    <definedName name="dfhgd" localSheetId="7" hidden="1">[1]Tabell!#REF!</definedName>
    <definedName name="dfhgd" localSheetId="8" hidden="1">[1]Tabell!#REF!</definedName>
    <definedName name="dfhgd" hidden="1">[1]Tabell!#REF!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5" hidden="1">[1]Tabell!#REF!</definedName>
    <definedName name="LI" localSheetId="7" hidden="1">[1]Tabell!#REF!</definedName>
    <definedName name="LI" localSheetId="8" hidden="1">[1]Tabell!#REF!</definedName>
    <definedName name="LI" hidden="1">[1]Tabell!#REF!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rint_A">#N/A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hidden="1">{#N/A,#N/A,FALSE,"Annual Earnings Model";#N/A,#N/A,FALSE,"Quarterly Earnings Model";#N/A,#N/A,FALSE,"Header";#N/A,#N/A,FALSE,"Notes"}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5" hidden="1">[1]Tabell!#REF!</definedName>
    <definedName name="TEST" localSheetId="7" hidden="1">[1]Tabell!#REF!</definedName>
    <definedName name="TEST" localSheetId="8" hidden="1">[1]Tabell!#REF!</definedName>
    <definedName name="TEST" hidden="1">[1]Tabell!#REF!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hidden="1">{#N/A,#N/A,FALSE,"Annual Earnings Model";#N/A,#N/A,FALSE,"Quarterly Earnings Model";#N/A,#N/A,FALSE,"Header";#N/A,#N/A,FALSE,"Notes"}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4" hidden="1">[3]In99!#REF!</definedName>
    <definedName name="xxxxxxx" localSheetId="5" hidden="1">[3]In99!#REF!</definedName>
    <definedName name="xxxxxxx" localSheetId="6" hidden="1">[3]In99!#REF!</definedName>
    <definedName name="xxxxxxx" localSheetId="7" hidden="1">[3]In99!#REF!</definedName>
    <definedName name="xxxxxxx" localSheetId="8" hidden="1">[3]In99!#REF!</definedName>
    <definedName name="xxxxxxx" localSheetId="9" hidden="1">[3]In99!#REF!</definedName>
    <definedName name="xxxxxxx" hidden="1">[3]In99!#REF!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7" l="1"/>
  <c r="H43" i="3"/>
  <c r="G43" i="3"/>
  <c r="F43" i="3"/>
  <c r="E43" i="3"/>
  <c r="D43" i="3"/>
  <c r="H41" i="3"/>
  <c r="G41" i="3"/>
  <c r="F41" i="3"/>
  <c r="E41" i="3"/>
  <c r="D41" i="3"/>
  <c r="E49" i="86"/>
  <c r="F49" i="86"/>
  <c r="G49" i="86"/>
  <c r="H49" i="86"/>
  <c r="D49" i="86"/>
  <c r="E48" i="86"/>
  <c r="F48" i="86"/>
  <c r="G48" i="86"/>
  <c r="H48" i="86"/>
  <c r="D48" i="86"/>
  <c r="H47" i="86"/>
  <c r="G47" i="86"/>
  <c r="F47" i="86"/>
  <c r="E47" i="86"/>
  <c r="D47" i="86"/>
  <c r="H45" i="86"/>
  <c r="G45" i="86"/>
  <c r="F45" i="86"/>
  <c r="E45" i="86"/>
  <c r="D45" i="86"/>
  <c r="D97" i="6" l="1"/>
  <c r="H18" i="86" l="1"/>
  <c r="G18" i="86"/>
  <c r="F18" i="86"/>
  <c r="E18" i="86"/>
  <c r="E20" i="86" s="1"/>
  <c r="E25" i="86" s="1"/>
  <c r="E28" i="86" s="1"/>
  <c r="H20" i="86"/>
  <c r="G20" i="86"/>
  <c r="F20" i="86"/>
  <c r="H25" i="86"/>
  <c r="H28" i="86" s="1"/>
  <c r="G25" i="86"/>
  <c r="G28" i="86" s="1"/>
  <c r="F25" i="86"/>
  <c r="F28" i="86" s="1"/>
  <c r="G54" i="7"/>
  <c r="F54" i="7"/>
  <c r="E54" i="7"/>
  <c r="D54" i="7"/>
  <c r="C54" i="7"/>
  <c r="C12" i="7"/>
  <c r="G12" i="7"/>
  <c r="F12" i="7"/>
  <c r="E12" i="7"/>
  <c r="D12" i="7"/>
  <c r="H97" i="6"/>
  <c r="G97" i="6"/>
  <c r="F97" i="6"/>
  <c r="E97" i="6"/>
  <c r="D53" i="6"/>
  <c r="D28" i="96" l="1"/>
  <c r="C28" i="96"/>
  <c r="D27" i="96"/>
  <c r="C27" i="96"/>
  <c r="E29" i="96"/>
  <c r="C73" i="96"/>
  <c r="C24" i="96"/>
  <c r="C143" i="96"/>
  <c r="C134" i="96"/>
  <c r="C132" i="96"/>
  <c r="C133" i="96" s="1"/>
  <c r="C135" i="96" s="1"/>
  <c r="C137" i="96" s="1"/>
  <c r="C140" i="96" s="1"/>
  <c r="C141" i="96" s="1"/>
  <c r="C118" i="96"/>
  <c r="C124" i="96" s="1"/>
  <c r="C126" i="96" s="1"/>
  <c r="C128" i="96" s="1"/>
  <c r="C144" i="96" s="1"/>
  <c r="C114" i="96"/>
  <c r="C115" i="96" s="1"/>
  <c r="C113" i="96"/>
  <c r="C110" i="96"/>
  <c r="C106" i="96"/>
  <c r="C100" i="96"/>
  <c r="C99" i="96"/>
  <c r="C101" i="96" s="1"/>
  <c r="C91" i="96"/>
  <c r="C85" i="96"/>
  <c r="C95" i="96" s="1"/>
  <c r="C84" i="96"/>
  <c r="C86" i="96" s="1"/>
  <c r="C78" i="96"/>
  <c r="C77" i="96"/>
  <c r="C76" i="96"/>
  <c r="C66" i="96"/>
  <c r="C68" i="96" s="1"/>
  <c r="C65" i="96"/>
  <c r="C60" i="96"/>
  <c r="C57" i="96"/>
  <c r="C51" i="96"/>
  <c r="C45" i="96"/>
  <c r="C44" i="96"/>
  <c r="C43" i="96"/>
  <c r="C39" i="96"/>
  <c r="C52" i="96" s="1"/>
  <c r="D34" i="96"/>
  <c r="C34" i="96"/>
  <c r="D21" i="96"/>
  <c r="C21" i="96"/>
  <c r="D25" i="96" s="1"/>
  <c r="D12" i="96"/>
  <c r="D13" i="96" s="1"/>
  <c r="D14" i="96" s="1"/>
  <c r="C12" i="96"/>
  <c r="C13" i="96" s="1"/>
  <c r="C14" i="96" s="1"/>
  <c r="D84" i="96"/>
  <c r="E8" i="96"/>
  <c r="F8" i="96"/>
  <c r="H8" i="96"/>
  <c r="J8" i="96"/>
  <c r="L8" i="96"/>
  <c r="N8" i="96"/>
  <c r="M8" i="96" s="1"/>
  <c r="P8" i="96"/>
  <c r="R8" i="96"/>
  <c r="T8" i="96"/>
  <c r="V8" i="96"/>
  <c r="U8" i="96" s="1"/>
  <c r="X8" i="96"/>
  <c r="Z8" i="96"/>
  <c r="AB8" i="96"/>
  <c r="AD8" i="96"/>
  <c r="AC8" i="96" s="1"/>
  <c r="C79" i="96" l="1"/>
  <c r="D29" i="96"/>
  <c r="C145" i="96"/>
  <c r="C29" i="96"/>
  <c r="C67" i="96"/>
  <c r="C69" i="96" s="1"/>
  <c r="D85" i="96"/>
  <c r="D86" i="96" s="1"/>
  <c r="AA8" i="96"/>
  <c r="Y8" i="96" s="1"/>
  <c r="W8" i="96" s="1"/>
  <c r="K8" i="96"/>
  <c r="I8" i="96" s="1"/>
  <c r="G8" i="96" s="1"/>
  <c r="S8" i="96"/>
  <c r="Q8" i="96" s="1"/>
  <c r="O8" i="96" s="1"/>
  <c r="C50" i="96" l="1"/>
  <c r="C61" i="96"/>
  <c r="C62" i="96" s="1"/>
  <c r="E114" i="96"/>
  <c r="K143" i="96"/>
  <c r="E143" i="96"/>
  <c r="S134" i="96"/>
  <c r="Q134" i="96"/>
  <c r="O134" i="96"/>
  <c r="M134" i="96"/>
  <c r="K134" i="96"/>
  <c r="I134" i="96"/>
  <c r="G134" i="96"/>
  <c r="Q133" i="96"/>
  <c r="I133" i="96"/>
  <c r="AC132" i="96"/>
  <c r="AA132" i="96"/>
  <c r="Y132" i="96"/>
  <c r="W132" i="96"/>
  <c r="U132" i="96"/>
  <c r="S132" i="96"/>
  <c r="S133" i="96" s="1"/>
  <c r="O132" i="96"/>
  <c r="O133" i="96" s="1"/>
  <c r="M132" i="96"/>
  <c r="M133" i="96" s="1"/>
  <c r="K132" i="96"/>
  <c r="K133" i="96" s="1"/>
  <c r="G132" i="96"/>
  <c r="G133" i="96" s="1"/>
  <c r="E132" i="96"/>
  <c r="E133" i="96" s="1"/>
  <c r="T127" i="96"/>
  <c r="P127" i="96"/>
  <c r="E134" i="96"/>
  <c r="P125" i="96"/>
  <c r="Q122" i="96"/>
  <c r="O122" i="96"/>
  <c r="K118" i="96"/>
  <c r="K124" i="96" s="1"/>
  <c r="K126" i="96" s="1"/>
  <c r="K128" i="96" s="1"/>
  <c r="K144" i="96" s="1"/>
  <c r="I118" i="96"/>
  <c r="I124" i="96" s="1"/>
  <c r="I126" i="96" s="1"/>
  <c r="I128" i="96" s="1"/>
  <c r="I144" i="96" s="1"/>
  <c r="I145" i="96" s="1"/>
  <c r="G118" i="96"/>
  <c r="G124" i="96" s="1"/>
  <c r="G126" i="96" s="1"/>
  <c r="G128" i="96" s="1"/>
  <c r="G144" i="96" s="1"/>
  <c r="G145" i="96" s="1"/>
  <c r="AC114" i="96"/>
  <c r="AA114" i="96"/>
  <c r="Y114" i="96"/>
  <c r="W114" i="96"/>
  <c r="U114" i="96"/>
  <c r="S114" i="96"/>
  <c r="Q114" i="96"/>
  <c r="O114" i="96"/>
  <c r="M114" i="96"/>
  <c r="K114" i="96"/>
  <c r="I114" i="96"/>
  <c r="G114" i="96"/>
  <c r="AC113" i="96"/>
  <c r="AC115" i="96" s="1"/>
  <c r="AA113" i="96"/>
  <c r="AA115" i="96" s="1"/>
  <c r="Y113" i="96"/>
  <c r="W113" i="96"/>
  <c r="W115" i="96" s="1"/>
  <c r="U113" i="96"/>
  <c r="U115" i="96" s="1"/>
  <c r="Q113" i="96"/>
  <c r="Q118" i="96" s="1"/>
  <c r="O113" i="96"/>
  <c r="O118" i="96" s="1"/>
  <c r="M113" i="96"/>
  <c r="K113" i="96"/>
  <c r="I113" i="96"/>
  <c r="G113" i="96"/>
  <c r="AC109" i="96"/>
  <c r="AC110" i="96" s="1"/>
  <c r="AA109" i="96"/>
  <c r="AA110" i="96" s="1"/>
  <c r="Y109" i="96"/>
  <c r="Y110" i="96" s="1"/>
  <c r="W109" i="96"/>
  <c r="W110" i="96" s="1"/>
  <c r="U109" i="96"/>
  <c r="U110" i="96" s="1"/>
  <c r="S109" i="96"/>
  <c r="S110" i="96" s="1"/>
  <c r="Q109" i="96"/>
  <c r="Q110" i="96" s="1"/>
  <c r="O109" i="96"/>
  <c r="O110" i="96" s="1"/>
  <c r="M109" i="96"/>
  <c r="M110" i="96" s="1"/>
  <c r="K109" i="96"/>
  <c r="K110" i="96" s="1"/>
  <c r="I109" i="96"/>
  <c r="I110" i="96" s="1"/>
  <c r="G109" i="96"/>
  <c r="G110" i="96" s="1"/>
  <c r="AC105" i="96"/>
  <c r="AC106" i="96" s="1"/>
  <c r="AA105" i="96"/>
  <c r="AA106" i="96" s="1"/>
  <c r="Y105" i="96"/>
  <c r="Y106" i="96" s="1"/>
  <c r="W105" i="96"/>
  <c r="W106" i="96" s="1"/>
  <c r="U105" i="96"/>
  <c r="U106" i="96" s="1"/>
  <c r="S105" i="96"/>
  <c r="S106" i="96" s="1"/>
  <c r="Q105" i="96"/>
  <c r="Q106" i="96" s="1"/>
  <c r="O105" i="96"/>
  <c r="O106" i="96" s="1"/>
  <c r="M105" i="96"/>
  <c r="M106" i="96" s="1"/>
  <c r="K105" i="96"/>
  <c r="K106" i="96" s="1"/>
  <c r="I105" i="96"/>
  <c r="I106" i="96" s="1"/>
  <c r="G105" i="96"/>
  <c r="G106" i="96" s="1"/>
  <c r="AC100" i="96"/>
  <c r="AA100" i="96"/>
  <c r="Y100" i="96"/>
  <c r="W100" i="96"/>
  <c r="U100" i="96"/>
  <c r="S100" i="96"/>
  <c r="Q100" i="96"/>
  <c r="O100" i="96"/>
  <c r="K100" i="96"/>
  <c r="I100" i="96"/>
  <c r="G100" i="96"/>
  <c r="AC99" i="96"/>
  <c r="AA99" i="96"/>
  <c r="Y99" i="96"/>
  <c r="W99" i="96"/>
  <c r="U99" i="96"/>
  <c r="S99" i="96"/>
  <c r="Q99" i="96"/>
  <c r="O99" i="96"/>
  <c r="M99" i="96"/>
  <c r="K99" i="96"/>
  <c r="K101" i="96" s="1"/>
  <c r="I99" i="96"/>
  <c r="I101" i="96" s="1"/>
  <c r="G99" i="96"/>
  <c r="G101" i="96" s="1"/>
  <c r="AC94" i="96"/>
  <c r="AC95" i="96" s="1"/>
  <c r="AA94" i="96"/>
  <c r="AA95" i="96" s="1"/>
  <c r="Y94" i="96"/>
  <c r="Y95" i="96" s="1"/>
  <c r="W94" i="96"/>
  <c r="W95" i="96" s="1"/>
  <c r="U94" i="96"/>
  <c r="U95" i="96" s="1"/>
  <c r="S94" i="96"/>
  <c r="S95" i="96" s="1"/>
  <c r="Q94" i="96"/>
  <c r="Q95" i="96" s="1"/>
  <c r="O94" i="96"/>
  <c r="O95" i="96" s="1"/>
  <c r="K94" i="96"/>
  <c r="K95" i="96" s="1"/>
  <c r="I94" i="96"/>
  <c r="I95" i="96" s="1"/>
  <c r="G94" i="96"/>
  <c r="G95" i="96" s="1"/>
  <c r="E109" i="96"/>
  <c r="E110" i="96" s="1"/>
  <c r="AC90" i="96"/>
  <c r="AC91" i="96" s="1"/>
  <c r="AA90" i="96"/>
  <c r="AA91" i="96" s="1"/>
  <c r="Y90" i="96"/>
  <c r="Y91" i="96" s="1"/>
  <c r="W90" i="96"/>
  <c r="W91" i="96" s="1"/>
  <c r="U90" i="96"/>
  <c r="U91" i="96" s="1"/>
  <c r="S90" i="96"/>
  <c r="S91" i="96" s="1"/>
  <c r="Q90" i="96"/>
  <c r="Q91" i="96" s="1"/>
  <c r="O90" i="96"/>
  <c r="O91" i="96" s="1"/>
  <c r="K90" i="96"/>
  <c r="K91" i="96" s="1"/>
  <c r="I90" i="96"/>
  <c r="I91" i="96" s="1"/>
  <c r="G90" i="96"/>
  <c r="G91" i="96" s="1"/>
  <c r="E105" i="96"/>
  <c r="E106" i="96" s="1"/>
  <c r="AC85" i="96"/>
  <c r="AD85" i="96" s="1"/>
  <c r="AA85" i="96"/>
  <c r="AB85" i="96" s="1"/>
  <c r="Y85" i="96"/>
  <c r="Z85" i="96" s="1"/>
  <c r="W85" i="96"/>
  <c r="X85" i="96" s="1"/>
  <c r="U85" i="96"/>
  <c r="V85" i="96" s="1"/>
  <c r="S85" i="96"/>
  <c r="T85" i="96" s="1"/>
  <c r="Q85" i="96"/>
  <c r="R85" i="96" s="1"/>
  <c r="O85" i="96"/>
  <c r="P85" i="96" s="1"/>
  <c r="K85" i="96"/>
  <c r="L85" i="96" s="1"/>
  <c r="I85" i="96"/>
  <c r="J85" i="96" s="1"/>
  <c r="G85" i="96"/>
  <c r="H85" i="96" s="1"/>
  <c r="AD84" i="96"/>
  <c r="AC78" i="96"/>
  <c r="AA78" i="96"/>
  <c r="Y78" i="96"/>
  <c r="W78" i="96"/>
  <c r="U78" i="96"/>
  <c r="S78" i="96"/>
  <c r="Q78" i="96"/>
  <c r="O78" i="96"/>
  <c r="K78" i="96"/>
  <c r="I78" i="96"/>
  <c r="G78" i="96"/>
  <c r="AC77" i="96"/>
  <c r="AA77" i="96"/>
  <c r="Y77" i="96"/>
  <c r="W77" i="96"/>
  <c r="U77" i="96"/>
  <c r="S77" i="96"/>
  <c r="Q77" i="96"/>
  <c r="O77" i="96"/>
  <c r="K77" i="96"/>
  <c r="I77" i="96"/>
  <c r="G77" i="96"/>
  <c r="AC76" i="96"/>
  <c r="AA76" i="96"/>
  <c r="Y76" i="96"/>
  <c r="W76" i="96"/>
  <c r="U76" i="96"/>
  <c r="S76" i="96"/>
  <c r="Q76" i="96"/>
  <c r="O76" i="96"/>
  <c r="M76" i="96"/>
  <c r="K76" i="96"/>
  <c r="I76" i="96"/>
  <c r="G76" i="96"/>
  <c r="AD74" i="96"/>
  <c r="AB74" i="96"/>
  <c r="Z74" i="96"/>
  <c r="X74" i="96"/>
  <c r="V74" i="96"/>
  <c r="T74" i="96"/>
  <c r="AC73" i="96"/>
  <c r="AA73" i="96"/>
  <c r="Y73" i="96"/>
  <c r="W73" i="96"/>
  <c r="U73" i="96"/>
  <c r="S73" i="96"/>
  <c r="AC68" i="96"/>
  <c r="AA68" i="96"/>
  <c r="Y68" i="96"/>
  <c r="W68" i="96"/>
  <c r="G66" i="96"/>
  <c r="G68" i="96" s="1"/>
  <c r="AC65" i="96"/>
  <c r="U66" i="96" s="1"/>
  <c r="AA65" i="96"/>
  <c r="AA67" i="96" s="1"/>
  <c r="Y65" i="96"/>
  <c r="Y67" i="96" s="1"/>
  <c r="W65" i="96"/>
  <c r="O66" i="96" s="1"/>
  <c r="O68" i="96" s="1"/>
  <c r="U65" i="96"/>
  <c r="M66" i="96" s="1"/>
  <c r="S65" i="96"/>
  <c r="K66" i="96" s="1"/>
  <c r="K68" i="96" s="1"/>
  <c r="Q65" i="96"/>
  <c r="I66" i="96" s="1"/>
  <c r="I68" i="96" s="1"/>
  <c r="O65" i="96"/>
  <c r="K65" i="96"/>
  <c r="I65" i="96"/>
  <c r="G65" i="96"/>
  <c r="AC60" i="96"/>
  <c r="AA60" i="96"/>
  <c r="Y60" i="96"/>
  <c r="W60" i="96"/>
  <c r="U60" i="96"/>
  <c r="S60" i="96"/>
  <c r="Q60" i="96"/>
  <c r="O60" i="96"/>
  <c r="M60" i="96"/>
  <c r="K60" i="96"/>
  <c r="I60" i="96"/>
  <c r="G60" i="96"/>
  <c r="E60" i="96"/>
  <c r="AC56" i="96"/>
  <c r="AC57" i="96" s="1"/>
  <c r="AA56" i="96"/>
  <c r="AA57" i="96" s="1"/>
  <c r="Y56" i="96"/>
  <c r="Y57" i="96" s="1"/>
  <c r="W56" i="96"/>
  <c r="W57" i="96" s="1"/>
  <c r="U56" i="96"/>
  <c r="U57" i="96" s="1"/>
  <c r="S56" i="96"/>
  <c r="S57" i="96" s="1"/>
  <c r="Q56" i="96"/>
  <c r="Q57" i="96" s="1"/>
  <c r="O56" i="96"/>
  <c r="O57" i="96" s="1"/>
  <c r="K56" i="96"/>
  <c r="K57" i="96" s="1"/>
  <c r="I56" i="96"/>
  <c r="I57" i="96" s="1"/>
  <c r="G56" i="96"/>
  <c r="G57" i="96" s="1"/>
  <c r="M65" i="96"/>
  <c r="E66" i="96" s="1"/>
  <c r="E68" i="96" s="1"/>
  <c r="AC51" i="96"/>
  <c r="AA51" i="96"/>
  <c r="Y51" i="96"/>
  <c r="W51" i="96"/>
  <c r="AC44" i="96"/>
  <c r="AA44" i="96"/>
  <c r="Y44" i="96"/>
  <c r="W44" i="96"/>
  <c r="AC41" i="96"/>
  <c r="AC43" i="96" s="1"/>
  <c r="AC45" i="96" s="1"/>
  <c r="AA41" i="96"/>
  <c r="AA43" i="96" s="1"/>
  <c r="Y41" i="96"/>
  <c r="Y43" i="96" s="1"/>
  <c r="W41" i="96"/>
  <c r="W43" i="96" s="1"/>
  <c r="W45" i="96" s="1"/>
  <c r="U41" i="96"/>
  <c r="S41" i="96"/>
  <c r="K42" i="96" s="1"/>
  <c r="Q41" i="96"/>
  <c r="I42" i="96" s="1"/>
  <c r="O41" i="96"/>
  <c r="G42" i="96" s="1"/>
  <c r="G44" i="96" s="1"/>
  <c r="K41" i="96"/>
  <c r="I41" i="96"/>
  <c r="G41" i="96"/>
  <c r="E41" i="96"/>
  <c r="AC39" i="96"/>
  <c r="AC48" i="96" s="1"/>
  <c r="AC50" i="96" s="1"/>
  <c r="AC52" i="96" s="1"/>
  <c r="AA39" i="96"/>
  <c r="AA48" i="96" s="1"/>
  <c r="AA50" i="96" s="1"/>
  <c r="Y39" i="96"/>
  <c r="Y48" i="96" s="1"/>
  <c r="Y61" i="96" s="1"/>
  <c r="W39" i="96"/>
  <c r="O49" i="96" s="1"/>
  <c r="U39" i="96"/>
  <c r="U52" i="96" s="1"/>
  <c r="S39" i="96"/>
  <c r="K49" i="96" s="1"/>
  <c r="K51" i="96" s="1"/>
  <c r="Q39" i="96"/>
  <c r="I49" i="96" s="1"/>
  <c r="I51" i="96" s="1"/>
  <c r="O39" i="96"/>
  <c r="O48" i="96" s="1"/>
  <c r="O61" i="96" s="1"/>
  <c r="K39" i="96"/>
  <c r="K48" i="96" s="1"/>
  <c r="K61" i="96" s="1"/>
  <c r="I39" i="96"/>
  <c r="I48" i="96" s="1"/>
  <c r="I61" i="96" s="1"/>
  <c r="G39" i="96"/>
  <c r="G48" i="96" s="1"/>
  <c r="G61" i="96" s="1"/>
  <c r="M78" i="96"/>
  <c r="E78" i="96"/>
  <c r="M77" i="96"/>
  <c r="E77" i="96"/>
  <c r="E85" i="96"/>
  <c r="E94" i="96" s="1"/>
  <c r="E95" i="96" s="1"/>
  <c r="AD34" i="96"/>
  <c r="AC34" i="96"/>
  <c r="AB34" i="96"/>
  <c r="AA34" i="96"/>
  <c r="Z34" i="96"/>
  <c r="Y34" i="96"/>
  <c r="X34" i="96"/>
  <c r="W34" i="96"/>
  <c r="V34" i="96"/>
  <c r="U34" i="96"/>
  <c r="T34" i="96"/>
  <c r="S34" i="96"/>
  <c r="R34" i="96"/>
  <c r="Q34" i="96"/>
  <c r="P34" i="96"/>
  <c r="O34" i="96"/>
  <c r="N34" i="96"/>
  <c r="M34" i="96"/>
  <c r="L34" i="96"/>
  <c r="K34" i="96"/>
  <c r="J34" i="96"/>
  <c r="I34" i="96"/>
  <c r="H34" i="96"/>
  <c r="G34" i="96"/>
  <c r="F34" i="96"/>
  <c r="E34" i="96"/>
  <c r="AC21" i="96"/>
  <c r="AA21" i="96"/>
  <c r="Y21" i="96"/>
  <c r="W21" i="96"/>
  <c r="U21" i="96"/>
  <c r="R21" i="96"/>
  <c r="Q21" i="96"/>
  <c r="P21" i="96"/>
  <c r="O21" i="96"/>
  <c r="L21" i="96"/>
  <c r="K21" i="96"/>
  <c r="J21" i="96"/>
  <c r="I21" i="96"/>
  <c r="H21" i="96"/>
  <c r="G21" i="96"/>
  <c r="F21" i="96"/>
  <c r="AD19" i="96"/>
  <c r="AD21" i="96" s="1"/>
  <c r="AB19" i="96"/>
  <c r="AB21" i="96" s="1"/>
  <c r="Z19" i="96"/>
  <c r="Z21" i="96" s="1"/>
  <c r="X19" i="96"/>
  <c r="X21" i="96" s="1"/>
  <c r="V19" i="96"/>
  <c r="V21" i="96" s="1"/>
  <c r="T19" i="96"/>
  <c r="T21" i="96" s="1"/>
  <c r="S19" i="96"/>
  <c r="S113" i="96" s="1"/>
  <c r="N21" i="96"/>
  <c r="M118" i="96"/>
  <c r="M124" i="96" s="1"/>
  <c r="M126" i="96" s="1"/>
  <c r="M128" i="96" s="1"/>
  <c r="E118" i="96"/>
  <c r="E124" i="96" s="1"/>
  <c r="E126" i="96" s="1"/>
  <c r="E128" i="96" s="1"/>
  <c r="E144" i="96" s="1"/>
  <c r="E145" i="96" s="1"/>
  <c r="AC14" i="96"/>
  <c r="AC27" i="96" s="1"/>
  <c r="AB14" i="96"/>
  <c r="AB27" i="96" s="1"/>
  <c r="AA14" i="96"/>
  <c r="AA27" i="96" s="1"/>
  <c r="Z14" i="96"/>
  <c r="Z27" i="96" s="1"/>
  <c r="Y14" i="96"/>
  <c r="Y27" i="96" s="1"/>
  <c r="X14" i="96"/>
  <c r="X27" i="96" s="1"/>
  <c r="W14" i="96"/>
  <c r="W27" i="96" s="1"/>
  <c r="V14" i="96"/>
  <c r="V27" i="96" s="1"/>
  <c r="U14" i="96"/>
  <c r="U27" i="96" s="1"/>
  <c r="R12" i="96"/>
  <c r="R13" i="96" s="1"/>
  <c r="R14" i="96" s="1"/>
  <c r="R27" i="96" s="1"/>
  <c r="Q12" i="96"/>
  <c r="Q13" i="96" s="1"/>
  <c r="Q14" i="96" s="1"/>
  <c r="Q27" i="96" s="1"/>
  <c r="P12" i="96"/>
  <c r="P13" i="96" s="1"/>
  <c r="P14" i="96" s="1"/>
  <c r="P27" i="96" s="1"/>
  <c r="O12" i="96"/>
  <c r="O13" i="96" s="1"/>
  <c r="O14" i="96" s="1"/>
  <c r="O27" i="96" s="1"/>
  <c r="N12" i="96"/>
  <c r="N13" i="96" s="1"/>
  <c r="N14" i="96" s="1"/>
  <c r="N27" i="96" s="1"/>
  <c r="M12" i="96"/>
  <c r="M13" i="96" s="1"/>
  <c r="M14" i="96" s="1"/>
  <c r="M27" i="96" s="1"/>
  <c r="L12" i="96"/>
  <c r="L13" i="96" s="1"/>
  <c r="L14" i="96" s="1"/>
  <c r="L27" i="96" s="1"/>
  <c r="K12" i="96"/>
  <c r="K13" i="96" s="1"/>
  <c r="K14" i="96" s="1"/>
  <c r="K27" i="96" s="1"/>
  <c r="J12" i="96"/>
  <c r="J13" i="96" s="1"/>
  <c r="J14" i="96" s="1"/>
  <c r="J27" i="96" s="1"/>
  <c r="I12" i="96"/>
  <c r="I13" i="96" s="1"/>
  <c r="I14" i="96" s="1"/>
  <c r="I27" i="96" s="1"/>
  <c r="H12" i="96"/>
  <c r="H13" i="96" s="1"/>
  <c r="H14" i="96" s="1"/>
  <c r="G12" i="96"/>
  <c r="G13" i="96" s="1"/>
  <c r="G14" i="96" s="1"/>
  <c r="G27" i="96" s="1"/>
  <c r="T11" i="96"/>
  <c r="T14" i="96" s="1"/>
  <c r="S11" i="96"/>
  <c r="S14" i="96" s="1"/>
  <c r="S27" i="96" s="1"/>
  <c r="AD82" i="96"/>
  <c r="AB82" i="96"/>
  <c r="AB84" i="96" s="1"/>
  <c r="Z82" i="96"/>
  <c r="Z84" i="96" s="1"/>
  <c r="Z86" i="96" s="1"/>
  <c r="T82" i="96"/>
  <c r="T84" i="96" s="1"/>
  <c r="R82" i="96"/>
  <c r="R84" i="96" s="1"/>
  <c r="N82" i="96"/>
  <c r="N84" i="96" s="1"/>
  <c r="M82" i="96"/>
  <c r="M84" i="96" s="1"/>
  <c r="H82" i="96"/>
  <c r="H84" i="96" s="1"/>
  <c r="F82" i="96"/>
  <c r="F84" i="96" s="1"/>
  <c r="E82" i="96"/>
  <c r="E84" i="96" s="1"/>
  <c r="AC82" i="96"/>
  <c r="AC84" i="96" s="1"/>
  <c r="O42" i="96"/>
  <c r="O44" i="96" s="1"/>
  <c r="AD27" i="96"/>
  <c r="X82" i="96"/>
  <c r="X84" i="96" s="1"/>
  <c r="P82" i="96"/>
  <c r="P84" i="96" s="1"/>
  <c r="L82" i="96"/>
  <c r="L84" i="96" s="1"/>
  <c r="U82" i="96"/>
  <c r="U84" i="96" s="1"/>
  <c r="E99" i="96"/>
  <c r="V82" i="96"/>
  <c r="V84" i="96" s="1"/>
  <c r="J82" i="96"/>
  <c r="J84" i="96" s="1"/>
  <c r="M21" i="96"/>
  <c r="F85" i="96"/>
  <c r="F12" i="96"/>
  <c r="F13" i="96" s="1"/>
  <c r="F14" i="96" s="1"/>
  <c r="F27" i="96" s="1"/>
  <c r="E113" i="96"/>
  <c r="E65" i="96"/>
  <c r="E57" i="96"/>
  <c r="S49" i="96"/>
  <c r="S51" i="96" s="1"/>
  <c r="K82" i="96"/>
  <c r="K84" i="96" s="1"/>
  <c r="AA82" i="96"/>
  <c r="AA84" i="96" s="1"/>
  <c r="E12" i="96"/>
  <c r="E13" i="96" s="1"/>
  <c r="E14" i="96" s="1"/>
  <c r="E27" i="96" s="1"/>
  <c r="E21" i="96"/>
  <c r="M94" i="96"/>
  <c r="M95" i="96" s="1"/>
  <c r="M85" i="96"/>
  <c r="N85" i="96" s="1"/>
  <c r="M100" i="96"/>
  <c r="M90" i="96"/>
  <c r="M91" i="96" s="1"/>
  <c r="M56" i="96"/>
  <c r="M57" i="96" s="1"/>
  <c r="E45" i="96"/>
  <c r="M41" i="96"/>
  <c r="E42" i="96" s="1"/>
  <c r="E44" i="96" s="1"/>
  <c r="M39" i="96"/>
  <c r="E49" i="96" s="1"/>
  <c r="E51" i="96" s="1"/>
  <c r="E39" i="96"/>
  <c r="E48" i="96" s="1"/>
  <c r="E76" i="96"/>
  <c r="E56" i="96"/>
  <c r="E90" i="96"/>
  <c r="E91" i="96" s="1"/>
  <c r="E100" i="96"/>
  <c r="S82" i="96"/>
  <c r="S84" i="96" s="1"/>
  <c r="S86" i="96" s="1"/>
  <c r="AA61" i="96"/>
  <c r="Y82" i="96"/>
  <c r="Y84" i="96" s="1"/>
  <c r="Q82" i="96"/>
  <c r="Q84" i="96" s="1"/>
  <c r="I82" i="96"/>
  <c r="I84" i="96" s="1"/>
  <c r="I86" i="96" s="1"/>
  <c r="G82" i="96"/>
  <c r="G84" i="96" s="1"/>
  <c r="O82" i="96"/>
  <c r="O84" i="96" s="1"/>
  <c r="H19" i="3"/>
  <c r="G19" i="3"/>
  <c r="F19" i="3"/>
  <c r="E19" i="3"/>
  <c r="D19" i="3"/>
  <c r="D132" i="6"/>
  <c r="D122" i="6"/>
  <c r="D9" i="6"/>
  <c r="E132" i="6"/>
  <c r="E122" i="6"/>
  <c r="H122" i="6"/>
  <c r="G122" i="6"/>
  <c r="F122" i="6"/>
  <c r="H132" i="6"/>
  <c r="G132" i="6"/>
  <c r="F132" i="6"/>
  <c r="D18" i="86"/>
  <c r="H106" i="6"/>
  <c r="H125" i="6" s="1"/>
  <c r="G106" i="6"/>
  <c r="G125" i="6" s="1"/>
  <c r="F106" i="6"/>
  <c r="F125" i="6" s="1"/>
  <c r="E106" i="6"/>
  <c r="E125" i="6" s="1"/>
  <c r="D93" i="6"/>
  <c r="D106" i="6"/>
  <c r="D125" i="6"/>
  <c r="E9" i="6"/>
  <c r="F9" i="6"/>
  <c r="G9" i="6"/>
  <c r="H9" i="6"/>
  <c r="G7" i="6"/>
  <c r="E7" i="6"/>
  <c r="H7" i="6"/>
  <c r="F7" i="6"/>
  <c r="D7" i="6"/>
  <c r="D20" i="86" l="1"/>
  <c r="Q66" i="96"/>
  <c r="Q68" i="96" s="1"/>
  <c r="O62" i="96"/>
  <c r="I135" i="96"/>
  <c r="I137" i="96" s="1"/>
  <c r="I140" i="96" s="1"/>
  <c r="I141" i="96" s="1"/>
  <c r="E115" i="96"/>
  <c r="U86" i="96"/>
  <c r="M101" i="96"/>
  <c r="V86" i="96"/>
  <c r="I62" i="96"/>
  <c r="Q135" i="96"/>
  <c r="Q137" i="96" s="1"/>
  <c r="K86" i="96"/>
  <c r="S66" i="96"/>
  <c r="S68" i="96" s="1"/>
  <c r="S12" i="96"/>
  <c r="S13" i="96" s="1"/>
  <c r="AC86" i="96"/>
  <c r="S135" i="96"/>
  <c r="S137" i="96" s="1"/>
  <c r="W48" i="96"/>
  <c r="W61" i="96" s="1"/>
  <c r="W62" i="96" s="1"/>
  <c r="E86" i="96"/>
  <c r="K135" i="96"/>
  <c r="K137" i="96" s="1"/>
  <c r="K140" i="96" s="1"/>
  <c r="K141" i="96" s="1"/>
  <c r="U79" i="96"/>
  <c r="M24" i="96"/>
  <c r="M28" i="96" s="1"/>
  <c r="M29" i="96" s="1"/>
  <c r="V25" i="96"/>
  <c r="V28" i="96" s="1"/>
  <c r="V29" i="96" s="1"/>
  <c r="M48" i="96"/>
  <c r="M61" i="96" s="1"/>
  <c r="M62" i="96" s="1"/>
  <c r="K62" i="96"/>
  <c r="U48" i="96"/>
  <c r="U61" i="96" s="1"/>
  <c r="U62" i="96" s="1"/>
  <c r="T12" i="96"/>
  <c r="T13" i="96" s="1"/>
  <c r="U49" i="96"/>
  <c r="U51" i="96" s="1"/>
  <c r="AA69" i="96"/>
  <c r="U101" i="96"/>
  <c r="AC101" i="96"/>
  <c r="K115" i="96"/>
  <c r="M115" i="96"/>
  <c r="M49" i="96"/>
  <c r="M51" i="96" s="1"/>
  <c r="F25" i="96"/>
  <c r="F28" i="96" s="1"/>
  <c r="F29" i="96" s="1"/>
  <c r="J25" i="96"/>
  <c r="J28" i="96" s="1"/>
  <c r="J29" i="96" s="1"/>
  <c r="M79" i="96"/>
  <c r="W79" i="96"/>
  <c r="M135" i="96"/>
  <c r="M137" i="96" s="1"/>
  <c r="K44" i="96"/>
  <c r="K43" i="96"/>
  <c r="S48" i="96"/>
  <c r="R86" i="96"/>
  <c r="Z25" i="96"/>
  <c r="Z28" i="96" s="1"/>
  <c r="Z29" i="96" s="1"/>
  <c r="G67" i="96"/>
  <c r="G69" i="96" s="1"/>
  <c r="Q101" i="96"/>
  <c r="Y101" i="96"/>
  <c r="S101" i="96"/>
  <c r="AA101" i="96"/>
  <c r="E67" i="96"/>
  <c r="E69" i="96" s="1"/>
  <c r="F86" i="96"/>
  <c r="Q79" i="96"/>
  <c r="Y79" i="96"/>
  <c r="K79" i="96"/>
  <c r="G115" i="96"/>
  <c r="I115" i="96"/>
  <c r="Q115" i="96"/>
  <c r="E24" i="96"/>
  <c r="E28" i="96" s="1"/>
  <c r="S42" i="96"/>
  <c r="S44" i="96" s="1"/>
  <c r="AA62" i="96"/>
  <c r="K67" i="96"/>
  <c r="K69" i="96" s="1"/>
  <c r="O101" i="96"/>
  <c r="W101" i="96"/>
  <c r="AB86" i="96"/>
  <c r="T86" i="96"/>
  <c r="M52" i="96"/>
  <c r="Q42" i="96"/>
  <c r="Q44" i="96" s="1"/>
  <c r="AA79" i="96"/>
  <c r="Y50" i="96"/>
  <c r="Y52" i="96" s="1"/>
  <c r="E101" i="96"/>
  <c r="M86" i="96"/>
  <c r="S122" i="96"/>
  <c r="O124" i="96"/>
  <c r="O126" i="96" s="1"/>
  <c r="O128" i="96" s="1"/>
  <c r="AA86" i="96"/>
  <c r="S21" i="96"/>
  <c r="T25" i="96" s="1"/>
  <c r="T28" i="96" s="1"/>
  <c r="Q49" i="96"/>
  <c r="Q51" i="96" s="1"/>
  <c r="K145" i="96"/>
  <c r="I44" i="96"/>
  <c r="I43" i="96"/>
  <c r="G62" i="96"/>
  <c r="Q86" i="96"/>
  <c r="K24" i="96"/>
  <c r="K28" i="96" s="1"/>
  <c r="K29" i="96" s="1"/>
  <c r="AC61" i="96"/>
  <c r="AC62" i="96" s="1"/>
  <c r="W67" i="96"/>
  <c r="W69" i="96" s="1"/>
  <c r="X86" i="96"/>
  <c r="E43" i="96"/>
  <c r="O43" i="96"/>
  <c r="O45" i="96" s="1"/>
  <c r="U42" i="96"/>
  <c r="U44" i="96" s="1"/>
  <c r="S79" i="96"/>
  <c r="Q124" i="96"/>
  <c r="Q126" i="96" s="1"/>
  <c r="Q128" i="96" s="1"/>
  <c r="O135" i="96"/>
  <c r="O137" i="96" s="1"/>
  <c r="Q24" i="96"/>
  <c r="Q28" i="96" s="1"/>
  <c r="Q29" i="96" s="1"/>
  <c r="J86" i="96"/>
  <c r="I24" i="96"/>
  <c r="I28" i="96" s="1"/>
  <c r="I29" i="96" s="1"/>
  <c r="U24" i="96"/>
  <c r="U28" i="96" s="1"/>
  <c r="U29" i="96" s="1"/>
  <c r="L86" i="96"/>
  <c r="Y69" i="96"/>
  <c r="G79" i="96"/>
  <c r="O51" i="96"/>
  <c r="O50" i="96"/>
  <c r="O86" i="96"/>
  <c r="E52" i="96"/>
  <c r="N25" i="96"/>
  <c r="N28" i="96" s="1"/>
  <c r="N29" i="96" s="1"/>
  <c r="G43" i="96"/>
  <c r="G45" i="96" s="1"/>
  <c r="X25" i="96"/>
  <c r="X28" i="96" s="1"/>
  <c r="X29" i="96" s="1"/>
  <c r="K50" i="96"/>
  <c r="I50" i="96"/>
  <c r="L25" i="96"/>
  <c r="L28" i="96" s="1"/>
  <c r="L29" i="96" s="1"/>
  <c r="Q48" i="96"/>
  <c r="I52" i="96"/>
  <c r="I79" i="96"/>
  <c r="AC79" i="96"/>
  <c r="P86" i="96"/>
  <c r="Y115" i="96"/>
  <c r="G86" i="96"/>
  <c r="Y86" i="96"/>
  <c r="AA52" i="96"/>
  <c r="E79" i="96"/>
  <c r="H86" i="96"/>
  <c r="I67" i="96"/>
  <c r="I69" i="96" s="1"/>
  <c r="Q52" i="96"/>
  <c r="AA45" i="96"/>
  <c r="O67" i="96"/>
  <c r="O69" i="96" s="1"/>
  <c r="O79" i="96"/>
  <c r="AD86" i="96"/>
  <c r="O115" i="96"/>
  <c r="N86" i="96"/>
  <c r="E61" i="96"/>
  <c r="E62" i="96" s="1"/>
  <c r="E50" i="96"/>
  <c r="H25" i="96"/>
  <c r="H28" i="96" s="1"/>
  <c r="G24" i="96"/>
  <c r="G28" i="96" s="1"/>
  <c r="G29" i="96" s="1"/>
  <c r="P25" i="96"/>
  <c r="P28" i="96" s="1"/>
  <c r="P29" i="96" s="1"/>
  <c r="AD25" i="96"/>
  <c r="AD28" i="96" s="1"/>
  <c r="AD29" i="96" s="1"/>
  <c r="AA24" i="96"/>
  <c r="AA28" i="96" s="1"/>
  <c r="AA29" i="96" s="1"/>
  <c r="AC24" i="96"/>
  <c r="AC28" i="96" s="1"/>
  <c r="AC29" i="96" s="1"/>
  <c r="Y24" i="96"/>
  <c r="Y28" i="96" s="1"/>
  <c r="Y29" i="96" s="1"/>
  <c r="G49" i="96"/>
  <c r="G51" i="96" s="1"/>
  <c r="O52" i="96"/>
  <c r="M42" i="96"/>
  <c r="H27" i="96"/>
  <c r="S118" i="96"/>
  <c r="S115" i="96"/>
  <c r="U68" i="96"/>
  <c r="U67" i="96"/>
  <c r="G135" i="96"/>
  <c r="G137" i="96" s="1"/>
  <c r="G140" i="96" s="1"/>
  <c r="G141" i="96" s="1"/>
  <c r="T27" i="96"/>
  <c r="AB25" i="96"/>
  <c r="AB28" i="96" s="1"/>
  <c r="AB29" i="96" s="1"/>
  <c r="K52" i="96"/>
  <c r="S52" i="96"/>
  <c r="Y62" i="96"/>
  <c r="W82" i="96"/>
  <c r="W84" i="96" s="1"/>
  <c r="W86" i="96" s="1"/>
  <c r="W24" i="96"/>
  <c r="W28" i="96" s="1"/>
  <c r="W29" i="96" s="1"/>
  <c r="Y45" i="96"/>
  <c r="M67" i="96"/>
  <c r="M68" i="96"/>
  <c r="E135" i="96"/>
  <c r="E137" i="96" s="1"/>
  <c r="E140" i="96" s="1"/>
  <c r="E141" i="96" s="1"/>
  <c r="AC67" i="96"/>
  <c r="AC69" i="96" s="1"/>
  <c r="D25" i="86" l="1"/>
  <c r="S124" i="96"/>
  <c r="S126" i="96" s="1"/>
  <c r="S128" i="96" s="1"/>
  <c r="Q67" i="96"/>
  <c r="Q69" i="96" s="1"/>
  <c r="W50" i="96"/>
  <c r="W52" i="96" s="1"/>
  <c r="M50" i="96"/>
  <c r="S67" i="96"/>
  <c r="S69" i="96" s="1"/>
  <c r="K45" i="96"/>
  <c r="O24" i="96"/>
  <c r="O28" i="96" s="1"/>
  <c r="O29" i="96" s="1"/>
  <c r="U50" i="96"/>
  <c r="Q43" i="96"/>
  <c r="Q45" i="96" s="1"/>
  <c r="S61" i="96"/>
  <c r="S62" i="96" s="1"/>
  <c r="S50" i="96"/>
  <c r="G50" i="96"/>
  <c r="G52" i="96" s="1"/>
  <c r="S43" i="96"/>
  <c r="S45" i="96" s="1"/>
  <c r="U43" i="96"/>
  <c r="U45" i="96" s="1"/>
  <c r="U69" i="96"/>
  <c r="R25" i="96"/>
  <c r="R28" i="96" s="1"/>
  <c r="R29" i="96" s="1"/>
  <c r="S24" i="96"/>
  <c r="S28" i="96" s="1"/>
  <c r="S29" i="96" s="1"/>
  <c r="T29" i="96"/>
  <c r="H29" i="96"/>
  <c r="I45" i="96"/>
  <c r="Q50" i="96"/>
  <c r="Q61" i="96"/>
  <c r="Q62" i="96" s="1"/>
  <c r="M69" i="96"/>
  <c r="M44" i="96"/>
  <c r="M43" i="96"/>
  <c r="D28" i="86" l="1"/>
  <c r="M45" i="96"/>
</calcChain>
</file>

<file path=xl/sharedStrings.xml><?xml version="1.0" encoding="utf-8"?>
<sst xmlns="http://schemas.openxmlformats.org/spreadsheetml/2006/main" count="608" uniqueCount="322">
  <si>
    <t>Other</t>
  </si>
  <si>
    <t>Total assets</t>
  </si>
  <si>
    <t xml:space="preserve"> </t>
  </si>
  <si>
    <t>Name</t>
  </si>
  <si>
    <t>No.</t>
  </si>
  <si>
    <t>Contents (linked)</t>
  </si>
  <si>
    <t>SpareBank 1 Finans Østlandet AS</t>
  </si>
  <si>
    <t>EiendomsMegler 1 Hedmark Eiendom AS</t>
  </si>
  <si>
    <t>SpareBank 1 Regnskapshuset Østlandet AS</t>
  </si>
  <si>
    <t>SpareBank 1 Boligkreditt AS</t>
  </si>
  <si>
    <t>SpareBank 1 Næringskreditt AS</t>
  </si>
  <si>
    <t>SpareBank 1 Kredittkort AS</t>
  </si>
  <si>
    <t>SpareBank 1 Gruppen AS</t>
  </si>
  <si>
    <t>SpareBank 1 Betaling AS</t>
  </si>
  <si>
    <t>Results from the quarterly accounts Group</t>
  </si>
  <si>
    <t>Q1</t>
  </si>
  <si>
    <t>Q4</t>
  </si>
  <si>
    <t>Q3</t>
  </si>
  <si>
    <t>Q2</t>
  </si>
  <si>
    <t xml:space="preserve">Q1 </t>
  </si>
  <si>
    <t>Interest income</t>
  </si>
  <si>
    <t>Interest expense</t>
  </si>
  <si>
    <t>Net interest income</t>
  </si>
  <si>
    <t>Commission income</t>
  </si>
  <si>
    <t>Commission expenses</t>
  </si>
  <si>
    <t>Other operating income</t>
  </si>
  <si>
    <t>Net commission and other operating income</t>
  </si>
  <si>
    <t>Dividends from other than Group companies</t>
  </si>
  <si>
    <t>Net profit from ownership interests</t>
  </si>
  <si>
    <t>Net profit from other financial assets and liabilities</t>
  </si>
  <si>
    <t>Net income from financial assets and liabilities</t>
  </si>
  <si>
    <t>Total income</t>
  </si>
  <si>
    <t>Personnel expenses</t>
  </si>
  <si>
    <t>Depreciation</t>
  </si>
  <si>
    <t>Other operating expenses</t>
  </si>
  <si>
    <t>Total operating expenses</t>
  </si>
  <si>
    <t>Operating profit before losses on loans and guarantees</t>
  </si>
  <si>
    <t>Losses on loans and guarantees</t>
  </si>
  <si>
    <t>Pre-tax operating profit</t>
  </si>
  <si>
    <t>Tax expense</t>
  </si>
  <si>
    <t>Profit after tax</t>
  </si>
  <si>
    <t>Profitability</t>
  </si>
  <si>
    <t>From the balance sheet</t>
  </si>
  <si>
    <t>Gross loans to customers</t>
  </si>
  <si>
    <t>Deposits from customers</t>
  </si>
  <si>
    <t>Growth in deposits in the last 12 months</t>
  </si>
  <si>
    <t>Average total assets</t>
  </si>
  <si>
    <t>Losses and commitments in default</t>
  </si>
  <si>
    <t>Financial strength</t>
  </si>
  <si>
    <t>Common equity Tier 1 capital ratio</t>
  </si>
  <si>
    <t xml:space="preserve">Tier 1 capital ratio </t>
  </si>
  <si>
    <t>Capital ratio</t>
  </si>
  <si>
    <t>Net subordinated capital</t>
  </si>
  <si>
    <t>Return on equity capital 1)</t>
  </si>
  <si>
    <t>Net interest income 2)</t>
  </si>
  <si>
    <t>Cost-income-ratio 3)</t>
  </si>
  <si>
    <t>Gross loans to customers including loans transferred to covered bond companies 1)</t>
  </si>
  <si>
    <t>Growth in loans during the last 12 months 1)</t>
  </si>
  <si>
    <t>Growth in loans including loans transferred to covered bond companies in the last 12 months 1)</t>
  </si>
  <si>
    <t>Deposit-to-loan-ratio 1)</t>
  </si>
  <si>
    <t>Total assets including loans transferred to covered bond companies 1)</t>
  </si>
  <si>
    <t>Losses on loans as a percentage of gross loans 1)</t>
  </si>
  <si>
    <t>Commitments in default, percentage of gross loans 1)</t>
  </si>
  <si>
    <t>Other doubtful commitments, percentage of gross loans 1)</t>
  </si>
  <si>
    <t>Net commitments in default and other doutful commitments,  percentage of gross loans 1)</t>
  </si>
  <si>
    <t>Contact information</t>
  </si>
  <si>
    <t>For further information, please contact</t>
  </si>
  <si>
    <t>Address</t>
  </si>
  <si>
    <t>Telephone number</t>
  </si>
  <si>
    <t>Information on the Internet</t>
  </si>
  <si>
    <t>Financial calendar</t>
  </si>
  <si>
    <t>2018</t>
  </si>
  <si>
    <t>Annual report 2017</t>
  </si>
  <si>
    <t>4. quarter 2017</t>
  </si>
  <si>
    <t>Friday 9 February</t>
  </si>
  <si>
    <t>Friday 23 March</t>
  </si>
  <si>
    <t>Ex. Dividend</t>
  </si>
  <si>
    <t>Dividend payment date</t>
  </si>
  <si>
    <t>Friday 6 April</t>
  </si>
  <si>
    <t>1. quarter 2018</t>
  </si>
  <si>
    <t>Friday 27 April</t>
  </si>
  <si>
    <t>2. quarter 2018</t>
  </si>
  <si>
    <t>Tuesday 7 August</t>
  </si>
  <si>
    <t>3. quarter 2018</t>
  </si>
  <si>
    <t>Friday 26 October</t>
  </si>
  <si>
    <t>+47 918 82 071</t>
  </si>
  <si>
    <t>Geir-Egil Bolstad, CFO</t>
  </si>
  <si>
    <t>geir-egil.bolstad@sb1ostlandet.no</t>
  </si>
  <si>
    <t>Richard Heiberg</t>
  </si>
  <si>
    <t>Chief Executive Officer</t>
  </si>
  <si>
    <t>+47 915 07040</t>
  </si>
  <si>
    <t>Visiting address: SpareBank 1 Østlandet, Strandgata 15, Hamar</t>
  </si>
  <si>
    <t>SpareBank 1 Østlandet, Postboks 203, 2302 Hamar</t>
  </si>
  <si>
    <t>Q3-17</t>
  </si>
  <si>
    <t>Q4-17</t>
  </si>
  <si>
    <t>Q1-18</t>
  </si>
  <si>
    <t>Commission fees from covered bond companies</t>
  </si>
  <si>
    <t>Net interest income an commission fees from covered bond companies (MNOK)</t>
  </si>
  <si>
    <t xml:space="preserve">Net interest income in % of average of average total assets </t>
  </si>
  <si>
    <t>Q2-17</t>
  </si>
  <si>
    <t>Deposit margin RM</t>
  </si>
  <si>
    <t>Deposit margin CM</t>
  </si>
  <si>
    <t>Group</t>
  </si>
  <si>
    <t>RESULTAT KVARTAL</t>
  </si>
  <si>
    <t>Payrolls</t>
  </si>
  <si>
    <t>Pensions</t>
  </si>
  <si>
    <t>Social security</t>
  </si>
  <si>
    <t>Admin. and other operating costs</t>
  </si>
  <si>
    <t>Lending margin, RM, incl. covered bond companies</t>
  </si>
  <si>
    <t>Lending margin, CM, incl. covered bond companies</t>
  </si>
  <si>
    <t>Income</t>
  </si>
  <si>
    <t>Expences</t>
  </si>
  <si>
    <t>Margins</t>
  </si>
  <si>
    <t>Q2-17*</t>
  </si>
  <si>
    <t>Commission income from credit cards</t>
  </si>
  <si>
    <t>Payment transmission</t>
  </si>
  <si>
    <t>Mutual fund and insurance commisions</t>
  </si>
  <si>
    <t>Income from real estate brokerage</t>
  </si>
  <si>
    <t>Income from accounting services</t>
  </si>
  <si>
    <t>Other income</t>
  </si>
  <si>
    <t>Sum</t>
  </si>
  <si>
    <t xml:space="preserve">of which restructuring costs and non-recurring effects </t>
  </si>
  <si>
    <t>Runar Hauge, Investor relations</t>
  </si>
  <si>
    <t>runar.hauge@sb1ostlandet.no</t>
  </si>
  <si>
    <t>+47 482 95 659</t>
  </si>
  <si>
    <t>NOK million</t>
  </si>
  <si>
    <t>Specification of the consolidated profit after tax in NOK millions:</t>
  </si>
  <si>
    <t>Parent Bank's profit after tax</t>
  </si>
  <si>
    <t>Dividends received from subsidiaries/associated companies</t>
  </si>
  <si>
    <t>Share of the result from:</t>
  </si>
  <si>
    <t>Bank 1 Oslo Akershus AS (Q1-17)</t>
  </si>
  <si>
    <t>EiendomsMegler 1 Oslo Akershus AS - Konsern</t>
  </si>
  <si>
    <t>Other associated companies/joint ventures</t>
  </si>
  <si>
    <t>Consolidated profit after tax</t>
  </si>
  <si>
    <t>Contribution from Associated companies and joint ventures</t>
  </si>
  <si>
    <t>Public sector</t>
  </si>
  <si>
    <t>Primary industries</t>
  </si>
  <si>
    <t>Paper and pulp industries</t>
  </si>
  <si>
    <t>Other industry</t>
  </si>
  <si>
    <t>Building and constructions</t>
  </si>
  <si>
    <t>Power and water supply</t>
  </si>
  <si>
    <t>Wholesale and retail trade</t>
  </si>
  <si>
    <t>Hotel and restaurants</t>
  </si>
  <si>
    <t>Real estate</t>
  </si>
  <si>
    <t>Commercial services</t>
  </si>
  <si>
    <t>Transport and communication</t>
  </si>
  <si>
    <t>Gross corporate loans by sector and industry</t>
  </si>
  <si>
    <t>Private customers</t>
  </si>
  <si>
    <t>Total gross loans by sector and industry</t>
  </si>
  <si>
    <t>Loan loss allowance for loans at amortised cost</t>
  </si>
  <si>
    <t>Fair value adjustments for loans at fair value through OCI</t>
  </si>
  <si>
    <t>Individual loan impairments to cover losses on loans</t>
  </si>
  <si>
    <t>Collective loan impairments to cover losses on loans</t>
  </si>
  <si>
    <t>Total loans to customers</t>
  </si>
  <si>
    <t>Loans transferred to SpareBank 1 Boligkreditt AS</t>
  </si>
  <si>
    <t>Loans transferred to SpareBank 1 Næringskreditt AS</t>
  </si>
  <si>
    <t>Total loans including loans transferred to covered bond companies</t>
  </si>
  <si>
    <t>Building and construction</t>
  </si>
  <si>
    <t>Transport and communications</t>
  </si>
  <si>
    <t>Other operations</t>
  </si>
  <si>
    <t>Total deposits by sector and industry</t>
  </si>
  <si>
    <t>Lending</t>
  </si>
  <si>
    <t>Deposits</t>
  </si>
  <si>
    <t>+47 902 06 018</t>
  </si>
  <si>
    <t>richard.heiberg@sb1ostlandet.no</t>
  </si>
  <si>
    <t>3.1 Net interest income and commissionfees from covered bonds companies</t>
  </si>
  <si>
    <t>3.2 Net commision and other income</t>
  </si>
  <si>
    <t>3.3 Net income from financial assets and liabilities</t>
  </si>
  <si>
    <t>3.4 Specification of the consolidated profit after tax in NOK millions:</t>
  </si>
  <si>
    <t>4.1 Expences Group</t>
  </si>
  <si>
    <t>5.1 Deposit margins</t>
  </si>
  <si>
    <t>5.2 Lending margins</t>
  </si>
  <si>
    <t>6.1 Development in volumes - Loans to customers</t>
  </si>
  <si>
    <t>7.1 Development in volumes - Deposits from customers</t>
  </si>
  <si>
    <t>APM</t>
  </si>
  <si>
    <t>-</t>
  </si>
  <si>
    <t>2.1 Results from the quarterly accounts Group</t>
  </si>
  <si>
    <t>Alternative performance measures</t>
  </si>
  <si>
    <t xml:space="preserve">SpareBank 1 Østlandet Investor Relations: </t>
  </si>
  <si>
    <t>Link IR</t>
  </si>
  <si>
    <t>(NOK million, excluding percentages)</t>
  </si>
  <si>
    <t>1) See attachment Alternative performance measures.</t>
  </si>
  <si>
    <t xml:space="preserve">2) Net interest income as a percentage of average total assets for the period.  </t>
  </si>
  <si>
    <t>3) Total operating costs as a percentage of total operating income (isolated for the quarter).</t>
  </si>
  <si>
    <t>Deposit-to-loan-ratio including loans transferred to covered bond companies1)</t>
  </si>
  <si>
    <t>* Deviates from reported figures by 9 million due to repostings, this has been corrected in net interest income.</t>
  </si>
  <si>
    <t>Total operating expences</t>
  </si>
  <si>
    <t>Cost-income-ratio</t>
  </si>
  <si>
    <t>+ Loans transferred to SpareBank 1 Boligkreditt AS</t>
  </si>
  <si>
    <t>+ Loans transferred to SpareBank 1 Næringskreditt AS</t>
  </si>
  <si>
    <t>Deposits from and liabilities to customers</t>
  </si>
  <si>
    <t>Number of days</t>
  </si>
  <si>
    <t>Interest expenses on hybrid capital</t>
  </si>
  <si>
    <t>Tax on interest expenses on hybrid capital</t>
  </si>
  <si>
    <t>- Interest expenses on hybrid capital after tax</t>
  </si>
  <si>
    <t>Profit after tax excl. interest on hybrid capital</t>
  </si>
  <si>
    <t>Equity</t>
  </si>
  <si>
    <t>- Hybrid capital</t>
  </si>
  <si>
    <t>Equity excl. hybrid capital</t>
  </si>
  <si>
    <t>Accumulated average equity excl. hybrid capital</t>
  </si>
  <si>
    <t>Isolated averege equity excl. hybrid capital</t>
  </si>
  <si>
    <t>Annualized profit after tax excl. interest on hybrid capital after tax</t>
  </si>
  <si>
    <t>Diveded by average equity excl. hybrid capital</t>
  </si>
  <si>
    <t xml:space="preserve">Return on equity capital </t>
  </si>
  <si>
    <t xml:space="preserve">Cost-income-ratio </t>
  </si>
  <si>
    <t>Gross loans including loans transferred to covered bond companies</t>
  </si>
  <si>
    <t xml:space="preserve">Gross loans to customers at the end of the period </t>
  </si>
  <si>
    <t>-Gross loans to customers at the end of the same period last year</t>
  </si>
  <si>
    <t>Growth in loans during the last 12 month in NOK mill.</t>
  </si>
  <si>
    <t>Dividet by gross loans to customers at the end of the same period last year</t>
  </si>
  <si>
    <t>Growth in loans during the last 12 months in per cent</t>
  </si>
  <si>
    <t>Gross loans to customers  incl. Loans transferred to covered bond companies at the end of the period</t>
  </si>
  <si>
    <t>-Gross loans to customers  incl. Loans transferred to covered bond companies at the end of the same period last year</t>
  </si>
  <si>
    <t>Growth in loans  incl. Loans transferred to coverd bond companies in NOK mill.</t>
  </si>
  <si>
    <t>Divided by gross loans to customers  incl. Loans transferred to covered bond companies at the end of the same period last year</t>
  </si>
  <si>
    <t>Growth in loans incl. Loans transferred to covered bond companies during the last 12 months in per cent</t>
  </si>
  <si>
    <t>Dividet by gross loans to and receivables from customers</t>
  </si>
  <si>
    <t xml:space="preserve">Divided by gross loans to customers  incl. Loans transferred to covered bond companies </t>
  </si>
  <si>
    <t>Cost-income-ratio incl. loans transferred to covered bond companies</t>
  </si>
  <si>
    <t>Deposits from customers at the end of the period</t>
  </si>
  <si>
    <t>- Deposits from customers at the end of the same period last year</t>
  </si>
  <si>
    <t>Growth in deposits in the last 12 months in NOK mill</t>
  </si>
  <si>
    <t>Diveded by deposits from customers at the end of the same period last year</t>
  </si>
  <si>
    <t>Growth in deposits in the last 12 months in per cent</t>
  </si>
  <si>
    <t>Accumulated average total assets</t>
  </si>
  <si>
    <t>Isolated averege total assets</t>
  </si>
  <si>
    <t>Total assets incl. Loans transferred to covered bond companies (Business capital)</t>
  </si>
  <si>
    <t>Losses on loans and guarantess annulized</t>
  </si>
  <si>
    <t>Losses on loans and guarantees as a percentageof gross loans</t>
  </si>
  <si>
    <t>Total equity capital</t>
  </si>
  <si>
    <t>Divided by total assets</t>
  </si>
  <si>
    <t>Equity ratio</t>
  </si>
  <si>
    <t>- Minority interest</t>
  </si>
  <si>
    <t>- Provision for gifts</t>
  </si>
  <si>
    <t>-Hybrid capital</t>
  </si>
  <si>
    <t xml:space="preserve">+ Interest expenses for hybrid capital </t>
  </si>
  <si>
    <t>- Tax on interest expenses for hybrid capital</t>
  </si>
  <si>
    <t>= Book equity</t>
  </si>
  <si>
    <t>Multiply by equity capital certificate ratio</t>
  </si>
  <si>
    <t>= Equity certificate owners share of equity</t>
  </si>
  <si>
    <t>Divided by number of EC's issued</t>
  </si>
  <si>
    <t>Book equity per EC</t>
  </si>
  <si>
    <t>Profit after tax for majority interest</t>
  </si>
  <si>
    <t>= Equity capital owner's share of profit after tax</t>
  </si>
  <si>
    <t>Dividetd by number of EC's issued</t>
  </si>
  <si>
    <t>Earnings per equity certificate (in NOK)</t>
  </si>
  <si>
    <t>Earnings per equity certificate annualized</t>
  </si>
  <si>
    <t>Market price (in NOK)</t>
  </si>
  <si>
    <t>Divided by earnings per EC</t>
  </si>
  <si>
    <t>Price/Earnings per EC</t>
  </si>
  <si>
    <t>Divided by book equity per EC</t>
  </si>
  <si>
    <t>Price/Book equity</t>
  </si>
  <si>
    <t>Gross defaulted commitments for more than 90 days 2)</t>
  </si>
  <si>
    <t>Gross defaulted commitments for more than 90 days</t>
  </si>
  <si>
    <t>Divided by gross loans to customers</t>
  </si>
  <si>
    <t>Gross doubtful commitments (not in default)</t>
  </si>
  <si>
    <t>Net defaulted commitments</t>
  </si>
  <si>
    <t>+ Net doubtful commitments</t>
  </si>
  <si>
    <t>= Net defaulted and doubtful commitments</t>
  </si>
  <si>
    <t>Loan loss impairment ratio on defaulted commitments</t>
  </si>
  <si>
    <t>Individual impairments on defaulted commitments</t>
  </si>
  <si>
    <t>Individual impairments on doubtful commitments</t>
  </si>
  <si>
    <t>Loan loss impairment ratio on doubtful commitments</t>
  </si>
  <si>
    <t>Net commitments in default and other doutful commitments,  percentage of gross loans</t>
  </si>
  <si>
    <t xml:space="preserve">1.1 Return on equity capital </t>
  </si>
  <si>
    <t xml:space="preserve">1.2 Cost-income-ratio </t>
  </si>
  <si>
    <t>1.3 Gross loans including loans transferred to covered bond companies</t>
  </si>
  <si>
    <t>1.4 Growth in loans during the last 12 months in per cent</t>
  </si>
  <si>
    <t>1.5 Growth in loans incl. Loans transferred to covered bond companies during the last 12 months in per cent</t>
  </si>
  <si>
    <t>1.6 Cost-income-ratio</t>
  </si>
  <si>
    <t>1.7 Cost-income-ratio incl. loans transferred to covered bond companies</t>
  </si>
  <si>
    <t>1.8 Growth in deposits in the last 12 months in per cent</t>
  </si>
  <si>
    <t>1.9 Total assets incl. Loans transferred to covered bond companies (Business capital)</t>
  </si>
  <si>
    <t>1.10 Losses on loans and guarantees as a percentageof gross loans</t>
  </si>
  <si>
    <t>1.13 Net commitments in default and other doutful commitments,  percentage of gross loans</t>
  </si>
  <si>
    <t>1.14 Loan loss impairment ratio on defaulted commitments</t>
  </si>
  <si>
    <t>1.15 Loan loss impairment ratio on doubtful commitments</t>
  </si>
  <si>
    <t>1.16 Equity ratio</t>
  </si>
  <si>
    <t>1.17 Book equity per EC</t>
  </si>
  <si>
    <t>1.18 Earnings per equity certificate (in NOK)</t>
  </si>
  <si>
    <t>1.19 Price/Earnings per EC</t>
  </si>
  <si>
    <t>1.20 Price/Book equity</t>
  </si>
  <si>
    <t>1.13 Net commitments in default and other doutful commitments</t>
  </si>
  <si>
    <t>1.9 Total assets incl. Loans transferred to CB companies (Business capital)</t>
  </si>
  <si>
    <t>1.5 Growth in loans incl. Loans transferred to CB companies on last 12 months</t>
  </si>
  <si>
    <t>4.2 Expences Parent bank (adjusted)</t>
  </si>
  <si>
    <t>Parent bank (adjusted)</t>
  </si>
  <si>
    <t>Gross defaulted commitments in percentage of gross loans</t>
  </si>
  <si>
    <t>Gross doubtful commitments (not in default) in percentage of gross loans</t>
  </si>
  <si>
    <t>1.12 Gross doubtful commitments (not in default) in percentage of gross loans</t>
  </si>
  <si>
    <t>1.11 Gross defaulted commitments in percentage of gross loans</t>
  </si>
  <si>
    <t>2.kv</t>
  </si>
  <si>
    <t>Q2-18</t>
  </si>
  <si>
    <t>Customers*</t>
  </si>
  <si>
    <t>*Defined as customer by having one or more active accounts</t>
  </si>
  <si>
    <t>Q1 2015</t>
  </si>
  <si>
    <t>Q2 2015</t>
  </si>
  <si>
    <t>Q3 2015</t>
  </si>
  <si>
    <t>Q4 2015</t>
  </si>
  <si>
    <t>Q1 2016</t>
  </si>
  <si>
    <t>Q22016</t>
  </si>
  <si>
    <t>Q3 2016</t>
  </si>
  <si>
    <t>Q4 2016</t>
  </si>
  <si>
    <t>Q1 2017</t>
  </si>
  <si>
    <t>Q2 2017</t>
  </si>
  <si>
    <t>Q3 2017</t>
  </si>
  <si>
    <t>Q4 2017</t>
  </si>
  <si>
    <t>Q2 2018</t>
  </si>
  <si>
    <t>Q1 2018</t>
  </si>
  <si>
    <t>Customers</t>
  </si>
  <si>
    <t>Loans sensitive to changes in the NIBOR rate</t>
  </si>
  <si>
    <t>Gross loans</t>
  </si>
  <si>
    <t>Total lending volume sensitive to changes in the NIBOR rate</t>
  </si>
  <si>
    <t>Deposits sensitive to changes in the NIBOR rate</t>
  </si>
  <si>
    <t>6.2 Loans sensitive to changes in the NIBOR rate</t>
  </si>
  <si>
    <t>*All loans transferred to covered bond companies are sensitive to ahanges in the NIBOR-rate</t>
  </si>
  <si>
    <t>7.2 Deposits sensitive to changes in the NIBOR rate</t>
  </si>
  <si>
    <t>Loans transferred to covered bond companies*</t>
  </si>
  <si>
    <t>Total deposits</t>
  </si>
  <si>
    <t>Gross loans linked to the NIBOR rate</t>
  </si>
  <si>
    <t>Deposits linked to the NIBOR rate</t>
  </si>
  <si>
    <t>8.1 Number of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</si>
</sst>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dd/mm/yy;@"/>
    <numFmt numFmtId="168" formatCode="0.0"/>
    <numFmt numFmtId="169" formatCode="#\ ###\ ###\ ##0"/>
    <numFmt numFmtId="170" formatCode="yyyy\-mm\-dd;@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i/>
      <sz val="7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4"/>
      <name val="Arial"/>
      <family val="2"/>
    </font>
    <font>
      <b/>
      <sz val="11"/>
      <name val="Arial"/>
      <family val="2"/>
    </font>
    <font>
      <b/>
      <u/>
      <sz val="10"/>
      <color indexed="59"/>
      <name val="Arial"/>
      <family val="2"/>
    </font>
    <font>
      <u/>
      <sz val="10"/>
      <color theme="4"/>
      <name val="Arial"/>
      <family val="2"/>
    </font>
    <font>
      <u/>
      <sz val="10"/>
      <color theme="5"/>
      <name val="Arial"/>
      <family val="2"/>
    </font>
    <font>
      <sz val="10"/>
      <color theme="5"/>
      <name val="Arial"/>
      <family val="2"/>
    </font>
    <font>
      <sz val="8"/>
      <name val="Arial"/>
      <family val="2"/>
    </font>
    <font>
      <b/>
      <u/>
      <sz val="8"/>
      <color indexed="59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Gill Sans"/>
    </font>
    <font>
      <sz val="8"/>
      <name val="Calibri"/>
      <family val="2"/>
    </font>
    <font>
      <u/>
      <sz val="8"/>
      <color theme="10"/>
      <name val="Arial"/>
      <family val="2"/>
    </font>
    <font>
      <sz val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0"/>
      <color rgb="FF002060"/>
      <name val="Verdana"/>
      <family val="2"/>
    </font>
    <font>
      <sz val="10"/>
      <color theme="0"/>
      <name val="Calibri"/>
      <family val="2"/>
      <scheme val="minor"/>
    </font>
    <font>
      <sz val="10"/>
      <color rgb="FF002060"/>
      <name val="Verdana"/>
      <family val="2"/>
    </font>
    <font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AFBFE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9" fillId="0" borderId="0"/>
    <xf numFmtId="0" fontId="16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16" fillId="0" borderId="0" applyProtection="0"/>
    <xf numFmtId="0" fontId="16" fillId="0" borderId="0"/>
    <xf numFmtId="0" fontId="16" fillId="0" borderId="0"/>
    <xf numFmtId="0" fontId="50" fillId="0" borderId="0"/>
    <xf numFmtId="0" fontId="53" fillId="0" borderId="0"/>
  </cellStyleXfs>
  <cellXfs count="366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0" fontId="5" fillId="0" borderId="0" xfId="0" applyFont="1"/>
    <xf numFmtId="49" fontId="5" fillId="0" borderId="0" xfId="0" applyNumberFormat="1" applyFont="1"/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3" fillId="0" borderId="0" xfId="5" applyFont="1" applyAlignment="1">
      <alignment vertical="center"/>
    </xf>
    <xf numFmtId="0" fontId="25" fillId="3" borderId="0" xfId="0" applyFont="1" applyFill="1"/>
    <xf numFmtId="0" fontId="26" fillId="3" borderId="0" xfId="0" applyFont="1" applyFill="1"/>
    <xf numFmtId="0" fontId="5" fillId="3" borderId="0" xfId="0" applyFont="1" applyFill="1"/>
    <xf numFmtId="0" fontId="27" fillId="3" borderId="0" xfId="0" applyFont="1" applyFill="1"/>
    <xf numFmtId="0" fontId="8" fillId="0" borderId="5" xfId="5" applyFont="1" applyBorder="1" applyAlignment="1">
      <alignment horizontal="center" vertical="center"/>
    </xf>
    <xf numFmtId="0" fontId="8" fillId="0" borderId="5" xfId="5" applyFont="1" applyBorder="1" applyAlignment="1">
      <alignment vertical="center"/>
    </xf>
    <xf numFmtId="0" fontId="11" fillId="0" borderId="0" xfId="3" applyFont="1" applyFill="1"/>
    <xf numFmtId="0" fontId="12" fillId="0" borderId="0" xfId="3" applyFont="1" applyFill="1"/>
    <xf numFmtId="0" fontId="13" fillId="0" borderId="0" xfId="3" applyFont="1" applyFill="1" applyAlignment="1">
      <alignment vertical="top" wrapText="1"/>
    </xf>
    <xf numFmtId="0" fontId="11" fillId="0" borderId="0" xfId="3" applyFont="1" applyFill="1" applyAlignment="1">
      <alignment vertical="top" wrapText="1"/>
    </xf>
    <xf numFmtId="0" fontId="9" fillId="0" borderId="0" xfId="3" applyFont="1" applyFill="1" applyAlignment="1">
      <alignment vertical="top"/>
    </xf>
    <xf numFmtId="0" fontId="15" fillId="0" borderId="0" xfId="3" applyFont="1" applyFill="1" applyBorder="1"/>
    <xf numFmtId="0" fontId="30" fillId="4" borderId="0" xfId="0" applyFont="1" applyFill="1" applyAlignment="1">
      <alignment vertical="center"/>
    </xf>
    <xf numFmtId="0" fontId="31" fillId="2" borderId="0" xfId="0" applyFont="1" applyFill="1" applyAlignment="1">
      <alignment horizontal="right" vertical="center"/>
    </xf>
    <xf numFmtId="0" fontId="32" fillId="4" borderId="3" xfId="0" applyFont="1" applyFill="1" applyBorder="1" applyAlignment="1">
      <alignment vertical="center"/>
    </xf>
    <xf numFmtId="0" fontId="31" fillId="2" borderId="3" xfId="0" applyFont="1" applyFill="1" applyBorder="1" applyAlignment="1">
      <alignment horizontal="right" vertical="center"/>
    </xf>
    <xf numFmtId="0" fontId="30" fillId="4" borderId="0" xfId="0" applyFont="1" applyFill="1" applyAlignment="1">
      <alignment wrapText="1"/>
    </xf>
    <xf numFmtId="3" fontId="30" fillId="2" borderId="0" xfId="1" applyNumberFormat="1" applyFont="1" applyFill="1" applyAlignment="1">
      <alignment horizontal="right"/>
    </xf>
    <xf numFmtId="0" fontId="30" fillId="4" borderId="3" xfId="0" applyFont="1" applyFill="1" applyBorder="1" applyAlignment="1"/>
    <xf numFmtId="3" fontId="30" fillId="2" borderId="3" xfId="1" applyNumberFormat="1" applyFont="1" applyFill="1" applyBorder="1" applyAlignment="1">
      <alignment horizontal="right"/>
    </xf>
    <xf numFmtId="0" fontId="31" fillId="4" borderId="0" xfId="0" applyFont="1" applyFill="1" applyBorder="1" applyAlignment="1">
      <alignment vertical="top"/>
    </xf>
    <xf numFmtId="3" fontId="31" fillId="2" borderId="0" xfId="1" applyNumberFormat="1" applyFont="1" applyFill="1" applyBorder="1" applyAlignment="1">
      <alignment horizontal="right" vertical="top"/>
    </xf>
    <xf numFmtId="3" fontId="31" fillId="2" borderId="0" xfId="1" applyNumberFormat="1" applyFont="1" applyFill="1" applyAlignment="1">
      <alignment horizontal="right" vertical="top"/>
    </xf>
    <xf numFmtId="0" fontId="30" fillId="4" borderId="0" xfId="0" applyFont="1" applyFill="1" applyAlignment="1"/>
    <xf numFmtId="0" fontId="33" fillId="4" borderId="0" xfId="0" applyFont="1" applyFill="1" applyAlignment="1"/>
    <xf numFmtId="3" fontId="31" fillId="2" borderId="0" xfId="1" applyNumberFormat="1" applyFont="1" applyFill="1" applyAlignment="1">
      <alignment horizontal="right"/>
    </xf>
    <xf numFmtId="0" fontId="31" fillId="4" borderId="0" xfId="0" applyFont="1" applyFill="1" applyBorder="1" applyAlignment="1"/>
    <xf numFmtId="0" fontId="31" fillId="4" borderId="0" xfId="0" applyFont="1" applyFill="1" applyAlignment="1"/>
    <xf numFmtId="3" fontId="30" fillId="2" borderId="3" xfId="1" applyNumberFormat="1" applyFont="1" applyFill="1" applyBorder="1" applyAlignment="1">
      <alignment horizontal="right" vertical="center"/>
    </xf>
    <xf numFmtId="0" fontId="31" fillId="4" borderId="4" xfId="0" applyFont="1" applyFill="1" applyBorder="1" applyAlignment="1"/>
    <xf numFmtId="3" fontId="31" fillId="2" borderId="3" xfId="1" applyNumberFormat="1" applyFont="1" applyFill="1" applyBorder="1" applyAlignment="1">
      <alignment horizontal="right"/>
    </xf>
    <xf numFmtId="3" fontId="31" fillId="2" borderId="3" xfId="1" applyNumberFormat="1" applyFont="1" applyFill="1" applyBorder="1" applyAlignment="1">
      <alignment horizontal="right" vertical="center"/>
    </xf>
    <xf numFmtId="0" fontId="31" fillId="4" borderId="0" xfId="0" applyFont="1" applyFill="1" applyBorder="1" applyAlignment="1">
      <alignment vertical="center" wrapText="1"/>
    </xf>
    <xf numFmtId="3" fontId="30" fillId="2" borderId="0" xfId="1" applyNumberFormat="1" applyFont="1" applyFill="1" applyBorder="1" applyAlignment="1">
      <alignment horizontal="right" vertical="center"/>
    </xf>
    <xf numFmtId="3" fontId="31" fillId="2" borderId="0" xfId="1" applyNumberFormat="1" applyFont="1" applyFill="1" applyBorder="1" applyAlignment="1">
      <alignment horizontal="right" vertical="center"/>
    </xf>
    <xf numFmtId="0" fontId="30" fillId="2" borderId="3" xfId="0" applyFont="1" applyFill="1" applyBorder="1" applyAlignment="1">
      <alignment vertical="center"/>
    </xf>
    <xf numFmtId="0" fontId="31" fillId="4" borderId="3" xfId="0" applyFont="1" applyFill="1" applyBorder="1" applyAlignment="1">
      <alignment vertical="center" wrapText="1"/>
    </xf>
    <xf numFmtId="0" fontId="30" fillId="2" borderId="4" xfId="0" applyFont="1" applyFill="1" applyBorder="1"/>
    <xf numFmtId="0" fontId="30" fillId="4" borderId="0" xfId="0" applyFont="1" applyFill="1" applyAlignment="1">
      <alignment vertical="center" wrapText="1"/>
    </xf>
    <xf numFmtId="166" fontId="33" fillId="2" borderId="0" xfId="0" applyNumberFormat="1" applyFont="1" applyFill="1"/>
    <xf numFmtId="10" fontId="33" fillId="2" borderId="0" xfId="0" applyNumberFormat="1" applyFont="1" applyFill="1"/>
    <xf numFmtId="0" fontId="31" fillId="4" borderId="3" xfId="0" applyFont="1" applyFill="1" applyBorder="1" applyAlignment="1">
      <alignment wrapText="1"/>
    </xf>
    <xf numFmtId="0" fontId="33" fillId="2" borderId="3" xfId="0" applyFont="1" applyFill="1" applyBorder="1" applyAlignment="1"/>
    <xf numFmtId="3" fontId="33" fillId="2" borderId="0" xfId="0" applyNumberFormat="1" applyFont="1" applyFill="1" applyAlignment="1"/>
    <xf numFmtId="166" fontId="30" fillId="2" borderId="0" xfId="2" applyNumberFormat="1" applyFont="1" applyFill="1" applyAlignment="1">
      <alignment horizontal="right"/>
    </xf>
    <xf numFmtId="166" fontId="33" fillId="2" borderId="0" xfId="2" applyNumberFormat="1" applyFont="1" applyFill="1" applyAlignment="1"/>
    <xf numFmtId="0" fontId="30" fillId="2" borderId="0" xfId="0" applyFont="1" applyFill="1" applyBorder="1" applyAlignment="1"/>
    <xf numFmtId="0" fontId="33" fillId="4" borderId="0" xfId="0" applyFont="1" applyFill="1" applyAlignment="1">
      <alignment vertical="center" wrapText="1"/>
    </xf>
    <xf numFmtId="166" fontId="30" fillId="2" borderId="0" xfId="2" applyNumberFormat="1" applyFont="1" applyFill="1" applyAlignment="1">
      <alignment horizontal="right" vertical="center"/>
    </xf>
    <xf numFmtId="166" fontId="33" fillId="2" borderId="0" xfId="2" applyNumberFormat="1" applyFont="1" applyFill="1"/>
    <xf numFmtId="0" fontId="33" fillId="2" borderId="0" xfId="0" applyFont="1" applyFill="1" applyAlignment="1">
      <alignment vertical="center" wrapText="1"/>
    </xf>
    <xf numFmtId="0" fontId="31" fillId="2" borderId="3" xfId="0" applyFont="1" applyFill="1" applyBorder="1"/>
    <xf numFmtId="0" fontId="33" fillId="2" borderId="3" xfId="0" applyFont="1" applyFill="1" applyBorder="1"/>
    <xf numFmtId="0" fontId="30" fillId="4" borderId="3" xfId="0" applyFont="1" applyFill="1" applyBorder="1" applyAlignment="1">
      <alignment vertical="center" wrapText="1"/>
    </xf>
    <xf numFmtId="165" fontId="33" fillId="2" borderId="3" xfId="1" applyNumberFormat="1" applyFont="1" applyFill="1" applyBorder="1"/>
    <xf numFmtId="0" fontId="11" fillId="0" borderId="0" xfId="3" applyFont="1" applyFill="1" applyBorder="1"/>
    <xf numFmtId="0" fontId="19" fillId="0" borderId="0" xfId="3" applyFont="1" applyFill="1" applyBorder="1" applyAlignment="1">
      <alignment horizontal="left" vertical="center"/>
    </xf>
    <xf numFmtId="165" fontId="19" fillId="0" borderId="0" xfId="1" applyNumberFormat="1" applyFont="1" applyFill="1" applyBorder="1"/>
    <xf numFmtId="165" fontId="10" fillId="0" borderId="0" xfId="1" applyNumberFormat="1" applyFont="1" applyFill="1" applyBorder="1"/>
    <xf numFmtId="0" fontId="16" fillId="0" borderId="0" xfId="12" applyBorder="1"/>
    <xf numFmtId="49" fontId="16" fillId="0" borderId="0" xfId="12" applyNumberFormat="1" applyBorder="1"/>
    <xf numFmtId="0" fontId="34" fillId="0" borderId="6" xfId="12" applyFont="1" applyBorder="1" applyAlignment="1">
      <alignment vertical="center"/>
    </xf>
    <xf numFmtId="49" fontId="35" fillId="0" borderId="6" xfId="12" applyNumberFormat="1" applyFont="1" applyBorder="1" applyAlignment="1">
      <alignment vertical="center"/>
    </xf>
    <xf numFmtId="0" fontId="16" fillId="0" borderId="6" xfId="12" applyBorder="1"/>
    <xf numFmtId="0" fontId="16" fillId="0" borderId="0" xfId="12"/>
    <xf numFmtId="0" fontId="36" fillId="0" borderId="0" xfId="13" applyFont="1" applyFill="1"/>
    <xf numFmtId="0" fontId="37" fillId="0" borderId="0" xfId="13" applyFont="1"/>
    <xf numFmtId="0" fontId="38" fillId="0" borderId="0" xfId="13" applyFont="1"/>
    <xf numFmtId="0" fontId="39" fillId="0" borderId="0" xfId="13" applyFont="1"/>
    <xf numFmtId="0" fontId="40" fillId="0" borderId="0" xfId="12" applyFont="1" applyAlignment="1">
      <alignment vertical="center"/>
    </xf>
    <xf numFmtId="0" fontId="41" fillId="0" borderId="0" xfId="13" applyFont="1" applyFill="1" applyAlignment="1"/>
    <xf numFmtId="0" fontId="40" fillId="0" borderId="0" xfId="12" applyFont="1" applyFill="1" applyAlignment="1">
      <alignment vertical="center"/>
    </xf>
    <xf numFmtId="49" fontId="40" fillId="0" borderId="0" xfId="12" applyNumberFormat="1" applyFont="1" applyFill="1" applyAlignment="1">
      <alignment horizontal="left" vertical="center"/>
    </xf>
    <xf numFmtId="49" fontId="40" fillId="0" borderId="0" xfId="12" quotePrefix="1" applyNumberFormat="1" applyFont="1" applyFill="1" applyAlignment="1">
      <alignment horizontal="left" vertical="center"/>
    </xf>
    <xf numFmtId="49" fontId="40" fillId="0" borderId="0" xfId="12" applyNumberFormat="1" applyFont="1" applyAlignment="1">
      <alignment horizontal="left" vertical="center"/>
    </xf>
    <xf numFmtId="0" fontId="40" fillId="0" borderId="0" xfId="12" quotePrefix="1" applyFont="1" applyAlignment="1">
      <alignment vertical="center"/>
    </xf>
    <xf numFmtId="0" fontId="42" fillId="0" borderId="0" xfId="13" applyFont="1"/>
    <xf numFmtId="0" fontId="43" fillId="0" borderId="6" xfId="12" applyFont="1" applyBorder="1"/>
    <xf numFmtId="0" fontId="43" fillId="0" borderId="0" xfId="12" applyFont="1"/>
    <xf numFmtId="0" fontId="37" fillId="0" borderId="0" xfId="13" quotePrefix="1" applyFont="1"/>
    <xf numFmtId="49" fontId="40" fillId="0" borderId="0" xfId="12" applyNumberFormat="1" applyFont="1" applyFill="1" applyAlignment="1">
      <alignment vertical="center"/>
    </xf>
    <xf numFmtId="49" fontId="40" fillId="0" borderId="0" xfId="12" applyNumberFormat="1" applyFont="1" applyAlignment="1">
      <alignment vertical="center"/>
    </xf>
    <xf numFmtId="0" fontId="10" fillId="0" borderId="0" xfId="3" applyFont="1" applyFill="1" applyBorder="1"/>
    <xf numFmtId="0" fontId="9" fillId="0" borderId="0" xfId="3" applyFont="1" applyFill="1" applyBorder="1" applyAlignment="1">
      <alignment vertical="top"/>
    </xf>
    <xf numFmtId="0" fontId="14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 wrapText="1"/>
    </xf>
    <xf numFmtId="0" fontId="13" fillId="0" borderId="0" xfId="3" applyFont="1" applyFill="1" applyBorder="1" applyAlignment="1">
      <alignment vertical="top" wrapText="1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/>
    <xf numFmtId="0" fontId="15" fillId="0" borderId="0" xfId="3" applyFont="1" applyFill="1" applyBorder="1" applyAlignment="1">
      <alignment horizontal="center" vertical="center"/>
    </xf>
    <xf numFmtId="0" fontId="20" fillId="0" borderId="0" xfId="3" applyFont="1" applyFill="1" applyBorder="1"/>
    <xf numFmtId="0" fontId="45" fillId="2" borderId="0" xfId="0" applyFont="1" applyFill="1"/>
    <xf numFmtId="0" fontId="0" fillId="0" borderId="0" xfId="0" applyFont="1"/>
    <xf numFmtId="1" fontId="46" fillId="0" borderId="0" xfId="0" applyNumberFormat="1" applyFont="1"/>
    <xf numFmtId="0" fontId="0" fillId="2" borderId="0" xfId="0" applyFont="1" applyFill="1"/>
    <xf numFmtId="10" fontId="46" fillId="0" borderId="0" xfId="2" applyNumberFormat="1" applyFont="1"/>
    <xf numFmtId="0" fontId="45" fillId="2" borderId="3" xfId="0" applyFont="1" applyFill="1" applyBorder="1"/>
    <xf numFmtId="0" fontId="0" fillId="0" borderId="3" xfId="0" applyFont="1" applyBorder="1"/>
    <xf numFmtId="0" fontId="43" fillId="0" borderId="0" xfId="0" applyFont="1"/>
    <xf numFmtId="1" fontId="47" fillId="0" borderId="0" xfId="0" applyNumberFormat="1" applyFont="1"/>
    <xf numFmtId="1" fontId="46" fillId="0" borderId="3" xfId="0" applyNumberFormat="1" applyFont="1" applyBorder="1"/>
    <xf numFmtId="0" fontId="11" fillId="0" borderId="0" xfId="8" applyFont="1" applyFill="1" applyBorder="1"/>
    <xf numFmtId="0" fontId="12" fillId="0" borderId="0" xfId="8" applyFont="1" applyFill="1" applyBorder="1"/>
    <xf numFmtId="0" fontId="13" fillId="0" borderId="0" xfId="8" applyFont="1" applyFill="1" applyBorder="1" applyAlignment="1">
      <alignment vertical="top" wrapText="1"/>
    </xf>
    <xf numFmtId="0" fontId="11" fillId="0" borderId="0" xfId="8" applyFont="1" applyFill="1" applyBorder="1" applyAlignment="1">
      <alignment vertical="top" wrapText="1"/>
    </xf>
    <xf numFmtId="0" fontId="9" fillId="0" borderId="0" xfId="8" applyFont="1" applyFill="1" applyBorder="1" applyAlignment="1">
      <alignment vertical="top"/>
    </xf>
    <xf numFmtId="0" fontId="14" fillId="0" borderId="0" xfId="8" applyFont="1" applyFill="1" applyBorder="1" applyAlignment="1">
      <alignment vertical="top" wrapText="1"/>
    </xf>
    <xf numFmtId="0" fontId="21" fillId="0" borderId="0" xfId="8" applyFont="1" applyFill="1" applyBorder="1"/>
    <xf numFmtId="0" fontId="17" fillId="0" borderId="0" xfId="8" applyFont="1" applyFill="1" applyBorder="1" applyAlignment="1">
      <alignment vertical="top"/>
    </xf>
    <xf numFmtId="0" fontId="10" fillId="0" borderId="0" xfId="8" applyFont="1" applyFill="1" applyBorder="1" applyAlignment="1">
      <alignment vertical="top" wrapText="1"/>
    </xf>
    <xf numFmtId="0" fontId="15" fillId="0" borderId="0" xfId="8" applyFont="1" applyFill="1" applyBorder="1" applyAlignment="1">
      <alignment vertical="top" wrapText="1"/>
    </xf>
    <xf numFmtId="0" fontId="15" fillId="0" borderId="0" xfId="8" applyFont="1" applyFill="1" applyBorder="1"/>
    <xf numFmtId="0" fontId="1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165" fontId="20" fillId="0" borderId="0" xfId="1" applyNumberFormat="1" applyFont="1" applyFill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165" fontId="19" fillId="0" borderId="0" xfId="1" applyNumberFormat="1" applyFont="1" applyFill="1" applyBorder="1" applyAlignment="1">
      <alignment vertical="center"/>
    </xf>
    <xf numFmtId="166" fontId="10" fillId="0" borderId="0" xfId="2" applyNumberFormat="1" applyFont="1" applyFill="1" applyBorder="1" applyAlignment="1">
      <alignment vertical="center"/>
    </xf>
    <xf numFmtId="0" fontId="10" fillId="0" borderId="0" xfId="8" applyFont="1" applyFill="1" applyBorder="1"/>
    <xf numFmtId="0" fontId="10" fillId="0" borderId="0" xfId="8" applyFont="1" applyFill="1" applyBorder="1" applyAlignment="1">
      <alignment vertical="top"/>
    </xf>
    <xf numFmtId="0" fontId="24" fillId="0" borderId="0" xfId="8" applyFont="1" applyFill="1" applyBorder="1"/>
    <xf numFmtId="0" fontId="14" fillId="0" borderId="0" xfId="8" applyFont="1" applyFill="1" applyBorder="1"/>
    <xf numFmtId="0" fontId="22" fillId="0" borderId="0" xfId="8" applyFont="1" applyFill="1" applyBorder="1"/>
    <xf numFmtId="0" fontId="12" fillId="0" borderId="0" xfId="3" applyFont="1" applyFill="1" applyBorder="1"/>
    <xf numFmtId="165" fontId="10" fillId="0" borderId="0" xfId="1" applyNumberFormat="1" applyFont="1" applyFill="1" applyBorder="1" applyAlignment="1">
      <alignment horizontal="left" vertical="center"/>
    </xf>
    <xf numFmtId="165" fontId="10" fillId="0" borderId="0" xfId="4" applyNumberFormat="1" applyFont="1" applyFill="1" applyBorder="1" applyAlignment="1">
      <alignment vertical="center"/>
    </xf>
    <xf numFmtId="165" fontId="10" fillId="0" borderId="0" xfId="4" applyNumberFormat="1" applyFont="1" applyFill="1" applyBorder="1" applyAlignment="1">
      <alignment horizontal="left" vertical="center"/>
    </xf>
    <xf numFmtId="0" fontId="45" fillId="0" borderId="0" xfId="0" applyFont="1"/>
    <xf numFmtId="17" fontId="11" fillId="0" borderId="0" xfId="3" applyNumberFormat="1" applyFont="1" applyFill="1" applyBorder="1"/>
    <xf numFmtId="0" fontId="48" fillId="0" borderId="0" xfId="0" applyFont="1"/>
    <xf numFmtId="1" fontId="48" fillId="0" borderId="0" xfId="0" applyNumberFormat="1" applyFont="1"/>
    <xf numFmtId="0" fontId="48" fillId="0" borderId="3" xfId="0" applyFont="1" applyBorder="1"/>
    <xf numFmtId="1" fontId="48" fillId="0" borderId="3" xfId="0" applyNumberFormat="1" applyFont="1" applyBorder="1"/>
    <xf numFmtId="1" fontId="45" fillId="0" borderId="0" xfId="0" applyNumberFormat="1" applyFont="1"/>
    <xf numFmtId="3" fontId="30" fillId="5" borderId="0" xfId="1" applyNumberFormat="1" applyFont="1" applyFill="1" applyAlignment="1">
      <alignment horizontal="right"/>
    </xf>
    <xf numFmtId="0" fontId="31" fillId="5" borderId="0" xfId="0" applyFont="1" applyFill="1" applyAlignment="1">
      <alignment horizontal="right" vertical="center"/>
    </xf>
    <xf numFmtId="0" fontId="31" fillId="5" borderId="3" xfId="0" applyFont="1" applyFill="1" applyBorder="1" applyAlignment="1">
      <alignment horizontal="right" vertical="center"/>
    </xf>
    <xf numFmtId="3" fontId="30" fillId="5" borderId="3" xfId="1" applyNumberFormat="1" applyFont="1" applyFill="1" applyBorder="1" applyAlignment="1">
      <alignment horizontal="right"/>
    </xf>
    <xf numFmtId="3" fontId="31" fillId="5" borderId="0" xfId="1" applyNumberFormat="1" applyFont="1" applyFill="1" applyBorder="1" applyAlignment="1">
      <alignment horizontal="right" vertical="top"/>
    </xf>
    <xf numFmtId="3" fontId="31" fillId="5" borderId="0" xfId="1" applyNumberFormat="1" applyFont="1" applyFill="1" applyAlignment="1">
      <alignment horizontal="right" vertical="top"/>
    </xf>
    <xf numFmtId="3" fontId="31" fillId="5" borderId="0" xfId="1" applyNumberFormat="1" applyFont="1" applyFill="1" applyAlignment="1">
      <alignment horizontal="right"/>
    </xf>
    <xf numFmtId="3" fontId="30" fillId="5" borderId="3" xfId="1" applyNumberFormat="1" applyFont="1" applyFill="1" applyBorder="1" applyAlignment="1">
      <alignment horizontal="right" vertical="center"/>
    </xf>
    <xf numFmtId="3" fontId="31" fillId="5" borderId="3" xfId="1" applyNumberFormat="1" applyFont="1" applyFill="1" applyBorder="1" applyAlignment="1">
      <alignment horizontal="right" vertical="center"/>
    </xf>
    <xf numFmtId="3" fontId="30" fillId="5" borderId="0" xfId="1" applyNumberFormat="1" applyFont="1" applyFill="1" applyBorder="1" applyAlignment="1">
      <alignment horizontal="right" vertical="center"/>
    </xf>
    <xf numFmtId="0" fontId="30" fillId="5" borderId="4" xfId="0" applyFont="1" applyFill="1" applyBorder="1"/>
    <xf numFmtId="166" fontId="33" fillId="5" borderId="0" xfId="0" applyNumberFormat="1" applyFont="1" applyFill="1"/>
    <xf numFmtId="10" fontId="33" fillId="5" borderId="0" xfId="0" applyNumberFormat="1" applyFont="1" applyFill="1"/>
    <xf numFmtId="0" fontId="33" fillId="5" borderId="3" xfId="0" applyFont="1" applyFill="1" applyBorder="1" applyAlignment="1"/>
    <xf numFmtId="166" fontId="30" fillId="5" borderId="0" xfId="2" applyNumberFormat="1" applyFont="1" applyFill="1" applyAlignment="1">
      <alignment horizontal="right"/>
    </xf>
    <xf numFmtId="166" fontId="30" fillId="5" borderId="0" xfId="2" applyNumberFormat="1" applyFont="1" applyFill="1" applyAlignment="1">
      <alignment horizontal="right" vertical="center"/>
    </xf>
    <xf numFmtId="0" fontId="33" fillId="5" borderId="3" xfId="0" applyFont="1" applyFill="1" applyBorder="1"/>
    <xf numFmtId="1" fontId="46" fillId="5" borderId="0" xfId="0" applyNumberFormat="1" applyFont="1" applyFill="1"/>
    <xf numFmtId="1" fontId="46" fillId="5" borderId="3" xfId="0" applyNumberFormat="1" applyFont="1" applyFill="1" applyBorder="1"/>
    <xf numFmtId="1" fontId="47" fillId="5" borderId="0" xfId="0" applyNumberFormat="1" applyFont="1" applyFill="1"/>
    <xf numFmtId="10" fontId="46" fillId="5" borderId="0" xfId="2" applyNumberFormat="1" applyFont="1" applyFill="1"/>
    <xf numFmtId="0" fontId="45" fillId="5" borderId="3" xfId="0" applyFont="1" applyFill="1" applyBorder="1" applyAlignment="1">
      <alignment horizontal="right"/>
    </xf>
    <xf numFmtId="0" fontId="45" fillId="0" borderId="3" xfId="0" applyFont="1" applyBorder="1" applyAlignment="1">
      <alignment horizontal="right"/>
    </xf>
    <xf numFmtId="1" fontId="48" fillId="5" borderId="0" xfId="0" applyNumberFormat="1" applyFont="1" applyFill="1"/>
    <xf numFmtId="1" fontId="48" fillId="5" borderId="3" xfId="0" applyNumberFormat="1" applyFont="1" applyFill="1" applyBorder="1"/>
    <xf numFmtId="1" fontId="45" fillId="5" borderId="0" xfId="0" applyNumberFormat="1" applyFont="1" applyFill="1"/>
    <xf numFmtId="10" fontId="48" fillId="5" borderId="0" xfId="2" applyNumberFormat="1" applyFont="1" applyFill="1"/>
    <xf numFmtId="10" fontId="48" fillId="0" borderId="0" xfId="2" applyNumberFormat="1" applyFont="1"/>
    <xf numFmtId="0" fontId="29" fillId="0" borderId="0" xfId="11"/>
    <xf numFmtId="0" fontId="48" fillId="0" borderId="0" xfId="0" applyFont="1" applyBorder="1"/>
    <xf numFmtId="1" fontId="48" fillId="0" borderId="3" xfId="0" applyNumberFormat="1" applyFont="1" applyFill="1" applyBorder="1"/>
    <xf numFmtId="0" fontId="45" fillId="0" borderId="3" xfId="0" applyFont="1" applyFill="1" applyBorder="1" applyAlignment="1">
      <alignment horizontal="right"/>
    </xf>
    <xf numFmtId="1" fontId="48" fillId="0" borderId="0" xfId="0" applyNumberFormat="1" applyFont="1" applyFill="1"/>
    <xf numFmtId="1" fontId="45" fillId="0" borderId="0" xfId="0" applyNumberFormat="1" applyFont="1" applyFill="1"/>
    <xf numFmtId="1" fontId="46" fillId="0" borderId="3" xfId="0" applyNumberFormat="1" applyFont="1" applyFill="1" applyBorder="1"/>
    <xf numFmtId="1" fontId="47" fillId="0" borderId="0" xfId="0" applyNumberFormat="1" applyFont="1" applyFill="1"/>
    <xf numFmtId="10" fontId="46" fillId="0" borderId="0" xfId="2" applyNumberFormat="1" applyFont="1" applyFill="1"/>
    <xf numFmtId="0" fontId="0" fillId="0" borderId="0" xfId="0" applyFont="1" applyFill="1"/>
    <xf numFmtId="10" fontId="28" fillId="0" borderId="0" xfId="2" applyNumberFormat="1" applyFont="1" applyFill="1"/>
    <xf numFmtId="9" fontId="11" fillId="0" borderId="0" xfId="2" applyFont="1" applyFill="1"/>
    <xf numFmtId="0" fontId="52" fillId="0" borderId="0" xfId="3" applyFont="1" applyFill="1"/>
    <xf numFmtId="4" fontId="51" fillId="6" borderId="0" xfId="15" quotePrefix="1" applyNumberFormat="1" applyFont="1" applyFill="1" applyAlignment="1" applyProtection="1">
      <alignment wrapText="1"/>
    </xf>
    <xf numFmtId="1" fontId="11" fillId="0" borderId="0" xfId="3" applyNumberFormat="1" applyFont="1" applyFill="1"/>
    <xf numFmtId="3" fontId="51" fillId="0" borderId="0" xfId="14" applyNumberFormat="1" applyFont="1" applyFill="1" applyAlignment="1"/>
    <xf numFmtId="3" fontId="51" fillId="0" borderId="0" xfId="14" applyNumberFormat="1" applyFont="1" applyFill="1" applyAlignment="1">
      <alignment horizontal="right"/>
    </xf>
    <xf numFmtId="0" fontId="0" fillId="0" borderId="0" xfId="0" applyFill="1"/>
    <xf numFmtId="49" fontId="10" fillId="0" borderId="0" xfId="1" applyNumberFormat="1" applyFont="1" applyFill="1" applyBorder="1" applyAlignment="1">
      <alignment horizontal="left" vertical="center" wrapText="1"/>
    </xf>
    <xf numFmtId="49" fontId="20" fillId="0" borderId="0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vertical="center" wrapText="1"/>
    </xf>
    <xf numFmtId="14" fontId="10" fillId="0" borderId="0" xfId="1" applyNumberFormat="1" applyFont="1" applyFill="1" applyBorder="1" applyAlignment="1">
      <alignment vertical="center"/>
    </xf>
    <xf numFmtId="3" fontId="33" fillId="6" borderId="0" xfId="16" applyNumberFormat="1" applyFont="1" applyFill="1" applyAlignment="1"/>
    <xf numFmtId="3" fontId="33" fillId="2" borderId="0" xfId="0" applyNumberFormat="1" applyFont="1" applyFill="1" applyAlignment="1">
      <alignment horizontal="right" vertical="center" wrapText="1"/>
    </xf>
    <xf numFmtId="3" fontId="33" fillId="6" borderId="3" xfId="16" applyNumberFormat="1" applyFont="1" applyFill="1" applyBorder="1" applyAlignment="1"/>
    <xf numFmtId="3" fontId="49" fillId="2" borderId="3" xfId="0" applyNumberFormat="1" applyFont="1" applyFill="1" applyBorder="1" applyAlignment="1">
      <alignment horizontal="right" vertical="center" wrapText="1"/>
    </xf>
    <xf numFmtId="3" fontId="49" fillId="6" borderId="3" xfId="16" applyNumberFormat="1" applyFont="1" applyFill="1" applyBorder="1" applyAlignment="1"/>
    <xf numFmtId="3" fontId="33" fillId="2" borderId="0" xfId="0" quotePrefix="1" applyNumberFormat="1" applyFont="1" applyFill="1" applyAlignment="1">
      <alignment horizontal="right" vertical="center" wrapText="1"/>
    </xf>
    <xf numFmtId="3" fontId="33" fillId="2" borderId="3" xfId="0" applyNumberFormat="1" applyFont="1" applyFill="1" applyBorder="1" applyAlignment="1">
      <alignment horizontal="right" vertical="center" wrapText="1"/>
    </xf>
    <xf numFmtId="3" fontId="49" fillId="6" borderId="7" xfId="16" applyNumberFormat="1" applyFont="1" applyFill="1" applyBorder="1" applyAlignment="1"/>
    <xf numFmtId="3" fontId="33" fillId="5" borderId="0" xfId="0" applyNumberFormat="1" applyFont="1" applyFill="1" applyAlignment="1">
      <alignment horizontal="right" vertical="center" wrapText="1"/>
    </xf>
    <xf numFmtId="3" fontId="49" fillId="5" borderId="3" xfId="0" applyNumberFormat="1" applyFont="1" applyFill="1" applyBorder="1" applyAlignment="1">
      <alignment horizontal="right" vertical="center" wrapText="1"/>
    </xf>
    <xf numFmtId="3" fontId="33" fillId="5" borderId="3" xfId="0" applyNumberFormat="1" applyFont="1" applyFill="1" applyBorder="1" applyAlignment="1">
      <alignment horizontal="right" vertical="center" wrapText="1"/>
    </xf>
    <xf numFmtId="3" fontId="30" fillId="2" borderId="0" xfId="0" applyNumberFormat="1" applyFont="1" applyFill="1" applyAlignment="1">
      <alignment vertical="center"/>
    </xf>
    <xf numFmtId="3" fontId="30" fillId="2" borderId="0" xfId="0" applyNumberFormat="1" applyFont="1" applyFill="1" applyAlignment="1">
      <alignment horizontal="right" vertical="center"/>
    </xf>
    <xf numFmtId="0" fontId="30" fillId="4" borderId="3" xfId="0" applyFont="1" applyFill="1" applyBorder="1" applyAlignment="1">
      <alignment vertical="center"/>
    </xf>
    <xf numFmtId="3" fontId="30" fillId="2" borderId="3" xfId="0" applyNumberFormat="1" applyFont="1" applyFill="1" applyBorder="1" applyAlignment="1">
      <alignment horizontal="right" vertical="center"/>
    </xf>
    <xf numFmtId="0" fontId="31" fillId="4" borderId="8" xfId="0" applyFont="1" applyFill="1" applyBorder="1" applyAlignment="1">
      <alignment vertical="center"/>
    </xf>
    <xf numFmtId="0" fontId="30" fillId="4" borderId="8" xfId="0" applyFont="1" applyFill="1" applyBorder="1" applyAlignment="1">
      <alignment vertical="center"/>
    </xf>
    <xf numFmtId="3" fontId="31" fillId="2" borderId="8" xfId="0" applyNumberFormat="1" applyFont="1" applyFill="1" applyBorder="1" applyAlignment="1">
      <alignment horizontal="right" vertical="center"/>
    </xf>
    <xf numFmtId="3" fontId="49" fillId="6" borderId="0" xfId="16" applyNumberFormat="1" applyFont="1" applyFill="1" applyBorder="1" applyAlignment="1"/>
    <xf numFmtId="3" fontId="49" fillId="5" borderId="0" xfId="0" applyNumberFormat="1" applyFont="1" applyFill="1" applyBorder="1" applyAlignment="1">
      <alignment horizontal="right" vertical="center" wrapText="1"/>
    </xf>
    <xf numFmtId="3" fontId="49" fillId="2" borderId="0" xfId="0" applyNumberFormat="1" applyFont="1" applyFill="1" applyBorder="1" applyAlignment="1">
      <alignment horizontal="right" vertical="center" wrapText="1"/>
    </xf>
    <xf numFmtId="3" fontId="33" fillId="6" borderId="0" xfId="16" applyNumberFormat="1" applyFont="1" applyFill="1" applyBorder="1" applyAlignment="1"/>
    <xf numFmtId="3" fontId="33" fillId="5" borderId="0" xfId="0" applyNumberFormat="1" applyFont="1" applyFill="1" applyBorder="1" applyAlignment="1">
      <alignment horizontal="right" vertical="center" wrapText="1"/>
    </xf>
    <xf numFmtId="3" fontId="33" fillId="2" borderId="0" xfId="0" quotePrefix="1" applyNumberFormat="1" applyFont="1" applyFill="1" applyBorder="1" applyAlignment="1">
      <alignment horizontal="right" vertical="center" wrapText="1"/>
    </xf>
    <xf numFmtId="3" fontId="33" fillId="2" borderId="0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 horizontal="right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vertical="center"/>
    </xf>
    <xf numFmtId="3" fontId="31" fillId="0" borderId="8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45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3" fillId="5" borderId="3" xfId="0" applyFont="1" applyFill="1" applyBorder="1" applyAlignment="1">
      <alignment horizontal="right"/>
    </xf>
    <xf numFmtId="0" fontId="43" fillId="0" borderId="3" xfId="0" applyFont="1" applyBorder="1" applyAlignment="1">
      <alignment horizontal="right"/>
    </xf>
    <xf numFmtId="0" fontId="54" fillId="0" borderId="0" xfId="0" applyFont="1"/>
    <xf numFmtId="0" fontId="45" fillId="2" borderId="0" xfId="0" applyFont="1" applyFill="1" applyBorder="1"/>
    <xf numFmtId="1" fontId="14" fillId="0" borderId="0" xfId="3" applyNumberFormat="1" applyFont="1" applyFill="1" applyBorder="1" applyAlignment="1">
      <alignment vertical="top" wrapText="1"/>
    </xf>
    <xf numFmtId="3" fontId="11" fillId="0" borderId="0" xfId="3" applyNumberFormat="1" applyFont="1" applyFill="1"/>
    <xf numFmtId="1" fontId="11" fillId="0" borderId="0" xfId="3" applyNumberFormat="1" applyFont="1" applyFill="1" applyBorder="1"/>
    <xf numFmtId="168" fontId="11" fillId="0" borderId="0" xfId="8" applyNumberFormat="1" applyFont="1" applyFill="1" applyBorder="1"/>
    <xf numFmtId="168" fontId="15" fillId="0" borderId="0" xfId="8" applyNumberFormat="1" applyFont="1" applyFill="1" applyBorder="1"/>
    <xf numFmtId="168" fontId="10" fillId="0" borderId="0" xfId="1" applyNumberFormat="1" applyFont="1" applyFill="1" applyBorder="1" applyAlignment="1">
      <alignment horizontal="left" vertical="center" wrapText="1"/>
    </xf>
    <xf numFmtId="0" fontId="46" fillId="0" borderId="0" xfId="0" applyFont="1" applyBorder="1"/>
    <xf numFmtId="0" fontId="28" fillId="0" borderId="0" xfId="0" applyFont="1" applyBorder="1"/>
    <xf numFmtId="0" fontId="0" fillId="0" borderId="0" xfId="0" applyFont="1" applyBorder="1"/>
    <xf numFmtId="0" fontId="55" fillId="0" borderId="0" xfId="11" applyFont="1" applyAlignment="1">
      <alignment vertical="center"/>
    </xf>
    <xf numFmtId="0" fontId="56" fillId="0" borderId="0" xfId="3" applyFont="1" applyFill="1" applyBorder="1" applyAlignment="1">
      <alignment horizontal="left" vertical="center"/>
    </xf>
    <xf numFmtId="4" fontId="57" fillId="6" borderId="0" xfId="15" quotePrefix="1" applyNumberFormat="1" applyFont="1" applyFill="1" applyAlignment="1" applyProtection="1"/>
    <xf numFmtId="4" fontId="58" fillId="6" borderId="0" xfId="15" quotePrefix="1" applyNumberFormat="1" applyFont="1" applyFill="1" applyAlignment="1" applyProtection="1"/>
    <xf numFmtId="4" fontId="57" fillId="6" borderId="0" xfId="15" quotePrefix="1" applyNumberFormat="1" applyFont="1" applyFill="1" applyAlignment="1" applyProtection="1">
      <alignment wrapText="1"/>
    </xf>
    <xf numFmtId="0" fontId="16" fillId="0" borderId="0" xfId="0" applyFont="1"/>
    <xf numFmtId="0" fontId="59" fillId="0" borderId="0" xfId="0" applyFont="1" applyFill="1" applyAlignment="1">
      <alignment vertical="center"/>
    </xf>
    <xf numFmtId="0" fontId="59" fillId="0" borderId="0" xfId="0" applyFont="1"/>
    <xf numFmtId="0" fontId="60" fillId="0" borderId="0" xfId="0" applyFont="1"/>
    <xf numFmtId="0" fontId="60" fillId="0" borderId="0" xfId="0" applyFont="1" applyAlignment="1">
      <alignment wrapText="1"/>
    </xf>
    <xf numFmtId="0" fontId="61" fillId="0" borderId="0" xfId="0" applyFont="1"/>
    <xf numFmtId="3" fontId="60" fillId="0" borderId="0" xfId="0" applyNumberFormat="1" applyFont="1"/>
    <xf numFmtId="0" fontId="62" fillId="0" borderId="0" xfId="0" quotePrefix="1" applyFont="1" applyBorder="1"/>
    <xf numFmtId="3" fontId="63" fillId="0" borderId="0" xfId="0" applyNumberFormat="1" applyFont="1" applyBorder="1"/>
    <xf numFmtId="0" fontId="60" fillId="0" borderId="3" xfId="0" quotePrefix="1" applyFont="1" applyBorder="1"/>
    <xf numFmtId="3" fontId="60" fillId="0" borderId="3" xfId="0" applyNumberFormat="1" applyFont="1" applyBorder="1"/>
    <xf numFmtId="3" fontId="60" fillId="0" borderId="0" xfId="0" applyNumberFormat="1" applyFont="1" applyBorder="1"/>
    <xf numFmtId="3" fontId="61" fillId="0" borderId="0" xfId="0" applyNumberFormat="1" applyFont="1"/>
    <xf numFmtId="3" fontId="61" fillId="0" borderId="0" xfId="0" applyNumberFormat="1" applyFont="1" applyBorder="1"/>
    <xf numFmtId="0" fontId="60" fillId="0" borderId="0" xfId="0" applyFont="1" applyBorder="1"/>
    <xf numFmtId="165" fontId="60" fillId="0" borderId="0" xfId="1" applyNumberFormat="1" applyFont="1"/>
    <xf numFmtId="0" fontId="64" fillId="7" borderId="9" xfId="0" applyFont="1" applyFill="1" applyBorder="1"/>
    <xf numFmtId="166" fontId="59" fillId="7" borderId="9" xfId="0" applyNumberFormat="1" applyFont="1" applyFill="1" applyBorder="1"/>
    <xf numFmtId="165" fontId="60" fillId="0" borderId="0" xfId="0" applyNumberFormat="1" applyFont="1"/>
    <xf numFmtId="166" fontId="65" fillId="7" borderId="9" xfId="0" applyNumberFormat="1" applyFont="1" applyFill="1" applyBorder="1"/>
    <xf numFmtId="0" fontId="60" fillId="0" borderId="0" xfId="0" quotePrefix="1" applyFont="1"/>
    <xf numFmtId="3" fontId="60" fillId="0" borderId="0" xfId="0" applyNumberFormat="1" applyFont="1" applyFill="1"/>
    <xf numFmtId="3" fontId="59" fillId="7" borderId="9" xfId="0" applyNumberFormat="1" applyFont="1" applyFill="1" applyBorder="1"/>
    <xf numFmtId="3" fontId="65" fillId="7" borderId="9" xfId="0" applyNumberFormat="1" applyFont="1" applyFill="1" applyBorder="1"/>
    <xf numFmtId="0" fontId="60" fillId="0" borderId="3" xfId="0" quotePrefix="1" applyFont="1" applyBorder="1" applyAlignment="1">
      <alignment wrapText="1"/>
    </xf>
    <xf numFmtId="3" fontId="61" fillId="0" borderId="3" xfId="0" applyNumberFormat="1" applyFont="1" applyBorder="1"/>
    <xf numFmtId="3" fontId="60" fillId="0" borderId="3" xfId="0" applyNumberFormat="1" applyFont="1" applyFill="1" applyBorder="1"/>
    <xf numFmtId="3" fontId="61" fillId="0" borderId="3" xfId="0" applyNumberFormat="1" applyFont="1" applyFill="1" applyBorder="1"/>
    <xf numFmtId="0" fontId="60" fillId="0" borderId="0" xfId="0" quotePrefix="1" applyFont="1" applyAlignment="1">
      <alignment wrapText="1"/>
    </xf>
    <xf numFmtId="0" fontId="64" fillId="7" borderId="9" xfId="0" applyFont="1" applyFill="1" applyBorder="1" applyAlignment="1">
      <alignment wrapText="1"/>
    </xf>
    <xf numFmtId="0" fontId="60" fillId="0" borderId="3" xfId="0" applyFont="1" applyBorder="1"/>
    <xf numFmtId="3" fontId="61" fillId="0" borderId="0" xfId="0" applyNumberFormat="1" applyFont="1" applyFill="1"/>
    <xf numFmtId="166" fontId="59" fillId="7" borderId="9" xfId="2" applyNumberFormat="1" applyFont="1" applyFill="1" applyBorder="1"/>
    <xf numFmtId="0" fontId="64" fillId="0" borderId="8" xfId="0" applyFont="1" applyBorder="1"/>
    <xf numFmtId="3" fontId="65" fillId="0" borderId="8" xfId="0" applyNumberFormat="1" applyFont="1" applyBorder="1"/>
    <xf numFmtId="3" fontId="59" fillId="0" borderId="8" xfId="0" applyNumberFormat="1" applyFont="1" applyBorder="1"/>
    <xf numFmtId="3" fontId="65" fillId="0" borderId="0" xfId="0" applyNumberFormat="1" applyFont="1" applyBorder="1"/>
    <xf numFmtId="3" fontId="59" fillId="0" borderId="0" xfId="0" applyNumberFormat="1" applyFont="1" applyBorder="1"/>
    <xf numFmtId="3" fontId="65" fillId="0" borderId="3" xfId="0" applyNumberFormat="1" applyFont="1" applyBorder="1"/>
    <xf numFmtId="3" fontId="59" fillId="0" borderId="3" xfId="0" applyNumberFormat="1" applyFont="1" applyBorder="1"/>
    <xf numFmtId="0" fontId="60" fillId="0" borderId="0" xfId="0" quotePrefix="1" applyFont="1" applyBorder="1"/>
    <xf numFmtId="9" fontId="59" fillId="7" borderId="9" xfId="2" applyNumberFormat="1" applyFont="1" applyFill="1" applyBorder="1"/>
    <xf numFmtId="3" fontId="60" fillId="0" borderId="0" xfId="0" applyNumberFormat="1" applyFont="1" applyAlignment="1">
      <alignment horizontal="center"/>
    </xf>
    <xf numFmtId="3" fontId="60" fillId="0" borderId="0" xfId="0" applyNumberFormat="1" applyFont="1" applyBorder="1" applyAlignment="1">
      <alignment horizontal="center"/>
    </xf>
    <xf numFmtId="3" fontId="60" fillId="0" borderId="3" xfId="0" applyNumberFormat="1" applyFont="1" applyBorder="1" applyAlignment="1">
      <alignment horizontal="center"/>
    </xf>
    <xf numFmtId="0" fontId="60" fillId="0" borderId="0" xfId="0" quotePrefix="1" applyFont="1" applyFill="1" applyBorder="1"/>
    <xf numFmtId="0" fontId="60" fillId="0" borderId="0" xfId="0" applyFont="1" applyFill="1" applyBorder="1"/>
    <xf numFmtId="10" fontId="60" fillId="0" borderId="0" xfId="0" applyNumberFormat="1" applyFont="1" applyFill="1"/>
    <xf numFmtId="10" fontId="60" fillId="0" borderId="0" xfId="0" applyNumberFormat="1" applyFont="1"/>
    <xf numFmtId="10" fontId="61" fillId="0" borderId="0" xfId="0" applyNumberFormat="1" applyFont="1"/>
    <xf numFmtId="10" fontId="60" fillId="0" borderId="0" xfId="0" applyNumberFormat="1" applyFont="1" applyAlignment="1">
      <alignment horizontal="center"/>
    </xf>
    <xf numFmtId="4" fontId="59" fillId="7" borderId="9" xfId="0" applyNumberFormat="1" applyFont="1" applyFill="1" applyBorder="1"/>
    <xf numFmtId="3" fontId="60" fillId="7" borderId="9" xfId="0" applyNumberFormat="1" applyFont="1" applyFill="1" applyBorder="1" applyAlignment="1">
      <alignment horizontal="center"/>
    </xf>
    <xf numFmtId="0" fontId="64" fillId="0" borderId="0" xfId="0" applyFont="1" applyBorder="1"/>
    <xf numFmtId="0" fontId="60" fillId="0" borderId="3" xfId="0" applyFont="1" applyFill="1" applyBorder="1"/>
    <xf numFmtId="10" fontId="60" fillId="0" borderId="3" xfId="0" applyNumberFormat="1" applyFont="1" applyFill="1" applyBorder="1"/>
    <xf numFmtId="10" fontId="60" fillId="0" borderId="3" xfId="0" applyNumberFormat="1" applyFont="1" applyBorder="1"/>
    <xf numFmtId="10" fontId="61" fillId="0" borderId="3" xfId="0" applyNumberFormat="1" applyFont="1" applyBorder="1"/>
    <xf numFmtId="10" fontId="60" fillId="0" borderId="3" xfId="0" applyNumberFormat="1" applyFont="1" applyBorder="1" applyAlignment="1">
      <alignment horizontal="center"/>
    </xf>
    <xf numFmtId="4" fontId="65" fillId="7" borderId="9" xfId="0" applyNumberFormat="1" applyFont="1" applyFill="1" applyBorder="1"/>
    <xf numFmtId="3" fontId="59" fillId="7" borderId="9" xfId="0" applyNumberFormat="1" applyFont="1" applyFill="1" applyBorder="1" applyAlignment="1">
      <alignment horizontal="center"/>
    </xf>
    <xf numFmtId="4" fontId="60" fillId="0" borderId="0" xfId="0" applyNumberFormat="1" applyFont="1" applyBorder="1"/>
    <xf numFmtId="4" fontId="61" fillId="0" borderId="0" xfId="0" applyNumberFormat="1" applyFont="1" applyBorder="1"/>
    <xf numFmtId="3" fontId="61" fillId="0" borderId="0" xfId="0" applyNumberFormat="1" applyFont="1" applyBorder="1" applyAlignment="1">
      <alignment horizontal="center"/>
    </xf>
    <xf numFmtId="3" fontId="60" fillId="0" borderId="0" xfId="0" applyNumberFormat="1" applyFon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65" fillId="7" borderId="9" xfId="0" applyNumberFormat="1" applyFont="1" applyFill="1" applyBorder="1" applyAlignment="1">
      <alignment horizontal="center"/>
    </xf>
    <xf numFmtId="16" fontId="5" fillId="0" borderId="0" xfId="0" quotePrefix="1" applyNumberFormat="1" applyFont="1"/>
    <xf numFmtId="0" fontId="7" fillId="0" borderId="0" xfId="5" applyFill="1" applyAlignment="1">
      <alignment horizontal="center"/>
    </xf>
    <xf numFmtId="0" fontId="29" fillId="0" borderId="0" xfId="11" applyFill="1" applyBorder="1"/>
    <xf numFmtId="0" fontId="29" fillId="0" borderId="0" xfId="11" applyFill="1"/>
    <xf numFmtId="0" fontId="66" fillId="0" borderId="0" xfId="3" applyFont="1" applyFill="1"/>
    <xf numFmtId="0" fontId="16" fillId="0" borderId="0" xfId="0" applyFont="1" applyBorder="1"/>
    <xf numFmtId="0" fontId="16" fillId="0" borderId="0" xfId="0" applyFont="1" applyFill="1" applyBorder="1"/>
    <xf numFmtId="0" fontId="67" fillId="0" borderId="0" xfId="0" applyFont="1" applyBorder="1"/>
    <xf numFmtId="0" fontId="30" fillId="5" borderId="7" xfId="0" applyFont="1" applyFill="1" applyBorder="1"/>
    <xf numFmtId="0" fontId="68" fillId="0" borderId="0" xfId="8" applyFont="1" applyFill="1" applyBorder="1"/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8" fontId="5" fillId="0" borderId="0" xfId="1" applyNumberFormat="1" applyFont="1" applyFill="1" applyBorder="1" applyAlignment="1">
      <alignment vertical="center"/>
    </xf>
    <xf numFmtId="168" fontId="69" fillId="0" borderId="0" xfId="8" applyNumberFormat="1" applyFont="1" applyFill="1" applyBorder="1"/>
    <xf numFmtId="0" fontId="69" fillId="0" borderId="0" xfId="8" applyFont="1" applyFill="1" applyBorder="1"/>
    <xf numFmtId="0" fontId="70" fillId="0" borderId="0" xfId="3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left" vertical="center"/>
    </xf>
    <xf numFmtId="168" fontId="5" fillId="0" borderId="0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left" vertical="center" wrapText="1"/>
    </xf>
    <xf numFmtId="168" fontId="5" fillId="0" borderId="0" xfId="1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Border="1"/>
    <xf numFmtId="0" fontId="71" fillId="0" borderId="0" xfId="8" applyFont="1" applyFill="1" applyBorder="1" applyAlignment="1">
      <alignment vertical="top"/>
    </xf>
    <xf numFmtId="0" fontId="5" fillId="0" borderId="0" xfId="8" applyFont="1" applyFill="1" applyBorder="1" applyAlignment="1">
      <alignment vertical="top" wrapText="1"/>
    </xf>
    <xf numFmtId="0" fontId="69" fillId="0" borderId="0" xfId="8" applyFont="1" applyFill="1" applyBorder="1" applyAlignment="1">
      <alignment vertical="top" wrapText="1"/>
    </xf>
    <xf numFmtId="0" fontId="5" fillId="0" borderId="0" xfId="8" applyFont="1" applyFill="1" applyBorder="1"/>
    <xf numFmtId="0" fontId="5" fillId="0" borderId="0" xfId="8" applyFont="1" applyFill="1" applyBorder="1" applyAlignment="1">
      <alignment vertical="top"/>
    </xf>
    <xf numFmtId="0" fontId="66" fillId="0" borderId="0" xfId="8" applyFont="1" applyFill="1" applyBorder="1"/>
    <xf numFmtId="2" fontId="5" fillId="0" borderId="0" xfId="1" applyNumberFormat="1" applyFont="1" applyFill="1" applyBorder="1" applyAlignment="1">
      <alignment horizontal="left" vertical="center" wrapText="1"/>
    </xf>
    <xf numFmtId="169" fontId="0" fillId="8" borderId="0" xfId="0" applyNumberFormat="1" applyFont="1" applyFill="1" applyBorder="1" applyAlignment="1">
      <alignment horizontal="left"/>
    </xf>
    <xf numFmtId="0" fontId="40" fillId="0" borderId="0" xfId="0" applyFont="1"/>
    <xf numFmtId="170" fontId="60" fillId="0" borderId="0" xfId="0" applyNumberFormat="1" applyFont="1"/>
    <xf numFmtId="170" fontId="60" fillId="0" borderId="0" xfId="0" applyNumberFormat="1" applyFont="1" applyAlignment="1">
      <alignment wrapText="1"/>
    </xf>
    <xf numFmtId="170" fontId="59" fillId="0" borderId="0" xfId="0" applyNumberFormat="1" applyFont="1"/>
    <xf numFmtId="0" fontId="45" fillId="5" borderId="0" xfId="0" applyFont="1" applyFill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31" fillId="4" borderId="0" xfId="0" applyFont="1" applyFill="1" applyBorder="1" applyAlignment="1">
      <alignment vertical="center"/>
    </xf>
    <xf numFmtId="3" fontId="31" fillId="2" borderId="0" xfId="0" applyNumberFormat="1" applyFont="1" applyFill="1" applyBorder="1" applyAlignment="1">
      <alignment horizontal="right" vertical="center"/>
    </xf>
    <xf numFmtId="3" fontId="30" fillId="0" borderId="3" xfId="0" applyNumberFormat="1" applyFont="1" applyFill="1" applyBorder="1" applyAlignment="1">
      <alignment vertical="center"/>
    </xf>
    <xf numFmtId="3" fontId="30" fillId="2" borderId="3" xfId="0" applyNumberFormat="1" applyFont="1" applyFill="1" applyBorder="1" applyAlignment="1">
      <alignment vertical="center"/>
    </xf>
    <xf numFmtId="3" fontId="33" fillId="5" borderId="8" xfId="0" applyNumberFormat="1" applyFont="1" applyFill="1" applyBorder="1" applyAlignment="1">
      <alignment horizontal="right" vertical="center" wrapText="1"/>
    </xf>
    <xf numFmtId="3" fontId="30" fillId="0" borderId="8" xfId="0" applyNumberFormat="1" applyFont="1" applyFill="1" applyBorder="1" applyAlignment="1">
      <alignment vertical="center"/>
    </xf>
    <xf numFmtId="0" fontId="44" fillId="0" borderId="0" xfId="13" applyFont="1" applyAlignment="1">
      <alignment horizontal="left"/>
    </xf>
    <xf numFmtId="0" fontId="10" fillId="0" borderId="0" xfId="3" applyFont="1" applyFill="1" applyBorder="1" applyAlignment="1">
      <alignment horizontal="center" vertical="center"/>
    </xf>
  </cellXfs>
  <cellStyles count="17">
    <cellStyle name="Comma 2" xfId="9"/>
    <cellStyle name="Hyperkobling" xfId="11" builtinId="8"/>
    <cellStyle name="Komma" xfId="1" builtinId="3"/>
    <cellStyle name="Komma 55" xfId="4"/>
    <cellStyle name="Normal" xfId="0" builtinId="0"/>
    <cellStyle name="Normal 2" xfId="7"/>
    <cellStyle name="Normal 2 2" xfId="14"/>
    <cellStyle name="Normal 20 2" xfId="12"/>
    <cellStyle name="Normal 35" xfId="3"/>
    <cellStyle name="Normal 35 2" xfId="8"/>
    <cellStyle name="Normal 35 3" xfId="10"/>
    <cellStyle name="Normal_Note 5 til 7" xfId="16"/>
    <cellStyle name="Normal_Noter" xfId="15"/>
    <cellStyle name="Normal_tabeller.xls 2 2" xfId="13"/>
    <cellStyle name="Overskrift" xfId="6"/>
    <cellStyle name="Prosent" xfId="2" builtinId="5"/>
    <cellStyle name="Vanli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798138452588714E-2"/>
          <c:y val="3.3371251228429918E-2"/>
          <c:w val="0.61759922679822088"/>
          <c:h val="0.88779185512147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 Income'!$C$5</c:f>
              <c:strCache>
                <c:ptCount val="1"/>
                <c:pt idx="0">
                  <c:v>Net interest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'3 Income'!$D$5:$H$5</c:f>
              <c:numCache>
                <c:formatCode>0</c:formatCode>
                <c:ptCount val="5"/>
                <c:pt idx="0">
                  <c:v>511.1</c:v>
                </c:pt>
                <c:pt idx="1">
                  <c:v>495</c:v>
                </c:pt>
                <c:pt idx="2">
                  <c:v>501.2</c:v>
                </c:pt>
                <c:pt idx="3">
                  <c:v>498</c:v>
                </c:pt>
                <c:pt idx="4">
                  <c:v>482.5</c:v>
                </c:pt>
              </c:numCache>
            </c:numRef>
          </c:val>
        </c:ser>
        <c:ser>
          <c:idx val="1"/>
          <c:order val="1"/>
          <c:tx>
            <c:strRef>
              <c:f>'3 Income'!$C$6</c:f>
              <c:strCache>
                <c:ptCount val="1"/>
                <c:pt idx="0">
                  <c:v>Commission fees from covered bond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6844450059448592E-17"/>
                  <c:y val="-2.1236250781728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'3 Income'!$D$6:$H$6</c:f>
              <c:numCache>
                <c:formatCode>0</c:formatCode>
                <c:ptCount val="5"/>
                <c:pt idx="0">
                  <c:v>87.5</c:v>
                </c:pt>
                <c:pt idx="1">
                  <c:v>106.7</c:v>
                </c:pt>
                <c:pt idx="2">
                  <c:v>109.3</c:v>
                </c:pt>
                <c:pt idx="3">
                  <c:v>100.5</c:v>
                </c:pt>
                <c:pt idx="4">
                  <c:v>90.8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093208"/>
        <c:axId val="158098696"/>
      </c:barChart>
      <c:lineChart>
        <c:grouping val="stacked"/>
        <c:varyColors val="0"/>
        <c:ser>
          <c:idx val="2"/>
          <c:order val="2"/>
          <c:tx>
            <c:strRef>
              <c:f>'3 Income'!$C$7</c:f>
              <c:strCache>
                <c:ptCount val="1"/>
                <c:pt idx="0">
                  <c:v>Net interest income an commission fees from covered bond companies (MNOK)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579586537935308E-2"/>
                  <c:y val="-3.033750111675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132355081778484E-2"/>
                  <c:y val="-3.03375011167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948098900497441E-2"/>
                  <c:y val="-3.6405001340105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763842719216352E-2"/>
                  <c:y val="-2.7303751005079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4740494502486977E-3"/>
                  <c:y val="-4.5506251675131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'3 Income'!$D$7:$H$7</c:f>
              <c:numCache>
                <c:formatCode>0</c:formatCode>
                <c:ptCount val="5"/>
                <c:pt idx="0">
                  <c:v>598.6</c:v>
                </c:pt>
                <c:pt idx="1">
                  <c:v>601.70000000000005</c:v>
                </c:pt>
                <c:pt idx="2">
                  <c:v>610.5</c:v>
                </c:pt>
                <c:pt idx="3">
                  <c:v>598.5</c:v>
                </c:pt>
                <c:pt idx="4">
                  <c:v>573.29999999999995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93208"/>
        <c:axId val="158098696"/>
      </c:lineChart>
      <c:lineChart>
        <c:grouping val="standard"/>
        <c:varyColors val="0"/>
        <c:ser>
          <c:idx val="3"/>
          <c:order val="3"/>
          <c:tx>
            <c:strRef>
              <c:f>'3 Income'!$C$8</c:f>
              <c:strCache>
                <c:ptCount val="1"/>
                <c:pt idx="0">
                  <c:v>Net interest income in % of average of average total assets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'3 Income'!$D$9:$H$9</c:f>
              <c:numCache>
                <c:formatCode>0.00%</c:formatCode>
                <c:ptCount val="5"/>
                <c:pt idx="0">
                  <c:v>1.84E-2</c:v>
                </c:pt>
                <c:pt idx="1">
                  <c:v>1.8599999999999998E-2</c:v>
                </c:pt>
                <c:pt idx="2">
                  <c:v>1.8596715041282436E-2</c:v>
                </c:pt>
                <c:pt idx="3">
                  <c:v>1.8100000000000002E-2</c:v>
                </c:pt>
                <c:pt idx="4">
                  <c:v>1.7797109087120667E-2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093992"/>
        <c:axId val="158099480"/>
      </c:lineChart>
      <c:catAx>
        <c:axId val="1580932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098696"/>
        <c:crosses val="autoZero"/>
        <c:auto val="1"/>
        <c:lblAlgn val="ctr"/>
        <c:lblOffset val="100"/>
        <c:noMultiLvlLbl val="0"/>
      </c:catAx>
      <c:valAx>
        <c:axId val="158098696"/>
        <c:scaling>
          <c:orientation val="minMax"/>
        </c:scaling>
        <c:delete val="0"/>
        <c:axPos val="r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093208"/>
        <c:crosses val="autoZero"/>
        <c:crossBetween val="between"/>
      </c:valAx>
      <c:valAx>
        <c:axId val="158099480"/>
        <c:scaling>
          <c:orientation val="minMax"/>
          <c:max val="1.8800000000000001E-2"/>
          <c:min val="1.5000000000000003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093992"/>
        <c:crosses val="autoZero"/>
        <c:crossBetween val="between"/>
      </c:valAx>
      <c:catAx>
        <c:axId val="158093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099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03199534613143"/>
          <c:y val="0.3316254355342434"/>
          <c:w val="0.30419913929752718"/>
          <c:h val="0.336749128931513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658170183806762E-2"/>
          <c:y val="5.1171920963561879E-2"/>
          <c:w val="0.66160866056775125"/>
          <c:h val="0.86141925838325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 Income'!$C$46</c:f>
              <c:strCache>
                <c:ptCount val="1"/>
                <c:pt idx="0">
                  <c:v>Commission fees from covered bond companies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Q2-17*</c:v>
                </c:pt>
              </c:strCache>
            </c:strRef>
          </c:cat>
          <c:val>
            <c:numRef>
              <c:f>'3 Income'!$D$46:$H$46</c:f>
              <c:numCache>
                <c:formatCode>0</c:formatCode>
                <c:ptCount val="5"/>
                <c:pt idx="0">
                  <c:v>87.5</c:v>
                </c:pt>
                <c:pt idx="1">
                  <c:v>106.7</c:v>
                </c:pt>
                <c:pt idx="2">
                  <c:v>108.8</c:v>
                </c:pt>
                <c:pt idx="3">
                  <c:v>100.5</c:v>
                </c:pt>
                <c:pt idx="4">
                  <c:v>90.8</c:v>
                </c:pt>
              </c:numCache>
            </c:numRef>
          </c:val>
        </c:ser>
        <c:ser>
          <c:idx val="1"/>
          <c:order val="1"/>
          <c:tx>
            <c:strRef>
              <c:f>'3 Income'!$C$47</c:f>
              <c:strCache>
                <c:ptCount val="1"/>
                <c:pt idx="0">
                  <c:v>Commission income from credit cards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Q2-17*</c:v>
                </c:pt>
              </c:strCache>
            </c:strRef>
          </c:cat>
          <c:val>
            <c:numRef>
              <c:f>'3 Income'!$D$47:$H$47</c:f>
              <c:numCache>
                <c:formatCode>0</c:formatCode>
                <c:ptCount val="5"/>
                <c:pt idx="0">
                  <c:v>17.568441960000001</c:v>
                </c:pt>
                <c:pt idx="1">
                  <c:v>16.100000000000001</c:v>
                </c:pt>
                <c:pt idx="2">
                  <c:v>14.8</c:v>
                </c:pt>
                <c:pt idx="3">
                  <c:v>16</c:v>
                </c:pt>
                <c:pt idx="4">
                  <c:v>15.5</c:v>
                </c:pt>
              </c:numCache>
            </c:numRef>
          </c:val>
        </c:ser>
        <c:ser>
          <c:idx val="2"/>
          <c:order val="2"/>
          <c:tx>
            <c:strRef>
              <c:f>'3 Income'!$C$48</c:f>
              <c:strCache>
                <c:ptCount val="1"/>
                <c:pt idx="0">
                  <c:v>Payment transmission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Q2-17*</c:v>
                </c:pt>
              </c:strCache>
            </c:strRef>
          </c:cat>
          <c:val>
            <c:numRef>
              <c:f>'3 Income'!$D$48:$H$48</c:f>
              <c:numCache>
                <c:formatCode>0</c:formatCode>
                <c:ptCount val="5"/>
                <c:pt idx="0">
                  <c:v>29.2493792</c:v>
                </c:pt>
                <c:pt idx="1">
                  <c:v>33.6</c:v>
                </c:pt>
                <c:pt idx="2">
                  <c:v>37.6</c:v>
                </c:pt>
                <c:pt idx="3">
                  <c:v>41</c:v>
                </c:pt>
                <c:pt idx="4">
                  <c:v>36.4</c:v>
                </c:pt>
              </c:numCache>
            </c:numRef>
          </c:val>
        </c:ser>
        <c:ser>
          <c:idx val="3"/>
          <c:order val="3"/>
          <c:tx>
            <c:strRef>
              <c:f>'3 Income'!$C$49</c:f>
              <c:strCache>
                <c:ptCount val="1"/>
                <c:pt idx="0">
                  <c:v>Mutual fund and insurance commisions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Q2-17*</c:v>
                </c:pt>
              </c:strCache>
            </c:strRef>
          </c:cat>
          <c:val>
            <c:numRef>
              <c:f>'3 Income'!$D$49:$H$49</c:f>
              <c:numCache>
                <c:formatCode>0</c:formatCode>
                <c:ptCount val="5"/>
                <c:pt idx="0">
                  <c:v>46.310327749999999</c:v>
                </c:pt>
                <c:pt idx="1">
                  <c:v>53.7</c:v>
                </c:pt>
                <c:pt idx="2">
                  <c:v>52.5</c:v>
                </c:pt>
                <c:pt idx="3">
                  <c:v>49.5</c:v>
                </c:pt>
                <c:pt idx="4">
                  <c:v>47.1</c:v>
                </c:pt>
              </c:numCache>
            </c:numRef>
          </c:val>
        </c:ser>
        <c:ser>
          <c:idx val="4"/>
          <c:order val="4"/>
          <c:tx>
            <c:strRef>
              <c:f>'3 Income'!$C$50</c:f>
              <c:strCache>
                <c:ptCount val="1"/>
                <c:pt idx="0">
                  <c:v>Income from real estate brokerage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Q2-17*</c:v>
                </c:pt>
              </c:strCache>
            </c:strRef>
          </c:cat>
          <c:val>
            <c:numRef>
              <c:f>'3 Income'!$D$50:$H$50</c:f>
              <c:numCache>
                <c:formatCode>0</c:formatCode>
                <c:ptCount val="5"/>
                <c:pt idx="0">
                  <c:v>95.710966999999997</c:v>
                </c:pt>
                <c:pt idx="1">
                  <c:v>66.599999999999994</c:v>
                </c:pt>
                <c:pt idx="2">
                  <c:v>68.7</c:v>
                </c:pt>
                <c:pt idx="3">
                  <c:v>72.900000000000006</c:v>
                </c:pt>
                <c:pt idx="4">
                  <c:v>83.3</c:v>
                </c:pt>
              </c:numCache>
            </c:numRef>
          </c:val>
        </c:ser>
        <c:ser>
          <c:idx val="5"/>
          <c:order val="5"/>
          <c:tx>
            <c:strRef>
              <c:f>'3 Income'!$C$51</c:f>
              <c:strCache>
                <c:ptCount val="1"/>
                <c:pt idx="0">
                  <c:v>Income from accounting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Q2-17*</c:v>
                </c:pt>
              </c:strCache>
            </c:strRef>
          </c:cat>
          <c:val>
            <c:numRef>
              <c:f>'3 Income'!$D$51:$H$51</c:f>
              <c:numCache>
                <c:formatCode>0</c:formatCode>
                <c:ptCount val="5"/>
                <c:pt idx="0">
                  <c:v>45.438003000000002</c:v>
                </c:pt>
                <c:pt idx="1">
                  <c:v>37.299999999999997</c:v>
                </c:pt>
                <c:pt idx="2">
                  <c:v>32.700000000000003</c:v>
                </c:pt>
                <c:pt idx="3">
                  <c:v>28.6</c:v>
                </c:pt>
                <c:pt idx="4">
                  <c:v>41.1</c:v>
                </c:pt>
              </c:numCache>
            </c:numRef>
          </c:val>
        </c:ser>
        <c:ser>
          <c:idx val="6"/>
          <c:order val="6"/>
          <c:tx>
            <c:strRef>
              <c:f>'3 Income'!$C$52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Q2-17*</c:v>
                </c:pt>
              </c:strCache>
            </c:strRef>
          </c:cat>
          <c:val>
            <c:numRef>
              <c:f>'3 Income'!$D$52:$H$52</c:f>
              <c:numCache>
                <c:formatCode>0</c:formatCode>
                <c:ptCount val="5"/>
                <c:pt idx="0">
                  <c:v>11.995184930000157</c:v>
                </c:pt>
                <c:pt idx="1">
                  <c:v>9.4</c:v>
                </c:pt>
                <c:pt idx="2">
                  <c:v>0</c:v>
                </c:pt>
                <c:pt idx="3">
                  <c:v>16.899999999999999</c:v>
                </c:pt>
                <c:pt idx="4">
                  <c:v>10.4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095560"/>
        <c:axId val="158095952"/>
      </c:barChart>
      <c:lineChart>
        <c:grouping val="standard"/>
        <c:varyColors val="0"/>
        <c:ser>
          <c:idx val="7"/>
          <c:order val="7"/>
          <c:tx>
            <c:strRef>
              <c:f>'3 Income'!$C$53</c:f>
              <c:strCache>
                <c:ptCount val="1"/>
                <c:pt idx="0">
                  <c:v>Sum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50588647806342069"/>
                  <c:y val="-4.382763902223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3940863710779145"/>
                  <c:y val="-3.2725685260315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858627450782176E-2"/>
                  <c:y val="-1.965330836293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8873118020788358"/>
                  <c:y val="-2.88142556690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55520902116351289"/>
                  <c:y val="-3.0983179592042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Q2-17*</c:v>
                </c:pt>
              </c:strCache>
            </c:strRef>
          </c:cat>
          <c:val>
            <c:numRef>
              <c:f>'3 Income'!$D$53:$H$53</c:f>
              <c:numCache>
                <c:formatCode>0</c:formatCode>
                <c:ptCount val="5"/>
                <c:pt idx="0">
                  <c:v>333.77230384000012</c:v>
                </c:pt>
                <c:pt idx="1">
                  <c:v>323.39999999999998</c:v>
                </c:pt>
                <c:pt idx="2">
                  <c:v>315.2</c:v>
                </c:pt>
                <c:pt idx="3">
                  <c:v>325.3</c:v>
                </c:pt>
                <c:pt idx="4">
                  <c:v>324.5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094384"/>
        <c:axId val="158096344"/>
      </c:lineChart>
      <c:catAx>
        <c:axId val="1580955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095952"/>
        <c:crosses val="autoZero"/>
        <c:auto val="1"/>
        <c:lblAlgn val="ctr"/>
        <c:lblOffset val="100"/>
        <c:noMultiLvlLbl val="0"/>
      </c:catAx>
      <c:valAx>
        <c:axId val="158095952"/>
        <c:scaling>
          <c:orientation val="minMax"/>
        </c:scaling>
        <c:delete val="1"/>
        <c:axPos val="r"/>
        <c:numFmt formatCode="0" sourceLinked="1"/>
        <c:majorTickMark val="none"/>
        <c:minorTickMark val="none"/>
        <c:tickLblPos val="nextTo"/>
        <c:crossAx val="158095560"/>
        <c:crosses val="autoZero"/>
        <c:crossBetween val="between"/>
      </c:valAx>
      <c:valAx>
        <c:axId val="158096344"/>
        <c:scaling>
          <c:orientation val="minMax"/>
          <c:max val="34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094384"/>
        <c:crosses val="max"/>
        <c:crossBetween val="between"/>
      </c:valAx>
      <c:catAx>
        <c:axId val="15809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096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658170183806762E-2"/>
          <c:y val="3.9812644412269234E-2"/>
          <c:w val="0.6992606320639001"/>
          <c:h val="0.893695850623794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 Expences'!$B$6</c:f>
              <c:strCache>
                <c:ptCount val="1"/>
                <c:pt idx="0">
                  <c:v>Payrolls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Expences'!$C$6:$G$6</c:f>
              <c:numCache>
                <c:formatCode>0</c:formatCode>
                <c:ptCount val="5"/>
                <c:pt idx="0">
                  <c:v>183.15322499999996</c:v>
                </c:pt>
                <c:pt idx="1">
                  <c:v>189.7</c:v>
                </c:pt>
                <c:pt idx="2">
                  <c:v>216.6</c:v>
                </c:pt>
                <c:pt idx="3">
                  <c:v>165.7</c:v>
                </c:pt>
                <c:pt idx="4">
                  <c:v>161</c:v>
                </c:pt>
              </c:numCache>
            </c:numRef>
          </c:val>
        </c:ser>
        <c:ser>
          <c:idx val="1"/>
          <c:order val="1"/>
          <c:tx>
            <c:strRef>
              <c:f>'4 Expences'!$B$7</c:f>
              <c:strCache>
                <c:ptCount val="1"/>
                <c:pt idx="0">
                  <c:v>Pensions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Expences'!$C$7:$G$7</c:f>
              <c:numCache>
                <c:formatCode>0</c:formatCode>
                <c:ptCount val="5"/>
                <c:pt idx="0">
                  <c:v>17.318556999999998</c:v>
                </c:pt>
                <c:pt idx="1">
                  <c:v>16.399999999999999</c:v>
                </c:pt>
                <c:pt idx="2">
                  <c:v>30.4</c:v>
                </c:pt>
                <c:pt idx="3">
                  <c:v>16.2</c:v>
                </c:pt>
                <c:pt idx="4">
                  <c:v>10.7</c:v>
                </c:pt>
              </c:numCache>
            </c:numRef>
          </c:val>
        </c:ser>
        <c:ser>
          <c:idx val="2"/>
          <c:order val="2"/>
          <c:tx>
            <c:strRef>
              <c:f>'4 Expences'!$B$8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Expences'!$C$8:$G$8</c:f>
              <c:numCache>
                <c:formatCode>0</c:formatCode>
                <c:ptCount val="5"/>
                <c:pt idx="0">
                  <c:v>46.467833759999998</c:v>
                </c:pt>
                <c:pt idx="1">
                  <c:v>51.6</c:v>
                </c:pt>
                <c:pt idx="2">
                  <c:v>60.6</c:v>
                </c:pt>
                <c:pt idx="3">
                  <c:v>50.5</c:v>
                </c:pt>
                <c:pt idx="4">
                  <c:v>64.8</c:v>
                </c:pt>
              </c:numCache>
            </c:numRef>
          </c:val>
        </c:ser>
        <c:ser>
          <c:idx val="3"/>
          <c:order val="3"/>
          <c:tx>
            <c:strRef>
              <c:f>'4 Expences'!$B$9</c:f>
              <c:strCache>
                <c:ptCount val="1"/>
                <c:pt idx="0">
                  <c:v>Admin. and other operating costs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Expences'!$C$9:$G$9</c:f>
              <c:numCache>
                <c:formatCode>0</c:formatCode>
                <c:ptCount val="5"/>
                <c:pt idx="0">
                  <c:v>135.21860125000001</c:v>
                </c:pt>
                <c:pt idx="1">
                  <c:v>121.4</c:v>
                </c:pt>
                <c:pt idx="2">
                  <c:v>131.80000000000001</c:v>
                </c:pt>
                <c:pt idx="3">
                  <c:v>153.4</c:v>
                </c:pt>
                <c:pt idx="4">
                  <c:v>141</c:v>
                </c:pt>
              </c:numCache>
            </c:numRef>
          </c:val>
        </c:ser>
        <c:ser>
          <c:idx val="4"/>
          <c:order val="4"/>
          <c:tx>
            <c:strRef>
              <c:f>'4 Expences'!$B$10</c:f>
              <c:strCache>
                <c:ptCount val="1"/>
                <c:pt idx="0">
                  <c:v>Depreciation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Expences'!$C$10:$G$10</c:f>
              <c:numCache>
                <c:formatCode>0</c:formatCode>
                <c:ptCount val="5"/>
                <c:pt idx="0">
                  <c:v>31.885988999999999</c:v>
                </c:pt>
                <c:pt idx="1">
                  <c:v>23.2</c:v>
                </c:pt>
                <c:pt idx="2">
                  <c:v>22</c:v>
                </c:pt>
                <c:pt idx="3">
                  <c:v>20.399999999999999</c:v>
                </c:pt>
                <c:pt idx="4">
                  <c:v>20.8</c:v>
                </c:pt>
              </c:numCache>
            </c:numRef>
          </c:val>
        </c:ser>
        <c:ser>
          <c:idx val="5"/>
          <c:order val="5"/>
          <c:tx>
            <c:strRef>
              <c:f>'4 Expences'!$B$11</c:f>
              <c:strCache>
                <c:ptCount val="1"/>
                <c:pt idx="0">
                  <c:v>Other operating expenses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Expences'!$C$11:$G$11</c:f>
              <c:numCache>
                <c:formatCode>0</c:formatCode>
                <c:ptCount val="5"/>
                <c:pt idx="0">
                  <c:v>55.331211909999993</c:v>
                </c:pt>
                <c:pt idx="1">
                  <c:v>47.1</c:v>
                </c:pt>
                <c:pt idx="2">
                  <c:v>88.4</c:v>
                </c:pt>
                <c:pt idx="3">
                  <c:v>26.6</c:v>
                </c:pt>
                <c:pt idx="4">
                  <c:v>79.8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58096736"/>
        <c:axId val="158097128"/>
      </c:barChart>
      <c:lineChart>
        <c:grouping val="standard"/>
        <c:varyColors val="0"/>
        <c:ser>
          <c:idx val="6"/>
          <c:order val="6"/>
          <c:tx>
            <c:strRef>
              <c:f>'4 Expences'!$B$12</c:f>
              <c:strCache>
                <c:ptCount val="1"/>
                <c:pt idx="0">
                  <c:v>Total operating expences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52996580104133906"/>
                  <c:y val="-3.3747747085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5385623089454235"/>
                  <c:y val="-3.1093570790852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30478406219316245"/>
                  <c:y val="-3.3747747085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58410420873701485"/>
                  <c:y val="-6.8252038908970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Expences'!$C$12:$G$12</c:f>
              <c:numCache>
                <c:formatCode>0</c:formatCode>
                <c:ptCount val="5"/>
                <c:pt idx="0">
                  <c:v>469.3754179199999</c:v>
                </c:pt>
                <c:pt idx="1">
                  <c:v>449.40000000000003</c:v>
                </c:pt>
                <c:pt idx="2">
                  <c:v>549.80000000000007</c:v>
                </c:pt>
                <c:pt idx="3">
                  <c:v>432.79999999999995</c:v>
                </c:pt>
                <c:pt idx="4">
                  <c:v>478.1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092816"/>
        <c:axId val="158094776"/>
      </c:lineChart>
      <c:catAx>
        <c:axId val="1580967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097128"/>
        <c:crosses val="autoZero"/>
        <c:auto val="1"/>
        <c:lblAlgn val="ctr"/>
        <c:lblOffset val="100"/>
        <c:noMultiLvlLbl val="0"/>
      </c:catAx>
      <c:valAx>
        <c:axId val="158097128"/>
        <c:scaling>
          <c:orientation val="minMax"/>
        </c:scaling>
        <c:delete val="1"/>
        <c:axPos val="r"/>
        <c:numFmt formatCode="0" sourceLinked="1"/>
        <c:majorTickMark val="none"/>
        <c:minorTickMark val="none"/>
        <c:tickLblPos val="nextTo"/>
        <c:crossAx val="158096736"/>
        <c:crosses val="autoZero"/>
        <c:crossBetween val="between"/>
      </c:valAx>
      <c:valAx>
        <c:axId val="158094776"/>
        <c:scaling>
          <c:orientation val="minMax"/>
          <c:min val="-1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092816"/>
        <c:crosses val="max"/>
        <c:crossBetween val="between"/>
      </c:valAx>
      <c:catAx>
        <c:axId val="15809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094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 Expences'!$B$48</c:f>
              <c:strCache>
                <c:ptCount val="1"/>
                <c:pt idx="0">
                  <c:v>Payrolls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Expences'!$C$48:$G$48</c:f>
              <c:numCache>
                <c:formatCode>0</c:formatCode>
                <c:ptCount val="5"/>
                <c:pt idx="0">
                  <c:v>115.689533</c:v>
                </c:pt>
                <c:pt idx="1">
                  <c:v>117.7</c:v>
                </c:pt>
                <c:pt idx="2">
                  <c:v>151.80000000000001</c:v>
                </c:pt>
                <c:pt idx="3">
                  <c:v>117.8</c:v>
                </c:pt>
                <c:pt idx="4">
                  <c:v>114.9</c:v>
                </c:pt>
              </c:numCache>
            </c:numRef>
          </c:val>
        </c:ser>
        <c:ser>
          <c:idx val="1"/>
          <c:order val="1"/>
          <c:tx>
            <c:strRef>
              <c:f>'4 Expences'!$B$49</c:f>
              <c:strCache>
                <c:ptCount val="1"/>
                <c:pt idx="0">
                  <c:v>Pensions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Expences'!$C$49:$G$49</c:f>
              <c:numCache>
                <c:formatCode>0</c:formatCode>
                <c:ptCount val="5"/>
                <c:pt idx="0">
                  <c:v>12.847517</c:v>
                </c:pt>
                <c:pt idx="1">
                  <c:v>13</c:v>
                </c:pt>
                <c:pt idx="2">
                  <c:v>27.4</c:v>
                </c:pt>
                <c:pt idx="3">
                  <c:v>12.6</c:v>
                </c:pt>
                <c:pt idx="4">
                  <c:v>8.4</c:v>
                </c:pt>
              </c:numCache>
            </c:numRef>
          </c:val>
        </c:ser>
        <c:ser>
          <c:idx val="2"/>
          <c:order val="2"/>
          <c:tx>
            <c:strRef>
              <c:f>'4 Expences'!$B$50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Expences'!$C$50:$G$50</c:f>
              <c:numCache>
                <c:formatCode>0</c:formatCode>
                <c:ptCount val="5"/>
                <c:pt idx="0">
                  <c:v>33.981789759999998</c:v>
                </c:pt>
                <c:pt idx="1">
                  <c:v>35.9</c:v>
                </c:pt>
                <c:pt idx="2">
                  <c:v>45.2</c:v>
                </c:pt>
                <c:pt idx="3">
                  <c:v>36.799999999999997</c:v>
                </c:pt>
                <c:pt idx="4">
                  <c:v>53.3</c:v>
                </c:pt>
              </c:numCache>
            </c:numRef>
          </c:val>
        </c:ser>
        <c:ser>
          <c:idx val="3"/>
          <c:order val="3"/>
          <c:tx>
            <c:strRef>
              <c:f>'4 Expences'!$B$51</c:f>
              <c:strCache>
                <c:ptCount val="1"/>
                <c:pt idx="0">
                  <c:v>Admin. and other operating costs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Expences'!$C$51:$G$51</c:f>
              <c:numCache>
                <c:formatCode>0</c:formatCode>
                <c:ptCount val="5"/>
                <c:pt idx="0">
                  <c:v>116.17854325</c:v>
                </c:pt>
                <c:pt idx="1">
                  <c:v>107</c:v>
                </c:pt>
                <c:pt idx="2">
                  <c:v>136</c:v>
                </c:pt>
                <c:pt idx="3">
                  <c:v>102.6</c:v>
                </c:pt>
                <c:pt idx="4">
                  <c:v>137.4</c:v>
                </c:pt>
              </c:numCache>
            </c:numRef>
          </c:val>
        </c:ser>
        <c:ser>
          <c:idx val="4"/>
          <c:order val="4"/>
          <c:tx>
            <c:strRef>
              <c:f>'4 Expences'!$B$52</c:f>
              <c:strCache>
                <c:ptCount val="1"/>
                <c:pt idx="0">
                  <c:v>Depreciation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Expences'!$C$52:$G$52</c:f>
              <c:numCache>
                <c:formatCode>0</c:formatCode>
                <c:ptCount val="5"/>
                <c:pt idx="0">
                  <c:v>17.169706000000001</c:v>
                </c:pt>
                <c:pt idx="1">
                  <c:v>16.7</c:v>
                </c:pt>
                <c:pt idx="2">
                  <c:v>16.399999999999999</c:v>
                </c:pt>
                <c:pt idx="3">
                  <c:v>14.8</c:v>
                </c:pt>
                <c:pt idx="4">
                  <c:v>15.1</c:v>
                </c:pt>
              </c:numCache>
            </c:numRef>
          </c:val>
        </c:ser>
        <c:ser>
          <c:idx val="5"/>
          <c:order val="5"/>
          <c:tx>
            <c:strRef>
              <c:f>'4 Expences'!$B$53</c:f>
              <c:strCache>
                <c:ptCount val="1"/>
                <c:pt idx="0">
                  <c:v>Other operating expenses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Expences'!$C$53:$G$53</c:f>
              <c:numCache>
                <c:formatCode>0</c:formatCode>
                <c:ptCount val="5"/>
                <c:pt idx="0">
                  <c:v>26.197970659999999</c:v>
                </c:pt>
                <c:pt idx="1">
                  <c:v>27.8</c:v>
                </c:pt>
                <c:pt idx="2">
                  <c:v>33.9</c:v>
                </c:pt>
                <c:pt idx="3">
                  <c:v>25.6</c:v>
                </c:pt>
                <c:pt idx="4">
                  <c:v>27.4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58097912"/>
        <c:axId val="158095168"/>
      </c:barChart>
      <c:lineChart>
        <c:grouping val="standard"/>
        <c:varyColors val="0"/>
        <c:ser>
          <c:idx val="6"/>
          <c:order val="6"/>
          <c:tx>
            <c:strRef>
              <c:f>'4 Expences'!$B$54</c:f>
              <c:strCache>
                <c:ptCount val="1"/>
                <c:pt idx="0">
                  <c:v>Total operating expences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55243983582072953"/>
                  <c:y val="-3.9056091510963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6188267188718178"/>
                  <c:y val="-3.9056091510963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31441579138432973"/>
                  <c:y val="-4.171026725041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60976632059855251"/>
                  <c:y val="-8.9485430560597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'4 Expences'!$C$54:$G$54</c:f>
              <c:numCache>
                <c:formatCode>0</c:formatCode>
                <c:ptCount val="5"/>
                <c:pt idx="0">
                  <c:v>322.06505967000004</c:v>
                </c:pt>
                <c:pt idx="1">
                  <c:v>318.10000000000002</c:v>
                </c:pt>
                <c:pt idx="2">
                  <c:v>410.7</c:v>
                </c:pt>
                <c:pt idx="3">
                  <c:v>310.2</c:v>
                </c:pt>
                <c:pt idx="4">
                  <c:v>356.5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270800"/>
        <c:axId val="202275504"/>
      </c:lineChart>
      <c:catAx>
        <c:axId val="1580979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095168"/>
        <c:crosses val="autoZero"/>
        <c:auto val="1"/>
        <c:lblAlgn val="ctr"/>
        <c:lblOffset val="100"/>
        <c:noMultiLvlLbl val="0"/>
      </c:catAx>
      <c:valAx>
        <c:axId val="158095168"/>
        <c:scaling>
          <c:orientation val="minMax"/>
        </c:scaling>
        <c:delete val="1"/>
        <c:axPos val="r"/>
        <c:numFmt formatCode="0" sourceLinked="1"/>
        <c:majorTickMark val="none"/>
        <c:minorTickMark val="none"/>
        <c:tickLblPos val="nextTo"/>
        <c:crossAx val="158097912"/>
        <c:crosses val="autoZero"/>
        <c:crossBetween val="between"/>
      </c:valAx>
      <c:valAx>
        <c:axId val="202275504"/>
        <c:scaling>
          <c:orientation val="minMax"/>
          <c:min val="-1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270800"/>
        <c:crosses val="max"/>
        <c:crossBetween val="between"/>
      </c:valAx>
      <c:catAx>
        <c:axId val="20227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275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 Margins'!$D$6</c:f>
              <c:strCache>
                <c:ptCount val="1"/>
                <c:pt idx="0">
                  <c:v>Deposit margin RM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'5 Margins'!$E$6:$I$6</c:f>
              <c:numCache>
                <c:formatCode>0.00%</c:formatCode>
                <c:ptCount val="5"/>
                <c:pt idx="0">
                  <c:v>2.2000000000000006E-3</c:v>
                </c:pt>
                <c:pt idx="1">
                  <c:v>8.0000000000000004E-4</c:v>
                </c:pt>
                <c:pt idx="2">
                  <c:v>-4.0000000000000002E-4</c:v>
                </c:pt>
                <c:pt idx="3">
                  <c:v>-5.0000000000000001E-4</c:v>
                </c:pt>
                <c:pt idx="4">
                  <c:v>5.9999999999999995E-4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Margins'!$D$7</c:f>
              <c:strCache>
                <c:ptCount val="1"/>
                <c:pt idx="0">
                  <c:v>Deposit margin CM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'5 Margins'!$E$7:$I$7</c:f>
              <c:numCache>
                <c:formatCode>0.00%</c:formatCode>
                <c:ptCount val="5"/>
                <c:pt idx="0">
                  <c:v>2.9999999999999992E-3</c:v>
                </c:pt>
                <c:pt idx="1">
                  <c:v>2.3E-3</c:v>
                </c:pt>
                <c:pt idx="2">
                  <c:v>1.1000000000000001E-3</c:v>
                </c:pt>
                <c:pt idx="3">
                  <c:v>8.9999999999999998E-4</c:v>
                </c:pt>
                <c:pt idx="4">
                  <c:v>1.2999999999999999E-3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274720"/>
        <c:axId val="202270016"/>
      </c:lineChart>
      <c:catAx>
        <c:axId val="2022747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270016"/>
        <c:crosses val="autoZero"/>
        <c:auto val="1"/>
        <c:lblAlgn val="ctr"/>
        <c:lblOffset val="100"/>
        <c:noMultiLvlLbl val="0"/>
      </c:catAx>
      <c:valAx>
        <c:axId val="20227001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27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 Margins'!$D$35</c:f>
              <c:strCache>
                <c:ptCount val="1"/>
                <c:pt idx="0">
                  <c:v>Lending margin, RM, incl. covered bond companies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'5 Margins'!$E$35:$I$35</c:f>
              <c:numCache>
                <c:formatCode>0.00%</c:formatCode>
                <c:ptCount val="5"/>
                <c:pt idx="0">
                  <c:v>1.5943965071706902E-2</c:v>
                </c:pt>
                <c:pt idx="1">
                  <c:v>1.7600000000000001E-2</c:v>
                </c:pt>
                <c:pt idx="2">
                  <c:v>1.9300000000000001E-2</c:v>
                </c:pt>
                <c:pt idx="3">
                  <c:v>1.9199999999999998E-2</c:v>
                </c:pt>
                <c:pt idx="4">
                  <c:v>1.8499999999999999E-2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Margins'!$D$36</c:f>
              <c:strCache>
                <c:ptCount val="1"/>
                <c:pt idx="0">
                  <c:v>Lending margin, CM, incl. covered bond companies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Q2-18</c:v>
                </c:pt>
                <c:pt idx="1">
                  <c:v>Q1-18</c:v>
                </c:pt>
                <c:pt idx="2">
                  <c:v>Q4-17</c:v>
                </c:pt>
                <c:pt idx="3">
                  <c:v>Q3-17</c:v>
                </c:pt>
                <c:pt idx="4">
                  <c:v>Q2-17</c:v>
                </c:pt>
              </c:strCache>
            </c:strRef>
          </c:cat>
          <c:val>
            <c:numRef>
              <c:f>'5 Margins'!$E$36:$I$36</c:f>
              <c:numCache>
                <c:formatCode>0.00%</c:formatCode>
                <c:ptCount val="5"/>
                <c:pt idx="0">
                  <c:v>2.5306936103057301E-2</c:v>
                </c:pt>
                <c:pt idx="1">
                  <c:v>2.4899999999999999E-2</c:v>
                </c:pt>
                <c:pt idx="2">
                  <c:v>2.6800000000000001E-2</c:v>
                </c:pt>
                <c:pt idx="3">
                  <c:v>2.76E-2</c:v>
                </c:pt>
                <c:pt idx="4">
                  <c:v>2.6599999999999999E-2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268840"/>
        <c:axId val="202275112"/>
      </c:lineChart>
      <c:catAx>
        <c:axId val="2022688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275112"/>
        <c:crosses val="autoZero"/>
        <c:auto val="1"/>
        <c:lblAlgn val="ctr"/>
        <c:lblOffset val="100"/>
        <c:noMultiLvlLbl val="0"/>
      </c:catAx>
      <c:valAx>
        <c:axId val="20227511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26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hyperlink" Target="#Contents!A1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101909</xdr:rowOff>
    </xdr:from>
    <xdr:to>
      <xdr:col>5</xdr:col>
      <xdr:colOff>164514</xdr:colOff>
      <xdr:row>3</xdr:row>
      <xdr:rowOff>40194</xdr:rowOff>
    </xdr:to>
    <xdr:sp macro="" textlink="">
      <xdr:nvSpPr>
        <xdr:cNvPr id="5" name="TekstSylinder 4"/>
        <xdr:cNvSpPr txBox="1"/>
      </xdr:nvSpPr>
      <xdr:spPr>
        <a:xfrm>
          <a:off x="180975" y="258791"/>
          <a:ext cx="3793539" cy="341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financial information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200025</xdr:colOff>
      <xdr:row>4</xdr:row>
      <xdr:rowOff>49954</xdr:rowOff>
    </xdr:from>
    <xdr:to>
      <xdr:col>2</xdr:col>
      <xdr:colOff>705107</xdr:colOff>
      <xdr:row>5</xdr:row>
      <xdr:rowOff>110117</xdr:rowOff>
    </xdr:to>
    <xdr:sp macro="" textlink="">
      <xdr:nvSpPr>
        <xdr:cNvPr id="7" name="TekstSylinder 6"/>
        <xdr:cNvSpPr txBox="1"/>
      </xdr:nvSpPr>
      <xdr:spPr>
        <a:xfrm>
          <a:off x="200025" y="767130"/>
          <a:ext cx="2029082" cy="217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Østlandet Q2 2018</a:t>
          </a:r>
        </a:p>
      </xdr:txBody>
    </xdr:sp>
    <xdr:clientData/>
  </xdr:twoCellAnchor>
  <xdr:twoCellAnchor>
    <xdr:from>
      <xdr:col>0</xdr:col>
      <xdr:colOff>190500</xdr:colOff>
      <xdr:row>7</xdr:row>
      <xdr:rowOff>22947</xdr:rowOff>
    </xdr:from>
    <xdr:to>
      <xdr:col>5</xdr:col>
      <xdr:colOff>157240</xdr:colOff>
      <xdr:row>8</xdr:row>
      <xdr:rowOff>114274</xdr:rowOff>
    </xdr:to>
    <xdr:sp macro="" textlink="">
      <xdr:nvSpPr>
        <xdr:cNvPr id="8" name="TekstSylinder 7"/>
        <xdr:cNvSpPr txBox="1"/>
      </xdr:nvSpPr>
      <xdr:spPr>
        <a:xfrm>
          <a:off x="190500" y="1210771"/>
          <a:ext cx="3776740" cy="248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0</xdr:col>
      <xdr:colOff>257735</xdr:colOff>
      <xdr:row>12</xdr:row>
      <xdr:rowOff>44824</xdr:rowOff>
    </xdr:from>
    <xdr:to>
      <xdr:col>3</xdr:col>
      <xdr:colOff>387902</xdr:colOff>
      <xdr:row>16</xdr:row>
      <xdr:rowOff>44823</xdr:rowOff>
    </xdr:to>
    <xdr:pic>
      <xdr:nvPicPr>
        <xdr:cNvPr id="10" name="Bild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5" y="2196353"/>
          <a:ext cx="2416167" cy="717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</xdr:row>
      <xdr:rowOff>47625</xdr:rowOff>
    </xdr:from>
    <xdr:to>
      <xdr:col>1</xdr:col>
      <xdr:colOff>4305860</xdr:colOff>
      <xdr:row>2</xdr:row>
      <xdr:rowOff>85723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7743825" y="238125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67236</xdr:rowOff>
    </xdr:from>
    <xdr:to>
      <xdr:col>5</xdr:col>
      <xdr:colOff>414618</xdr:colOff>
      <xdr:row>87</xdr:row>
      <xdr:rowOff>100853</xdr:rowOff>
    </xdr:to>
    <xdr:sp macro="" textlink="">
      <xdr:nvSpPr>
        <xdr:cNvPr id="5" name="Rektangel 4"/>
        <xdr:cNvSpPr/>
      </xdr:nvSpPr>
      <xdr:spPr>
        <a:xfrm>
          <a:off x="291354" y="11261912"/>
          <a:ext cx="6801970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840441</xdr:colOff>
      <xdr:row>61</xdr:row>
      <xdr:rowOff>56029</xdr:rowOff>
    </xdr:from>
    <xdr:to>
      <xdr:col>10</xdr:col>
      <xdr:colOff>2801</xdr:colOff>
      <xdr:row>62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818029</xdr:colOff>
      <xdr:row>28</xdr:row>
      <xdr:rowOff>56029</xdr:rowOff>
    </xdr:from>
    <xdr:to>
      <xdr:col>7</xdr:col>
      <xdr:colOff>932889</xdr:colOff>
      <xdr:row>29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7832911" y="3597088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145673</xdr:colOff>
      <xdr:row>9</xdr:row>
      <xdr:rowOff>22411</xdr:rowOff>
    </xdr:from>
    <xdr:to>
      <xdr:col>9</xdr:col>
      <xdr:colOff>235322</xdr:colOff>
      <xdr:row>32</xdr:row>
      <xdr:rowOff>84885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44823</xdr:colOff>
      <xdr:row>35</xdr:row>
      <xdr:rowOff>0</xdr:rowOff>
    </xdr:from>
    <xdr:to>
      <xdr:col>9</xdr:col>
      <xdr:colOff>350183</xdr:colOff>
      <xdr:row>36</xdr:row>
      <xdr:rowOff>49304</xdr:rowOff>
    </xdr:to>
    <xdr:sp macro="" textlink="">
      <xdr:nvSpPr>
        <xdr:cNvPr id="7" name="Avrundet rektangel 6">
          <a:hlinkClick xmlns:r="http://schemas.openxmlformats.org/officeDocument/2006/relationships" r:id="rId1"/>
        </xdr:cNvPr>
        <xdr:cNvSpPr/>
      </xdr:nvSpPr>
      <xdr:spPr>
        <a:xfrm>
          <a:off x="8964705" y="6219265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2</xdr:col>
      <xdr:colOff>67235</xdr:colOff>
      <xdr:row>54</xdr:row>
      <xdr:rowOff>156883</xdr:rowOff>
    </xdr:from>
    <xdr:to>
      <xdr:col>6</xdr:col>
      <xdr:colOff>593911</xdr:colOff>
      <xdr:row>77</xdr:row>
      <xdr:rowOff>78442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83</xdr:row>
      <xdr:rowOff>0</xdr:rowOff>
    </xdr:from>
    <xdr:to>
      <xdr:col>9</xdr:col>
      <xdr:colOff>305360</xdr:colOff>
      <xdr:row>84</xdr:row>
      <xdr:rowOff>49304</xdr:rowOff>
    </xdr:to>
    <xdr:sp macro="" textlink="">
      <xdr:nvSpPr>
        <xdr:cNvPr id="9" name="Avrundet rektangel 8">
          <a:hlinkClick xmlns:r="http://schemas.openxmlformats.org/officeDocument/2006/relationships" r:id="rId1"/>
        </xdr:cNvPr>
        <xdr:cNvSpPr/>
      </xdr:nvSpPr>
      <xdr:spPr>
        <a:xfrm>
          <a:off x="8919882" y="1465729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10</xdr:col>
      <xdr:colOff>33618</xdr:colOff>
      <xdr:row>43</xdr:row>
      <xdr:rowOff>145676</xdr:rowOff>
    </xdr:from>
    <xdr:to>
      <xdr:col>16</xdr:col>
      <xdr:colOff>571499</xdr:colOff>
      <xdr:row>70</xdr:row>
      <xdr:rowOff>100853</xdr:rowOff>
    </xdr:to>
    <xdr:sp macro="" textlink="">
      <xdr:nvSpPr>
        <xdr:cNvPr id="10" name="TekstSylinder 9"/>
        <xdr:cNvSpPr txBox="1"/>
      </xdr:nvSpPr>
      <xdr:spPr>
        <a:xfrm>
          <a:off x="11430000" y="7810500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10</xdr:col>
      <xdr:colOff>40341</xdr:colOff>
      <xdr:row>3</xdr:row>
      <xdr:rowOff>29135</xdr:rowOff>
    </xdr:from>
    <xdr:to>
      <xdr:col>16</xdr:col>
      <xdr:colOff>578222</xdr:colOff>
      <xdr:row>29</xdr:row>
      <xdr:rowOff>152400</xdr:rowOff>
    </xdr:to>
    <xdr:sp macro="" textlink="">
      <xdr:nvSpPr>
        <xdr:cNvPr id="11" name="TekstSylinder 10"/>
        <xdr:cNvSpPr txBox="1"/>
      </xdr:nvSpPr>
      <xdr:spPr>
        <a:xfrm>
          <a:off x="11436723" y="679076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616323</xdr:colOff>
      <xdr:row>83</xdr:row>
      <xdr:rowOff>78443</xdr:rowOff>
    </xdr:from>
    <xdr:to>
      <xdr:col>7</xdr:col>
      <xdr:colOff>294153</xdr:colOff>
      <xdr:row>84</xdr:row>
      <xdr:rowOff>127746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6925235" y="15139149"/>
          <a:ext cx="2210359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</xdr:col>
      <xdr:colOff>560295</xdr:colOff>
      <xdr:row>13</xdr:row>
      <xdr:rowOff>78442</xdr:rowOff>
    </xdr:from>
    <xdr:to>
      <xdr:col>6</xdr:col>
      <xdr:colOff>1187824</xdr:colOff>
      <xdr:row>40</xdr:row>
      <xdr:rowOff>22413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593912</xdr:colOff>
      <xdr:row>55</xdr:row>
      <xdr:rowOff>156883</xdr:rowOff>
    </xdr:from>
    <xdr:to>
      <xdr:col>6</xdr:col>
      <xdr:colOff>1221441</xdr:colOff>
      <xdr:row>82</xdr:row>
      <xdr:rowOff>100854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560294</xdr:colOff>
      <xdr:row>40</xdr:row>
      <xdr:rowOff>112059</xdr:rowOff>
    </xdr:from>
    <xdr:to>
      <xdr:col>7</xdr:col>
      <xdr:colOff>47625</xdr:colOff>
      <xdr:row>41</xdr:row>
      <xdr:rowOff>161363</xdr:rowOff>
    </xdr:to>
    <xdr:sp macro="" textlink="">
      <xdr:nvSpPr>
        <xdr:cNvPr id="9" name="Avrundet rektangel 8">
          <a:hlinkClick xmlns:r="http://schemas.openxmlformats.org/officeDocument/2006/relationships" r:id="rId1"/>
        </xdr:cNvPr>
        <xdr:cNvSpPr/>
      </xdr:nvSpPr>
      <xdr:spPr>
        <a:xfrm>
          <a:off x="6869206" y="7451912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8</xdr:col>
      <xdr:colOff>728383</xdr:colOff>
      <xdr:row>4</xdr:row>
      <xdr:rowOff>67232</xdr:rowOff>
    </xdr:from>
    <xdr:to>
      <xdr:col>15</xdr:col>
      <xdr:colOff>504264</xdr:colOff>
      <xdr:row>30</xdr:row>
      <xdr:rowOff>11203</xdr:rowOff>
    </xdr:to>
    <xdr:sp macro="" textlink="">
      <xdr:nvSpPr>
        <xdr:cNvPr id="2" name="TekstSylinder 1"/>
        <xdr:cNvSpPr txBox="1"/>
      </xdr:nvSpPr>
      <xdr:spPr>
        <a:xfrm>
          <a:off x="11105030" y="952497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r>
            <a:rPr lang="nb-NO" sz="1100"/>
            <a:t>Non-recurring effects: </a:t>
          </a:r>
        </a:p>
        <a:p>
          <a:r>
            <a:rPr lang="nb-NO" sz="1100"/>
            <a:t>The real estate brokers terminated a development agreement linked to a new core system</a:t>
          </a:r>
          <a:r>
            <a:rPr lang="nb-NO" sz="1100" baseline="0"/>
            <a:t> which generated a l</a:t>
          </a:r>
          <a:r>
            <a:rPr lang="nb-NO" sz="1100"/>
            <a:t>oss of NOK 5 million.</a:t>
          </a:r>
        </a:p>
        <a:p>
          <a:endParaRPr lang="nb-NO" sz="1100"/>
        </a:p>
      </xdr:txBody>
    </xdr:sp>
    <xdr:clientData/>
  </xdr:twoCellAnchor>
  <xdr:twoCellAnchor>
    <xdr:from>
      <xdr:col>8</xdr:col>
      <xdr:colOff>694764</xdr:colOff>
      <xdr:row>46</xdr:row>
      <xdr:rowOff>78442</xdr:rowOff>
    </xdr:from>
    <xdr:to>
      <xdr:col>15</xdr:col>
      <xdr:colOff>470645</xdr:colOff>
      <xdr:row>72</xdr:row>
      <xdr:rowOff>33619</xdr:rowOff>
    </xdr:to>
    <xdr:sp macro="" textlink="">
      <xdr:nvSpPr>
        <xdr:cNvPr id="10" name="TekstSylinder 9"/>
        <xdr:cNvSpPr txBox="1"/>
      </xdr:nvSpPr>
      <xdr:spPr>
        <a:xfrm>
          <a:off x="11071411" y="8516471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89647</xdr:colOff>
      <xdr:row>10</xdr:row>
      <xdr:rowOff>89647</xdr:rowOff>
    </xdr:from>
    <xdr:to>
      <xdr:col>8</xdr:col>
      <xdr:colOff>537882</xdr:colOff>
      <xdr:row>25</xdr:row>
      <xdr:rowOff>143435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56029</xdr:colOff>
      <xdr:row>58</xdr:row>
      <xdr:rowOff>156883</xdr:rowOff>
    </xdr:from>
    <xdr:to>
      <xdr:col>9</xdr:col>
      <xdr:colOff>551889</xdr:colOff>
      <xdr:row>60</xdr:row>
      <xdr:rowOff>26892</xdr:rowOff>
    </xdr:to>
    <xdr:sp macro="" textlink="">
      <xdr:nvSpPr>
        <xdr:cNvPr id="7" name="Avrundet rektangel 6">
          <a:hlinkClick xmlns:r="http://schemas.openxmlformats.org/officeDocument/2006/relationships" r:id="rId2"/>
        </xdr:cNvPr>
        <xdr:cNvSpPr/>
      </xdr:nvSpPr>
      <xdr:spPr>
        <a:xfrm>
          <a:off x="6084794" y="10130118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8</xdr:col>
      <xdr:colOff>448235</xdr:colOff>
      <xdr:row>55</xdr:row>
      <xdr:rowOff>53788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9</xdr:col>
      <xdr:colOff>495860</xdr:colOff>
      <xdr:row>27</xdr:row>
      <xdr:rowOff>49304</xdr:rowOff>
    </xdr:to>
    <xdr:sp macro="" textlink="">
      <xdr:nvSpPr>
        <xdr:cNvPr id="9" name="Avrundet rektangel 8">
          <a:hlinkClick xmlns:r="http://schemas.openxmlformats.org/officeDocument/2006/relationships" r:id="rId2"/>
        </xdr:cNvPr>
        <xdr:cNvSpPr/>
      </xdr:nvSpPr>
      <xdr:spPr>
        <a:xfrm>
          <a:off x="6757147" y="4594412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12</xdr:col>
      <xdr:colOff>134471</xdr:colOff>
      <xdr:row>4</xdr:row>
      <xdr:rowOff>56031</xdr:rowOff>
    </xdr:from>
    <xdr:to>
      <xdr:col>18</xdr:col>
      <xdr:colOff>672352</xdr:colOff>
      <xdr:row>30</xdr:row>
      <xdr:rowOff>11208</xdr:rowOff>
    </xdr:to>
    <xdr:sp macro="" textlink="">
      <xdr:nvSpPr>
        <xdr:cNvPr id="10" name="TekstSylinder 9"/>
        <xdr:cNvSpPr txBox="1"/>
      </xdr:nvSpPr>
      <xdr:spPr>
        <a:xfrm>
          <a:off x="10701618" y="705972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12</xdr:col>
      <xdr:colOff>129988</xdr:colOff>
      <xdr:row>32</xdr:row>
      <xdr:rowOff>129990</xdr:rowOff>
    </xdr:from>
    <xdr:to>
      <xdr:col>18</xdr:col>
      <xdr:colOff>667869</xdr:colOff>
      <xdr:row>58</xdr:row>
      <xdr:rowOff>85166</xdr:rowOff>
    </xdr:to>
    <xdr:sp macro="" textlink="">
      <xdr:nvSpPr>
        <xdr:cNvPr id="11" name="TekstSylinder 10"/>
        <xdr:cNvSpPr txBox="1"/>
      </xdr:nvSpPr>
      <xdr:spPr>
        <a:xfrm>
          <a:off x="10697135" y="5800166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909357</xdr:colOff>
      <xdr:row>34</xdr:row>
      <xdr:rowOff>161365</xdr:rowOff>
    </xdr:from>
    <xdr:to>
      <xdr:col>8</xdr:col>
      <xdr:colOff>71717</xdr:colOff>
      <xdr:row>36</xdr:row>
      <xdr:rowOff>31375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6893298" y="619013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9</xdr:col>
      <xdr:colOff>56030</xdr:colOff>
      <xdr:row>4</xdr:row>
      <xdr:rowOff>33618</xdr:rowOff>
    </xdr:from>
    <xdr:to>
      <xdr:col>14</xdr:col>
      <xdr:colOff>403411</xdr:colOff>
      <xdr:row>31</xdr:row>
      <xdr:rowOff>168089</xdr:rowOff>
    </xdr:to>
    <xdr:sp macro="" textlink="">
      <xdr:nvSpPr>
        <xdr:cNvPr id="4" name="TekstSylinder 3"/>
        <xdr:cNvSpPr txBox="1"/>
      </xdr:nvSpPr>
      <xdr:spPr>
        <a:xfrm>
          <a:off x="9849971" y="862853"/>
          <a:ext cx="5109881" cy="479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9</xdr:col>
      <xdr:colOff>112060</xdr:colOff>
      <xdr:row>39</xdr:row>
      <xdr:rowOff>89648</xdr:rowOff>
    </xdr:from>
    <xdr:to>
      <xdr:col>14</xdr:col>
      <xdr:colOff>459441</xdr:colOff>
      <xdr:row>69</xdr:row>
      <xdr:rowOff>33619</xdr:rowOff>
    </xdr:to>
    <xdr:sp macro="" textlink="">
      <xdr:nvSpPr>
        <xdr:cNvPr id="5" name="TekstSylinder 4"/>
        <xdr:cNvSpPr txBox="1"/>
      </xdr:nvSpPr>
      <xdr:spPr>
        <a:xfrm>
          <a:off x="9906001" y="7003677"/>
          <a:ext cx="5109881" cy="479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8</xdr:col>
      <xdr:colOff>114860</xdr:colOff>
      <xdr:row>53</xdr:row>
      <xdr:rowOff>71716</xdr:rowOff>
    </xdr:to>
    <xdr:sp macro="" textlink="">
      <xdr:nvSpPr>
        <xdr:cNvPr id="7" name="Avrundet rektangel 6">
          <a:hlinkClick xmlns:r="http://schemas.openxmlformats.org/officeDocument/2006/relationships" r:id="rId1"/>
        </xdr:cNvPr>
        <xdr:cNvSpPr/>
      </xdr:nvSpPr>
      <xdr:spPr>
        <a:xfrm>
          <a:off x="6936441" y="905435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717175</xdr:colOff>
      <xdr:row>21</xdr:row>
      <xdr:rowOff>123265</xdr:rowOff>
    </xdr:from>
    <xdr:to>
      <xdr:col>8</xdr:col>
      <xdr:colOff>70035</xdr:colOff>
      <xdr:row>22</xdr:row>
      <xdr:rowOff>172569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5333999" y="40005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10</xdr:col>
      <xdr:colOff>33618</xdr:colOff>
      <xdr:row>4</xdr:row>
      <xdr:rowOff>11206</xdr:rowOff>
    </xdr:from>
    <xdr:to>
      <xdr:col>16</xdr:col>
      <xdr:colOff>571499</xdr:colOff>
      <xdr:row>30</xdr:row>
      <xdr:rowOff>145677</xdr:rowOff>
    </xdr:to>
    <xdr:sp macro="" textlink="">
      <xdr:nvSpPr>
        <xdr:cNvPr id="7" name="TekstSylinder 6"/>
        <xdr:cNvSpPr txBox="1"/>
      </xdr:nvSpPr>
      <xdr:spPr>
        <a:xfrm>
          <a:off x="8841442" y="840441"/>
          <a:ext cx="5109881" cy="479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10</xdr:col>
      <xdr:colOff>56029</xdr:colOff>
      <xdr:row>36</xdr:row>
      <xdr:rowOff>0</xdr:rowOff>
    </xdr:from>
    <xdr:to>
      <xdr:col>16</xdr:col>
      <xdr:colOff>593910</xdr:colOff>
      <xdr:row>62</xdr:row>
      <xdr:rowOff>123265</xdr:rowOff>
    </xdr:to>
    <xdr:sp macro="" textlink="">
      <xdr:nvSpPr>
        <xdr:cNvPr id="5" name="TekstSylinder 4"/>
        <xdr:cNvSpPr txBox="1"/>
      </xdr:nvSpPr>
      <xdr:spPr>
        <a:xfrm>
          <a:off x="10074088" y="6566647"/>
          <a:ext cx="5109881" cy="479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 7.2 will be updated shortly</a:t>
          </a:r>
          <a:endParaRPr lang="nb-NO" b="0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6</xdr:col>
      <xdr:colOff>0</xdr:colOff>
      <xdr:row>44</xdr:row>
      <xdr:rowOff>11208</xdr:rowOff>
    </xdr:from>
    <xdr:to>
      <xdr:col>8</xdr:col>
      <xdr:colOff>137272</xdr:colOff>
      <xdr:row>45</xdr:row>
      <xdr:rowOff>60512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5995147" y="802341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11206</xdr:colOff>
      <xdr:row>3</xdr:row>
      <xdr:rowOff>179294</xdr:rowOff>
    </xdr:from>
    <xdr:to>
      <xdr:col>15</xdr:col>
      <xdr:colOff>549087</xdr:colOff>
      <xdr:row>33</xdr:row>
      <xdr:rowOff>56590</xdr:rowOff>
    </xdr:to>
    <xdr:sp macro="" textlink="">
      <xdr:nvSpPr>
        <xdr:cNvPr id="2" name="TekstSylinder 1"/>
        <xdr:cNvSpPr txBox="1"/>
      </xdr:nvSpPr>
      <xdr:spPr>
        <a:xfrm>
          <a:off x="7115735" y="717176"/>
          <a:ext cx="5109881" cy="46734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r>
            <a:rPr lang="nb-NO" sz="1100"/>
            <a:t>The number of customers as of 4Q-2017 reported here deviates from previously reported – reference made to quarterly presentation 4Q-2017. The reason being that the bank after the technical merger in 4Q-2017 has consolidated its reporting systems and established a common definition of “active customers”. The numbers reported here are based on the same and common definition throughout.</a:t>
          </a:r>
        </a:p>
        <a:p>
          <a:endParaRPr lang="nb-NO" sz="1100"/>
        </a:p>
      </xdr:txBody>
    </xdr:sp>
    <xdr:clientData/>
  </xdr:twoCellAnchor>
  <xdr:twoCellAnchor>
    <xdr:from>
      <xdr:col>6</xdr:col>
      <xdr:colOff>0</xdr:colOff>
      <xdr:row>11</xdr:row>
      <xdr:rowOff>123265</xdr:rowOff>
    </xdr:from>
    <xdr:to>
      <xdr:col>8</xdr:col>
      <xdr:colOff>70030</xdr:colOff>
      <xdr:row>13</xdr:row>
      <xdr:rowOff>71716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4818529" y="2005853"/>
          <a:ext cx="1594030" cy="262216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REGNSKAPSRAPPORTER/Dagsbalansen/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37997/FINANPAK/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parebank1.no/en/ostlandet/about-us/investor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05"/>
  <sheetViews>
    <sheetView tabSelected="1" topLeftCell="A43" zoomScale="85" zoomScaleNormal="85" workbookViewId="0">
      <selection activeCell="A67" sqref="A67"/>
    </sheetView>
  </sheetViews>
  <sheetFormatPr baseColWidth="10" defaultColWidth="11.42578125" defaultRowHeight="12.75"/>
  <cols>
    <col min="1" max="16384" width="11.42578125" style="15"/>
  </cols>
  <sheetData>
    <row r="1" spans="2:2" ht="14.25" customHeight="1"/>
    <row r="2" spans="2:2" ht="14.25" customHeight="1"/>
    <row r="3" spans="2:2" ht="14.25" customHeight="1">
      <c r="B3" s="14"/>
    </row>
    <row r="4" spans="2:2" ht="14.25" customHeight="1"/>
    <row r="5" spans="2:2" ht="14.25" customHeight="1">
      <c r="B5" s="16"/>
    </row>
    <row r="6" spans="2:2" ht="14.25" customHeight="1"/>
    <row r="7" spans="2:2" ht="14.25" customHeight="1">
      <c r="B7" s="13"/>
    </row>
    <row r="8" spans="2:2" ht="14.25" customHeight="1"/>
    <row r="9" spans="2:2" ht="14.25" customHeight="1"/>
    <row r="10" spans="2:2" ht="14.25" customHeight="1"/>
    <row r="11" spans="2:2" ht="14.25" customHeight="1"/>
    <row r="12" spans="2:2" ht="14.25" customHeight="1"/>
    <row r="13" spans="2:2" ht="14.25" customHeight="1"/>
    <row r="14" spans="2:2" ht="14.25" customHeight="1"/>
    <row r="15" spans="2:2" ht="14.25" customHeight="1"/>
    <row r="16" spans="2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C58"/>
  <sheetViews>
    <sheetView showGridLines="0" zoomScale="85" zoomScaleNormal="85" workbookViewId="0">
      <selection activeCell="A85" sqref="A85"/>
    </sheetView>
  </sheetViews>
  <sheetFormatPr baseColWidth="10" defaultColWidth="11.42578125" defaultRowHeight="14.25"/>
  <cols>
    <col min="1" max="2" width="4.28515625" style="68" customWidth="1"/>
    <col min="3" max="3" width="48.42578125" style="68" bestFit="1" customWidth="1"/>
    <col min="4" max="4" width="14" style="68" customWidth="1"/>
    <col min="5" max="7" width="14.28515625" style="68" customWidth="1"/>
    <col min="8" max="8" width="14" style="68" customWidth="1"/>
    <col min="9" max="9" width="20.7109375" style="68" bestFit="1" customWidth="1"/>
    <col min="10" max="16384" width="11.42578125" style="68"/>
  </cols>
  <sheetData>
    <row r="1" spans="1:24" ht="18.75" customHeight="1"/>
    <row r="2" spans="1:24" ht="18.75" customHeight="1">
      <c r="A2" s="139" t="s">
        <v>173</v>
      </c>
      <c r="B2" s="99"/>
      <c r="C2" s="99"/>
      <c r="D2" s="99"/>
      <c r="E2" s="98"/>
      <c r="F2" s="98"/>
      <c r="G2" s="98"/>
    </row>
    <row r="3" spans="1:24" ht="14.25" customHeight="1">
      <c r="A3" s="139"/>
      <c r="B3" s="99"/>
      <c r="C3" s="99"/>
      <c r="D3" s="99"/>
      <c r="E3" s="98"/>
      <c r="F3" s="98"/>
      <c r="G3" s="98"/>
    </row>
    <row r="4" spans="1:24" ht="14.25" customHeight="1">
      <c r="A4" s="139"/>
      <c r="B4" s="96"/>
      <c r="C4" s="96"/>
      <c r="D4" s="97"/>
      <c r="E4" s="98"/>
      <c r="F4" s="98"/>
      <c r="G4" s="98"/>
    </row>
    <row r="5" spans="1:24" ht="14.25" customHeight="1">
      <c r="A5" s="139"/>
      <c r="B5" s="99"/>
      <c r="C5" s="109" t="s">
        <v>2</v>
      </c>
      <c r="D5" s="171" t="s">
        <v>292</v>
      </c>
      <c r="E5" s="181" t="s">
        <v>95</v>
      </c>
      <c r="F5" s="181" t="s">
        <v>94</v>
      </c>
      <c r="G5" s="172" t="s">
        <v>93</v>
      </c>
      <c r="H5" s="172" t="s">
        <v>99</v>
      </c>
      <c r="I5" s="229"/>
      <c r="J5" s="230"/>
    </row>
    <row r="6" spans="1:24" ht="14.25" customHeight="1">
      <c r="B6" s="24"/>
      <c r="C6" s="216" t="s">
        <v>147</v>
      </c>
      <c r="D6" s="222">
        <v>41402.786340300161</v>
      </c>
      <c r="E6" s="227">
        <v>38892.1</v>
      </c>
      <c r="F6" s="227">
        <v>38682.400000000001</v>
      </c>
      <c r="G6" s="211">
        <v>37974.9</v>
      </c>
      <c r="H6" s="212">
        <v>38309.199999999997</v>
      </c>
      <c r="I6" s="229"/>
      <c r="J6" s="231"/>
      <c r="R6" s="246"/>
      <c r="S6" s="246"/>
      <c r="T6" s="246"/>
      <c r="U6" s="246"/>
      <c r="V6" s="246"/>
      <c r="W6" s="246"/>
      <c r="X6" s="246"/>
    </row>
    <row r="7" spans="1:24">
      <c r="B7" s="24"/>
      <c r="C7" s="25" t="s">
        <v>135</v>
      </c>
      <c r="D7" s="222">
        <v>5087.3474501300007</v>
      </c>
      <c r="E7" s="227">
        <v>4040.1</v>
      </c>
      <c r="F7" s="227">
        <v>4329.2</v>
      </c>
      <c r="G7" s="211">
        <v>4752.3999999999996</v>
      </c>
      <c r="H7" s="212">
        <v>5211.5</v>
      </c>
      <c r="I7" s="229"/>
      <c r="J7" s="231"/>
      <c r="R7" s="246"/>
      <c r="S7" s="246"/>
      <c r="T7" s="246"/>
      <c r="U7" s="246"/>
      <c r="V7" s="246"/>
      <c r="W7" s="246"/>
      <c r="X7" s="246"/>
    </row>
    <row r="8" spans="1:24" ht="14.25" customHeight="1">
      <c r="B8" s="24"/>
      <c r="C8" s="25" t="s">
        <v>136</v>
      </c>
      <c r="D8" s="222">
        <v>999.0960376700001</v>
      </c>
      <c r="E8" s="227">
        <v>1030.5999999999999</v>
      </c>
      <c r="F8" s="227">
        <v>874.2</v>
      </c>
      <c r="G8" s="211">
        <v>1120.7</v>
      </c>
      <c r="H8" s="212">
        <v>1053.5999999999999</v>
      </c>
      <c r="I8" s="229"/>
      <c r="J8" s="231"/>
      <c r="R8" s="246"/>
      <c r="S8" s="246"/>
      <c r="T8" s="246"/>
      <c r="U8" s="246"/>
      <c r="V8" s="246"/>
      <c r="W8" s="246"/>
      <c r="X8" s="246"/>
    </row>
    <row r="9" spans="1:24" ht="14.25" customHeight="1">
      <c r="B9" s="100"/>
      <c r="C9" s="25" t="s">
        <v>137</v>
      </c>
      <c r="D9" s="222">
        <v>235.37042982000003</v>
      </c>
      <c r="E9" s="227">
        <v>259.8</v>
      </c>
      <c r="F9" s="227">
        <v>266.2</v>
      </c>
      <c r="G9" s="211">
        <v>4.7</v>
      </c>
      <c r="H9" s="212">
        <v>4.3</v>
      </c>
      <c r="I9" s="229"/>
      <c r="J9" s="231"/>
      <c r="R9" s="246"/>
      <c r="S9" s="246"/>
      <c r="T9" s="246"/>
      <c r="U9" s="246"/>
      <c r="V9" s="246"/>
      <c r="W9" s="246"/>
      <c r="X9" s="246"/>
    </row>
    <row r="10" spans="1:24" ht="14.25" customHeight="1">
      <c r="B10" s="102"/>
      <c r="C10" s="25" t="s">
        <v>138</v>
      </c>
      <c r="D10" s="222">
        <v>776.49385899999902</v>
      </c>
      <c r="E10" s="227">
        <v>702</v>
      </c>
      <c r="F10" s="227">
        <v>826.4</v>
      </c>
      <c r="G10" s="211">
        <v>743.8</v>
      </c>
      <c r="H10" s="212">
        <v>779.2</v>
      </c>
      <c r="I10" s="229"/>
      <c r="J10" s="231"/>
      <c r="R10" s="246"/>
      <c r="S10" s="246"/>
      <c r="T10" s="246"/>
      <c r="U10" s="246"/>
      <c r="V10" s="246"/>
      <c r="W10" s="246"/>
      <c r="X10" s="246"/>
    </row>
    <row r="11" spans="1:24" ht="14.25" customHeight="1">
      <c r="B11" s="102"/>
      <c r="C11" s="25" t="s">
        <v>157</v>
      </c>
      <c r="D11" s="222">
        <v>1541.6746806499991</v>
      </c>
      <c r="E11" s="227">
        <v>1446.9</v>
      </c>
      <c r="F11" s="227">
        <v>1601.7</v>
      </c>
      <c r="G11" s="211">
        <v>1284.2</v>
      </c>
      <c r="H11" s="212">
        <v>1266.5999999999999</v>
      </c>
      <c r="I11" s="229"/>
      <c r="J11" s="231"/>
      <c r="R11" s="246"/>
      <c r="S11" s="246"/>
      <c r="T11" s="246"/>
      <c r="U11" s="246"/>
      <c r="V11" s="246"/>
      <c r="W11" s="246"/>
      <c r="X11" s="246"/>
    </row>
    <row r="12" spans="1:24" ht="14.25" customHeight="1">
      <c r="B12" s="100"/>
      <c r="C12" s="25" t="s">
        <v>140</v>
      </c>
      <c r="D12" s="222">
        <v>78.387109540000026</v>
      </c>
      <c r="E12" s="227">
        <v>71.7</v>
      </c>
      <c r="F12" s="227">
        <v>138.6</v>
      </c>
      <c r="G12" s="211">
        <v>175.9</v>
      </c>
      <c r="H12" s="212">
        <v>172</v>
      </c>
      <c r="I12" s="229"/>
      <c r="J12" s="231"/>
      <c r="R12" s="246"/>
      <c r="S12" s="246"/>
      <c r="T12" s="246"/>
      <c r="U12" s="246"/>
      <c r="V12" s="246"/>
      <c r="W12" s="246"/>
      <c r="X12" s="246"/>
    </row>
    <row r="13" spans="1:24" ht="14.25" customHeight="1">
      <c r="B13" s="102"/>
      <c r="C13" s="25" t="s">
        <v>141</v>
      </c>
      <c r="D13" s="222">
        <v>1418.0874924000016</v>
      </c>
      <c r="E13" s="227">
        <v>1193.3</v>
      </c>
      <c r="F13" s="227">
        <v>1387.7</v>
      </c>
      <c r="G13" s="211">
        <v>1264.5</v>
      </c>
      <c r="H13" s="212">
        <v>1182.5999999999999</v>
      </c>
      <c r="I13" s="229"/>
      <c r="J13" s="231"/>
      <c r="R13" s="246"/>
      <c r="S13" s="246"/>
      <c r="T13" s="246"/>
      <c r="U13" s="246"/>
      <c r="V13" s="246"/>
      <c r="W13" s="246"/>
      <c r="X13" s="246"/>
    </row>
    <row r="14" spans="1:24" ht="14.25" customHeight="1">
      <c r="B14" s="102"/>
      <c r="C14" s="25" t="s">
        <v>142</v>
      </c>
      <c r="D14" s="222">
        <v>264.75585234000005</v>
      </c>
      <c r="E14" s="227">
        <v>257</v>
      </c>
      <c r="F14" s="227">
        <v>267.39999999999998</v>
      </c>
      <c r="G14" s="211">
        <v>245.6</v>
      </c>
      <c r="H14" s="212">
        <v>263.60000000000002</v>
      </c>
      <c r="I14" s="229"/>
      <c r="J14" s="231"/>
      <c r="R14" s="246"/>
      <c r="S14" s="246"/>
      <c r="T14" s="246"/>
      <c r="U14" s="246"/>
      <c r="V14" s="246"/>
      <c r="W14" s="246"/>
      <c r="X14" s="246"/>
    </row>
    <row r="15" spans="1:24" ht="14.25" customHeight="1">
      <c r="B15" s="100"/>
      <c r="C15" s="25" t="s">
        <v>143</v>
      </c>
      <c r="D15" s="222">
        <v>4390.8437599600002</v>
      </c>
      <c r="E15" s="227">
        <v>3678.4</v>
      </c>
      <c r="F15" s="227">
        <v>3549</v>
      </c>
      <c r="G15" s="211">
        <v>4149.6000000000004</v>
      </c>
      <c r="H15" s="212">
        <v>4407.7</v>
      </c>
      <c r="I15" s="229"/>
      <c r="J15" s="231"/>
      <c r="R15" s="246"/>
      <c r="S15" s="246"/>
      <c r="T15" s="246"/>
      <c r="U15" s="246"/>
      <c r="V15" s="246"/>
      <c r="W15" s="246"/>
      <c r="X15" s="246"/>
    </row>
    <row r="16" spans="1:24" ht="14.25" customHeight="1">
      <c r="B16" s="102"/>
      <c r="C16" s="25" t="s">
        <v>144</v>
      </c>
      <c r="D16" s="222">
        <v>13632.98285326999</v>
      </c>
      <c r="E16" s="227">
        <v>13667.8</v>
      </c>
      <c r="F16" s="227">
        <v>12965.4</v>
      </c>
      <c r="G16" s="211">
        <v>12188.3</v>
      </c>
      <c r="H16" s="212">
        <v>12251.1</v>
      </c>
      <c r="I16" s="229"/>
      <c r="J16" s="231"/>
      <c r="R16" s="246"/>
      <c r="S16" s="246"/>
      <c r="T16" s="246"/>
      <c r="U16" s="246"/>
      <c r="V16" s="246"/>
      <c r="W16" s="246"/>
      <c r="X16" s="246"/>
    </row>
    <row r="17" spans="2:24" ht="14.25" customHeight="1">
      <c r="B17" s="100"/>
      <c r="C17" s="25" t="s">
        <v>158</v>
      </c>
      <c r="D17" s="222">
        <v>816.79974319999963</v>
      </c>
      <c r="E17" s="227">
        <v>870</v>
      </c>
      <c r="F17" s="227">
        <v>1013</v>
      </c>
      <c r="G17" s="211">
        <v>601.9</v>
      </c>
      <c r="H17" s="212">
        <v>609</v>
      </c>
      <c r="I17" s="229"/>
      <c r="J17" s="231"/>
      <c r="R17" s="246"/>
      <c r="S17" s="246"/>
      <c r="T17" s="246"/>
      <c r="U17" s="246"/>
      <c r="V17" s="246"/>
      <c r="W17" s="246"/>
      <c r="X17" s="246"/>
    </row>
    <row r="18" spans="2:24" ht="14.25" customHeight="1">
      <c r="B18" s="100"/>
      <c r="C18" s="213" t="s">
        <v>159</v>
      </c>
      <c r="D18" s="210">
        <v>0</v>
      </c>
      <c r="E18" s="227">
        <v>0</v>
      </c>
      <c r="F18" s="227">
        <v>84.2</v>
      </c>
      <c r="G18" s="211">
        <v>761.6</v>
      </c>
      <c r="H18" s="214">
        <v>1142.5999999999999</v>
      </c>
      <c r="I18" s="229"/>
      <c r="J18" s="231"/>
      <c r="R18" s="246"/>
      <c r="S18" s="246"/>
      <c r="T18" s="246"/>
      <c r="U18" s="246"/>
      <c r="V18" s="246"/>
      <c r="W18" s="246"/>
      <c r="X18" s="246"/>
    </row>
    <row r="19" spans="2:24" ht="14.25" customHeight="1">
      <c r="B19" s="100"/>
      <c r="C19" s="215" t="s">
        <v>160</v>
      </c>
      <c r="D19" s="219">
        <f>SUM(D6:D18)</f>
        <v>70644.62560828017</v>
      </c>
      <c r="E19" s="228">
        <f t="shared" ref="E19:H19" si="0">SUM(E6:E18)</f>
        <v>66109.7</v>
      </c>
      <c r="F19" s="228">
        <f t="shared" si="0"/>
        <v>65985.39999999998</v>
      </c>
      <c r="G19" s="217">
        <f t="shared" si="0"/>
        <v>65268.099999999991</v>
      </c>
      <c r="H19" s="217">
        <f t="shared" si="0"/>
        <v>66652.999999999985</v>
      </c>
      <c r="I19" s="232"/>
      <c r="J19" s="233"/>
      <c r="R19" s="246"/>
      <c r="S19" s="246"/>
      <c r="T19" s="246"/>
      <c r="U19" s="246"/>
      <c r="V19" s="246"/>
      <c r="W19" s="246"/>
      <c r="X19" s="246"/>
    </row>
    <row r="20" spans="2:24">
      <c r="C20" s="218"/>
      <c r="D20" s="225"/>
      <c r="E20" s="225"/>
      <c r="F20" s="225"/>
      <c r="G20" s="225"/>
      <c r="H20" s="225"/>
    </row>
    <row r="21" spans="2:24">
      <c r="C21" s="221"/>
      <c r="D21" s="226"/>
      <c r="E21" s="223"/>
      <c r="F21" s="223"/>
      <c r="G21" s="223"/>
      <c r="H21" s="223"/>
    </row>
    <row r="22" spans="2:24">
      <c r="C22" s="221"/>
      <c r="D22" s="226"/>
      <c r="E22" s="223"/>
      <c r="F22" s="223"/>
      <c r="G22" s="223"/>
      <c r="H22" s="223"/>
    </row>
    <row r="23" spans="2:24">
      <c r="C23" s="221"/>
      <c r="D23" s="226"/>
      <c r="E23" s="224"/>
      <c r="F23" s="224"/>
      <c r="G23" s="224"/>
      <c r="H23" s="224"/>
    </row>
    <row r="24" spans="2:24">
      <c r="C24" s="221"/>
      <c r="D24" s="226"/>
      <c r="E24" s="224"/>
      <c r="F24" s="224"/>
      <c r="G24" s="224"/>
      <c r="H24" s="224"/>
    </row>
    <row r="25" spans="2:24">
      <c r="C25" s="218"/>
      <c r="D25" s="225"/>
      <c r="E25" s="220"/>
      <c r="F25" s="220"/>
      <c r="G25" s="220"/>
      <c r="H25" s="220"/>
    </row>
    <row r="26" spans="2:24">
      <c r="C26" s="221"/>
      <c r="D26" s="226"/>
      <c r="E26" s="224"/>
      <c r="F26" s="224"/>
      <c r="G26" s="224"/>
      <c r="H26" s="224"/>
    </row>
    <row r="27" spans="2:24">
      <c r="C27" s="221"/>
      <c r="D27" s="226"/>
      <c r="E27" s="224"/>
      <c r="F27" s="224"/>
      <c r="G27" s="224"/>
      <c r="H27" s="224"/>
    </row>
    <row r="28" spans="2:24">
      <c r="C28" s="218"/>
      <c r="D28" s="225"/>
      <c r="E28" s="220"/>
      <c r="F28" s="220"/>
      <c r="G28" s="220"/>
      <c r="H28" s="220"/>
    </row>
    <row r="37" spans="1:29" ht="15">
      <c r="A37" s="139" t="s">
        <v>316</v>
      </c>
    </row>
    <row r="40" spans="1:29">
      <c r="C40" s="240" t="s">
        <v>313</v>
      </c>
      <c r="D40" s="356" t="s">
        <v>292</v>
      </c>
      <c r="E40" s="236" t="s">
        <v>95</v>
      </c>
      <c r="F40" s="236" t="s">
        <v>94</v>
      </c>
      <c r="G40" s="357" t="s">
        <v>93</v>
      </c>
      <c r="H40" s="357" t="s">
        <v>99</v>
      </c>
    </row>
    <row r="41" spans="1:29">
      <c r="C41" s="216" t="s">
        <v>318</v>
      </c>
      <c r="D41" s="362">
        <f>D19</f>
        <v>70644.62560828017</v>
      </c>
      <c r="E41" s="363">
        <f t="shared" ref="E41:H41" si="1">E19</f>
        <v>66109.7</v>
      </c>
      <c r="F41" s="363">
        <f t="shared" si="1"/>
        <v>65985.39999999998</v>
      </c>
      <c r="G41" s="363">
        <f t="shared" si="1"/>
        <v>65268.099999999991</v>
      </c>
      <c r="H41" s="363">
        <f t="shared" si="1"/>
        <v>66652.999999999985</v>
      </c>
    </row>
    <row r="42" spans="1:29">
      <c r="C42" s="213" t="s">
        <v>320</v>
      </c>
      <c r="D42" s="210"/>
      <c r="E42" s="360"/>
      <c r="F42" s="360"/>
      <c r="G42" s="361"/>
      <c r="H42" s="361"/>
    </row>
    <row r="43" spans="1:29">
      <c r="C43" s="358" t="s">
        <v>312</v>
      </c>
      <c r="D43" s="219">
        <f>D41-D42</f>
        <v>70644.62560828017</v>
      </c>
      <c r="E43" s="233">
        <f t="shared" ref="E43:H43" si="2">E41-E42</f>
        <v>66109.7</v>
      </c>
      <c r="F43" s="233">
        <f t="shared" si="2"/>
        <v>65985.39999999998</v>
      </c>
      <c r="G43" s="359">
        <f t="shared" si="2"/>
        <v>65268.099999999991</v>
      </c>
      <c r="H43" s="359">
        <f t="shared" si="2"/>
        <v>66652.999999999985</v>
      </c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</row>
    <row r="49" spans="10:29"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</row>
    <row r="55" spans="10:29"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</row>
    <row r="58" spans="10:29"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I17"/>
  <sheetViews>
    <sheetView showGridLines="0" view="pageLayout" topLeftCell="A47" zoomScaleNormal="85" workbookViewId="0">
      <selection activeCell="A79" sqref="A79"/>
    </sheetView>
  </sheetViews>
  <sheetFormatPr baseColWidth="10" defaultRowHeight="12.75"/>
  <cols>
    <col min="3" max="3" width="15.140625" bestFit="1" customWidth="1"/>
  </cols>
  <sheetData>
    <row r="2" spans="1:8" ht="15">
      <c r="A2" s="139" t="s">
        <v>321</v>
      </c>
      <c r="B2" s="99"/>
      <c r="C2" s="99"/>
      <c r="D2" s="99"/>
      <c r="E2" s="98"/>
      <c r="F2" s="98"/>
      <c r="G2" s="98"/>
      <c r="H2" s="68"/>
    </row>
    <row r="3" spans="1:8" ht="15">
      <c r="A3" s="139"/>
      <c r="B3" s="99"/>
      <c r="C3" s="99"/>
      <c r="D3" s="99"/>
      <c r="E3" s="98"/>
      <c r="F3" s="98"/>
      <c r="G3" s="98"/>
      <c r="H3" s="68"/>
    </row>
    <row r="4" spans="1:8" ht="15">
      <c r="A4" s="139"/>
      <c r="B4" s="96"/>
      <c r="C4" s="96"/>
      <c r="D4" s="97"/>
      <c r="E4" s="98"/>
      <c r="F4" s="98"/>
      <c r="G4" s="98"/>
      <c r="H4" s="68"/>
    </row>
    <row r="5" spans="1:8" ht="15">
      <c r="A5" s="139"/>
      <c r="B5" s="99"/>
      <c r="C5" s="109" t="s">
        <v>2</v>
      </c>
      <c r="D5" s="171" t="s">
        <v>292</v>
      </c>
      <c r="E5" s="181" t="s">
        <v>95</v>
      </c>
      <c r="F5" s="181" t="s">
        <v>94</v>
      </c>
      <c r="G5" s="172" t="s">
        <v>93</v>
      </c>
      <c r="H5" s="172" t="s">
        <v>99</v>
      </c>
    </row>
    <row r="6" spans="1:8" ht="14.25">
      <c r="A6" s="68"/>
      <c r="B6" s="24"/>
      <c r="C6" s="216" t="s">
        <v>293</v>
      </c>
      <c r="D6" s="222">
        <v>327474</v>
      </c>
      <c r="E6" s="227">
        <v>322163</v>
      </c>
      <c r="F6" s="227">
        <v>318507</v>
      </c>
      <c r="G6" s="211">
        <v>315356</v>
      </c>
      <c r="H6" s="212">
        <v>311546</v>
      </c>
    </row>
    <row r="9" spans="1:8">
      <c r="C9" s="352" t="s">
        <v>294</v>
      </c>
    </row>
    <row r="17" spans="4:9">
      <c r="D17" s="351"/>
      <c r="E17" s="351"/>
      <c r="F17" s="351"/>
      <c r="G17" s="351"/>
      <c r="H17" s="351"/>
      <c r="I17" s="351"/>
    </row>
  </sheetData>
  <sortState columnSort="1" ref="D16:I17">
    <sortCondition descending="1" ref="D16:I16"/>
  </sortState>
  <pageMargins left="0.7" right="0.7" top="0.75" bottom="0.75" header="0.3" footer="0.3"/>
  <pageSetup paperSize="9" scale="93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G41"/>
  <sheetViews>
    <sheetView showGridLines="0" zoomScale="140" zoomScaleNormal="140" zoomScaleSheetLayoutView="90" workbookViewId="0">
      <selection activeCell="A41" sqref="A41:D41"/>
    </sheetView>
  </sheetViews>
  <sheetFormatPr baseColWidth="10" defaultColWidth="11.42578125" defaultRowHeight="22.5" customHeight="1"/>
  <cols>
    <col min="1" max="1" width="29.140625" style="89" customWidth="1"/>
    <col min="2" max="2" width="14.7109375" style="89" customWidth="1"/>
    <col min="3" max="3" width="26.28515625" style="89" customWidth="1"/>
    <col min="4" max="4" width="28.5703125" style="89" customWidth="1"/>
    <col min="5" max="6" width="11.5703125" style="89" customWidth="1"/>
    <col min="7" max="16384" width="11.42578125" style="89"/>
  </cols>
  <sheetData>
    <row r="1" spans="1:4" s="72" customFormat="1" ht="22.5" customHeight="1">
      <c r="B1" s="73"/>
    </row>
    <row r="2" spans="1:4" s="77" customFormat="1" ht="26.25">
      <c r="A2" s="74" t="s">
        <v>65</v>
      </c>
      <c r="B2" s="75"/>
      <c r="C2" s="76"/>
      <c r="D2" s="76"/>
    </row>
    <row r="3" spans="1:4" s="78" customFormat="1" ht="12" customHeight="1"/>
    <row r="4" spans="1:4" s="81" customFormat="1" ht="15" customHeight="1">
      <c r="A4" s="79" t="s">
        <v>89</v>
      </c>
      <c r="B4" s="80"/>
    </row>
    <row r="5" spans="1:4" s="83" customFormat="1" ht="12.95" customHeight="1">
      <c r="A5" s="82" t="s">
        <v>88</v>
      </c>
      <c r="B5" s="82"/>
      <c r="C5" s="88" t="s">
        <v>164</v>
      </c>
      <c r="D5" s="88" t="s">
        <v>163</v>
      </c>
    </row>
    <row r="6" spans="1:4" s="78" customFormat="1" ht="12" customHeight="1"/>
    <row r="7" spans="1:4" s="81" customFormat="1" ht="15" customHeight="1">
      <c r="A7" s="79" t="s">
        <v>66</v>
      </c>
      <c r="B7" s="80"/>
    </row>
    <row r="8" spans="1:4" s="83" customFormat="1" ht="12.95" customHeight="1">
      <c r="A8" s="84" t="s">
        <v>86</v>
      </c>
      <c r="B8" s="84"/>
      <c r="C8" s="84" t="s">
        <v>87</v>
      </c>
      <c r="D8" s="85" t="s">
        <v>85</v>
      </c>
    </row>
    <row r="9" spans="1:4" s="83" customFormat="1" ht="12.95" customHeight="1">
      <c r="A9" s="84" t="s">
        <v>122</v>
      </c>
      <c r="B9" s="84"/>
      <c r="C9" s="82" t="s">
        <v>123</v>
      </c>
      <c r="D9" s="85" t="s">
        <v>124</v>
      </c>
    </row>
    <row r="10" spans="1:4" s="83" customFormat="1" ht="12.95" customHeight="1">
      <c r="A10" s="82"/>
      <c r="B10" s="82"/>
      <c r="C10" s="82"/>
      <c r="D10" s="86"/>
    </row>
    <row r="11" spans="1:4" s="78" customFormat="1" ht="12" customHeight="1"/>
    <row r="12" spans="1:4" s="81" customFormat="1" ht="15" customHeight="1">
      <c r="A12" s="79" t="s">
        <v>67</v>
      </c>
      <c r="B12" s="80"/>
      <c r="D12" s="87"/>
    </row>
    <row r="13" spans="1:4" s="83" customFormat="1" ht="12.95" customHeight="1">
      <c r="A13" s="82" t="s">
        <v>92</v>
      </c>
      <c r="B13" s="82"/>
      <c r="C13" s="82"/>
      <c r="D13" s="87"/>
    </row>
    <row r="14" spans="1:4" s="83" customFormat="1" ht="12.95" customHeight="1">
      <c r="A14" s="82" t="s">
        <v>91</v>
      </c>
      <c r="B14" s="82"/>
      <c r="C14" s="82"/>
      <c r="D14" s="87"/>
    </row>
    <row r="15" spans="1:4" s="78" customFormat="1" ht="12" customHeight="1"/>
    <row r="16" spans="1:4" s="81" customFormat="1" ht="15" customHeight="1">
      <c r="A16" s="79" t="s">
        <v>68</v>
      </c>
      <c r="B16" s="80"/>
      <c r="D16" s="87"/>
    </row>
    <row r="17" spans="1:5" s="83" customFormat="1" ht="12.95" customHeight="1">
      <c r="A17" s="88" t="s">
        <v>90</v>
      </c>
      <c r="B17" s="82"/>
      <c r="C17" s="82"/>
      <c r="D17" s="87"/>
    </row>
    <row r="18" spans="1:5" s="83" customFormat="1" ht="12.95" customHeight="1">
      <c r="A18" s="82"/>
      <c r="B18" s="82"/>
      <c r="C18" s="82"/>
      <c r="D18" s="87"/>
    </row>
    <row r="19" spans="1:5" s="81" customFormat="1" ht="15" customHeight="1">
      <c r="A19" s="79" t="s">
        <v>69</v>
      </c>
      <c r="B19" s="80"/>
    </row>
    <row r="20" spans="1:5" s="83" customFormat="1" ht="12.95" customHeight="1">
      <c r="A20" s="82" t="s">
        <v>178</v>
      </c>
      <c r="B20" s="250" t="s">
        <v>179</v>
      </c>
      <c r="C20" s="82"/>
      <c r="D20" s="87"/>
    </row>
    <row r="21" spans="1:5" ht="30" customHeight="1"/>
    <row r="22" spans="1:5" s="91" customFormat="1" ht="26.25">
      <c r="A22" s="74" t="s">
        <v>70</v>
      </c>
      <c r="B22" s="75"/>
      <c r="C22" s="90"/>
      <c r="D22" s="76"/>
    </row>
    <row r="23" spans="1:5" ht="9" customHeight="1"/>
    <row r="24" spans="1:5" ht="15" customHeight="1">
      <c r="A24" s="92" t="s">
        <v>71</v>
      </c>
    </row>
    <row r="25" spans="1:5" s="83" customFormat="1" ht="12.95" customHeight="1">
      <c r="A25" s="93" t="s">
        <v>74</v>
      </c>
      <c r="B25" s="84" t="s">
        <v>73</v>
      </c>
      <c r="C25" s="82"/>
      <c r="D25" s="87"/>
      <c r="E25" s="94"/>
    </row>
    <row r="26" spans="1:5" s="83" customFormat="1" ht="12.95" customHeight="1">
      <c r="A26" s="93" t="s">
        <v>75</v>
      </c>
      <c r="B26" s="84" t="s">
        <v>72</v>
      </c>
      <c r="C26" s="82"/>
      <c r="D26" s="87"/>
      <c r="E26" s="94"/>
    </row>
    <row r="27" spans="1:5" s="83" customFormat="1" ht="12.95" customHeight="1">
      <c r="A27" s="93" t="s">
        <v>75</v>
      </c>
      <c r="B27" s="84" t="s">
        <v>76</v>
      </c>
      <c r="C27" s="82"/>
      <c r="D27" s="87"/>
      <c r="E27" s="94"/>
    </row>
    <row r="28" spans="1:5" s="83" customFormat="1" ht="12.95" customHeight="1">
      <c r="A28" s="93" t="s">
        <v>78</v>
      </c>
      <c r="B28" s="84" t="s">
        <v>77</v>
      </c>
      <c r="C28" s="82"/>
      <c r="D28" s="87"/>
      <c r="E28" s="93"/>
    </row>
    <row r="29" spans="1:5" s="83" customFormat="1" ht="12.95" customHeight="1">
      <c r="A29" s="93" t="s">
        <v>80</v>
      </c>
      <c r="B29" s="84" t="s">
        <v>79</v>
      </c>
      <c r="C29" s="82"/>
      <c r="D29" s="87"/>
      <c r="E29" s="93"/>
    </row>
    <row r="30" spans="1:5" s="83" customFormat="1" ht="12.95" customHeight="1">
      <c r="A30" s="93" t="s">
        <v>82</v>
      </c>
      <c r="B30" s="84" t="s">
        <v>81</v>
      </c>
      <c r="C30" s="82"/>
      <c r="D30" s="87"/>
      <c r="E30" s="94"/>
    </row>
    <row r="31" spans="1:5" s="83" customFormat="1" ht="12.95" customHeight="1">
      <c r="A31" s="93" t="s">
        <v>84</v>
      </c>
      <c r="B31" s="84" t="s">
        <v>83</v>
      </c>
      <c r="C31" s="82"/>
      <c r="D31" s="87"/>
      <c r="E31" s="94"/>
    </row>
    <row r="32" spans="1:5" s="83" customFormat="1" ht="12.95" customHeight="1">
      <c r="A32" s="93"/>
      <c r="B32" s="84"/>
      <c r="C32" s="82"/>
      <c r="D32" s="87"/>
      <c r="E32" s="94"/>
    </row>
    <row r="33" spans="1:7" s="83" customFormat="1" ht="12.95" customHeight="1">
      <c r="A33" s="93"/>
      <c r="B33" s="84"/>
      <c r="C33" s="82"/>
      <c r="D33" s="87"/>
      <c r="E33" s="93"/>
    </row>
    <row r="34" spans="1:7" s="83" customFormat="1" ht="12.95" customHeight="1">
      <c r="A34" s="93"/>
      <c r="B34" s="84"/>
      <c r="C34" s="82"/>
      <c r="D34" s="87"/>
      <c r="E34" s="93"/>
    </row>
    <row r="35" spans="1:7" s="83" customFormat="1" ht="12.95" customHeight="1">
      <c r="A35" s="93"/>
      <c r="B35" s="84"/>
      <c r="C35" s="82"/>
      <c r="D35" s="87"/>
      <c r="G35" s="93"/>
    </row>
    <row r="36" spans="1:7" s="83" customFormat="1" ht="12.95" customHeight="1">
      <c r="A36" s="93"/>
      <c r="B36" s="84"/>
      <c r="C36" s="82"/>
      <c r="D36" s="87"/>
      <c r="G36" s="93"/>
    </row>
    <row r="37" spans="1:7" s="83" customFormat="1" ht="12.95" customHeight="1">
      <c r="A37" s="93"/>
      <c r="B37" s="84"/>
      <c r="C37" s="82"/>
      <c r="D37" s="87"/>
      <c r="G37" s="93"/>
    </row>
    <row r="38" spans="1:7" s="83" customFormat="1" ht="12.95" customHeight="1">
      <c r="A38" s="93"/>
      <c r="B38" s="84"/>
      <c r="C38" s="82"/>
      <c r="D38" s="87"/>
      <c r="F38" s="89"/>
      <c r="G38" s="89"/>
    </row>
    <row r="39" spans="1:7" s="83" customFormat="1" ht="12.95" customHeight="1">
      <c r="A39" s="93"/>
      <c r="B39" s="84"/>
      <c r="C39" s="82"/>
      <c r="D39" s="87"/>
      <c r="F39" s="89"/>
      <c r="G39" s="89"/>
    </row>
    <row r="40" spans="1:7" s="83" customFormat="1" ht="19.5" customHeight="1">
      <c r="A40" s="82"/>
      <c r="B40" s="82"/>
      <c r="C40" s="94"/>
      <c r="D40" s="87"/>
      <c r="F40" s="89"/>
      <c r="G40" s="89"/>
    </row>
    <row r="41" spans="1:7" ht="21" customHeight="1">
      <c r="A41" s="364"/>
      <c r="B41" s="364"/>
      <c r="C41" s="364"/>
      <c r="D41" s="364"/>
    </row>
  </sheetData>
  <mergeCells count="1">
    <mergeCell ref="A41:D41"/>
  </mergeCells>
  <hyperlinks>
    <hyperlink ref="B20" r:id="rId1"/>
  </hyperlinks>
  <pageMargins left="0.70866141732283472" right="0.70866141732283472" top="0.6692913385826772" bottom="0.59055118110236227" header="0.51181102362204722" footer="0.51181102362204722"/>
  <pageSetup paperSize="9" scale="95" fitToHeight="0" orientation="portrait" r:id="rId2"/>
  <headerFooter scaleWithDoc="0"/>
  <ignoredErrors>
    <ignoredError sqref="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E44"/>
  <sheetViews>
    <sheetView showGridLines="0" zoomScaleNormal="100" zoomScaleSheetLayoutView="90" workbookViewId="0">
      <selection activeCell="A73" sqref="A73"/>
    </sheetView>
  </sheetViews>
  <sheetFormatPr baseColWidth="10" defaultColWidth="11.42578125" defaultRowHeight="12.75"/>
  <cols>
    <col min="1" max="1" width="4.7109375" style="7" customWidth="1"/>
    <col min="2" max="2" width="4.7109375" style="3" customWidth="1"/>
    <col min="3" max="3" width="86.140625" style="4" bestFit="1" customWidth="1"/>
    <col min="4" max="16384" width="11.42578125" style="3"/>
  </cols>
  <sheetData>
    <row r="1" spans="1:4" s="1" customFormat="1" ht="18.75" customHeight="1">
      <c r="A1" s="8"/>
      <c r="B1" s="9"/>
      <c r="C1" s="10"/>
    </row>
    <row r="2" spans="1:4" ht="18.75" customHeight="1">
      <c r="B2" s="2" t="s">
        <v>5</v>
      </c>
      <c r="C2" s="11"/>
    </row>
    <row r="3" spans="1:4" ht="14.25" customHeight="1">
      <c r="A3" s="12"/>
      <c r="B3" s="17" t="s">
        <v>4</v>
      </c>
      <c r="C3" s="18" t="s">
        <v>3</v>
      </c>
    </row>
    <row r="4" spans="1:4" ht="14.25" customHeight="1">
      <c r="A4" s="12"/>
      <c r="B4" s="178">
        <v>1</v>
      </c>
      <c r="C4" s="178" t="s">
        <v>174</v>
      </c>
    </row>
    <row r="5" spans="1:4" ht="14.25" customHeight="1">
      <c r="A5" s="12"/>
      <c r="B5" s="178"/>
      <c r="C5" s="178" t="s">
        <v>264</v>
      </c>
      <c r="D5" s="322"/>
    </row>
    <row r="6" spans="1:4" ht="14.25" customHeight="1">
      <c r="A6" s="12"/>
      <c r="B6" s="178"/>
      <c r="C6" s="178" t="s">
        <v>265</v>
      </c>
      <c r="D6" s="322"/>
    </row>
    <row r="7" spans="1:4" ht="14.25" customHeight="1">
      <c r="A7" s="12"/>
      <c r="B7" s="178"/>
      <c r="C7" s="178" t="s">
        <v>266</v>
      </c>
      <c r="D7" s="322"/>
    </row>
    <row r="8" spans="1:4" ht="14.25" customHeight="1">
      <c r="A8" s="12"/>
      <c r="B8" s="178"/>
      <c r="C8" s="178" t="s">
        <v>267</v>
      </c>
      <c r="D8" s="322"/>
    </row>
    <row r="9" spans="1:4" ht="14.25" customHeight="1">
      <c r="A9" s="12"/>
      <c r="B9" s="178"/>
      <c r="C9" s="178" t="s">
        <v>268</v>
      </c>
      <c r="D9" s="322"/>
    </row>
    <row r="10" spans="1:4" ht="14.25" customHeight="1">
      <c r="A10" s="12"/>
      <c r="B10" s="178"/>
      <c r="C10" s="178" t="s">
        <v>269</v>
      </c>
      <c r="D10" s="322"/>
    </row>
    <row r="11" spans="1:4" ht="14.25" customHeight="1">
      <c r="A11" s="12"/>
      <c r="B11" s="178"/>
      <c r="C11" s="178" t="s">
        <v>270</v>
      </c>
      <c r="D11" s="322"/>
    </row>
    <row r="12" spans="1:4" ht="14.25" customHeight="1">
      <c r="A12" s="12"/>
      <c r="B12" s="178"/>
      <c r="C12" s="178" t="s">
        <v>271</v>
      </c>
      <c r="D12" s="322"/>
    </row>
    <row r="13" spans="1:4" ht="14.25" customHeight="1">
      <c r="A13" s="12"/>
      <c r="B13" s="178"/>
      <c r="C13" s="178" t="s">
        <v>272</v>
      </c>
      <c r="D13" s="322"/>
    </row>
    <row r="14" spans="1:4" ht="14.25" customHeight="1">
      <c r="A14" s="12"/>
      <c r="B14" s="178"/>
      <c r="C14" s="178" t="s">
        <v>273</v>
      </c>
      <c r="D14" s="322"/>
    </row>
    <row r="15" spans="1:4" ht="14.25" customHeight="1">
      <c r="A15" s="12"/>
      <c r="B15" s="178"/>
      <c r="C15" s="178" t="s">
        <v>290</v>
      </c>
      <c r="D15" s="322"/>
    </row>
    <row r="16" spans="1:4" ht="14.25" customHeight="1">
      <c r="A16" s="12"/>
      <c r="B16" s="178"/>
      <c r="C16" s="178" t="s">
        <v>289</v>
      </c>
      <c r="D16" s="322"/>
    </row>
    <row r="17" spans="1:5" ht="14.25" customHeight="1">
      <c r="A17" s="12"/>
      <c r="B17" s="178"/>
      <c r="C17" s="178" t="s">
        <v>274</v>
      </c>
      <c r="D17" s="322"/>
    </row>
    <row r="18" spans="1:5" ht="14.25" customHeight="1">
      <c r="A18" s="12"/>
      <c r="B18" s="178"/>
      <c r="C18" s="178" t="s">
        <v>275</v>
      </c>
      <c r="D18" s="322"/>
    </row>
    <row r="19" spans="1:5" ht="14.25" customHeight="1">
      <c r="A19" s="12"/>
      <c r="B19" s="178"/>
      <c r="C19" s="178" t="s">
        <v>276</v>
      </c>
      <c r="D19" s="322"/>
    </row>
    <row r="20" spans="1:5" ht="14.25" customHeight="1">
      <c r="A20" s="12"/>
      <c r="B20" s="178"/>
      <c r="C20" s="178" t="s">
        <v>277</v>
      </c>
      <c r="D20" s="322"/>
    </row>
    <row r="21" spans="1:5" ht="14.25" customHeight="1">
      <c r="A21" s="12"/>
      <c r="B21" s="178"/>
      <c r="C21" s="178" t="s">
        <v>278</v>
      </c>
      <c r="D21" s="322"/>
    </row>
    <row r="22" spans="1:5" ht="14.25" customHeight="1">
      <c r="A22" s="12"/>
      <c r="B22" s="178"/>
      <c r="C22" s="178" t="s">
        <v>279</v>
      </c>
      <c r="D22" s="322"/>
    </row>
    <row r="23" spans="1:5" ht="14.25" customHeight="1">
      <c r="A23" s="12"/>
      <c r="B23" s="178"/>
      <c r="C23" s="178" t="s">
        <v>280</v>
      </c>
      <c r="D23" s="322"/>
    </row>
    <row r="24" spans="1:5" ht="14.25" customHeight="1">
      <c r="A24" s="12"/>
      <c r="B24" s="178"/>
      <c r="C24" s="178" t="s">
        <v>281</v>
      </c>
      <c r="D24" s="322"/>
    </row>
    <row r="25" spans="1:5" s="6" customFormat="1" ht="16.5" customHeight="1">
      <c r="A25" s="5"/>
      <c r="B25" s="178">
        <v>2</v>
      </c>
      <c r="C25" s="178" t="s">
        <v>14</v>
      </c>
      <c r="E25" s="3"/>
    </row>
    <row r="26" spans="1:5" s="6" customFormat="1" ht="16.5" customHeight="1">
      <c r="A26" s="5"/>
      <c r="B26" s="178">
        <v>3</v>
      </c>
      <c r="C26" s="178" t="s">
        <v>110</v>
      </c>
      <c r="E26" s="3"/>
    </row>
    <row r="27" spans="1:5" s="6" customFormat="1" ht="16.5" customHeight="1">
      <c r="A27" s="5"/>
      <c r="B27" s="323"/>
      <c r="C27" s="324" t="s">
        <v>165</v>
      </c>
      <c r="E27" s="3"/>
    </row>
    <row r="28" spans="1:5" s="6" customFormat="1" ht="16.5" customHeight="1">
      <c r="A28" s="5"/>
      <c r="B28" s="323"/>
      <c r="C28" s="324" t="s">
        <v>166</v>
      </c>
      <c r="E28" s="3"/>
    </row>
    <row r="29" spans="1:5" s="6" customFormat="1" ht="16.5" customHeight="1">
      <c r="A29" s="5"/>
      <c r="B29" s="323"/>
      <c r="C29" s="324" t="s">
        <v>167</v>
      </c>
      <c r="E29" s="3"/>
    </row>
    <row r="30" spans="1:5" s="6" customFormat="1" ht="16.5" customHeight="1">
      <c r="A30" s="5"/>
      <c r="B30" s="323"/>
      <c r="C30" s="324" t="s">
        <v>168</v>
      </c>
      <c r="E30" s="3"/>
    </row>
    <row r="31" spans="1:5" s="6" customFormat="1" ht="16.5" customHeight="1">
      <c r="A31" s="5"/>
      <c r="B31" s="325">
        <v>4</v>
      </c>
      <c r="C31" s="325" t="s">
        <v>111</v>
      </c>
      <c r="E31" s="3"/>
    </row>
    <row r="32" spans="1:5" s="6" customFormat="1" ht="16.5" customHeight="1">
      <c r="A32" s="5"/>
      <c r="B32" s="323"/>
      <c r="C32" s="325" t="s">
        <v>169</v>
      </c>
      <c r="E32" s="3"/>
    </row>
    <row r="33" spans="1:5" s="6" customFormat="1" ht="16.5" customHeight="1">
      <c r="A33" s="5"/>
      <c r="B33" s="323"/>
      <c r="C33" s="325" t="s">
        <v>285</v>
      </c>
      <c r="E33" s="3"/>
    </row>
    <row r="34" spans="1:5" s="6" customFormat="1" ht="16.5" customHeight="1">
      <c r="A34" s="5"/>
      <c r="B34" s="325">
        <v>5</v>
      </c>
      <c r="C34" s="325" t="s">
        <v>112</v>
      </c>
      <c r="E34" s="3"/>
    </row>
    <row r="35" spans="1:5" s="6" customFormat="1" ht="16.5" customHeight="1">
      <c r="A35" s="5"/>
      <c r="B35" s="323"/>
      <c r="C35" s="325" t="s">
        <v>170</v>
      </c>
      <c r="E35" s="3"/>
    </row>
    <row r="36" spans="1:5" s="6" customFormat="1" ht="16.5" customHeight="1">
      <c r="A36" s="5"/>
      <c r="B36" s="323"/>
      <c r="C36" s="325" t="s">
        <v>171</v>
      </c>
      <c r="E36" s="3"/>
    </row>
    <row r="37" spans="1:5" s="6" customFormat="1" ht="16.5" customHeight="1">
      <c r="A37" s="5"/>
      <c r="B37" s="325">
        <v>6</v>
      </c>
      <c r="C37" s="325" t="s">
        <v>161</v>
      </c>
      <c r="E37" s="3"/>
    </row>
    <row r="38" spans="1:5" s="6" customFormat="1" ht="16.5" customHeight="1">
      <c r="A38" s="5"/>
      <c r="B38" s="323"/>
      <c r="C38" s="325" t="s">
        <v>172</v>
      </c>
      <c r="E38" s="3"/>
    </row>
    <row r="39" spans="1:5" s="6" customFormat="1" ht="16.5" customHeight="1">
      <c r="A39" s="5"/>
      <c r="B39" s="323"/>
      <c r="C39" s="325" t="s">
        <v>314</v>
      </c>
      <c r="E39" s="3"/>
    </row>
    <row r="40" spans="1:5" s="6" customFormat="1" ht="16.5" customHeight="1">
      <c r="A40" s="5"/>
      <c r="B40" s="325">
        <v>7</v>
      </c>
      <c r="C40" s="325" t="s">
        <v>162</v>
      </c>
      <c r="E40" s="3"/>
    </row>
    <row r="41" spans="1:5" s="6" customFormat="1" ht="16.5" customHeight="1">
      <c r="A41" s="5"/>
      <c r="B41" s="323"/>
      <c r="C41" s="325" t="s">
        <v>173</v>
      </c>
      <c r="E41" s="3"/>
    </row>
    <row r="42" spans="1:5" s="6" customFormat="1" ht="16.5" customHeight="1">
      <c r="A42" s="5"/>
      <c r="B42" s="323"/>
      <c r="C42" s="325" t="s">
        <v>316</v>
      </c>
      <c r="E42" s="3"/>
    </row>
    <row r="43" spans="1:5">
      <c r="B43" s="325">
        <v>8</v>
      </c>
      <c r="C43" s="325" t="s">
        <v>309</v>
      </c>
    </row>
    <row r="44" spans="1:5">
      <c r="B44" s="323"/>
      <c r="C44" s="325" t="s">
        <v>321</v>
      </c>
    </row>
  </sheetData>
  <hyperlinks>
    <hyperlink ref="C26" location="'3 Income'!A1" display="Income"/>
    <hyperlink ref="C31" location="'4 Expences'!A1" display="Expences"/>
    <hyperlink ref="C34" location="'5 Margins'!A1" display="Margins"/>
    <hyperlink ref="C37" location="'6 Lending'!A2" display="Lending"/>
    <hyperlink ref="C40" location="'7 Deposits'!A2" display="Deposits"/>
    <hyperlink ref="C27" location="'3 Income'!A2" display="3.1 Net interest income and commissionfees from covered bonds companies"/>
    <hyperlink ref="C28" location="'3 Income'!A43" display="3.2 Net commision and other income"/>
    <hyperlink ref="C29" location="'3 Income'!A90" display="3.3 Net income from financial assets and liabilities"/>
    <hyperlink ref="C30" location="'3 Income'!A103" display="3.4 Specification of the consolidated profit after tax in NOK millions:"/>
    <hyperlink ref="C32" location="'4 Expences'!A2" display="4.1 Expences Group"/>
    <hyperlink ref="C33" location="'4 Expences'!A44" display="4.2 Expences Parent bank (Pro-forma)"/>
    <hyperlink ref="C35" location="'5 Margins'!A2" display="5.1 Deposit margins"/>
    <hyperlink ref="C36" location="'5 Margins'!A31" display="5.2 Lending margins"/>
    <hyperlink ref="C38" location="'6 Lending'!A2" display="6.1 Development in volumes - Loans to customers"/>
    <hyperlink ref="C41" location="'7 Deposits'!A2" display="7.1 Development in volumes - Deposits from customers"/>
    <hyperlink ref="B25" location="'2 Results and key figures'!A1" display="'2 Results and key figures'!A1"/>
    <hyperlink ref="B26" location="'3 Income'!A1" display="'3 Income'!A1"/>
    <hyperlink ref="B31" location="'4 Expences'!A1" display="'4 Expences'!A1"/>
    <hyperlink ref="B34" location="'5 Margins'!A1" display="'5 Margins'!A1"/>
    <hyperlink ref="B37" location="'6 Lending'!A1" display="'6 Lending'!A1"/>
    <hyperlink ref="B40" location="'7 Deposits'!A1" display="'7 Deposits'!A1"/>
    <hyperlink ref="C4" location="'1 APM'!A2" display="APM"/>
    <hyperlink ref="C5" location="'1 APM'!A28" display="1.1 Return on equity capital "/>
    <hyperlink ref="C6" location="'1 APM'!A33" display="1.2 Cost-income-ratio "/>
    <hyperlink ref="C7" location="'1 APM'!A38" display="1.3 Gross loans including loans transferred to covered bond companies"/>
    <hyperlink ref="C8" location="'1 APM'!A44" display="1.4 Growth in loans during the last 12 months in per cent"/>
    <hyperlink ref="C9" location="'1 APM'!A51" display="1.5 Growth in loans incl. Loans transferred to covered bond companies during the last 12 months in per cent"/>
    <hyperlink ref="C10" location="'1 APM'!A56" display="1.6 Cost-income-ratio"/>
    <hyperlink ref="C11" location="'1 APM'!A61" display="1.7 Cost-income-ratio incl. loans transferred to covered bond companies"/>
    <hyperlink ref="C12" location="'1 APM'!A68" display="1.8 Growth in deposits in the last 12 months in per cent"/>
    <hyperlink ref="C13" location="'1 APM'!A78" display="1.9 Total assets incl. Loans transferred to covered bond companies (Business capital)"/>
    <hyperlink ref="C14" location="'1 APM'!A85" display="1.10 Losses on loans and guarantees as a percentageof gross loans"/>
    <hyperlink ref="C15" location="'1 APM'!A90" display="1.11 Brutto misligholdte engasjement i prosent av brutto utlån"/>
    <hyperlink ref="C16" location="'1 APM'!A94" display="1.12 Brutto øvrige tapsutsatte engasjement i prosent av brutto utlån "/>
    <hyperlink ref="C17" location="'1 APM'!A100" display="1.13 Net commitments in default and other doutful commitments,  percentage of gross loans"/>
    <hyperlink ref="C18" location="'1 APM'!A105" display="1.14 Loan loss impairment ratio on defaulted commitments"/>
    <hyperlink ref="C19" location="'1 APM'!A109" display="1.15 Loan loss impairment ratio on doubtful commitments"/>
    <hyperlink ref="C20" location="'1 APM'!A114" display="1.16 Equity ratio"/>
    <hyperlink ref="C21" location="'1 APM'!A127" display="1.17 Book equity per EC"/>
    <hyperlink ref="C22" location="'1 APM'!A134" display="1.18 Earnings per equity certificate (in NOK)"/>
    <hyperlink ref="C23" location="'1 APM'!A140" display="1.19 Price/Earnings per EC"/>
    <hyperlink ref="C24" location="'1 APM'!A144" display="1.20 Price/Book equity"/>
    <hyperlink ref="C25" location="'2 Results and key figures'!A1" display="Results from the quarterly accounts Group"/>
    <hyperlink ref="B4" location="'1 APM'!A1" display="'1 APM'!A1"/>
    <hyperlink ref="C43" location="'9 Customers'!A2" display="Customers"/>
    <hyperlink ref="C44" location="'9 Customers'!A2" display="9.1 Number of customers"/>
    <hyperlink ref="B43" location="'9 Customers'!A1" display="'9 Customers'!A1"/>
    <hyperlink ref="C42" location="'7 Deposits'!A37" display="7.2 Deposits sensitive to changes in the NIBOR rate"/>
    <hyperlink ref="C39" location="'6 Lending'!A41" display="6.2 Loans sensitive to changes in the NIBOR rate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"/>
  <sheetViews>
    <sheetView showGridLines="0" workbookViewId="0">
      <pane ySplit="5" topLeftCell="A6" activePane="bottomLeft" state="frozen"/>
      <selection pane="bottomLeft" activeCell="A178" sqref="A178"/>
    </sheetView>
  </sheetViews>
  <sheetFormatPr baseColWidth="10" defaultRowHeight="12.75"/>
  <cols>
    <col min="1" max="1" width="81.7109375" customWidth="1"/>
    <col min="2" max="2" width="106.5703125" customWidth="1"/>
  </cols>
  <sheetData>
    <row r="1" spans="1:30" ht="15">
      <c r="A1" s="248">
        <v>365</v>
      </c>
    </row>
    <row r="2" spans="1:30" ht="15">
      <c r="A2" s="20" t="s">
        <v>177</v>
      </c>
    </row>
    <row r="5" spans="1:30" ht="15">
      <c r="A5" s="247"/>
      <c r="B5" s="256"/>
      <c r="C5" s="355">
        <v>43281</v>
      </c>
      <c r="D5" s="257" t="s">
        <v>307</v>
      </c>
      <c r="E5" s="355">
        <v>43190</v>
      </c>
      <c r="F5" s="257" t="s">
        <v>308</v>
      </c>
      <c r="G5" s="355">
        <v>43100</v>
      </c>
      <c r="H5" s="257" t="s">
        <v>306</v>
      </c>
      <c r="I5" s="355">
        <v>43008</v>
      </c>
      <c r="J5" s="257" t="s">
        <v>305</v>
      </c>
      <c r="K5" s="355">
        <v>42916</v>
      </c>
      <c r="L5" s="257" t="s">
        <v>304</v>
      </c>
      <c r="M5" s="355">
        <v>42825</v>
      </c>
      <c r="N5" s="257" t="s">
        <v>303</v>
      </c>
      <c r="O5" s="355">
        <v>42735</v>
      </c>
      <c r="P5" s="257" t="s">
        <v>302</v>
      </c>
      <c r="Q5" s="355">
        <v>42643</v>
      </c>
      <c r="R5" s="257" t="s">
        <v>301</v>
      </c>
      <c r="S5" s="355">
        <v>42551</v>
      </c>
      <c r="T5" s="257" t="s">
        <v>300</v>
      </c>
      <c r="U5" s="355">
        <v>42460</v>
      </c>
      <c r="V5" s="257" t="s">
        <v>299</v>
      </c>
      <c r="W5" s="355">
        <v>42369</v>
      </c>
      <c r="X5" s="257" t="s">
        <v>298</v>
      </c>
      <c r="Y5" s="355">
        <v>42277</v>
      </c>
      <c r="Z5" s="257" t="s">
        <v>297</v>
      </c>
      <c r="AA5" s="355">
        <v>42185</v>
      </c>
      <c r="AB5" s="257" t="s">
        <v>296</v>
      </c>
      <c r="AC5" s="355">
        <v>42094</v>
      </c>
      <c r="AD5" s="257" t="s">
        <v>295</v>
      </c>
    </row>
    <row r="6" spans="1:30" ht="15">
      <c r="A6" s="247"/>
      <c r="B6" s="256"/>
      <c r="C6" s="353">
        <v>43101</v>
      </c>
      <c r="D6" s="353">
        <v>43191</v>
      </c>
      <c r="E6" s="353">
        <v>43101</v>
      </c>
      <c r="F6" s="353">
        <v>43101</v>
      </c>
      <c r="G6" s="353">
        <v>42736</v>
      </c>
      <c r="H6" s="353">
        <v>43009</v>
      </c>
      <c r="I6" s="353">
        <v>42736</v>
      </c>
      <c r="J6" s="353">
        <v>42917</v>
      </c>
      <c r="K6" s="353">
        <v>42736</v>
      </c>
      <c r="L6" s="353">
        <v>42826</v>
      </c>
      <c r="M6" s="353">
        <v>42736</v>
      </c>
      <c r="N6" s="353">
        <v>42736</v>
      </c>
      <c r="O6" s="353">
        <v>42370</v>
      </c>
      <c r="P6" s="353">
        <v>42644</v>
      </c>
      <c r="Q6" s="353">
        <v>42370</v>
      </c>
      <c r="R6" s="353">
        <v>42552</v>
      </c>
      <c r="S6" s="353">
        <v>42370</v>
      </c>
      <c r="T6" s="353">
        <v>42461</v>
      </c>
      <c r="U6" s="353">
        <v>42370</v>
      </c>
      <c r="V6" s="353">
        <v>42370</v>
      </c>
      <c r="W6" s="353">
        <v>42005</v>
      </c>
      <c r="X6" s="353">
        <v>42278</v>
      </c>
      <c r="Y6" s="353">
        <v>42005</v>
      </c>
      <c r="Z6" s="353">
        <v>42186</v>
      </c>
      <c r="AA6" s="353">
        <v>42005</v>
      </c>
      <c r="AB6" s="353">
        <v>42095</v>
      </c>
      <c r="AC6" s="353">
        <v>42005</v>
      </c>
      <c r="AD6" s="353">
        <v>42005</v>
      </c>
    </row>
    <row r="7" spans="1:30" ht="15">
      <c r="A7" s="247"/>
      <c r="B7" s="258"/>
      <c r="C7" s="354">
        <v>43281</v>
      </c>
      <c r="D7" s="354">
        <v>43281</v>
      </c>
      <c r="E7" s="354">
        <v>43190</v>
      </c>
      <c r="F7" s="354">
        <v>43190</v>
      </c>
      <c r="G7" s="354">
        <v>43100</v>
      </c>
      <c r="H7" s="354">
        <v>43100</v>
      </c>
      <c r="I7" s="354">
        <v>43008</v>
      </c>
      <c r="J7" s="354">
        <v>43008</v>
      </c>
      <c r="K7" s="354">
        <v>42916</v>
      </c>
      <c r="L7" s="354">
        <v>42916</v>
      </c>
      <c r="M7" s="354">
        <v>42825</v>
      </c>
      <c r="N7" s="354">
        <v>42825</v>
      </c>
      <c r="O7" s="354">
        <v>42735</v>
      </c>
      <c r="P7" s="354">
        <v>42735</v>
      </c>
      <c r="Q7" s="354">
        <v>42643</v>
      </c>
      <c r="R7" s="354">
        <v>42643</v>
      </c>
      <c r="S7" s="354">
        <v>42551</v>
      </c>
      <c r="T7" s="354">
        <v>42551</v>
      </c>
      <c r="U7" s="354">
        <v>42460</v>
      </c>
      <c r="V7" s="354">
        <v>42460</v>
      </c>
      <c r="W7" s="354">
        <v>42369</v>
      </c>
      <c r="X7" s="354">
        <v>42369</v>
      </c>
      <c r="Y7" s="354">
        <v>42277</v>
      </c>
      <c r="Z7" s="354">
        <v>42277</v>
      </c>
      <c r="AA7" s="354">
        <v>42185</v>
      </c>
      <c r="AB7" s="354">
        <v>42185</v>
      </c>
      <c r="AC7" s="354">
        <v>42094</v>
      </c>
      <c r="AD7" s="354">
        <v>42094</v>
      </c>
    </row>
    <row r="8" spans="1:30">
      <c r="B8" s="258" t="s">
        <v>191</v>
      </c>
      <c r="C8" s="258">
        <v>181</v>
      </c>
      <c r="D8" s="258">
        <v>91</v>
      </c>
      <c r="E8" s="258">
        <f>31+28+31</f>
        <v>90</v>
      </c>
      <c r="F8" s="258">
        <f>31+28+31</f>
        <v>90</v>
      </c>
      <c r="G8" s="258">
        <f>+H8+I8</f>
        <v>365</v>
      </c>
      <c r="H8" s="258">
        <f>31+30+31</f>
        <v>92</v>
      </c>
      <c r="I8" s="258">
        <f>+J8+K8</f>
        <v>273</v>
      </c>
      <c r="J8" s="258">
        <f>31+31+30</f>
        <v>92</v>
      </c>
      <c r="K8" s="258">
        <f>+L8+N8</f>
        <v>181</v>
      </c>
      <c r="L8" s="258">
        <f>30+31+30</f>
        <v>91</v>
      </c>
      <c r="M8" s="258">
        <f>+N8</f>
        <v>90</v>
      </c>
      <c r="N8" s="258">
        <f>31+28+31</f>
        <v>90</v>
      </c>
      <c r="O8" s="258">
        <f>+P8+Q8</f>
        <v>366</v>
      </c>
      <c r="P8" s="258">
        <f>31+30+31</f>
        <v>92</v>
      </c>
      <c r="Q8" s="258">
        <f>+R8+S8</f>
        <v>274</v>
      </c>
      <c r="R8" s="258">
        <f>31+31+30</f>
        <v>92</v>
      </c>
      <c r="S8" s="258">
        <f>+T8+U8</f>
        <v>182</v>
      </c>
      <c r="T8" s="258">
        <f>30+31+30</f>
        <v>91</v>
      </c>
      <c r="U8" s="258">
        <f>+V8</f>
        <v>91</v>
      </c>
      <c r="V8" s="258">
        <f>31+29+31</f>
        <v>91</v>
      </c>
      <c r="W8" s="258">
        <f>+X8+Y8</f>
        <v>365</v>
      </c>
      <c r="X8" s="258">
        <f>31+30+31</f>
        <v>92</v>
      </c>
      <c r="Y8" s="258">
        <f>+Z8+AA8</f>
        <v>273</v>
      </c>
      <c r="Z8" s="258">
        <f>31+31+30</f>
        <v>92</v>
      </c>
      <c r="AA8" s="258">
        <f>+AB8+AD8</f>
        <v>181</v>
      </c>
      <c r="AB8" s="258">
        <f>30+31+30</f>
        <v>91</v>
      </c>
      <c r="AC8" s="258">
        <f>+AD8</f>
        <v>90</v>
      </c>
      <c r="AD8" s="258">
        <f>31+28+31</f>
        <v>90</v>
      </c>
    </row>
    <row r="9" spans="1:30" ht="15">
      <c r="A9" s="248"/>
      <c r="B9" s="258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58"/>
      <c r="Y9" s="260"/>
      <c r="Z9" s="260"/>
      <c r="AA9" s="260"/>
      <c r="AB9" s="260"/>
      <c r="AC9" s="260"/>
      <c r="AD9" s="260"/>
    </row>
    <row r="10" spans="1:30">
      <c r="A10" s="249"/>
      <c r="B10" s="258" t="s">
        <v>40</v>
      </c>
      <c r="C10" s="261">
        <v>730.07992100000013</v>
      </c>
      <c r="D10" s="261">
        <v>416.1546219999999</v>
      </c>
      <c r="E10" s="261">
        <v>313.925299</v>
      </c>
      <c r="F10" s="261">
        <v>313.925299</v>
      </c>
      <c r="G10" s="261">
        <v>1262.8547599999997</v>
      </c>
      <c r="H10" s="261">
        <v>336.63084299999963</v>
      </c>
      <c r="I10" s="261">
        <v>925.79183999999987</v>
      </c>
      <c r="J10" s="261">
        <v>376.79184000000026</v>
      </c>
      <c r="K10" s="261">
        <v>547.89695000000029</v>
      </c>
      <c r="L10" s="261">
        <v>274.03295000000026</v>
      </c>
      <c r="M10" s="261">
        <v>273.86399999999986</v>
      </c>
      <c r="N10" s="261">
        <v>273.86399999999986</v>
      </c>
      <c r="O10" s="261">
        <v>1099.5794989999999</v>
      </c>
      <c r="P10" s="261">
        <v>281.49246836999998</v>
      </c>
      <c r="Q10" s="261">
        <v>819.40027437000026</v>
      </c>
      <c r="R10" s="261">
        <v>423.74120293000004</v>
      </c>
      <c r="S10" s="261">
        <v>395.73999999999995</v>
      </c>
      <c r="T10" s="261">
        <v>227.20000000000005</v>
      </c>
      <c r="U10" s="261">
        <v>169.01000000000002</v>
      </c>
      <c r="V10" s="261">
        <v>169.01000000000002</v>
      </c>
      <c r="W10" s="261">
        <v>929.5</v>
      </c>
      <c r="X10" s="261">
        <v>193.50000000000006</v>
      </c>
      <c r="Y10" s="261">
        <v>735.88799999999992</v>
      </c>
      <c r="Z10" s="261">
        <v>307.29000000000008</v>
      </c>
      <c r="AA10" s="261">
        <v>430</v>
      </c>
      <c r="AB10" s="261">
        <v>190</v>
      </c>
      <c r="AC10" s="261">
        <v>240</v>
      </c>
      <c r="AD10" s="261">
        <v>240</v>
      </c>
    </row>
    <row r="11" spans="1:30">
      <c r="A11" s="249"/>
      <c r="B11" s="262" t="s">
        <v>192</v>
      </c>
      <c r="C11" s="263">
        <v>8.4983880000000021</v>
      </c>
      <c r="D11" s="263">
        <v>4.357888</v>
      </c>
      <c r="E11" s="263">
        <v>4.140500000000003</v>
      </c>
      <c r="F11" s="263">
        <v>4.140500000000003</v>
      </c>
      <c r="G11" s="263">
        <v>17.059778000000001</v>
      </c>
      <c r="H11" s="263">
        <v>4.1101669999999997</v>
      </c>
      <c r="I11" s="263">
        <v>12.660722</v>
      </c>
      <c r="J11" s="263">
        <v>4.1961110000000001</v>
      </c>
      <c r="K11" s="263">
        <v>8.3062780000000007</v>
      </c>
      <c r="L11" s="263">
        <v>4.3544444000000002</v>
      </c>
      <c r="M11" s="263">
        <v>4.3990559999999999</v>
      </c>
      <c r="N11" s="263">
        <v>4.3990559999999999</v>
      </c>
      <c r="O11" s="263">
        <v>13.238778</v>
      </c>
      <c r="P11" s="263">
        <v>4.4033889999999998</v>
      </c>
      <c r="Q11" s="263">
        <v>8.8353889999999993</v>
      </c>
      <c r="R11" s="263">
        <v>4.3999449999999998</v>
      </c>
      <c r="S11" s="263">
        <f>4.435444</f>
        <v>4.4354440000000004</v>
      </c>
      <c r="T11" s="263">
        <f>4.435444</f>
        <v>4.4354440000000004</v>
      </c>
      <c r="U11" s="263">
        <v>0</v>
      </c>
      <c r="V11" s="263">
        <v>0</v>
      </c>
      <c r="W11" s="263">
        <v>0</v>
      </c>
      <c r="X11" s="263">
        <v>0</v>
      </c>
      <c r="Y11" s="263">
        <v>0</v>
      </c>
      <c r="Z11" s="263">
        <v>0</v>
      </c>
      <c r="AA11" s="263">
        <v>0</v>
      </c>
      <c r="AB11" s="263">
        <v>0</v>
      </c>
      <c r="AC11" s="263">
        <v>0</v>
      </c>
      <c r="AD11" s="263">
        <v>0</v>
      </c>
    </row>
    <row r="12" spans="1:30">
      <c r="A12" s="249"/>
      <c r="B12" s="262" t="s">
        <v>193</v>
      </c>
      <c r="C12" s="263">
        <f t="shared" ref="C12:D12" si="0">+C11*0.25</f>
        <v>2.1245970000000005</v>
      </c>
      <c r="D12" s="263">
        <f t="shared" si="0"/>
        <v>1.089472</v>
      </c>
      <c r="E12" s="263">
        <f t="shared" ref="E12:T12" si="1">+E11*0.25</f>
        <v>1.0351250000000007</v>
      </c>
      <c r="F12" s="263">
        <f t="shared" si="1"/>
        <v>1.0351250000000007</v>
      </c>
      <c r="G12" s="263">
        <f t="shared" si="1"/>
        <v>4.2649445000000004</v>
      </c>
      <c r="H12" s="263">
        <f t="shared" si="1"/>
        <v>1.0275417499999999</v>
      </c>
      <c r="I12" s="263">
        <f t="shared" si="1"/>
        <v>3.1651805</v>
      </c>
      <c r="J12" s="263">
        <f t="shared" si="1"/>
        <v>1.04902775</v>
      </c>
      <c r="K12" s="263">
        <f t="shared" si="1"/>
        <v>2.0765695000000002</v>
      </c>
      <c r="L12" s="263">
        <f t="shared" si="1"/>
        <v>1.0886111000000001</v>
      </c>
      <c r="M12" s="263">
        <f t="shared" si="1"/>
        <v>1.099764</v>
      </c>
      <c r="N12" s="263">
        <f t="shared" si="1"/>
        <v>1.099764</v>
      </c>
      <c r="O12" s="263">
        <f t="shared" si="1"/>
        <v>3.3096945</v>
      </c>
      <c r="P12" s="263">
        <f t="shared" si="1"/>
        <v>1.1008472499999999</v>
      </c>
      <c r="Q12" s="263">
        <f t="shared" si="1"/>
        <v>2.2088472499999998</v>
      </c>
      <c r="R12" s="263">
        <f t="shared" si="1"/>
        <v>1.0999862499999999</v>
      </c>
      <c r="S12" s="263">
        <f t="shared" si="1"/>
        <v>1.1088610000000001</v>
      </c>
      <c r="T12" s="263">
        <f t="shared" si="1"/>
        <v>1.1088610000000001</v>
      </c>
      <c r="U12" s="263">
        <v>0</v>
      </c>
      <c r="V12" s="263">
        <v>0</v>
      </c>
      <c r="W12" s="263">
        <v>0</v>
      </c>
      <c r="X12" s="263">
        <v>0</v>
      </c>
      <c r="Y12" s="263">
        <v>0</v>
      </c>
      <c r="Z12" s="263">
        <v>0</v>
      </c>
      <c r="AA12" s="263">
        <v>0</v>
      </c>
      <c r="AB12" s="263">
        <v>0</v>
      </c>
      <c r="AC12" s="263">
        <v>0</v>
      </c>
      <c r="AD12" s="263">
        <v>0</v>
      </c>
    </row>
    <row r="13" spans="1:30">
      <c r="A13" s="110"/>
      <c r="B13" s="264" t="s">
        <v>194</v>
      </c>
      <c r="C13" s="265">
        <f>C11-C12</f>
        <v>6.3737910000000015</v>
      </c>
      <c r="D13" s="265">
        <f t="shared" ref="D13" si="2">D11-D12</f>
        <v>3.2684160000000002</v>
      </c>
      <c r="E13" s="265">
        <f>E11-E12</f>
        <v>3.1053750000000022</v>
      </c>
      <c r="F13" s="265">
        <f t="shared" ref="F13:T13" si="3">F11-F12</f>
        <v>3.1053750000000022</v>
      </c>
      <c r="G13" s="265">
        <f t="shared" si="3"/>
        <v>12.794833500000001</v>
      </c>
      <c r="H13" s="265">
        <f t="shared" si="3"/>
        <v>3.0826252499999995</v>
      </c>
      <c r="I13" s="265">
        <f t="shared" si="3"/>
        <v>9.4955414999999999</v>
      </c>
      <c r="J13" s="265">
        <f t="shared" si="3"/>
        <v>3.1470832500000001</v>
      </c>
      <c r="K13" s="265">
        <f t="shared" si="3"/>
        <v>6.229708500000001</v>
      </c>
      <c r="L13" s="265">
        <f t="shared" si="3"/>
        <v>3.2658333000000002</v>
      </c>
      <c r="M13" s="265">
        <f t="shared" si="3"/>
        <v>3.2992919999999999</v>
      </c>
      <c r="N13" s="265">
        <f t="shared" si="3"/>
        <v>3.2992919999999999</v>
      </c>
      <c r="O13" s="265">
        <f t="shared" si="3"/>
        <v>9.9290835000000008</v>
      </c>
      <c r="P13" s="265">
        <f t="shared" si="3"/>
        <v>3.3025417499999996</v>
      </c>
      <c r="Q13" s="265">
        <f t="shared" si="3"/>
        <v>6.6265417499999995</v>
      </c>
      <c r="R13" s="265">
        <f t="shared" si="3"/>
        <v>3.2999587500000001</v>
      </c>
      <c r="S13" s="265">
        <f t="shared" si="3"/>
        <v>3.3265830000000003</v>
      </c>
      <c r="T13" s="265">
        <f t="shared" si="3"/>
        <v>3.3265830000000003</v>
      </c>
      <c r="U13" s="265">
        <v>0</v>
      </c>
      <c r="V13" s="265">
        <v>0</v>
      </c>
      <c r="W13" s="265">
        <v>0</v>
      </c>
      <c r="X13" s="265">
        <v>0</v>
      </c>
      <c r="Y13" s="265">
        <v>0</v>
      </c>
      <c r="Z13" s="265">
        <v>0</v>
      </c>
      <c r="AA13" s="265">
        <v>0</v>
      </c>
      <c r="AB13" s="265">
        <v>0</v>
      </c>
      <c r="AC13" s="265">
        <v>0</v>
      </c>
      <c r="AD13" s="265">
        <v>0</v>
      </c>
    </row>
    <row r="14" spans="1:30">
      <c r="A14" s="249"/>
      <c r="B14" s="258" t="s">
        <v>195</v>
      </c>
      <c r="C14" s="261">
        <f>+C10-C13</f>
        <v>723.70613000000014</v>
      </c>
      <c r="D14" s="261">
        <f t="shared" ref="D14" si="4">+D10-D13</f>
        <v>412.8862059999999</v>
      </c>
      <c r="E14" s="261">
        <f>+E10-E13</f>
        <v>310.81992400000001</v>
      </c>
      <c r="F14" s="261">
        <f t="shared" ref="F14:R14" si="5">+F10-F13</f>
        <v>310.81992400000001</v>
      </c>
      <c r="G14" s="261">
        <f t="shared" si="5"/>
        <v>1250.0599264999996</v>
      </c>
      <c r="H14" s="261">
        <f t="shared" si="5"/>
        <v>333.54821774999965</v>
      </c>
      <c r="I14" s="261">
        <f t="shared" si="5"/>
        <v>916.29629849999992</v>
      </c>
      <c r="J14" s="261">
        <f t="shared" si="5"/>
        <v>373.64475675000028</v>
      </c>
      <c r="K14" s="261">
        <f t="shared" si="5"/>
        <v>541.66724150000027</v>
      </c>
      <c r="L14" s="261">
        <f t="shared" si="5"/>
        <v>270.76711670000026</v>
      </c>
      <c r="M14" s="261">
        <f t="shared" si="5"/>
        <v>270.56470799999988</v>
      </c>
      <c r="N14" s="261">
        <f t="shared" si="5"/>
        <v>270.56470799999988</v>
      </c>
      <c r="O14" s="261">
        <f t="shared" si="5"/>
        <v>1089.6504155</v>
      </c>
      <c r="P14" s="261">
        <f t="shared" si="5"/>
        <v>278.18992661999999</v>
      </c>
      <c r="Q14" s="261">
        <f t="shared" si="5"/>
        <v>812.77373262000026</v>
      </c>
      <c r="R14" s="261">
        <f t="shared" si="5"/>
        <v>420.44124418000007</v>
      </c>
      <c r="S14" s="261">
        <f t="shared" ref="S14:AC14" si="6">+S10-S11</f>
        <v>391.30455599999993</v>
      </c>
      <c r="T14" s="261">
        <f t="shared" si="6"/>
        <v>222.76455600000006</v>
      </c>
      <c r="U14" s="261">
        <f t="shared" si="6"/>
        <v>169.01000000000002</v>
      </c>
      <c r="V14" s="261">
        <f t="shared" si="6"/>
        <v>169.01000000000002</v>
      </c>
      <c r="W14" s="261">
        <f t="shared" si="6"/>
        <v>929.5</v>
      </c>
      <c r="X14" s="261">
        <f t="shared" si="6"/>
        <v>193.50000000000006</v>
      </c>
      <c r="Y14" s="261">
        <f t="shared" si="6"/>
        <v>735.88799999999992</v>
      </c>
      <c r="Z14" s="261">
        <f t="shared" si="6"/>
        <v>307.29000000000008</v>
      </c>
      <c r="AA14" s="261">
        <f t="shared" si="6"/>
        <v>430</v>
      </c>
      <c r="AB14" s="261">
        <f t="shared" si="6"/>
        <v>190</v>
      </c>
      <c r="AC14" s="261">
        <f t="shared" si="6"/>
        <v>240</v>
      </c>
      <c r="AD14" s="266">
        <v>240</v>
      </c>
    </row>
    <row r="15" spans="1:30">
      <c r="A15" s="249"/>
      <c r="B15" s="258"/>
      <c r="C15" s="267"/>
      <c r="D15" s="267"/>
      <c r="E15" s="267"/>
      <c r="F15" s="267"/>
      <c r="G15" s="267"/>
      <c r="H15" s="267"/>
      <c r="I15" s="267"/>
      <c r="J15" s="261"/>
      <c r="K15" s="267"/>
      <c r="L15" s="267"/>
      <c r="M15" s="267"/>
      <c r="N15" s="267"/>
      <c r="O15" s="267"/>
      <c r="P15" s="267"/>
      <c r="Q15" s="261"/>
      <c r="R15" s="261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8"/>
    </row>
    <row r="16" spans="1:30">
      <c r="A16" s="249"/>
      <c r="B16" s="258"/>
      <c r="C16" s="267"/>
      <c r="D16" s="267"/>
      <c r="E16" s="267"/>
      <c r="F16" s="267"/>
      <c r="G16" s="267"/>
      <c r="H16" s="267"/>
      <c r="I16" s="267"/>
      <c r="J16" s="261"/>
      <c r="K16" s="267"/>
      <c r="L16" s="267"/>
      <c r="M16" s="267"/>
      <c r="N16" s="267"/>
      <c r="O16" s="267"/>
      <c r="P16" s="267"/>
      <c r="Q16" s="261"/>
      <c r="R16" s="261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8"/>
    </row>
    <row r="17" spans="1:30" ht="15">
      <c r="A17" s="248"/>
      <c r="B17" s="258"/>
      <c r="C17" s="267"/>
      <c r="D17" s="267"/>
      <c r="E17" s="267"/>
      <c r="F17" s="267"/>
      <c r="G17" s="267"/>
      <c r="H17" s="267"/>
      <c r="I17" s="267"/>
      <c r="J17" s="261"/>
      <c r="K17" s="267"/>
      <c r="L17" s="267"/>
      <c r="M17" s="267"/>
      <c r="N17" s="267"/>
      <c r="O17" s="267"/>
      <c r="P17" s="267"/>
      <c r="Q17" s="261"/>
      <c r="R17" s="261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</row>
    <row r="18" spans="1:30" ht="15">
      <c r="A18" s="248"/>
      <c r="B18" s="258"/>
      <c r="C18" s="267"/>
      <c r="D18" s="267"/>
      <c r="E18" s="267"/>
      <c r="F18" s="267"/>
      <c r="G18" s="267"/>
      <c r="H18" s="267"/>
      <c r="I18" s="267"/>
      <c r="J18" s="261"/>
      <c r="K18" s="267"/>
      <c r="L18" s="267"/>
      <c r="M18" s="267"/>
      <c r="N18" s="267"/>
      <c r="O18" s="267"/>
      <c r="P18" s="267"/>
      <c r="Q18" s="261"/>
      <c r="R18" s="261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</row>
    <row r="19" spans="1:30">
      <c r="A19" s="249"/>
      <c r="B19" s="258" t="s">
        <v>196</v>
      </c>
      <c r="C19" s="261">
        <v>13419.826445000001</v>
      </c>
      <c r="D19" s="261">
        <v>13419.826445000001</v>
      </c>
      <c r="E19" s="261">
        <v>13006.999244000001</v>
      </c>
      <c r="F19" s="261">
        <v>13006.999244000001</v>
      </c>
      <c r="G19" s="261">
        <v>13331.214576718428</v>
      </c>
      <c r="H19" s="261">
        <v>13331.214576718428</v>
      </c>
      <c r="I19" s="261">
        <v>12991.201010299999</v>
      </c>
      <c r="J19" s="261">
        <v>12991.201010299999</v>
      </c>
      <c r="K19" s="261">
        <v>12591.153999999999</v>
      </c>
      <c r="L19" s="261">
        <v>12591.153999999999</v>
      </c>
      <c r="M19" s="261">
        <v>12369.748290755098</v>
      </c>
      <c r="N19" s="261">
        <v>12369.748290755098</v>
      </c>
      <c r="O19" s="261">
        <v>12107.396449</v>
      </c>
      <c r="P19" s="261">
        <v>12107.396449</v>
      </c>
      <c r="Q19" s="261">
        <v>11775.9</v>
      </c>
      <c r="R19" s="261">
        <v>11775.9</v>
      </c>
      <c r="S19" s="261">
        <f>11350.12103489-400</f>
        <v>10950.12103489</v>
      </c>
      <c r="T19" s="261">
        <f>11350.12103489-400</f>
        <v>10950.12103489</v>
      </c>
      <c r="U19" s="261">
        <v>8995.4</v>
      </c>
      <c r="V19" s="261">
        <f>+U19</f>
        <v>8995.4</v>
      </c>
      <c r="W19" s="261">
        <v>8717.7999999999993</v>
      </c>
      <c r="X19" s="261">
        <f>+W19</f>
        <v>8717.7999999999993</v>
      </c>
      <c r="Y19" s="261">
        <v>8449.2000000000007</v>
      </c>
      <c r="Z19" s="261">
        <f>+Y19</f>
        <v>8449.2000000000007</v>
      </c>
      <c r="AA19" s="261">
        <v>8128</v>
      </c>
      <c r="AB19" s="261">
        <f>+AA19</f>
        <v>8128</v>
      </c>
      <c r="AC19" s="261">
        <v>7889</v>
      </c>
      <c r="AD19" s="261">
        <f>+AC19</f>
        <v>7889</v>
      </c>
    </row>
    <row r="20" spans="1:30">
      <c r="A20" s="249"/>
      <c r="B20" s="264" t="s">
        <v>197</v>
      </c>
      <c r="C20" s="265">
        <v>400</v>
      </c>
      <c r="D20" s="265">
        <v>400</v>
      </c>
      <c r="E20" s="265">
        <v>400</v>
      </c>
      <c r="F20" s="265">
        <v>400</v>
      </c>
      <c r="G20" s="265">
        <v>400</v>
      </c>
      <c r="H20" s="265">
        <v>400</v>
      </c>
      <c r="I20" s="265">
        <v>400</v>
      </c>
      <c r="J20" s="265">
        <v>400</v>
      </c>
      <c r="K20" s="265">
        <v>400</v>
      </c>
      <c r="L20" s="265">
        <v>400</v>
      </c>
      <c r="M20" s="265">
        <v>400</v>
      </c>
      <c r="N20" s="265">
        <v>400</v>
      </c>
      <c r="O20" s="265">
        <v>400</v>
      </c>
      <c r="P20" s="265">
        <v>400</v>
      </c>
      <c r="Q20" s="265">
        <v>400</v>
      </c>
      <c r="R20" s="265">
        <v>400</v>
      </c>
      <c r="S20" s="265">
        <v>400</v>
      </c>
      <c r="T20" s="265">
        <v>400</v>
      </c>
      <c r="U20" s="265">
        <v>0</v>
      </c>
      <c r="V20" s="265">
        <v>0</v>
      </c>
      <c r="W20" s="265">
        <v>0</v>
      </c>
      <c r="X20" s="265">
        <v>0</v>
      </c>
      <c r="Y20" s="265">
        <v>0</v>
      </c>
      <c r="Z20" s="265">
        <v>0</v>
      </c>
      <c r="AA20" s="265">
        <v>0</v>
      </c>
      <c r="AB20" s="265">
        <v>0</v>
      </c>
      <c r="AC20" s="265">
        <v>0</v>
      </c>
      <c r="AD20" s="265">
        <v>0</v>
      </c>
    </row>
    <row r="21" spans="1:30">
      <c r="A21" s="249"/>
      <c r="B21" s="258" t="s">
        <v>198</v>
      </c>
      <c r="C21" s="261">
        <f>C19-C20</f>
        <v>13019.826445000001</v>
      </c>
      <c r="D21" s="261">
        <f t="shared" ref="D21" si="7">D19-D20</f>
        <v>13019.826445000001</v>
      </c>
      <c r="E21" s="261">
        <f>E19-E20</f>
        <v>12606.999244000001</v>
      </c>
      <c r="F21" s="261">
        <f t="shared" ref="F21:AD21" si="8">F19-F20</f>
        <v>12606.999244000001</v>
      </c>
      <c r="G21" s="261">
        <f t="shared" si="8"/>
        <v>12931.214576718428</v>
      </c>
      <c r="H21" s="261">
        <f t="shared" si="8"/>
        <v>12931.214576718428</v>
      </c>
      <c r="I21" s="261">
        <f t="shared" si="8"/>
        <v>12591.201010299999</v>
      </c>
      <c r="J21" s="261">
        <f t="shared" si="8"/>
        <v>12591.201010299999</v>
      </c>
      <c r="K21" s="261">
        <f t="shared" si="8"/>
        <v>12191.153999999999</v>
      </c>
      <c r="L21" s="261">
        <f t="shared" si="8"/>
        <v>12191.153999999999</v>
      </c>
      <c r="M21" s="261">
        <f t="shared" si="8"/>
        <v>11969.748290755098</v>
      </c>
      <c r="N21" s="261">
        <f t="shared" si="8"/>
        <v>11969.748290755098</v>
      </c>
      <c r="O21" s="261">
        <f t="shared" si="8"/>
        <v>11707.396449</v>
      </c>
      <c r="P21" s="261">
        <f t="shared" si="8"/>
        <v>11707.396449</v>
      </c>
      <c r="Q21" s="261">
        <f t="shared" si="8"/>
        <v>11375.9</v>
      </c>
      <c r="R21" s="261">
        <f t="shared" si="8"/>
        <v>11375.9</v>
      </c>
      <c r="S21" s="261">
        <f t="shared" si="8"/>
        <v>10550.12103489</v>
      </c>
      <c r="T21" s="261">
        <f t="shared" si="8"/>
        <v>10550.12103489</v>
      </c>
      <c r="U21" s="261">
        <f t="shared" si="8"/>
        <v>8995.4</v>
      </c>
      <c r="V21" s="261">
        <f t="shared" si="8"/>
        <v>8995.4</v>
      </c>
      <c r="W21" s="261">
        <f t="shared" si="8"/>
        <v>8717.7999999999993</v>
      </c>
      <c r="X21" s="261">
        <f t="shared" si="8"/>
        <v>8717.7999999999993</v>
      </c>
      <c r="Y21" s="261">
        <f t="shared" si="8"/>
        <v>8449.2000000000007</v>
      </c>
      <c r="Z21" s="261">
        <f t="shared" si="8"/>
        <v>8449.2000000000007</v>
      </c>
      <c r="AA21" s="261">
        <f t="shared" si="8"/>
        <v>8128</v>
      </c>
      <c r="AB21" s="261">
        <f t="shared" si="8"/>
        <v>8128</v>
      </c>
      <c r="AC21" s="261">
        <f t="shared" si="8"/>
        <v>7889</v>
      </c>
      <c r="AD21" s="261">
        <f t="shared" si="8"/>
        <v>7889</v>
      </c>
    </row>
    <row r="22" spans="1:30" ht="15">
      <c r="A22" s="248"/>
      <c r="B22" s="258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1"/>
      <c r="R22" s="261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</row>
    <row r="23" spans="1:30" ht="15">
      <c r="A23" s="248"/>
      <c r="B23" s="258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1"/>
      <c r="R23" s="261"/>
      <c r="S23" s="267"/>
      <c r="T23" s="267"/>
      <c r="U23" s="267"/>
      <c r="V23" s="267"/>
      <c r="W23" s="267"/>
      <c r="X23" s="267"/>
      <c r="Y23" s="267"/>
      <c r="Z23" s="267"/>
      <c r="AA23" s="261"/>
      <c r="AB23" s="267"/>
      <c r="AC23" s="267"/>
      <c r="AD23" s="267"/>
    </row>
    <row r="24" spans="1:30">
      <c r="A24" s="249"/>
      <c r="B24" s="259" t="s">
        <v>199</v>
      </c>
      <c r="C24" s="261">
        <f>(C21+E21+G21)/3</f>
        <v>12852.68008857281</v>
      </c>
      <c r="D24" s="258"/>
      <c r="E24" s="261">
        <f>(E21+G21)/2</f>
        <v>12769.106910359214</v>
      </c>
      <c r="F24" s="258"/>
      <c r="G24" s="261">
        <f>(G21+I21+K21+M21+O21)/5</f>
        <v>12278.142865354706</v>
      </c>
      <c r="H24" s="267"/>
      <c r="I24" s="261">
        <f>(I21+K21+M21+O21)/4</f>
        <v>12114.874937513774</v>
      </c>
      <c r="J24" s="261"/>
      <c r="K24" s="261">
        <f>(K21+M21+O21)/3</f>
        <v>11956.099579918366</v>
      </c>
      <c r="L24" s="261"/>
      <c r="M24" s="261">
        <f>(M21+O21)/2</f>
        <v>11838.572369877549</v>
      </c>
      <c r="N24" s="261"/>
      <c r="O24" s="261">
        <f>(O21+Q21+S21+U21+W21)/5</f>
        <v>10269.323496778001</v>
      </c>
      <c r="P24" s="261"/>
      <c r="Q24" s="261">
        <f>(Q21+S21+U21+W21)/4</f>
        <v>9909.8052587224993</v>
      </c>
      <c r="R24" s="261"/>
      <c r="S24" s="261">
        <f>(S21+U21+W21)/3</f>
        <v>9421.1070116299998</v>
      </c>
      <c r="T24" s="261"/>
      <c r="U24" s="261">
        <f>(U21+W21)/2</f>
        <v>8856.5999999999985</v>
      </c>
      <c r="V24" s="261"/>
      <c r="W24" s="261">
        <f>(W21+Y21+AA21+AC21+7624)/5</f>
        <v>8161.6</v>
      </c>
      <c r="X24" s="261"/>
      <c r="Y24" s="261">
        <f>(Y21+AA21+AC21+7624)/4</f>
        <v>8022.55</v>
      </c>
      <c r="Z24" s="269"/>
      <c r="AA24" s="261">
        <f>(AA21+AC21+7624)/3</f>
        <v>7880.333333333333</v>
      </c>
      <c r="AB24" s="267"/>
      <c r="AC24" s="261">
        <f>(AC21+7624)/2</f>
        <v>7756.5</v>
      </c>
      <c r="AD24" s="261"/>
    </row>
    <row r="25" spans="1:30">
      <c r="A25" s="249"/>
      <c r="B25" s="259" t="s">
        <v>200</v>
      </c>
      <c r="C25" s="261"/>
      <c r="D25" s="270">
        <f>+(C21+E21)/2</f>
        <v>12813.412844500001</v>
      </c>
      <c r="E25" s="261"/>
      <c r="F25" s="270">
        <f>+(E21+G21)/2</f>
        <v>12769.106910359214</v>
      </c>
      <c r="G25" s="267"/>
      <c r="H25" s="270">
        <f>+(G21+I21)/2</f>
        <v>12761.207793509213</v>
      </c>
      <c r="I25" s="261"/>
      <c r="J25" s="270">
        <f>+(I21+K21)/2</f>
        <v>12391.177505149999</v>
      </c>
      <c r="K25" s="261"/>
      <c r="L25" s="270">
        <f>+(K21+M21)/2</f>
        <v>12080.451145377549</v>
      </c>
      <c r="M25" s="261"/>
      <c r="N25" s="270">
        <f>+(M21+O21)/2</f>
        <v>11838.572369877549</v>
      </c>
      <c r="O25" s="261"/>
      <c r="P25" s="270">
        <f>+(O21+Q21)/2</f>
        <v>11541.648224500001</v>
      </c>
      <c r="Q25" s="261"/>
      <c r="R25" s="270">
        <f>+(Q21+S21)/2</f>
        <v>10963.010517445</v>
      </c>
      <c r="S25" s="261"/>
      <c r="T25" s="270">
        <f>+(S21+U21)/2</f>
        <v>9772.760517445</v>
      </c>
      <c r="U25" s="261"/>
      <c r="V25" s="270">
        <f>+(U21+W21)/2</f>
        <v>8856.5999999999985</v>
      </c>
      <c r="W25" s="261"/>
      <c r="X25" s="270">
        <f>+(W21+Y21)/2</f>
        <v>8583.5</v>
      </c>
      <c r="Y25" s="261"/>
      <c r="Z25" s="270">
        <f>+(Y21+AA21)/2</f>
        <v>8288.6</v>
      </c>
      <c r="AA25" s="267"/>
      <c r="AB25" s="270">
        <f>+(AA21+AC21)/2</f>
        <v>8008.5</v>
      </c>
      <c r="AC25" s="261"/>
      <c r="AD25" s="270">
        <f>+(AC21+7624)/2</f>
        <v>7756.5</v>
      </c>
    </row>
    <row r="26" spans="1:30" ht="15">
      <c r="A26" s="248"/>
      <c r="B26" s="258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1"/>
      <c r="R26" s="261"/>
      <c r="S26" s="267"/>
      <c r="T26" s="267"/>
      <c r="U26" s="267"/>
      <c r="V26" s="267"/>
      <c r="W26" s="261"/>
      <c r="X26" s="267"/>
      <c r="Y26" s="261"/>
      <c r="Z26" s="261"/>
      <c r="AA26" s="267"/>
      <c r="AB26" s="267"/>
      <c r="AC26" s="267"/>
      <c r="AD26" s="267"/>
    </row>
    <row r="27" spans="1:30">
      <c r="A27" s="249"/>
      <c r="B27" s="258" t="s">
        <v>201</v>
      </c>
      <c r="C27" s="261">
        <f>C14/C8*$A$1</f>
        <v>1459.4073892265196</v>
      </c>
      <c r="D27" s="261">
        <f t="shared" ref="D27" si="9">D14/D8*$A$1</f>
        <v>1656.0820350549448</v>
      </c>
      <c r="E27" s="261">
        <f>E14/E8*$A$1</f>
        <v>1260.5474695555556</v>
      </c>
      <c r="F27" s="261">
        <f t="shared" ref="F27:AD27" si="10">F14/F8*$A$1</f>
        <v>1260.5474695555556</v>
      </c>
      <c r="G27" s="261">
        <f t="shared" si="10"/>
        <v>1250.0599264999996</v>
      </c>
      <c r="H27" s="261">
        <f t="shared" si="10"/>
        <v>1323.3162986820639</v>
      </c>
      <c r="I27" s="261">
        <f t="shared" si="10"/>
        <v>1225.0847946978022</v>
      </c>
      <c r="J27" s="261">
        <f t="shared" si="10"/>
        <v>1482.3949588451098</v>
      </c>
      <c r="K27" s="261">
        <f t="shared" si="10"/>
        <v>1092.312393080111</v>
      </c>
      <c r="L27" s="261">
        <f t="shared" si="10"/>
        <v>1086.0439296208801</v>
      </c>
      <c r="M27" s="261">
        <f t="shared" si="10"/>
        <v>1097.2902046666661</v>
      </c>
      <c r="N27" s="261">
        <f t="shared" si="10"/>
        <v>1097.2902046666661</v>
      </c>
      <c r="O27" s="261">
        <f t="shared" si="10"/>
        <v>1086.6732285724045</v>
      </c>
      <c r="P27" s="261">
        <f t="shared" si="10"/>
        <v>1103.6882958293479</v>
      </c>
      <c r="Q27" s="261">
        <f t="shared" si="10"/>
        <v>1082.7095343295625</v>
      </c>
      <c r="R27" s="261">
        <f t="shared" si="10"/>
        <v>1668.0549361489132</v>
      </c>
      <c r="S27" s="261">
        <f t="shared" si="10"/>
        <v>784.75913703296692</v>
      </c>
      <c r="T27" s="261">
        <f t="shared" si="10"/>
        <v>893.50618615384633</v>
      </c>
      <c r="U27" s="261">
        <f t="shared" si="10"/>
        <v>677.89725274725276</v>
      </c>
      <c r="V27" s="261">
        <f t="shared" si="10"/>
        <v>677.89725274725276</v>
      </c>
      <c r="W27" s="261">
        <f t="shared" si="10"/>
        <v>929.5</v>
      </c>
      <c r="X27" s="261">
        <f t="shared" si="10"/>
        <v>767.6902173913046</v>
      </c>
      <c r="Y27" s="261">
        <f t="shared" si="10"/>
        <v>983.87956043956024</v>
      </c>
      <c r="Z27" s="261">
        <f t="shared" si="10"/>
        <v>1219.1396739130439</v>
      </c>
      <c r="AA27" s="261">
        <f t="shared" si="10"/>
        <v>867.12707182320435</v>
      </c>
      <c r="AB27" s="261">
        <f t="shared" si="10"/>
        <v>762.08791208791217</v>
      </c>
      <c r="AC27" s="261">
        <f t="shared" si="10"/>
        <v>973.33333333333326</v>
      </c>
      <c r="AD27" s="261">
        <f t="shared" si="10"/>
        <v>973.33333333333326</v>
      </c>
    </row>
    <row r="28" spans="1:30">
      <c r="A28" s="249"/>
      <c r="B28" s="258" t="s">
        <v>202</v>
      </c>
      <c r="C28" s="261">
        <f>+C24</f>
        <v>12852.68008857281</v>
      </c>
      <c r="D28" s="261">
        <f>+D25</f>
        <v>12813.412844500001</v>
      </c>
      <c r="E28" s="261">
        <f>+E24</f>
        <v>12769.106910359214</v>
      </c>
      <c r="F28" s="261">
        <f>+F25</f>
        <v>12769.106910359214</v>
      </c>
      <c r="G28" s="261">
        <f>G24</f>
        <v>12278.142865354706</v>
      </c>
      <c r="H28" s="261">
        <f>+H25</f>
        <v>12761.207793509213</v>
      </c>
      <c r="I28" s="261">
        <f>I24</f>
        <v>12114.874937513774</v>
      </c>
      <c r="J28" s="261">
        <f>+J25</f>
        <v>12391.177505149999</v>
      </c>
      <c r="K28" s="261">
        <f>K24</f>
        <v>11956.099579918366</v>
      </c>
      <c r="L28" s="261">
        <f>+L25</f>
        <v>12080.451145377549</v>
      </c>
      <c r="M28" s="261">
        <f>M24</f>
        <v>11838.572369877549</v>
      </c>
      <c r="N28" s="261">
        <f>+N25</f>
        <v>11838.572369877549</v>
      </c>
      <c r="O28" s="261">
        <f>O24</f>
        <v>10269.323496778001</v>
      </c>
      <c r="P28" s="261">
        <f>+P25</f>
        <v>11541.648224500001</v>
      </c>
      <c r="Q28" s="261">
        <f>Q24</f>
        <v>9909.8052587224993</v>
      </c>
      <c r="R28" s="261">
        <f>+R25</f>
        <v>10963.010517445</v>
      </c>
      <c r="S28" s="261">
        <f>S24</f>
        <v>9421.1070116299998</v>
      </c>
      <c r="T28" s="261">
        <f>+T25</f>
        <v>9772.760517445</v>
      </c>
      <c r="U28" s="261">
        <f>U24</f>
        <v>8856.5999999999985</v>
      </c>
      <c r="V28" s="261">
        <f>+V25</f>
        <v>8856.5999999999985</v>
      </c>
      <c r="W28" s="261">
        <f>W24</f>
        <v>8161.6</v>
      </c>
      <c r="X28" s="261">
        <f>+X25</f>
        <v>8583.5</v>
      </c>
      <c r="Y28" s="261">
        <f>Y24</f>
        <v>8022.55</v>
      </c>
      <c r="Z28" s="261">
        <f>+Z25</f>
        <v>8288.6</v>
      </c>
      <c r="AA28" s="261">
        <f>AA24</f>
        <v>7880.333333333333</v>
      </c>
      <c r="AB28" s="261">
        <f>+AB25</f>
        <v>8008.5</v>
      </c>
      <c r="AC28" s="261">
        <f>AC24</f>
        <v>7756.5</v>
      </c>
      <c r="AD28" s="261">
        <f>+AD25</f>
        <v>7756.5</v>
      </c>
    </row>
    <row r="29" spans="1:30" ht="13.5" thickBot="1">
      <c r="A29" s="326" t="s">
        <v>264</v>
      </c>
      <c r="B29" s="271" t="s">
        <v>203</v>
      </c>
      <c r="C29" s="272">
        <f>C27/C28</f>
        <v>0.11354887690109584</v>
      </c>
      <c r="D29" s="272">
        <f t="shared" ref="D29" si="11">D27/D28</f>
        <v>0.1292459749133735</v>
      </c>
      <c r="E29" s="272">
        <f>E27/E28</f>
        <v>9.8718530466129092E-2</v>
      </c>
      <c r="F29" s="272">
        <f t="shared" ref="F29:AD29" si="12">F27/F28</f>
        <v>9.8718530466129092E-2</v>
      </c>
      <c r="G29" s="272">
        <f t="shared" si="12"/>
        <v>0.10181180820328289</v>
      </c>
      <c r="H29" s="272">
        <f t="shared" si="12"/>
        <v>0.10369835834466608</v>
      </c>
      <c r="I29" s="272">
        <f t="shared" si="12"/>
        <v>0.10112236411985737</v>
      </c>
      <c r="J29" s="272">
        <f t="shared" si="12"/>
        <v>0.11963309848712921</v>
      </c>
      <c r="K29" s="272">
        <f t="shared" si="12"/>
        <v>9.1360262247629179E-2</v>
      </c>
      <c r="L29" s="272">
        <f t="shared" si="12"/>
        <v>8.9900941326718817E-2</v>
      </c>
      <c r="M29" s="272">
        <f t="shared" si="12"/>
        <v>9.2687713550549999E-2</v>
      </c>
      <c r="N29" s="272">
        <f t="shared" si="12"/>
        <v>9.2687713550549999E-2</v>
      </c>
      <c r="O29" s="272">
        <f t="shared" si="12"/>
        <v>0.10581741133321471</v>
      </c>
      <c r="P29" s="272">
        <f t="shared" si="12"/>
        <v>9.5626575542867159E-2</v>
      </c>
      <c r="Q29" s="272">
        <f t="shared" si="12"/>
        <v>0.10925638860325472</v>
      </c>
      <c r="R29" s="272">
        <f t="shared" si="12"/>
        <v>0.15215299971614585</v>
      </c>
      <c r="S29" s="272">
        <f t="shared" si="12"/>
        <v>8.3297975074926062E-2</v>
      </c>
      <c r="T29" s="272">
        <f t="shared" si="12"/>
        <v>9.1428228959348878E-2</v>
      </c>
      <c r="U29" s="272">
        <f t="shared" si="12"/>
        <v>7.6541477852364662E-2</v>
      </c>
      <c r="V29" s="272">
        <f t="shared" si="12"/>
        <v>7.6541477852364662E-2</v>
      </c>
      <c r="W29" s="272">
        <f t="shared" si="12"/>
        <v>0.11388698294452068</v>
      </c>
      <c r="X29" s="272">
        <f t="shared" si="12"/>
        <v>8.9437900319369087E-2</v>
      </c>
      <c r="Y29" s="272">
        <f t="shared" si="12"/>
        <v>0.12263925565307293</v>
      </c>
      <c r="Z29" s="272">
        <f t="shared" si="12"/>
        <v>0.14708632023659532</v>
      </c>
      <c r="AA29" s="272">
        <f t="shared" si="12"/>
        <v>0.11003685188738264</v>
      </c>
      <c r="AB29" s="272">
        <f t="shared" si="12"/>
        <v>9.5159881636749974E-2</v>
      </c>
      <c r="AC29" s="272">
        <f t="shared" si="12"/>
        <v>0.12548615139990116</v>
      </c>
      <c r="AD29" s="272">
        <f t="shared" si="12"/>
        <v>0.12548615139990116</v>
      </c>
    </row>
    <row r="30" spans="1:30">
      <c r="A30" s="255"/>
      <c r="B30" s="258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1"/>
      <c r="Y30" s="267"/>
      <c r="Z30" s="267"/>
      <c r="AA30" s="267"/>
      <c r="AB30" s="267"/>
      <c r="AC30" s="267"/>
      <c r="AD30" s="267"/>
    </row>
    <row r="31" spans="1:30">
      <c r="A31" s="255"/>
      <c r="B31" s="258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</row>
    <row r="32" spans="1:30">
      <c r="A32" s="255"/>
      <c r="B32" s="258" t="s">
        <v>35</v>
      </c>
      <c r="C32" s="261">
        <v>917.88457799999992</v>
      </c>
      <c r="D32" s="261">
        <v>468.38580300000001</v>
      </c>
      <c r="E32" s="261">
        <v>449.49877500000002</v>
      </c>
      <c r="F32" s="261">
        <v>449.49877500000002</v>
      </c>
      <c r="G32" s="261">
        <v>1898.1372920000001</v>
      </c>
      <c r="H32" s="261">
        <v>550.32229100000006</v>
      </c>
      <c r="I32" s="261">
        <v>1347.8150009999999</v>
      </c>
      <c r="J32" s="273">
        <v>432.81500099999994</v>
      </c>
      <c r="K32" s="261">
        <v>915.47488900000008</v>
      </c>
      <c r="L32" s="273">
        <v>478.14488899999998</v>
      </c>
      <c r="M32" s="261">
        <v>437.33000000000004</v>
      </c>
      <c r="N32" s="261">
        <v>437.33000000000004</v>
      </c>
      <c r="O32" s="261">
        <v>1203.043874</v>
      </c>
      <c r="P32" s="258">
        <v>477</v>
      </c>
      <c r="Q32" s="261">
        <v>726.52359346000003</v>
      </c>
      <c r="R32" s="261">
        <v>213.72041817000002</v>
      </c>
      <c r="S32" s="261">
        <v>512.69000000000005</v>
      </c>
      <c r="T32" s="261">
        <v>259</v>
      </c>
      <c r="U32" s="261">
        <v>253.10000000000002</v>
      </c>
      <c r="V32" s="261">
        <v>253.10000000000002</v>
      </c>
      <c r="W32" s="261">
        <v>1050.9000000000001</v>
      </c>
      <c r="X32" s="261">
        <v>291.90000000000003</v>
      </c>
      <c r="Y32" s="261">
        <v>758.3</v>
      </c>
      <c r="Z32" s="261">
        <v>248.42000000000002</v>
      </c>
      <c r="AA32" s="261">
        <v>509</v>
      </c>
      <c r="AB32" s="261">
        <v>251</v>
      </c>
      <c r="AC32" s="261">
        <v>258</v>
      </c>
      <c r="AD32" s="261">
        <v>258</v>
      </c>
    </row>
    <row r="33" spans="1:30">
      <c r="A33" s="255"/>
      <c r="B33" s="258" t="s">
        <v>31</v>
      </c>
      <c r="C33" s="261">
        <v>1857.547102</v>
      </c>
      <c r="D33" s="261">
        <v>993.71646899999996</v>
      </c>
      <c r="E33" s="261">
        <v>863.83063300000003</v>
      </c>
      <c r="F33" s="261">
        <v>863.83063300000003</v>
      </c>
      <c r="G33" s="261">
        <v>3496.446023</v>
      </c>
      <c r="H33" s="261">
        <v>958.90158899999972</v>
      </c>
      <c r="I33" s="261">
        <v>2537.3532829999999</v>
      </c>
      <c r="J33" s="261">
        <v>923.35328300000015</v>
      </c>
      <c r="K33" s="261">
        <v>1613.8758500000004</v>
      </c>
      <c r="L33" s="261">
        <v>841.29085000000021</v>
      </c>
      <c r="M33" s="261">
        <v>772.58499999999992</v>
      </c>
      <c r="N33" s="261">
        <v>772.58499999999992</v>
      </c>
      <c r="O33" s="261">
        <v>2648.862271</v>
      </c>
      <c r="P33" s="261">
        <v>813.49246836999998</v>
      </c>
      <c r="Q33" s="261">
        <v>1836.0397904000001</v>
      </c>
      <c r="R33" s="261">
        <v>804.08037246000004</v>
      </c>
      <c r="S33" s="261">
        <v>1031.73</v>
      </c>
      <c r="T33" s="261">
        <v>568.6</v>
      </c>
      <c r="U33" s="261">
        <v>464.01000000000005</v>
      </c>
      <c r="V33" s="261">
        <v>464.01000000000005</v>
      </c>
      <c r="W33" s="261">
        <v>2270.4</v>
      </c>
      <c r="X33" s="261">
        <v>551.40000000000009</v>
      </c>
      <c r="Y33" s="261">
        <v>1718.4879999999998</v>
      </c>
      <c r="Z33" s="261">
        <v>643.18000000000006</v>
      </c>
      <c r="AA33" s="261">
        <v>1076</v>
      </c>
      <c r="AB33" s="261">
        <v>519</v>
      </c>
      <c r="AC33" s="261">
        <v>557</v>
      </c>
      <c r="AD33" s="261">
        <v>557</v>
      </c>
    </row>
    <row r="34" spans="1:30" ht="13.5" thickBot="1">
      <c r="A34" s="326" t="s">
        <v>265</v>
      </c>
      <c r="B34" s="271" t="s">
        <v>204</v>
      </c>
      <c r="C34" s="272">
        <f t="shared" ref="C34:D34" si="13">C32/C33</f>
        <v>0.49413798283323418</v>
      </c>
      <c r="D34" s="272">
        <f t="shared" si="13"/>
        <v>0.47134752981536832</v>
      </c>
      <c r="E34" s="272">
        <f t="shared" ref="E34:F34" si="14">E32/E33</f>
        <v>0.520355215279799</v>
      </c>
      <c r="F34" s="272">
        <f t="shared" si="14"/>
        <v>0.520355215279799</v>
      </c>
      <c r="G34" s="272">
        <f>G32/G33</f>
        <v>0.54287618899701229</v>
      </c>
      <c r="H34" s="272">
        <f t="shared" ref="H34:AD34" si="15">H32/H33</f>
        <v>0.57390904062836023</v>
      </c>
      <c r="I34" s="272">
        <f t="shared" si="15"/>
        <v>0.53118933418937708</v>
      </c>
      <c r="J34" s="272">
        <f t="shared" si="15"/>
        <v>0.46874258094775179</v>
      </c>
      <c r="K34" s="272">
        <f t="shared" si="15"/>
        <v>0.56725236268948442</v>
      </c>
      <c r="L34" s="272">
        <f t="shared" si="15"/>
        <v>0.56834671267374404</v>
      </c>
      <c r="M34" s="272">
        <f t="shared" si="15"/>
        <v>0.56606069235100354</v>
      </c>
      <c r="N34" s="272">
        <f t="shared" si="15"/>
        <v>0.56606069235100354</v>
      </c>
      <c r="O34" s="272">
        <f t="shared" si="15"/>
        <v>0.45417381159112746</v>
      </c>
      <c r="P34" s="272">
        <f t="shared" si="15"/>
        <v>0.58636068377592721</v>
      </c>
      <c r="Q34" s="272">
        <f t="shared" si="15"/>
        <v>0.39570144245170163</v>
      </c>
      <c r="R34" s="274">
        <f t="shared" si="15"/>
        <v>0.26579484525426816</v>
      </c>
      <c r="S34" s="272">
        <f t="shared" si="15"/>
        <v>0.49692264449032214</v>
      </c>
      <c r="T34" s="272">
        <f t="shared" si="15"/>
        <v>0.45550474850510025</v>
      </c>
      <c r="U34" s="272">
        <f t="shared" si="15"/>
        <v>0.545462382276244</v>
      </c>
      <c r="V34" s="272">
        <f t="shared" si="15"/>
        <v>0.545462382276244</v>
      </c>
      <c r="W34" s="272">
        <f t="shared" si="15"/>
        <v>0.46286997885835096</v>
      </c>
      <c r="X34" s="272">
        <f t="shared" si="15"/>
        <v>0.52937976060935799</v>
      </c>
      <c r="Y34" s="272">
        <f t="shared" si="15"/>
        <v>0.44125999134122557</v>
      </c>
      <c r="Z34" s="272">
        <f t="shared" si="15"/>
        <v>0.38623713423924871</v>
      </c>
      <c r="AA34" s="272">
        <f t="shared" si="15"/>
        <v>0.47304832713754646</v>
      </c>
      <c r="AB34" s="272">
        <f t="shared" si="15"/>
        <v>0.48362235067437381</v>
      </c>
      <c r="AC34" s="272">
        <f t="shared" si="15"/>
        <v>0.46319569120287252</v>
      </c>
      <c r="AD34" s="272">
        <f t="shared" si="15"/>
        <v>0.46319569120287252</v>
      </c>
    </row>
    <row r="35" spans="1:30">
      <c r="A35" s="255"/>
      <c r="B35" s="258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1"/>
      <c r="AB35" s="267"/>
      <c r="AC35" s="267"/>
      <c r="AD35" s="267"/>
    </row>
    <row r="36" spans="1:30">
      <c r="A36" s="255"/>
      <c r="B36" s="258" t="s">
        <v>43</v>
      </c>
      <c r="C36" s="261">
        <v>96039.543704459997</v>
      </c>
      <c r="D36" s="267"/>
      <c r="E36" s="261">
        <v>92817.744119980198</v>
      </c>
      <c r="F36" s="267"/>
      <c r="G36" s="261">
        <v>90460.14825605003</v>
      </c>
      <c r="H36" s="267"/>
      <c r="I36" s="261">
        <v>88945.039514610005</v>
      </c>
      <c r="J36" s="267"/>
      <c r="K36" s="261">
        <v>87527.837190519887</v>
      </c>
      <c r="L36" s="267"/>
      <c r="M36" s="261">
        <v>84901.214854689984</v>
      </c>
      <c r="N36" s="267"/>
      <c r="O36" s="261">
        <v>82944.802144999994</v>
      </c>
      <c r="P36" s="267"/>
      <c r="Q36" s="261">
        <v>81336.069999999992</v>
      </c>
      <c r="R36" s="267"/>
      <c r="S36" s="261">
        <v>79286.388672980014</v>
      </c>
      <c r="T36" s="267"/>
      <c r="U36" s="261">
        <v>44307.5</v>
      </c>
      <c r="V36" s="267"/>
      <c r="W36" s="261">
        <v>43779.16</v>
      </c>
      <c r="X36" s="267"/>
      <c r="Y36" s="261">
        <v>42793.5</v>
      </c>
      <c r="Z36" s="267"/>
      <c r="AA36" s="261">
        <v>42090.69</v>
      </c>
      <c r="AB36" s="267"/>
      <c r="AC36" s="261">
        <v>40483.611327409999</v>
      </c>
      <c r="AD36" s="267"/>
    </row>
    <row r="37" spans="1:30">
      <c r="A37" s="255"/>
      <c r="B37" s="275" t="s">
        <v>188</v>
      </c>
      <c r="C37" s="261">
        <v>37943.764000000003</v>
      </c>
      <c r="D37" s="267"/>
      <c r="E37" s="261">
        <v>38009.275000000001</v>
      </c>
      <c r="F37" s="267"/>
      <c r="G37" s="261">
        <v>37451.131987000001</v>
      </c>
      <c r="H37" s="267"/>
      <c r="I37" s="261">
        <v>36650.008250999999</v>
      </c>
      <c r="J37" s="267"/>
      <c r="K37" s="261">
        <v>35532.226698999999</v>
      </c>
      <c r="L37" s="267"/>
      <c r="M37" s="261">
        <v>35521.066979000003</v>
      </c>
      <c r="N37" s="267"/>
      <c r="O37" s="261">
        <v>35197.497000000003</v>
      </c>
      <c r="P37" s="267"/>
      <c r="Q37" s="261">
        <v>35129.561126999994</v>
      </c>
      <c r="R37" s="267"/>
      <c r="S37" s="261">
        <v>34766.900999999998</v>
      </c>
      <c r="T37" s="267"/>
      <c r="U37" s="276">
        <v>17288.619168000001</v>
      </c>
      <c r="V37" s="267"/>
      <c r="W37" s="276">
        <v>16796.622458000002</v>
      </c>
      <c r="X37" s="267"/>
      <c r="Y37" s="261">
        <v>16076.098374450001</v>
      </c>
      <c r="Z37" s="267"/>
      <c r="AA37" s="261">
        <v>15329.815615</v>
      </c>
      <c r="AB37" s="267"/>
      <c r="AC37" s="261">
        <v>15533.628225</v>
      </c>
      <c r="AD37" s="267"/>
    </row>
    <row r="38" spans="1:30">
      <c r="A38" s="255"/>
      <c r="B38" s="275" t="s">
        <v>189</v>
      </c>
      <c r="C38" s="261">
        <v>1508.4760000000001</v>
      </c>
      <c r="D38" s="267"/>
      <c r="E38" s="261">
        <v>1605.809</v>
      </c>
      <c r="F38" s="267"/>
      <c r="G38" s="261">
        <v>1623.794453</v>
      </c>
      <c r="H38" s="267"/>
      <c r="I38" s="261">
        <v>1324.1435019999999</v>
      </c>
      <c r="J38" s="267"/>
      <c r="K38" s="261">
        <v>1333.118905</v>
      </c>
      <c r="L38" s="267"/>
      <c r="M38" s="261">
        <v>1278.919551</v>
      </c>
      <c r="N38" s="267"/>
      <c r="O38" s="261">
        <v>1307.7759999999998</v>
      </c>
      <c r="P38" s="267"/>
      <c r="Q38" s="261">
        <v>1159.912239</v>
      </c>
      <c r="R38" s="267"/>
      <c r="S38" s="261">
        <v>1169.7469999999998</v>
      </c>
      <c r="T38" s="267"/>
      <c r="U38" s="276">
        <v>560.18392900000003</v>
      </c>
      <c r="V38" s="267"/>
      <c r="W38" s="276">
        <v>564.16929500000003</v>
      </c>
      <c r="X38" s="267"/>
      <c r="Y38" s="261">
        <v>568.14836700000001</v>
      </c>
      <c r="Z38" s="267"/>
      <c r="AA38" s="261">
        <v>574.10100399999999</v>
      </c>
      <c r="AB38" s="267"/>
      <c r="AC38" s="261">
        <v>601.47104200000001</v>
      </c>
      <c r="AD38" s="267"/>
    </row>
    <row r="39" spans="1:30" ht="13.5" thickBot="1">
      <c r="A39" s="326" t="s">
        <v>266</v>
      </c>
      <c r="B39" s="271" t="s">
        <v>205</v>
      </c>
      <c r="C39" s="277">
        <f t="shared" ref="C39:E39" si="16">+C36+C37+C38</f>
        <v>135491.78370445999</v>
      </c>
      <c r="D39" s="278"/>
      <c r="E39" s="277">
        <f t="shared" si="16"/>
        <v>132432.8281199802</v>
      </c>
      <c r="F39" s="278"/>
      <c r="G39" s="277">
        <f>+G36+G37+G38</f>
        <v>129535.07469605003</v>
      </c>
      <c r="H39" s="278"/>
      <c r="I39" s="277">
        <f t="shared" ref="I39" si="17">+I36+I37+I38</f>
        <v>126919.19126761002</v>
      </c>
      <c r="J39" s="278"/>
      <c r="K39" s="277">
        <f t="shared" ref="K39" si="18">+K36+K37+K38</f>
        <v>124393.18279451989</v>
      </c>
      <c r="L39" s="278"/>
      <c r="M39" s="277">
        <f t="shared" ref="M39" si="19">+M36+M37+M38</f>
        <v>121701.20138468998</v>
      </c>
      <c r="N39" s="278"/>
      <c r="O39" s="277">
        <f t="shared" ref="O39" si="20">+O36+O37+O38</f>
        <v>119450.075145</v>
      </c>
      <c r="P39" s="278"/>
      <c r="Q39" s="277">
        <f t="shared" ref="Q39" si="21">+Q36+Q37+Q38</f>
        <v>117625.54336599998</v>
      </c>
      <c r="R39" s="278"/>
      <c r="S39" s="277">
        <f t="shared" ref="S39" si="22">+S36+S37+S38</f>
        <v>115223.03667298002</v>
      </c>
      <c r="T39" s="278"/>
      <c r="U39" s="277">
        <f t="shared" ref="U39" si="23">+U36+U37+U38</f>
        <v>62156.303097000004</v>
      </c>
      <c r="V39" s="278"/>
      <c r="W39" s="277">
        <f t="shared" ref="W39" si="24">+W36+W37+W38</f>
        <v>61139.951753000001</v>
      </c>
      <c r="X39" s="278"/>
      <c r="Y39" s="277">
        <f t="shared" ref="Y39" si="25">+Y36+Y37+Y38</f>
        <v>59437.746741449999</v>
      </c>
      <c r="Z39" s="278"/>
      <c r="AA39" s="277">
        <f t="shared" ref="AA39" si="26">+AA36+AA37+AA38</f>
        <v>57994.606618999998</v>
      </c>
      <c r="AB39" s="278"/>
      <c r="AC39" s="277">
        <f t="shared" ref="AC39" si="27">+AC36+AC37+AC38</f>
        <v>56618.710594409997</v>
      </c>
      <c r="AD39" s="278"/>
    </row>
    <row r="40" spans="1:30">
      <c r="A40" s="255"/>
      <c r="B40" s="258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1"/>
      <c r="AB40" s="267"/>
      <c r="AC40" s="267"/>
      <c r="AD40" s="267"/>
    </row>
    <row r="41" spans="1:30">
      <c r="A41" s="255"/>
      <c r="B41" s="258" t="s">
        <v>206</v>
      </c>
      <c r="C41" s="261">
        <v>96039.543704459997</v>
      </c>
      <c r="D41" s="267"/>
      <c r="E41" s="261">
        <f>+E36</f>
        <v>92817.744119980198</v>
      </c>
      <c r="F41" s="267"/>
      <c r="G41" s="261">
        <f>+G36</f>
        <v>90460.14825605003</v>
      </c>
      <c r="H41" s="267"/>
      <c r="I41" s="261">
        <f>+I36</f>
        <v>88945.039514610005</v>
      </c>
      <c r="J41" s="267"/>
      <c r="K41" s="261">
        <f>+K36</f>
        <v>87527.837190519887</v>
      </c>
      <c r="L41" s="261"/>
      <c r="M41" s="261">
        <f>+M36</f>
        <v>84901.214854689984</v>
      </c>
      <c r="N41" s="261"/>
      <c r="O41" s="261">
        <f>+O36</f>
        <v>82944.802144999994</v>
      </c>
      <c r="P41" s="261"/>
      <c r="Q41" s="261">
        <f>+Q36</f>
        <v>81336.069999999992</v>
      </c>
      <c r="R41" s="261"/>
      <c r="S41" s="261">
        <f>+S36</f>
        <v>79286.388672980014</v>
      </c>
      <c r="T41" s="267"/>
      <c r="U41" s="261">
        <f>+U36</f>
        <v>44307.5</v>
      </c>
      <c r="V41" s="267"/>
      <c r="W41" s="261">
        <f>+W36</f>
        <v>43779.16</v>
      </c>
      <c r="X41" s="267"/>
      <c r="Y41" s="261">
        <f>+Y36</f>
        <v>42793.5</v>
      </c>
      <c r="Z41" s="267"/>
      <c r="AA41" s="261">
        <f>+AA36</f>
        <v>42090.69</v>
      </c>
      <c r="AB41" s="267"/>
      <c r="AC41" s="261">
        <f>+AC36</f>
        <v>40483.611327409999</v>
      </c>
      <c r="AD41" s="267"/>
    </row>
    <row r="42" spans="1:30">
      <c r="A42" s="255"/>
      <c r="B42" s="279" t="s">
        <v>207</v>
      </c>
      <c r="C42" s="265">
        <v>87527.837190519902</v>
      </c>
      <c r="D42" s="280"/>
      <c r="E42" s="265">
        <f>+M41</f>
        <v>84901.214854689984</v>
      </c>
      <c r="F42" s="280"/>
      <c r="G42" s="265">
        <f>+O41</f>
        <v>82944.802144999994</v>
      </c>
      <c r="H42" s="280"/>
      <c r="I42" s="265">
        <f>+Q41</f>
        <v>81336.069999999992</v>
      </c>
      <c r="J42" s="280"/>
      <c r="K42" s="265">
        <f>+S41</f>
        <v>79286.388672980014</v>
      </c>
      <c r="L42" s="280"/>
      <c r="M42" s="265">
        <f>+U41</f>
        <v>44307.5</v>
      </c>
      <c r="N42" s="280"/>
      <c r="O42" s="265">
        <f>+W41</f>
        <v>43779.16</v>
      </c>
      <c r="P42" s="280"/>
      <c r="Q42" s="265">
        <f>+Y41</f>
        <v>42793.5</v>
      </c>
      <c r="R42" s="280"/>
      <c r="S42" s="265">
        <f>+AA41</f>
        <v>42090.69</v>
      </c>
      <c r="T42" s="280"/>
      <c r="U42" s="265">
        <f>+AC41</f>
        <v>40483.611327409999</v>
      </c>
      <c r="V42" s="280"/>
      <c r="W42" s="281">
        <v>39936</v>
      </c>
      <c r="X42" s="282"/>
      <c r="Y42" s="281">
        <v>39233</v>
      </c>
      <c r="Z42" s="282"/>
      <c r="AA42" s="281">
        <v>38256</v>
      </c>
      <c r="AB42" s="282"/>
      <c r="AC42" s="281">
        <v>36885</v>
      </c>
      <c r="AD42" s="280"/>
    </row>
    <row r="43" spans="1:30">
      <c r="A43" s="255"/>
      <c r="B43" s="275" t="s">
        <v>208</v>
      </c>
      <c r="C43" s="261">
        <f>+C41-C42</f>
        <v>8511.7065139400947</v>
      </c>
      <c r="D43" s="267"/>
      <c r="E43" s="261">
        <f>+E41-E42</f>
        <v>7916.5292652902135</v>
      </c>
      <c r="F43" s="267"/>
      <c r="G43" s="261">
        <f>+G41-G42</f>
        <v>7515.3461110500357</v>
      </c>
      <c r="H43" s="267"/>
      <c r="I43" s="261">
        <f>+I41-I42</f>
        <v>7608.969514610013</v>
      </c>
      <c r="J43" s="267"/>
      <c r="K43" s="261">
        <f>+K41-K42</f>
        <v>8241.4485175398731</v>
      </c>
      <c r="L43" s="267"/>
      <c r="M43" s="261">
        <f>+M41-M42</f>
        <v>40593.714854689984</v>
      </c>
      <c r="N43" s="267"/>
      <c r="O43" s="261">
        <f>+O41-O42</f>
        <v>39165.642144999991</v>
      </c>
      <c r="P43" s="267"/>
      <c r="Q43" s="261">
        <f>+Q41-Q42</f>
        <v>38542.569999999992</v>
      </c>
      <c r="R43" s="267"/>
      <c r="S43" s="261">
        <f>+S41-S42</f>
        <v>37195.698672980012</v>
      </c>
      <c r="T43" s="267"/>
      <c r="U43" s="261">
        <f>+U41-U42</f>
        <v>3823.8886725900011</v>
      </c>
      <c r="V43" s="267"/>
      <c r="W43" s="261">
        <f>+W41-W42</f>
        <v>3843.1600000000035</v>
      </c>
      <c r="X43" s="267"/>
      <c r="Y43" s="261">
        <f>+Y41-Y42</f>
        <v>3560.5</v>
      </c>
      <c r="Z43" s="267"/>
      <c r="AA43" s="261">
        <f>+AA41-AA42</f>
        <v>3834.6900000000023</v>
      </c>
      <c r="AB43" s="267"/>
      <c r="AC43" s="261">
        <f>+AC41-AC42</f>
        <v>3598.6113274099989</v>
      </c>
      <c r="AD43" s="267"/>
    </row>
    <row r="44" spans="1:30">
      <c r="A44" s="255"/>
      <c r="B44" s="283" t="s">
        <v>209</v>
      </c>
      <c r="C44" s="261">
        <f>+C42</f>
        <v>87527.837190519902</v>
      </c>
      <c r="D44" s="267"/>
      <c r="E44" s="261">
        <f>+E42</f>
        <v>84901.214854689984</v>
      </c>
      <c r="F44" s="267"/>
      <c r="G44" s="261">
        <f>+G42</f>
        <v>82944.802144999994</v>
      </c>
      <c r="H44" s="267"/>
      <c r="I44" s="261">
        <f>+I42</f>
        <v>81336.069999999992</v>
      </c>
      <c r="J44" s="267"/>
      <c r="K44" s="261">
        <f>+K42</f>
        <v>79286.388672980014</v>
      </c>
      <c r="L44" s="267"/>
      <c r="M44" s="261">
        <f>+M42</f>
        <v>44307.5</v>
      </c>
      <c r="N44" s="267"/>
      <c r="O44" s="261">
        <f>+O42</f>
        <v>43779.16</v>
      </c>
      <c r="P44" s="267"/>
      <c r="Q44" s="261">
        <f>+Q42</f>
        <v>42793.5</v>
      </c>
      <c r="R44" s="267"/>
      <c r="S44" s="261">
        <f>+S42</f>
        <v>42090.69</v>
      </c>
      <c r="T44" s="267"/>
      <c r="U44" s="261">
        <f>+U42</f>
        <v>40483.611327409999</v>
      </c>
      <c r="V44" s="267"/>
      <c r="W44" s="261">
        <f>+W42</f>
        <v>39936</v>
      </c>
      <c r="X44" s="267"/>
      <c r="Y44" s="261">
        <f>+Y42</f>
        <v>39233</v>
      </c>
      <c r="Z44" s="267"/>
      <c r="AA44" s="261">
        <f>+AA42</f>
        <v>38256</v>
      </c>
      <c r="AB44" s="267"/>
      <c r="AC44" s="261">
        <f>+AC42</f>
        <v>36885</v>
      </c>
      <c r="AD44" s="267"/>
    </row>
    <row r="45" spans="1:30" ht="13.5" thickBot="1">
      <c r="A45" s="326" t="s">
        <v>267</v>
      </c>
      <c r="B45" s="271" t="s">
        <v>210</v>
      </c>
      <c r="C45" s="272">
        <f>(C36-K36)/K36</f>
        <v>9.7245708190102628E-2</v>
      </c>
      <c r="D45" s="274"/>
      <c r="E45" s="272">
        <f>(E36-M36)/M36</f>
        <v>9.3244004562708566E-2</v>
      </c>
      <c r="F45" s="274"/>
      <c r="G45" s="272">
        <f>G43/G44</f>
        <v>9.0606595189799591E-2</v>
      </c>
      <c r="H45" s="274"/>
      <c r="I45" s="272">
        <f>I43/I44</f>
        <v>9.3549756148901875E-2</v>
      </c>
      <c r="J45" s="274"/>
      <c r="K45" s="272">
        <f>K43/K44</f>
        <v>0.10394531338199887</v>
      </c>
      <c r="L45" s="274"/>
      <c r="M45" s="272">
        <f>M43/M44</f>
        <v>0.91618156868904777</v>
      </c>
      <c r="N45" s="274"/>
      <c r="O45" s="272">
        <f>O43/O44</f>
        <v>0.8946184016550337</v>
      </c>
      <c r="P45" s="274"/>
      <c r="Q45" s="272">
        <f>Q43/Q44</f>
        <v>0.90066411955086623</v>
      </c>
      <c r="R45" s="274"/>
      <c r="S45" s="272">
        <f>S43/S44</f>
        <v>0.88370370438165802</v>
      </c>
      <c r="T45" s="274"/>
      <c r="U45" s="272">
        <f>U43/U44</f>
        <v>9.4455226379495036E-2</v>
      </c>
      <c r="V45" s="274"/>
      <c r="W45" s="272">
        <f>W43/W44</f>
        <v>9.6232972756410337E-2</v>
      </c>
      <c r="X45" s="274"/>
      <c r="Y45" s="272">
        <f>Y43/Y44</f>
        <v>9.0752682690592099E-2</v>
      </c>
      <c r="Z45" s="274"/>
      <c r="AA45" s="272">
        <f>AA43/AA44</f>
        <v>0.10023760978670018</v>
      </c>
      <c r="AB45" s="274"/>
      <c r="AC45" s="272">
        <f>AC43/AC44</f>
        <v>9.7563001963128615E-2</v>
      </c>
      <c r="AD45" s="274"/>
    </row>
    <row r="46" spans="1:30">
      <c r="A46" s="255"/>
      <c r="B46" s="258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</row>
    <row r="47" spans="1:30">
      <c r="A47" s="255"/>
      <c r="B47" s="258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</row>
    <row r="48" spans="1:30">
      <c r="A48" s="255"/>
      <c r="B48" s="259" t="s">
        <v>211</v>
      </c>
      <c r="C48" s="261">
        <v>135491.78370445999</v>
      </c>
      <c r="D48" s="267"/>
      <c r="E48" s="261">
        <f>E39</f>
        <v>132432.8281199802</v>
      </c>
      <c r="F48" s="267"/>
      <c r="G48" s="261">
        <f>G39</f>
        <v>129535.07469605003</v>
      </c>
      <c r="H48" s="267"/>
      <c r="I48" s="261">
        <f>I39</f>
        <v>126919.19126761002</v>
      </c>
      <c r="J48" s="267"/>
      <c r="K48" s="261">
        <f>K39</f>
        <v>124393.18279451989</v>
      </c>
      <c r="L48" s="267"/>
      <c r="M48" s="261">
        <f>M39</f>
        <v>121701.20138468998</v>
      </c>
      <c r="N48" s="267"/>
      <c r="O48" s="261">
        <f>O39</f>
        <v>119450.075145</v>
      </c>
      <c r="P48" s="267"/>
      <c r="Q48" s="261">
        <f>Q39</f>
        <v>117625.54336599998</v>
      </c>
      <c r="R48" s="267"/>
      <c r="S48" s="261">
        <f>S39</f>
        <v>115223.03667298002</v>
      </c>
      <c r="T48" s="267"/>
      <c r="U48" s="261">
        <f>U39</f>
        <v>62156.303097000004</v>
      </c>
      <c r="V48" s="267"/>
      <c r="W48" s="261">
        <f>W39</f>
        <v>61139.951753000001</v>
      </c>
      <c r="X48" s="267"/>
      <c r="Y48" s="261">
        <f>Y39</f>
        <v>59437.746741449999</v>
      </c>
      <c r="Z48" s="267"/>
      <c r="AA48" s="261">
        <f>AA39</f>
        <v>57994.606618999998</v>
      </c>
      <c r="AB48" s="267"/>
      <c r="AC48" s="261">
        <f>AC39</f>
        <v>56618.710594409997</v>
      </c>
      <c r="AD48" s="267"/>
    </row>
    <row r="49" spans="1:30">
      <c r="A49" s="255"/>
      <c r="B49" s="279" t="s">
        <v>212</v>
      </c>
      <c r="C49" s="265">
        <v>124393.18279451989</v>
      </c>
      <c r="D49" s="280"/>
      <c r="E49" s="265">
        <f>+M39</f>
        <v>121701.20138468998</v>
      </c>
      <c r="F49" s="280"/>
      <c r="G49" s="265">
        <f>+O39</f>
        <v>119450.075145</v>
      </c>
      <c r="H49" s="280"/>
      <c r="I49" s="265">
        <f>+Q39</f>
        <v>117625.54336599998</v>
      </c>
      <c r="J49" s="280"/>
      <c r="K49" s="265">
        <f>+S39</f>
        <v>115223.03667298002</v>
      </c>
      <c r="L49" s="280"/>
      <c r="M49" s="265">
        <f>+U39</f>
        <v>62156.303097000004</v>
      </c>
      <c r="N49" s="280"/>
      <c r="O49" s="265">
        <f>+W39</f>
        <v>61139.951753000001</v>
      </c>
      <c r="P49" s="280"/>
      <c r="Q49" s="265">
        <f>+Y39</f>
        <v>59437.746741449999</v>
      </c>
      <c r="R49" s="280"/>
      <c r="S49" s="265">
        <f>+AA39</f>
        <v>57994.606618999998</v>
      </c>
      <c r="T49" s="280"/>
      <c r="U49" s="265">
        <f>+AC39</f>
        <v>56618.710594409997</v>
      </c>
      <c r="V49" s="280"/>
      <c r="W49" s="281">
        <v>55930</v>
      </c>
      <c r="X49" s="282"/>
      <c r="Y49" s="281">
        <v>54806</v>
      </c>
      <c r="Z49" s="282"/>
      <c r="AA49" s="281">
        <v>53916</v>
      </c>
      <c r="AB49" s="282"/>
      <c r="AC49" s="281">
        <v>52579</v>
      </c>
      <c r="AD49" s="280"/>
    </row>
    <row r="50" spans="1:30">
      <c r="A50" s="255"/>
      <c r="B50" s="275" t="s">
        <v>213</v>
      </c>
      <c r="C50" s="261">
        <f>C48-C49</f>
        <v>11098.600909940098</v>
      </c>
      <c r="D50" s="267"/>
      <c r="E50" s="261">
        <f>E48-E49</f>
        <v>10731.626735290221</v>
      </c>
      <c r="F50" s="267"/>
      <c r="G50" s="261">
        <f>G48-G49</f>
        <v>10084.99955105003</v>
      </c>
      <c r="H50" s="267"/>
      <c r="I50" s="261">
        <f>I48-I49</f>
        <v>9293.6479016100348</v>
      </c>
      <c r="J50" s="267"/>
      <c r="K50" s="261">
        <f>K48-K49</f>
        <v>9170.146121539874</v>
      </c>
      <c r="L50" s="267"/>
      <c r="M50" s="261">
        <f>M48-M49</f>
        <v>59544.898287689975</v>
      </c>
      <c r="N50" s="267"/>
      <c r="O50" s="261">
        <f>O48-O49</f>
        <v>58310.123391999994</v>
      </c>
      <c r="P50" s="267"/>
      <c r="Q50" s="261">
        <f>Q48-Q49</f>
        <v>58187.796624549985</v>
      </c>
      <c r="R50" s="267"/>
      <c r="S50" s="261">
        <f>S48-S49</f>
        <v>57228.430053980017</v>
      </c>
      <c r="T50" s="267"/>
      <c r="U50" s="261">
        <f>U48-U49</f>
        <v>5537.5925025900069</v>
      </c>
      <c r="V50" s="267"/>
      <c r="W50" s="261">
        <f>W48-W49</f>
        <v>5209.9517530000012</v>
      </c>
      <c r="X50" s="267"/>
      <c r="Y50" s="261">
        <f>Y48-Y49</f>
        <v>4631.7467414499988</v>
      </c>
      <c r="Z50" s="267"/>
      <c r="AA50" s="261">
        <f>AA48-AA49</f>
        <v>4078.6066189999983</v>
      </c>
      <c r="AB50" s="267"/>
      <c r="AC50" s="261">
        <f>AC48-AC49</f>
        <v>4039.7105944099967</v>
      </c>
      <c r="AD50" s="267"/>
    </row>
    <row r="51" spans="1:30">
      <c r="A51" s="255"/>
      <c r="B51" s="283" t="s">
        <v>214</v>
      </c>
      <c r="C51" s="261">
        <f>C49</f>
        <v>124393.18279451989</v>
      </c>
      <c r="D51" s="267"/>
      <c r="E51" s="261">
        <f>E49</f>
        <v>121701.20138468998</v>
      </c>
      <c r="F51" s="267"/>
      <c r="G51" s="261">
        <f>G49</f>
        <v>119450.075145</v>
      </c>
      <c r="H51" s="267"/>
      <c r="I51" s="261">
        <f>I49</f>
        <v>117625.54336599998</v>
      </c>
      <c r="J51" s="267"/>
      <c r="K51" s="261">
        <f>K49</f>
        <v>115223.03667298002</v>
      </c>
      <c r="L51" s="267"/>
      <c r="M51" s="261">
        <f>M49</f>
        <v>62156.303097000004</v>
      </c>
      <c r="N51" s="267"/>
      <c r="O51" s="261">
        <f>O49</f>
        <v>61139.951753000001</v>
      </c>
      <c r="P51" s="267"/>
      <c r="Q51" s="261">
        <f>Q49</f>
        <v>59437.746741449999</v>
      </c>
      <c r="R51" s="267"/>
      <c r="S51" s="261">
        <f>S49</f>
        <v>57994.606618999998</v>
      </c>
      <c r="T51" s="267"/>
      <c r="U51" s="261">
        <f>U49</f>
        <v>56618.710594409997</v>
      </c>
      <c r="V51" s="267"/>
      <c r="W51" s="261">
        <f>W49</f>
        <v>55930</v>
      </c>
      <c r="X51" s="267"/>
      <c r="Y51" s="261">
        <f>Y49</f>
        <v>54806</v>
      </c>
      <c r="Z51" s="267"/>
      <c r="AA51" s="261">
        <f>AA49</f>
        <v>53916</v>
      </c>
      <c r="AB51" s="267"/>
      <c r="AC51" s="261">
        <f>AC49</f>
        <v>52579</v>
      </c>
      <c r="AD51" s="267"/>
    </row>
    <row r="52" spans="1:30" ht="13.5" thickBot="1">
      <c r="A52" s="326" t="s">
        <v>284</v>
      </c>
      <c r="B52" s="284" t="s">
        <v>215</v>
      </c>
      <c r="C52" s="272">
        <f>(C39-K39)/K39</f>
        <v>8.9221938538813911E-2</v>
      </c>
      <c r="D52" s="274"/>
      <c r="E52" s="272">
        <f>(E39-M39)/M39</f>
        <v>8.8180121586213536E-2</v>
      </c>
      <c r="F52" s="274"/>
      <c r="G52" s="272">
        <f>G50/G51</f>
        <v>8.4428574354665636E-2</v>
      </c>
      <c r="H52" s="274"/>
      <c r="I52" s="272">
        <f>(I39-Q39)/Q39</f>
        <v>7.9010456705753185E-2</v>
      </c>
      <c r="J52" s="274"/>
      <c r="K52" s="272">
        <f>(K39-S39)/S39</f>
        <v>7.9586047949474742E-2</v>
      </c>
      <c r="L52" s="274"/>
      <c r="M52" s="272">
        <f>(M39-U39)/U39</f>
        <v>0.95798648440794942</v>
      </c>
      <c r="N52" s="274"/>
      <c r="O52" s="272">
        <f>(O39-W39)/W39</f>
        <v>0.95371556110426348</v>
      </c>
      <c r="P52" s="274"/>
      <c r="Q52" s="272">
        <f>(Q39-Y39)/Y39</f>
        <v>0.97897043233591596</v>
      </c>
      <c r="R52" s="274"/>
      <c r="S52" s="272">
        <f>(S39-AA39)/AA39</f>
        <v>0.98678883072604606</v>
      </c>
      <c r="T52" s="274"/>
      <c r="U52" s="272">
        <f>(U39-AC39)/AC39</f>
        <v>9.7804991396902935E-2</v>
      </c>
      <c r="V52" s="274"/>
      <c r="W52" s="272">
        <f>W50/W51</f>
        <v>9.3151291846951562E-2</v>
      </c>
      <c r="X52" s="274"/>
      <c r="Y52" s="272">
        <f>Y50/Y51</f>
        <v>8.4511672836003332E-2</v>
      </c>
      <c r="Z52" s="274"/>
      <c r="AA52" s="272">
        <f>AA50/AA51</f>
        <v>7.5647425977446364E-2</v>
      </c>
      <c r="AB52" s="274"/>
      <c r="AC52" s="272">
        <f>AC50/AC51</f>
        <v>7.6831255718252472E-2</v>
      </c>
      <c r="AD52" s="274"/>
    </row>
    <row r="53" spans="1:30">
      <c r="A53" s="255"/>
      <c r="B53" s="258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</row>
    <row r="54" spans="1:30">
      <c r="A54" s="255"/>
      <c r="B54" s="258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</row>
    <row r="55" spans="1:30">
      <c r="A55" s="255"/>
      <c r="B55" s="258" t="s">
        <v>190</v>
      </c>
      <c r="C55" s="261">
        <v>70644.62560828017</v>
      </c>
      <c r="D55" s="267"/>
      <c r="E55" s="261">
        <v>66109.582498999996</v>
      </c>
      <c r="F55" s="267"/>
      <c r="G55" s="261">
        <v>65985.425443</v>
      </c>
      <c r="H55" s="267"/>
      <c r="I55" s="261">
        <v>65267.820076999997</v>
      </c>
      <c r="J55" s="267"/>
      <c r="K55" s="261">
        <v>66652.514345999996</v>
      </c>
      <c r="L55" s="267"/>
      <c r="M55" s="261">
        <v>62781.777000000002</v>
      </c>
      <c r="N55" s="267"/>
      <c r="O55" s="261">
        <v>63070.315360000001</v>
      </c>
      <c r="P55" s="267"/>
      <c r="Q55" s="261">
        <v>62106.781999999999</v>
      </c>
      <c r="R55" s="267"/>
      <c r="S55" s="261">
        <v>62636.800000000003</v>
      </c>
      <c r="T55" s="267"/>
      <c r="U55" s="261">
        <v>33674.5</v>
      </c>
      <c r="V55" s="267"/>
      <c r="W55" s="261">
        <v>33458.199999999997</v>
      </c>
      <c r="X55" s="267"/>
      <c r="Y55" s="261">
        <v>33052.400000000001</v>
      </c>
      <c r="Z55" s="267"/>
      <c r="AA55" s="261">
        <v>33205</v>
      </c>
      <c r="AB55" s="267"/>
      <c r="AC55" s="261">
        <v>31054</v>
      </c>
      <c r="AD55" s="267"/>
    </row>
    <row r="56" spans="1:30">
      <c r="A56" s="255"/>
      <c r="B56" s="258" t="s">
        <v>216</v>
      </c>
      <c r="C56" s="261">
        <v>96039.543704459997</v>
      </c>
      <c r="D56" s="267"/>
      <c r="E56" s="261">
        <f>+E36</f>
        <v>92817.744119980198</v>
      </c>
      <c r="F56" s="267"/>
      <c r="G56" s="261">
        <f t="shared" ref="G56:AC56" si="28">+G36</f>
        <v>90460.14825605003</v>
      </c>
      <c r="H56" s="267"/>
      <c r="I56" s="261">
        <f t="shared" si="28"/>
        <v>88945.039514610005</v>
      </c>
      <c r="J56" s="267"/>
      <c r="K56" s="261">
        <f t="shared" si="28"/>
        <v>87527.837190519887</v>
      </c>
      <c r="L56" s="267"/>
      <c r="M56" s="261">
        <f t="shared" si="28"/>
        <v>84901.214854689984</v>
      </c>
      <c r="N56" s="267"/>
      <c r="O56" s="261">
        <f t="shared" si="28"/>
        <v>82944.802144999994</v>
      </c>
      <c r="P56" s="267"/>
      <c r="Q56" s="261">
        <f t="shared" si="28"/>
        <v>81336.069999999992</v>
      </c>
      <c r="R56" s="267"/>
      <c r="S56" s="261">
        <f t="shared" si="28"/>
        <v>79286.388672980014</v>
      </c>
      <c r="T56" s="267"/>
      <c r="U56" s="261">
        <f t="shared" si="28"/>
        <v>44307.5</v>
      </c>
      <c r="V56" s="267"/>
      <c r="W56" s="261">
        <f t="shared" si="28"/>
        <v>43779.16</v>
      </c>
      <c r="X56" s="267"/>
      <c r="Y56" s="261">
        <f t="shared" si="28"/>
        <v>42793.5</v>
      </c>
      <c r="Z56" s="267"/>
      <c r="AA56" s="261">
        <f t="shared" si="28"/>
        <v>42090.69</v>
      </c>
      <c r="AB56" s="267"/>
      <c r="AC56" s="261">
        <f t="shared" si="28"/>
        <v>40483.611327409999</v>
      </c>
      <c r="AD56" s="267"/>
    </row>
    <row r="57" spans="1:30" ht="13.5" thickBot="1">
      <c r="A57" s="326" t="s">
        <v>269</v>
      </c>
      <c r="B57" s="271" t="s">
        <v>187</v>
      </c>
      <c r="C57" s="272">
        <f>C55/C36</f>
        <v>0.73557852196458839</v>
      </c>
      <c r="D57" s="274"/>
      <c r="E57" s="272">
        <f>E55/E36</f>
        <v>0.71225155411603103</v>
      </c>
      <c r="F57" s="274"/>
      <c r="G57" s="272">
        <f>G55/G56</f>
        <v>0.72944193343820718</v>
      </c>
      <c r="H57" s="274"/>
      <c r="I57" s="272">
        <f t="shared" ref="I57:AC57" si="29">I55/I56</f>
        <v>0.73379943876779308</v>
      </c>
      <c r="J57" s="274"/>
      <c r="K57" s="272">
        <f t="shared" si="29"/>
        <v>0.76150075776371529</v>
      </c>
      <c r="L57" s="274"/>
      <c r="M57" s="272">
        <f t="shared" si="29"/>
        <v>0.73946853537316504</v>
      </c>
      <c r="N57" s="274"/>
      <c r="O57" s="272">
        <f t="shared" si="29"/>
        <v>0.7603890024325286</v>
      </c>
      <c r="P57" s="274"/>
      <c r="Q57" s="272">
        <f t="shared" si="29"/>
        <v>0.76358228274368312</v>
      </c>
      <c r="R57" s="274"/>
      <c r="S57" s="272">
        <f t="shared" si="29"/>
        <v>0.79000697406396037</v>
      </c>
      <c r="T57" s="274"/>
      <c r="U57" s="272">
        <f t="shared" si="29"/>
        <v>0.760018055633922</v>
      </c>
      <c r="V57" s="274"/>
      <c r="W57" s="272">
        <f t="shared" si="29"/>
        <v>0.76424947395061926</v>
      </c>
      <c r="X57" s="274"/>
      <c r="Y57" s="272">
        <f t="shared" si="29"/>
        <v>0.77236963557549632</v>
      </c>
      <c r="Z57" s="274"/>
      <c r="AA57" s="272">
        <f t="shared" si="29"/>
        <v>0.78889179531150466</v>
      </c>
      <c r="AB57" s="274"/>
      <c r="AC57" s="272">
        <f t="shared" si="29"/>
        <v>0.76707583591917483</v>
      </c>
      <c r="AD57" s="274"/>
    </row>
    <row r="58" spans="1:30">
      <c r="A58" s="255"/>
      <c r="B58" s="258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</row>
    <row r="59" spans="1:30">
      <c r="A59" s="255"/>
      <c r="B59" s="258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</row>
    <row r="60" spans="1:30">
      <c r="A60" s="255"/>
      <c r="B60" s="258" t="s">
        <v>190</v>
      </c>
      <c r="C60" s="261">
        <f>+C55</f>
        <v>70644.62560828017</v>
      </c>
      <c r="D60" s="267"/>
      <c r="E60" s="261">
        <f>+E55</f>
        <v>66109.582498999996</v>
      </c>
      <c r="F60" s="267"/>
      <c r="G60" s="261">
        <f>+G55</f>
        <v>65985.425443</v>
      </c>
      <c r="H60" s="267"/>
      <c r="I60" s="261">
        <f>+I55</f>
        <v>65267.820076999997</v>
      </c>
      <c r="J60" s="267"/>
      <c r="K60" s="261">
        <f>+K55</f>
        <v>66652.514345999996</v>
      </c>
      <c r="L60" s="267"/>
      <c r="M60" s="261">
        <f>+M55</f>
        <v>62781.777000000002</v>
      </c>
      <c r="N60" s="267"/>
      <c r="O60" s="261">
        <f>+O55</f>
        <v>63070.315360000001</v>
      </c>
      <c r="P60" s="267"/>
      <c r="Q60" s="261">
        <f>+Q55</f>
        <v>62106.781999999999</v>
      </c>
      <c r="R60" s="267"/>
      <c r="S60" s="261">
        <f>+S55</f>
        <v>62636.800000000003</v>
      </c>
      <c r="T60" s="267"/>
      <c r="U60" s="261">
        <f>+U55</f>
        <v>33674.5</v>
      </c>
      <c r="V60" s="267"/>
      <c r="W60" s="261">
        <f>+W55</f>
        <v>33458.199999999997</v>
      </c>
      <c r="X60" s="267"/>
      <c r="Y60" s="261">
        <f>+Y55</f>
        <v>33052.400000000001</v>
      </c>
      <c r="Z60" s="267"/>
      <c r="AA60" s="261">
        <f>+AA55</f>
        <v>33205</v>
      </c>
      <c r="AB60" s="267"/>
      <c r="AC60" s="261">
        <f>+AC55</f>
        <v>31054</v>
      </c>
      <c r="AD60" s="267"/>
    </row>
    <row r="61" spans="1:30">
      <c r="A61" s="255"/>
      <c r="B61" s="283" t="s">
        <v>217</v>
      </c>
      <c r="C61" s="261">
        <f>+C48</f>
        <v>135491.78370445999</v>
      </c>
      <c r="D61" s="267"/>
      <c r="E61" s="261">
        <f>+E48</f>
        <v>132432.8281199802</v>
      </c>
      <c r="F61" s="267"/>
      <c r="G61" s="261">
        <f>+G48</f>
        <v>129535.07469605003</v>
      </c>
      <c r="H61" s="267"/>
      <c r="I61" s="261">
        <f>+I48</f>
        <v>126919.19126761002</v>
      </c>
      <c r="J61" s="267"/>
      <c r="K61" s="261">
        <f>+K48</f>
        <v>124393.18279451989</v>
      </c>
      <c r="L61" s="267"/>
      <c r="M61" s="261">
        <f>+M48</f>
        <v>121701.20138468998</v>
      </c>
      <c r="N61" s="267"/>
      <c r="O61" s="261">
        <f>+O48</f>
        <v>119450.075145</v>
      </c>
      <c r="P61" s="267"/>
      <c r="Q61" s="261">
        <f>+Q48</f>
        <v>117625.54336599998</v>
      </c>
      <c r="R61" s="267"/>
      <c r="S61" s="261">
        <f>+S48</f>
        <v>115223.03667298002</v>
      </c>
      <c r="T61" s="267"/>
      <c r="U61" s="261">
        <f>+U48</f>
        <v>62156.303097000004</v>
      </c>
      <c r="V61" s="267"/>
      <c r="W61" s="261">
        <f>+W48</f>
        <v>61139.951753000001</v>
      </c>
      <c r="X61" s="267"/>
      <c r="Y61" s="261">
        <f>+Y48</f>
        <v>59437.746741449999</v>
      </c>
      <c r="Z61" s="267"/>
      <c r="AA61" s="261">
        <f>+AA48</f>
        <v>57994.606618999998</v>
      </c>
      <c r="AB61" s="267"/>
      <c r="AC61" s="261">
        <f>+AC48</f>
        <v>56618.710594409997</v>
      </c>
      <c r="AD61" s="267"/>
    </row>
    <row r="62" spans="1:30" ht="13.5" thickBot="1">
      <c r="A62" s="326" t="s">
        <v>270</v>
      </c>
      <c r="B62" s="271" t="s">
        <v>218</v>
      </c>
      <c r="C62" s="272">
        <f>C60/C61</f>
        <v>0.52139416632356839</v>
      </c>
      <c r="D62" s="274"/>
      <c r="E62" s="272">
        <f>E60/E61</f>
        <v>0.49919331511297699</v>
      </c>
      <c r="F62" s="274"/>
      <c r="G62" s="272">
        <f>G60/G61</f>
        <v>0.50940199477116699</v>
      </c>
      <c r="H62" s="274"/>
      <c r="I62" s="272">
        <f>I60/I61</f>
        <v>0.51424705298808859</v>
      </c>
      <c r="J62" s="274"/>
      <c r="K62" s="272">
        <f>K60/K61</f>
        <v>0.53582127933892176</v>
      </c>
      <c r="L62" s="274"/>
      <c r="M62" s="272">
        <f>M60/M61</f>
        <v>0.51586817784608952</v>
      </c>
      <c r="N62" s="274"/>
      <c r="O62" s="272">
        <f>O60/O61</f>
        <v>0.52800565661795673</v>
      </c>
      <c r="P62" s="274"/>
      <c r="Q62" s="272">
        <f>Q60/Q61</f>
        <v>0.52800420914316604</v>
      </c>
      <c r="R62" s="274"/>
      <c r="S62" s="272">
        <f>S60/S61</f>
        <v>0.5436135152189443</v>
      </c>
      <c r="T62" s="274"/>
      <c r="U62" s="272">
        <f>U60/U61</f>
        <v>0.54177128178695222</v>
      </c>
      <c r="V62" s="274"/>
      <c r="W62" s="272">
        <f>W60/W61</f>
        <v>0.54723955516301626</v>
      </c>
      <c r="X62" s="274"/>
      <c r="Y62" s="272">
        <f>Y60/Y61</f>
        <v>0.55608433717677097</v>
      </c>
      <c r="Z62" s="274"/>
      <c r="AA62" s="272">
        <f>AA60/AA61</f>
        <v>0.57255324134091956</v>
      </c>
      <c r="AB62" s="274"/>
      <c r="AC62" s="272">
        <f>AC60/AC61</f>
        <v>0.54847593090659297</v>
      </c>
      <c r="AD62" s="274"/>
    </row>
    <row r="63" spans="1:30">
      <c r="A63" s="255"/>
      <c r="B63" s="258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1"/>
      <c r="Z63" s="267"/>
      <c r="AA63" s="267"/>
      <c r="AB63" s="267"/>
      <c r="AC63" s="267"/>
      <c r="AD63" s="267"/>
    </row>
    <row r="64" spans="1:30">
      <c r="A64" s="255"/>
      <c r="B64" s="258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</row>
    <row r="65" spans="1:30">
      <c r="A65" s="255"/>
      <c r="B65" s="258" t="s">
        <v>219</v>
      </c>
      <c r="C65" s="261">
        <f>+C55</f>
        <v>70644.62560828017</v>
      </c>
      <c r="D65" s="267"/>
      <c r="E65" s="261">
        <f>+E55</f>
        <v>66109.582498999996</v>
      </c>
      <c r="F65" s="267"/>
      <c r="G65" s="261">
        <f>G55</f>
        <v>65985.425443</v>
      </c>
      <c r="H65" s="267"/>
      <c r="I65" s="261">
        <f>I55</f>
        <v>65267.820076999997</v>
      </c>
      <c r="J65" s="267"/>
      <c r="K65" s="261">
        <f>K55</f>
        <v>66652.514345999996</v>
      </c>
      <c r="L65" s="267"/>
      <c r="M65" s="261">
        <f>M55</f>
        <v>62781.777000000002</v>
      </c>
      <c r="N65" s="267"/>
      <c r="O65" s="261">
        <f>O55</f>
        <v>63070.315360000001</v>
      </c>
      <c r="P65" s="267"/>
      <c r="Q65" s="261">
        <f>Q55</f>
        <v>62106.781999999999</v>
      </c>
      <c r="R65" s="267"/>
      <c r="S65" s="261">
        <f>S55</f>
        <v>62636.800000000003</v>
      </c>
      <c r="T65" s="267"/>
      <c r="U65" s="261">
        <f>U55</f>
        <v>33674.5</v>
      </c>
      <c r="V65" s="267"/>
      <c r="W65" s="261">
        <f>W55</f>
        <v>33458.199999999997</v>
      </c>
      <c r="X65" s="267"/>
      <c r="Y65" s="261">
        <f>Y55</f>
        <v>33052.400000000001</v>
      </c>
      <c r="Z65" s="267"/>
      <c r="AA65" s="261">
        <f>AA55</f>
        <v>33205</v>
      </c>
      <c r="AB65" s="267"/>
      <c r="AC65" s="261">
        <f>AC55</f>
        <v>31054</v>
      </c>
      <c r="AD65" s="267"/>
    </row>
    <row r="66" spans="1:30">
      <c r="A66" s="255"/>
      <c r="B66" s="279" t="s">
        <v>220</v>
      </c>
      <c r="C66" s="265">
        <f>+K65</f>
        <v>66652.514345999996</v>
      </c>
      <c r="D66" s="280"/>
      <c r="E66" s="265">
        <f>+M65</f>
        <v>62781.777000000002</v>
      </c>
      <c r="F66" s="280"/>
      <c r="G66" s="265">
        <f>O55</f>
        <v>63070.315360000001</v>
      </c>
      <c r="H66" s="280"/>
      <c r="I66" s="265">
        <f>+Q65</f>
        <v>62106.781999999999</v>
      </c>
      <c r="J66" s="280"/>
      <c r="K66" s="265">
        <f>+S65</f>
        <v>62636.800000000003</v>
      </c>
      <c r="L66" s="280"/>
      <c r="M66" s="265">
        <f>+U65</f>
        <v>33674.5</v>
      </c>
      <c r="N66" s="280"/>
      <c r="O66" s="265">
        <f>+W65</f>
        <v>33458.199999999997</v>
      </c>
      <c r="P66" s="280"/>
      <c r="Q66" s="265">
        <f>+Y65</f>
        <v>33052.400000000001</v>
      </c>
      <c r="R66" s="280"/>
      <c r="S66" s="265">
        <f>+AA65</f>
        <v>33205</v>
      </c>
      <c r="T66" s="280"/>
      <c r="U66" s="265">
        <f>+AC65</f>
        <v>31054</v>
      </c>
      <c r="V66" s="280"/>
      <c r="W66" s="265">
        <v>31070</v>
      </c>
      <c r="X66" s="280"/>
      <c r="Y66" s="265">
        <v>31575</v>
      </c>
      <c r="Z66" s="280"/>
      <c r="AA66" s="265">
        <v>32052.640421</v>
      </c>
      <c r="AB66" s="280"/>
      <c r="AC66" s="265">
        <v>29948</v>
      </c>
      <c r="AD66" s="280"/>
    </row>
    <row r="67" spans="1:30">
      <c r="A67" s="255"/>
      <c r="B67" s="258" t="s">
        <v>221</v>
      </c>
      <c r="C67" s="261">
        <f>+C65-C66</f>
        <v>3992.1112622801738</v>
      </c>
      <c r="D67" s="267"/>
      <c r="E67" s="261">
        <f>+E65-E66</f>
        <v>3327.8054989999946</v>
      </c>
      <c r="F67" s="267"/>
      <c r="G67" s="261">
        <f>G65-G66</f>
        <v>2915.1100829999996</v>
      </c>
      <c r="H67" s="267"/>
      <c r="I67" s="261">
        <f>I65-I66</f>
        <v>3161.0380769999974</v>
      </c>
      <c r="J67" s="267"/>
      <c r="K67" s="261">
        <f>K65-K66</f>
        <v>4015.7143459999934</v>
      </c>
      <c r="L67" s="267"/>
      <c r="M67" s="261">
        <f>M65-M66</f>
        <v>29107.277000000002</v>
      </c>
      <c r="N67" s="267"/>
      <c r="O67" s="261">
        <f>O65-O66</f>
        <v>29612.115360000003</v>
      </c>
      <c r="P67" s="267"/>
      <c r="Q67" s="261">
        <f>Q65-Q66</f>
        <v>29054.381999999998</v>
      </c>
      <c r="R67" s="267"/>
      <c r="S67" s="261">
        <f>S65-S66</f>
        <v>29431.800000000003</v>
      </c>
      <c r="T67" s="267"/>
      <c r="U67" s="261">
        <f>U65-U66</f>
        <v>2620.5</v>
      </c>
      <c r="V67" s="267"/>
      <c r="W67" s="261">
        <f>W65-W66</f>
        <v>2388.1999999999971</v>
      </c>
      <c r="X67" s="267"/>
      <c r="Y67" s="261">
        <f>Y65-Y66</f>
        <v>1477.4000000000015</v>
      </c>
      <c r="Z67" s="267"/>
      <c r="AA67" s="261">
        <f>AA65-AA66</f>
        <v>1152.3595789999999</v>
      </c>
      <c r="AB67" s="267"/>
      <c r="AC67" s="261">
        <f>AC65-AC66</f>
        <v>1106</v>
      </c>
      <c r="AD67" s="267"/>
    </row>
    <row r="68" spans="1:30">
      <c r="A68" s="255"/>
      <c r="B68" s="259" t="s">
        <v>222</v>
      </c>
      <c r="C68" s="261">
        <f>C66</f>
        <v>66652.514345999996</v>
      </c>
      <c r="D68" s="267"/>
      <c r="E68" s="261">
        <f>E66</f>
        <v>62781.777000000002</v>
      </c>
      <c r="F68" s="267"/>
      <c r="G68" s="261">
        <f>+G66</f>
        <v>63070.315360000001</v>
      </c>
      <c r="H68" s="267"/>
      <c r="I68" s="261">
        <f>+I66</f>
        <v>62106.781999999999</v>
      </c>
      <c r="J68" s="267"/>
      <c r="K68" s="261">
        <f>+K66</f>
        <v>62636.800000000003</v>
      </c>
      <c r="L68" s="267"/>
      <c r="M68" s="261">
        <f>+M66</f>
        <v>33674.5</v>
      </c>
      <c r="N68" s="267"/>
      <c r="O68" s="261">
        <f>+O66</f>
        <v>33458.199999999997</v>
      </c>
      <c r="P68" s="267"/>
      <c r="Q68" s="261">
        <f>+Q66</f>
        <v>33052.400000000001</v>
      </c>
      <c r="R68" s="267"/>
      <c r="S68" s="261">
        <f>+S66</f>
        <v>33205</v>
      </c>
      <c r="T68" s="267"/>
      <c r="U68" s="261">
        <f>+U66</f>
        <v>31054</v>
      </c>
      <c r="V68" s="267"/>
      <c r="W68" s="261">
        <f>+W66</f>
        <v>31070</v>
      </c>
      <c r="X68" s="267"/>
      <c r="Y68" s="261">
        <f>+Y66</f>
        <v>31575</v>
      </c>
      <c r="Z68" s="267"/>
      <c r="AA68" s="261">
        <f>+AA66</f>
        <v>32052.640421</v>
      </c>
      <c r="AB68" s="267"/>
      <c r="AC68" s="261">
        <f>+AC66</f>
        <v>29948</v>
      </c>
      <c r="AD68" s="267"/>
    </row>
    <row r="69" spans="1:30" ht="13.5" thickBot="1">
      <c r="A69" s="326" t="s">
        <v>271</v>
      </c>
      <c r="B69" s="271" t="s">
        <v>223</v>
      </c>
      <c r="C69" s="272">
        <f>C67/C68</f>
        <v>5.9894383602045638E-2</v>
      </c>
      <c r="D69" s="274"/>
      <c r="E69" s="272">
        <f>E67/E68</f>
        <v>5.3005914423224984E-2</v>
      </c>
      <c r="F69" s="274"/>
      <c r="G69" s="272">
        <f>G67/G68</f>
        <v>4.6220001697483179E-2</v>
      </c>
      <c r="H69" s="274"/>
      <c r="I69" s="272">
        <f>I67/I68</f>
        <v>5.089682600202982E-2</v>
      </c>
      <c r="J69" s="274"/>
      <c r="K69" s="272">
        <f>K67/K68</f>
        <v>6.4111103153417684E-2</v>
      </c>
      <c r="L69" s="274"/>
      <c r="M69" s="272">
        <f>M67/M68</f>
        <v>0.86437146802476661</v>
      </c>
      <c r="N69" s="274"/>
      <c r="O69" s="272">
        <f>O67/O68</f>
        <v>0.8850480707270566</v>
      </c>
      <c r="P69" s="274"/>
      <c r="Q69" s="272">
        <f>Q67/Q68</f>
        <v>0.87904000919751657</v>
      </c>
      <c r="R69" s="274"/>
      <c r="S69" s="272">
        <f>S67/S68</f>
        <v>0.88636651106761044</v>
      </c>
      <c r="T69" s="274"/>
      <c r="U69" s="272">
        <f>U67/U68</f>
        <v>8.4385264378179947E-2</v>
      </c>
      <c r="V69" s="274"/>
      <c r="W69" s="272">
        <f>W67/W68</f>
        <v>7.6865143224975771E-2</v>
      </c>
      <c r="X69" s="274"/>
      <c r="Y69" s="272">
        <f>Y67/Y68</f>
        <v>4.6790182106096638E-2</v>
      </c>
      <c r="Z69" s="274"/>
      <c r="AA69" s="272">
        <f>AA67/AA68</f>
        <v>3.5952095174193698E-2</v>
      </c>
      <c r="AB69" s="274"/>
      <c r="AC69" s="272">
        <f>AC67/AC68</f>
        <v>3.6930679845064776E-2</v>
      </c>
      <c r="AD69" s="274"/>
    </row>
    <row r="70" spans="1:30">
      <c r="A70" s="255"/>
      <c r="B70" s="258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</row>
    <row r="71" spans="1:30">
      <c r="A71" s="255"/>
      <c r="B71" s="258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</row>
    <row r="72" spans="1:30">
      <c r="A72" s="255"/>
      <c r="B72" s="258" t="s">
        <v>1</v>
      </c>
      <c r="C72" s="261">
        <v>119591.87386200001</v>
      </c>
      <c r="D72" s="267"/>
      <c r="E72" s="261">
        <v>114088.20773600001</v>
      </c>
      <c r="F72" s="267"/>
      <c r="G72" s="261">
        <v>108321.32653799999</v>
      </c>
      <c r="H72" s="267"/>
      <c r="I72" s="261">
        <v>106311.634504</v>
      </c>
      <c r="J72" s="267"/>
      <c r="K72" s="261">
        <v>107652.02759400001</v>
      </c>
      <c r="L72" s="267"/>
      <c r="M72" s="261">
        <v>101861.10500000003</v>
      </c>
      <c r="N72" s="267"/>
      <c r="O72" s="261">
        <v>101241.63347000002</v>
      </c>
      <c r="P72" s="267"/>
      <c r="Q72" s="261">
        <v>99719.943000000014</v>
      </c>
      <c r="R72" s="267"/>
      <c r="S72" s="261">
        <v>100882.75</v>
      </c>
      <c r="T72" s="267"/>
      <c r="U72" s="261">
        <v>57184.580000000009</v>
      </c>
      <c r="V72" s="267"/>
      <c r="W72" s="261">
        <v>55970</v>
      </c>
      <c r="X72" s="267"/>
      <c r="Y72" s="261">
        <v>54500.600000000006</v>
      </c>
      <c r="Z72" s="267"/>
      <c r="AA72" s="261">
        <v>53558.399999999994</v>
      </c>
      <c r="AB72" s="261"/>
      <c r="AC72" s="261">
        <v>51101</v>
      </c>
      <c r="AD72" s="266"/>
    </row>
    <row r="73" spans="1:30">
      <c r="A73" s="255"/>
      <c r="B73" s="258" t="s">
        <v>224</v>
      </c>
      <c r="C73" s="261">
        <f>(C72+E72+G72)/3</f>
        <v>114000.46937866668</v>
      </c>
      <c r="D73" s="261"/>
      <c r="E73" s="261">
        <v>111204.767137</v>
      </c>
      <c r="F73" s="261"/>
      <c r="G73" s="261">
        <v>105077.54542120002</v>
      </c>
      <c r="H73" s="267"/>
      <c r="I73" s="261">
        <v>104266.60014200001</v>
      </c>
      <c r="J73" s="267"/>
      <c r="K73" s="261">
        <v>103584.92202133335</v>
      </c>
      <c r="L73" s="267"/>
      <c r="M73" s="261">
        <v>101551.36923500002</v>
      </c>
      <c r="N73" s="267"/>
      <c r="O73" s="261">
        <v>82999.781294000015</v>
      </c>
      <c r="P73" s="267"/>
      <c r="Q73" s="261">
        <v>78439.318250000011</v>
      </c>
      <c r="R73" s="267"/>
      <c r="S73" s="261">
        <f>(S72+U72+W72)/3</f>
        <v>71345.776666666672</v>
      </c>
      <c r="T73" s="267"/>
      <c r="U73" s="261">
        <f>(U72+W72)/2</f>
        <v>56577.290000000008</v>
      </c>
      <c r="V73" s="267"/>
      <c r="W73" s="261">
        <f>(W72+Y72+AA72+AC72+AE15)/5</f>
        <v>43026</v>
      </c>
      <c r="X73" s="267"/>
      <c r="Y73" s="261">
        <f>(Y72+AA72+AC72+49934)/4</f>
        <v>52273.5</v>
      </c>
      <c r="Z73" s="267"/>
      <c r="AA73" s="261">
        <f>(AA72+AC72+49934)/3</f>
        <v>51531.133333333331</v>
      </c>
      <c r="AB73" s="261"/>
      <c r="AC73" s="261">
        <f>(AC72+49934)/2</f>
        <v>50517.5</v>
      </c>
      <c r="AD73" s="266"/>
    </row>
    <row r="74" spans="1:30">
      <c r="A74" s="255"/>
      <c r="B74" s="258" t="s">
        <v>225</v>
      </c>
      <c r="C74" s="261"/>
      <c r="D74" s="261">
        <v>111204.767137</v>
      </c>
      <c r="E74" s="261"/>
      <c r="F74" s="261">
        <v>111204.767137</v>
      </c>
      <c r="G74" s="267"/>
      <c r="H74" s="261">
        <v>107316.48052099999</v>
      </c>
      <c r="I74" s="261"/>
      <c r="J74" s="261">
        <v>106981.831049</v>
      </c>
      <c r="K74" s="261"/>
      <c r="L74" s="261">
        <v>104756.56629700001</v>
      </c>
      <c r="M74" s="261"/>
      <c r="N74" s="261">
        <v>101551.36923500002</v>
      </c>
      <c r="O74" s="261"/>
      <c r="P74" s="261">
        <v>100480.78823500001</v>
      </c>
      <c r="Q74" s="261"/>
      <c r="R74" s="261">
        <v>100301.34650000001</v>
      </c>
      <c r="S74" s="261"/>
      <c r="T74" s="261">
        <f>(S72+U72)/2</f>
        <v>79033.665000000008</v>
      </c>
      <c r="U74" s="261"/>
      <c r="V74" s="261">
        <f>(U72+W72)/2</f>
        <v>56577.290000000008</v>
      </c>
      <c r="W74" s="261"/>
      <c r="X74" s="261">
        <f>(W72+Y72)/2</f>
        <v>55235.3</v>
      </c>
      <c r="Y74" s="267"/>
      <c r="Z74" s="261">
        <f>(Y72+AA72)/2</f>
        <v>54029.5</v>
      </c>
      <c r="AA74" s="267"/>
      <c r="AB74" s="261">
        <f>(AA72+AC72)/2</f>
        <v>52329.7</v>
      </c>
      <c r="AC74" s="261"/>
      <c r="AD74" s="261">
        <f>(AC72+49934)/2</f>
        <v>50517.5</v>
      </c>
    </row>
    <row r="75" spans="1:30">
      <c r="A75" s="255"/>
      <c r="B75" s="258"/>
      <c r="C75" s="267"/>
      <c r="D75" s="267"/>
      <c r="E75" s="267"/>
      <c r="F75" s="267"/>
      <c r="G75" s="267"/>
      <c r="H75" s="267"/>
      <c r="I75" s="261"/>
      <c r="J75" s="267"/>
      <c r="K75" s="261"/>
      <c r="L75" s="267"/>
      <c r="M75" s="261"/>
      <c r="N75" s="267"/>
      <c r="O75" s="261"/>
      <c r="P75" s="267"/>
      <c r="Q75" s="261"/>
      <c r="R75" s="267"/>
      <c r="S75" s="261"/>
      <c r="T75" s="267"/>
      <c r="U75" s="261"/>
      <c r="V75" s="267"/>
      <c r="W75" s="261"/>
      <c r="X75" s="267"/>
      <c r="Y75" s="267"/>
      <c r="Z75" s="267"/>
      <c r="AA75" s="267"/>
      <c r="AB75" s="267"/>
      <c r="AC75" s="267"/>
      <c r="AD75" s="267"/>
    </row>
    <row r="76" spans="1:30">
      <c r="A76" s="255"/>
      <c r="B76" s="258" t="s">
        <v>1</v>
      </c>
      <c r="C76" s="261">
        <f>C72</f>
        <v>119591.87386200001</v>
      </c>
      <c r="D76" s="267"/>
      <c r="E76" s="261">
        <f>E72</f>
        <v>114088.20773600001</v>
      </c>
      <c r="F76" s="267"/>
      <c r="G76" s="261">
        <f>G72</f>
        <v>108321.32653799999</v>
      </c>
      <c r="H76" s="267"/>
      <c r="I76" s="261">
        <f>I72</f>
        <v>106311.634504</v>
      </c>
      <c r="J76" s="267"/>
      <c r="K76" s="261">
        <f>K72</f>
        <v>107652.02759400001</v>
      </c>
      <c r="L76" s="267"/>
      <c r="M76" s="261">
        <f>M72</f>
        <v>101861.10500000003</v>
      </c>
      <c r="N76" s="267"/>
      <c r="O76" s="261">
        <f>O72</f>
        <v>101241.63347000002</v>
      </c>
      <c r="P76" s="267"/>
      <c r="Q76" s="261">
        <f>Q72</f>
        <v>99719.943000000014</v>
      </c>
      <c r="R76" s="267"/>
      <c r="S76" s="261">
        <f>S72</f>
        <v>100882.75</v>
      </c>
      <c r="T76" s="267"/>
      <c r="U76" s="261">
        <f>U72</f>
        <v>57184.580000000009</v>
      </c>
      <c r="V76" s="267"/>
      <c r="W76" s="261">
        <f>W72</f>
        <v>55970</v>
      </c>
      <c r="X76" s="267"/>
      <c r="Y76" s="261">
        <f>Y72</f>
        <v>54500.600000000006</v>
      </c>
      <c r="Z76" s="267"/>
      <c r="AA76" s="261">
        <f>AA72</f>
        <v>53558.399999999994</v>
      </c>
      <c r="AB76" s="267"/>
      <c r="AC76" s="261">
        <f>AC72</f>
        <v>51101</v>
      </c>
      <c r="AD76" s="267"/>
    </row>
    <row r="77" spans="1:30">
      <c r="A77" s="255"/>
      <c r="B77" s="275" t="s">
        <v>188</v>
      </c>
      <c r="C77" s="261">
        <f>+C37</f>
        <v>37943.764000000003</v>
      </c>
      <c r="D77" s="267"/>
      <c r="E77" s="261">
        <f>+E37</f>
        <v>38009.275000000001</v>
      </c>
      <c r="F77" s="267"/>
      <c r="G77" s="261">
        <f>+G37</f>
        <v>37451.131987000001</v>
      </c>
      <c r="H77" s="267"/>
      <c r="I77" s="261">
        <f>+I37</f>
        <v>36650.008250999999</v>
      </c>
      <c r="J77" s="267"/>
      <c r="K77" s="261">
        <f>+K37</f>
        <v>35532.226698999999</v>
      </c>
      <c r="L77" s="267"/>
      <c r="M77" s="261">
        <f>+M37</f>
        <v>35521.066979000003</v>
      </c>
      <c r="N77" s="267"/>
      <c r="O77" s="261">
        <f>+O37</f>
        <v>35197.497000000003</v>
      </c>
      <c r="P77" s="267"/>
      <c r="Q77" s="261">
        <f>+Q37</f>
        <v>35129.561126999994</v>
      </c>
      <c r="R77" s="267"/>
      <c r="S77" s="261">
        <f>+S37</f>
        <v>34766.900999999998</v>
      </c>
      <c r="T77" s="267"/>
      <c r="U77" s="261">
        <f>+U37</f>
        <v>17288.619168000001</v>
      </c>
      <c r="V77" s="267"/>
      <c r="W77" s="261">
        <f>+W37</f>
        <v>16796.622458000002</v>
      </c>
      <c r="X77" s="267"/>
      <c r="Y77" s="261">
        <f>+Y37</f>
        <v>16076.098374450001</v>
      </c>
      <c r="Z77" s="267"/>
      <c r="AA77" s="261">
        <f>+AA37</f>
        <v>15329.815615</v>
      </c>
      <c r="AB77" s="267"/>
      <c r="AC77" s="261">
        <f>+AC37</f>
        <v>15533.628225</v>
      </c>
      <c r="AD77" s="267"/>
    </row>
    <row r="78" spans="1:30">
      <c r="A78" s="255"/>
      <c r="B78" s="275" t="s">
        <v>189</v>
      </c>
      <c r="C78" s="261">
        <f>+C38</f>
        <v>1508.4760000000001</v>
      </c>
      <c r="D78" s="267"/>
      <c r="E78" s="261">
        <f>+E38</f>
        <v>1605.809</v>
      </c>
      <c r="F78" s="267"/>
      <c r="G78" s="261">
        <f>+G38</f>
        <v>1623.794453</v>
      </c>
      <c r="H78" s="267"/>
      <c r="I78" s="261">
        <f>+I38</f>
        <v>1324.1435019999999</v>
      </c>
      <c r="J78" s="267"/>
      <c r="K78" s="261">
        <f>+K38</f>
        <v>1333.118905</v>
      </c>
      <c r="L78" s="267"/>
      <c r="M78" s="261">
        <f>+M38</f>
        <v>1278.919551</v>
      </c>
      <c r="N78" s="267"/>
      <c r="O78" s="261">
        <f>+O38</f>
        <v>1307.7759999999998</v>
      </c>
      <c r="P78" s="267"/>
      <c r="Q78" s="261">
        <f>+Q38</f>
        <v>1159.912239</v>
      </c>
      <c r="R78" s="267"/>
      <c r="S78" s="261">
        <f>+S38</f>
        <v>1169.7469999999998</v>
      </c>
      <c r="T78" s="267"/>
      <c r="U78" s="261">
        <f>+U38</f>
        <v>560.18392900000003</v>
      </c>
      <c r="V78" s="267"/>
      <c r="W78" s="261">
        <f>+W38</f>
        <v>564.16929500000003</v>
      </c>
      <c r="X78" s="267"/>
      <c r="Y78" s="261">
        <f>+Y38</f>
        <v>568.14836700000001</v>
      </c>
      <c r="Z78" s="267"/>
      <c r="AA78" s="261">
        <f>+AA38</f>
        <v>574.10100399999999</v>
      </c>
      <c r="AB78" s="267"/>
      <c r="AC78" s="261">
        <f>+AC38</f>
        <v>601.47104200000001</v>
      </c>
      <c r="AD78" s="267"/>
    </row>
    <row r="79" spans="1:30" ht="13.5" thickBot="1">
      <c r="A79" s="326" t="s">
        <v>283</v>
      </c>
      <c r="B79" s="271" t="s">
        <v>226</v>
      </c>
      <c r="C79" s="277">
        <f>+C76+C77+C78</f>
        <v>159044.113862</v>
      </c>
      <c r="D79" s="278"/>
      <c r="E79" s="277">
        <f>+E76+E77+E78</f>
        <v>153703.29173600001</v>
      </c>
      <c r="F79" s="278"/>
      <c r="G79" s="277">
        <f>+G76+G77+G78</f>
        <v>147396.252978</v>
      </c>
      <c r="H79" s="278"/>
      <c r="I79" s="277">
        <f>+I76+I77+I78</f>
        <v>144285.786257</v>
      </c>
      <c r="J79" s="278"/>
      <c r="K79" s="277">
        <f>+K76+K77+K78</f>
        <v>144517.37319800002</v>
      </c>
      <c r="L79" s="278"/>
      <c r="M79" s="277">
        <f>+M76+M77+M78</f>
        <v>138661.09153000003</v>
      </c>
      <c r="N79" s="278"/>
      <c r="O79" s="277">
        <f>+O76+O77+O78</f>
        <v>137746.90647000005</v>
      </c>
      <c r="P79" s="278"/>
      <c r="Q79" s="277">
        <f>+Q76+Q77+Q78</f>
        <v>136009.41636599999</v>
      </c>
      <c r="R79" s="278"/>
      <c r="S79" s="277">
        <f>+S76+S77+S78</f>
        <v>136819.39800000002</v>
      </c>
      <c r="T79" s="278"/>
      <c r="U79" s="277">
        <f>+U76+U77+U78</f>
        <v>75033.383097000013</v>
      </c>
      <c r="V79" s="278"/>
      <c r="W79" s="277">
        <f>+W76+W77+W78</f>
        <v>73330.791752999998</v>
      </c>
      <c r="X79" s="278"/>
      <c r="Y79" s="277">
        <f>+Y76+Y77+Y78</f>
        <v>71144.846741450005</v>
      </c>
      <c r="Z79" s="278"/>
      <c r="AA79" s="277">
        <f>+AA76+AA77+AA78</f>
        <v>69462.31661899999</v>
      </c>
      <c r="AB79" s="278"/>
      <c r="AC79" s="277">
        <f>+AC76+AC77+AC78</f>
        <v>67236.099266999998</v>
      </c>
      <c r="AD79" s="278"/>
    </row>
    <row r="80" spans="1:30">
      <c r="A80" s="255"/>
      <c r="B80" s="258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</row>
    <row r="81" spans="1:30">
      <c r="A81" s="255"/>
      <c r="B81" s="285" t="s">
        <v>37</v>
      </c>
      <c r="C81" s="265">
        <v>11.968170000000001</v>
      </c>
      <c r="D81" s="265">
        <v>7.1308810000000005</v>
      </c>
      <c r="E81" s="265">
        <v>4.8372890000000002</v>
      </c>
      <c r="F81" s="265">
        <v>4.8372890000000002</v>
      </c>
      <c r="G81" s="265">
        <v>-20.143094999999999</v>
      </c>
      <c r="H81" s="265">
        <v>-13</v>
      </c>
      <c r="I81" s="265">
        <v>-6.5001689999999996</v>
      </c>
      <c r="J81" s="265">
        <v>14.499831</v>
      </c>
      <c r="K81" s="265">
        <v>-20.920946000000001</v>
      </c>
      <c r="L81" s="265">
        <v>5.2380539999999982</v>
      </c>
      <c r="M81" s="265">
        <v>-26.158999999999999</v>
      </c>
      <c r="N81" s="265">
        <v>-26.158999999999999</v>
      </c>
      <c r="O81" s="265">
        <v>75.163342</v>
      </c>
      <c r="P81" s="265"/>
      <c r="Q81" s="265">
        <v>32.571090560000002</v>
      </c>
      <c r="R81" s="265">
        <v>3.3884404799999999</v>
      </c>
      <c r="S81" s="265">
        <v>29</v>
      </c>
      <c r="T81" s="265">
        <v>20.2</v>
      </c>
      <c r="U81" s="265">
        <v>8.9</v>
      </c>
      <c r="V81" s="265">
        <v>8.9</v>
      </c>
      <c r="W81" s="265">
        <v>55.8</v>
      </c>
      <c r="X81" s="265">
        <v>17.799999999999997</v>
      </c>
      <c r="Y81" s="265">
        <v>38.1</v>
      </c>
      <c r="Z81" s="265">
        <v>-2</v>
      </c>
      <c r="AA81" s="265">
        <v>40</v>
      </c>
      <c r="AB81" s="265">
        <v>35</v>
      </c>
      <c r="AC81" s="265">
        <v>5</v>
      </c>
      <c r="AD81" s="265">
        <v>5</v>
      </c>
    </row>
    <row r="82" spans="1:30">
      <c r="A82" s="255"/>
      <c r="B82" s="258" t="s">
        <v>227</v>
      </c>
      <c r="C82" s="261">
        <v>24.134707458563536</v>
      </c>
      <c r="D82" s="261">
        <v>28.601885329670331</v>
      </c>
      <c r="E82" s="261">
        <f>E81/E8*$A$1</f>
        <v>19.617894277777779</v>
      </c>
      <c r="F82" s="261">
        <f t="shared" ref="F82:AD82" si="30">F81/F8*$A$1</f>
        <v>19.617894277777779</v>
      </c>
      <c r="G82" s="261">
        <f t="shared" si="30"/>
        <v>-20.143094999999999</v>
      </c>
      <c r="H82" s="261">
        <f t="shared" si="30"/>
        <v>-51.576086956521735</v>
      </c>
      <c r="I82" s="261">
        <f t="shared" si="30"/>
        <v>-8.6907021428571429</v>
      </c>
      <c r="J82" s="261">
        <f t="shared" si="30"/>
        <v>57.526503423913049</v>
      </c>
      <c r="K82" s="261">
        <f t="shared" si="30"/>
        <v>-42.188648011049722</v>
      </c>
      <c r="L82" s="261">
        <f t="shared" si="30"/>
        <v>21.009777032967026</v>
      </c>
      <c r="M82" s="261">
        <f t="shared" si="30"/>
        <v>-106.08927777777778</v>
      </c>
      <c r="N82" s="261">
        <f t="shared" si="30"/>
        <v>-106.08927777777778</v>
      </c>
      <c r="O82" s="261">
        <f t="shared" si="30"/>
        <v>74.957977677595622</v>
      </c>
      <c r="P82" s="261">
        <f t="shared" si="30"/>
        <v>0</v>
      </c>
      <c r="Q82" s="261">
        <f t="shared" si="30"/>
        <v>43.38849654890511</v>
      </c>
      <c r="R82" s="261">
        <f t="shared" si="30"/>
        <v>13.443269295652172</v>
      </c>
      <c r="S82" s="261">
        <f t="shared" si="30"/>
        <v>58.159340659340657</v>
      </c>
      <c r="T82" s="261">
        <f t="shared" si="30"/>
        <v>81.021978021978015</v>
      </c>
      <c r="U82" s="261">
        <f t="shared" si="30"/>
        <v>35.697802197802197</v>
      </c>
      <c r="V82" s="261">
        <f t="shared" si="30"/>
        <v>35.697802197802197</v>
      </c>
      <c r="W82" s="261">
        <f t="shared" si="30"/>
        <v>55.8</v>
      </c>
      <c r="X82" s="261">
        <f t="shared" si="30"/>
        <v>70.619565217391298</v>
      </c>
      <c r="Y82" s="261">
        <f t="shared" si="30"/>
        <v>50.939560439560438</v>
      </c>
      <c r="Z82" s="261">
        <f t="shared" si="30"/>
        <v>-7.9347826086956523</v>
      </c>
      <c r="AA82" s="261">
        <f t="shared" si="30"/>
        <v>80.662983425414367</v>
      </c>
      <c r="AB82" s="261">
        <f t="shared" si="30"/>
        <v>140.38461538461539</v>
      </c>
      <c r="AC82" s="261">
        <f t="shared" si="30"/>
        <v>20.277777777777775</v>
      </c>
      <c r="AD82" s="261">
        <f t="shared" si="30"/>
        <v>20.277777777777775</v>
      </c>
    </row>
    <row r="83" spans="1:30">
      <c r="A83" s="255"/>
      <c r="B83" s="258"/>
      <c r="C83" s="267"/>
      <c r="D83" s="267"/>
      <c r="E83" s="267"/>
      <c r="F83" s="267"/>
      <c r="G83" s="267"/>
      <c r="H83" s="261"/>
      <c r="I83" s="261"/>
      <c r="J83" s="261"/>
      <c r="K83" s="261"/>
      <c r="L83" s="261"/>
      <c r="M83" s="261"/>
      <c r="N83" s="261"/>
      <c r="O83" s="267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</row>
    <row r="84" spans="1:30">
      <c r="A84" s="255"/>
      <c r="B84" s="258" t="s">
        <v>37</v>
      </c>
      <c r="C84" s="261">
        <f>+C82</f>
        <v>24.134707458563536</v>
      </c>
      <c r="D84" s="261">
        <f t="shared" ref="D84" si="31">D82</f>
        <v>28.601885329670331</v>
      </c>
      <c r="E84" s="261">
        <f>+E82</f>
        <v>19.617894277777779</v>
      </c>
      <c r="F84" s="261">
        <f t="shared" ref="F84:AC84" si="32">F82</f>
        <v>19.617894277777779</v>
      </c>
      <c r="G84" s="261">
        <f t="shared" si="32"/>
        <v>-20.143094999999999</v>
      </c>
      <c r="H84" s="261">
        <f t="shared" si="32"/>
        <v>-51.576086956521735</v>
      </c>
      <c r="I84" s="261">
        <f t="shared" si="32"/>
        <v>-8.6907021428571429</v>
      </c>
      <c r="J84" s="261">
        <f t="shared" si="32"/>
        <v>57.526503423913049</v>
      </c>
      <c r="K84" s="261">
        <f t="shared" si="32"/>
        <v>-42.188648011049722</v>
      </c>
      <c r="L84" s="261">
        <f t="shared" si="32"/>
        <v>21.009777032967026</v>
      </c>
      <c r="M84" s="261">
        <f t="shared" si="32"/>
        <v>-106.08927777777778</v>
      </c>
      <c r="N84" s="261">
        <f t="shared" si="32"/>
        <v>-106.08927777777778</v>
      </c>
      <c r="O84" s="261">
        <f t="shared" si="32"/>
        <v>74.957977677595622</v>
      </c>
      <c r="P84" s="261">
        <f t="shared" si="32"/>
        <v>0</v>
      </c>
      <c r="Q84" s="261">
        <f t="shared" si="32"/>
        <v>43.38849654890511</v>
      </c>
      <c r="R84" s="261">
        <f t="shared" si="32"/>
        <v>13.443269295652172</v>
      </c>
      <c r="S84" s="261">
        <f t="shared" si="32"/>
        <v>58.159340659340657</v>
      </c>
      <c r="T84" s="261">
        <f t="shared" si="32"/>
        <v>81.021978021978015</v>
      </c>
      <c r="U84" s="261">
        <f t="shared" si="32"/>
        <v>35.697802197802197</v>
      </c>
      <c r="V84" s="261">
        <f t="shared" si="32"/>
        <v>35.697802197802197</v>
      </c>
      <c r="W84" s="261">
        <f t="shared" si="32"/>
        <v>55.8</v>
      </c>
      <c r="X84" s="261">
        <f t="shared" si="32"/>
        <v>70.619565217391298</v>
      </c>
      <c r="Y84" s="261">
        <f t="shared" si="32"/>
        <v>50.939560439560438</v>
      </c>
      <c r="Z84" s="261">
        <f t="shared" si="32"/>
        <v>-7.9347826086956523</v>
      </c>
      <c r="AA84" s="261">
        <f t="shared" si="32"/>
        <v>80.662983425414367</v>
      </c>
      <c r="AB84" s="261">
        <f t="shared" si="32"/>
        <v>140.38461538461539</v>
      </c>
      <c r="AC84" s="261">
        <f t="shared" si="32"/>
        <v>20.277777777777775</v>
      </c>
      <c r="AD84" s="261">
        <f t="shared" ref="AD84" si="33">+AD81</f>
        <v>5</v>
      </c>
    </row>
    <row r="85" spans="1:30">
      <c r="A85" s="255"/>
      <c r="B85" s="258" t="s">
        <v>254</v>
      </c>
      <c r="C85" s="261">
        <f>C36</f>
        <v>96039.543704459997</v>
      </c>
      <c r="D85" s="261">
        <f>+C85</f>
        <v>96039.543704459997</v>
      </c>
      <c r="E85" s="261">
        <f>E36</f>
        <v>92817.744119980198</v>
      </c>
      <c r="F85" s="261">
        <f>+E85</f>
        <v>92817.744119980198</v>
      </c>
      <c r="G85" s="261">
        <f>G36</f>
        <v>90460.14825605003</v>
      </c>
      <c r="H85" s="261">
        <f>+G85</f>
        <v>90460.14825605003</v>
      </c>
      <c r="I85" s="261">
        <f>I36</f>
        <v>88945.039514610005</v>
      </c>
      <c r="J85" s="261">
        <f>+I85</f>
        <v>88945.039514610005</v>
      </c>
      <c r="K85" s="261">
        <f>K36</f>
        <v>87527.837190519887</v>
      </c>
      <c r="L85" s="261">
        <f>+K85</f>
        <v>87527.837190519887</v>
      </c>
      <c r="M85" s="261">
        <f>M36</f>
        <v>84901.214854689984</v>
      </c>
      <c r="N85" s="261">
        <f>+M85</f>
        <v>84901.214854689984</v>
      </c>
      <c r="O85" s="261">
        <f>O36</f>
        <v>82944.802144999994</v>
      </c>
      <c r="P85" s="261">
        <f>+O85</f>
        <v>82944.802144999994</v>
      </c>
      <c r="Q85" s="261">
        <f>Q36</f>
        <v>81336.069999999992</v>
      </c>
      <c r="R85" s="261">
        <f>+Q85</f>
        <v>81336.069999999992</v>
      </c>
      <c r="S85" s="261">
        <f>S36</f>
        <v>79286.388672980014</v>
      </c>
      <c r="T85" s="261">
        <f>+S85</f>
        <v>79286.388672980014</v>
      </c>
      <c r="U85" s="261">
        <f>U36</f>
        <v>44307.5</v>
      </c>
      <c r="V85" s="261">
        <f>+U85</f>
        <v>44307.5</v>
      </c>
      <c r="W85" s="261">
        <f>W36</f>
        <v>43779.16</v>
      </c>
      <c r="X85" s="261">
        <f>+W85</f>
        <v>43779.16</v>
      </c>
      <c r="Y85" s="261">
        <f>Y36</f>
        <v>42793.5</v>
      </c>
      <c r="Z85" s="261">
        <f>+Y85</f>
        <v>42793.5</v>
      </c>
      <c r="AA85" s="261">
        <f>AA36</f>
        <v>42090.69</v>
      </c>
      <c r="AB85" s="261">
        <f>+AA85</f>
        <v>42090.69</v>
      </c>
      <c r="AC85" s="261">
        <f>AC36</f>
        <v>40483.611327409999</v>
      </c>
      <c r="AD85" s="261">
        <f>+AC85</f>
        <v>40483.611327409999</v>
      </c>
    </row>
    <row r="86" spans="1:30" ht="13.5" thickBot="1">
      <c r="A86" s="326" t="s">
        <v>273</v>
      </c>
      <c r="B86" s="271" t="s">
        <v>228</v>
      </c>
      <c r="C86" s="272">
        <f>C84/C85</f>
        <v>2.5129968893680552E-4</v>
      </c>
      <c r="D86" s="272">
        <f>D84/D85</f>
        <v>2.9781363203563495E-4</v>
      </c>
      <c r="E86" s="272">
        <f>E84/E85</f>
        <v>2.1135930919004934E-4</v>
      </c>
      <c r="F86" s="272">
        <f>F84/F85</f>
        <v>2.1135930919004934E-4</v>
      </c>
      <c r="G86" s="272">
        <f>G84/G85</f>
        <v>-2.2267368988810845E-4</v>
      </c>
      <c r="H86" s="272">
        <f t="shared" ref="H86:AD86" si="34">H84/H85</f>
        <v>-5.7015258045492196E-4</v>
      </c>
      <c r="I86" s="272">
        <f t="shared" si="34"/>
        <v>-9.7708677069389778E-5</v>
      </c>
      <c r="J86" s="272">
        <f t="shared" si="34"/>
        <v>6.4676460584925388E-4</v>
      </c>
      <c r="K86" s="272">
        <f t="shared" si="34"/>
        <v>-4.8200263327904052E-4</v>
      </c>
      <c r="L86" s="272">
        <f t="shared" si="34"/>
        <v>2.4003537282928076E-4</v>
      </c>
      <c r="M86" s="272">
        <f t="shared" si="34"/>
        <v>-1.2495613632779172E-3</v>
      </c>
      <c r="N86" s="272">
        <f t="shared" si="34"/>
        <v>-1.2495613632779172E-3</v>
      </c>
      <c r="O86" s="272">
        <f t="shared" si="34"/>
        <v>9.0370916246876808E-4</v>
      </c>
      <c r="P86" s="272">
        <f t="shared" si="34"/>
        <v>0</v>
      </c>
      <c r="Q86" s="272">
        <f t="shared" si="34"/>
        <v>5.3344717231733861E-4</v>
      </c>
      <c r="R86" s="272">
        <f t="shared" si="34"/>
        <v>1.6528053661373328E-4</v>
      </c>
      <c r="S86" s="272">
        <f t="shared" si="34"/>
        <v>7.3353499425003776E-4</v>
      </c>
      <c r="T86" s="272">
        <f t="shared" si="34"/>
        <v>1.0218901299207423E-3</v>
      </c>
      <c r="U86" s="272">
        <f t="shared" si="34"/>
        <v>8.0568306038034641E-4</v>
      </c>
      <c r="V86" s="272">
        <f t="shared" si="34"/>
        <v>8.0568306038034641E-4</v>
      </c>
      <c r="W86" s="272">
        <f t="shared" si="34"/>
        <v>1.2745790462859495E-3</v>
      </c>
      <c r="X86" s="272">
        <f t="shared" si="34"/>
        <v>1.6130863455898032E-3</v>
      </c>
      <c r="Y86" s="272">
        <f t="shared" si="34"/>
        <v>1.1903574243649255E-3</v>
      </c>
      <c r="Z86" s="272">
        <f t="shared" si="34"/>
        <v>-1.8542027664705276E-4</v>
      </c>
      <c r="AA86" s="272">
        <f t="shared" si="34"/>
        <v>1.9164091495153528E-3</v>
      </c>
      <c r="AB86" s="272">
        <f t="shared" si="34"/>
        <v>3.3352890005988352E-3</v>
      </c>
      <c r="AC86" s="272">
        <f t="shared" si="34"/>
        <v>5.0088855991086995E-4</v>
      </c>
      <c r="AD86" s="272">
        <f t="shared" si="34"/>
        <v>1.2350676819720082E-4</v>
      </c>
    </row>
    <row r="87" spans="1:30">
      <c r="A87" s="255"/>
      <c r="B87" s="258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</row>
    <row r="88" spans="1:30">
      <c r="A88" s="255"/>
      <c r="B88" s="258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</row>
    <row r="89" spans="1:30">
      <c r="A89" s="255"/>
      <c r="B89" s="258" t="s">
        <v>253</v>
      </c>
      <c r="C89" s="261">
        <v>313.64925100000005</v>
      </c>
      <c r="D89" s="267"/>
      <c r="E89" s="261">
        <v>231.518</v>
      </c>
      <c r="F89" s="267"/>
      <c r="G89" s="261">
        <v>286.57365616999999</v>
      </c>
      <c r="H89" s="267"/>
      <c r="I89" s="276">
        <v>284.02508992999998</v>
      </c>
      <c r="J89" s="286"/>
      <c r="K89" s="276">
        <v>262.17069946000004</v>
      </c>
      <c r="L89" s="286"/>
      <c r="M89" s="276">
        <v>222.20291896000003</v>
      </c>
      <c r="N89" s="286"/>
      <c r="O89" s="276">
        <v>232.715</v>
      </c>
      <c r="P89" s="286"/>
      <c r="Q89" s="276">
        <v>336.17699999999996</v>
      </c>
      <c r="R89" s="286"/>
      <c r="S89" s="261">
        <v>332.45699999999999</v>
      </c>
      <c r="T89" s="267"/>
      <c r="U89" s="261">
        <v>259.5</v>
      </c>
      <c r="V89" s="267"/>
      <c r="W89" s="261">
        <v>286.5</v>
      </c>
      <c r="X89" s="267"/>
      <c r="Y89" s="261">
        <v>331.45699999999999</v>
      </c>
      <c r="Z89" s="267"/>
      <c r="AA89" s="261">
        <v>373.90199999999999</v>
      </c>
      <c r="AB89" s="267"/>
      <c r="AC89" s="261">
        <v>300.7</v>
      </c>
      <c r="AD89" s="267"/>
    </row>
    <row r="90" spans="1:30">
      <c r="A90" s="255"/>
      <c r="B90" s="258" t="s">
        <v>254</v>
      </c>
      <c r="C90" s="261">
        <v>96039.543704459997</v>
      </c>
      <c r="D90" s="267"/>
      <c r="E90" s="261">
        <f>E36</f>
        <v>92817.744119980198</v>
      </c>
      <c r="F90" s="267"/>
      <c r="G90" s="261">
        <f>G36</f>
        <v>90460.14825605003</v>
      </c>
      <c r="H90" s="267"/>
      <c r="I90" s="261">
        <f>I36</f>
        <v>88945.039514610005</v>
      </c>
      <c r="J90" s="267"/>
      <c r="K90" s="261">
        <f>K36</f>
        <v>87527.837190519887</v>
      </c>
      <c r="L90" s="267"/>
      <c r="M90" s="261">
        <f>M36</f>
        <v>84901.214854689984</v>
      </c>
      <c r="N90" s="267"/>
      <c r="O90" s="261">
        <f>O36</f>
        <v>82944.802144999994</v>
      </c>
      <c r="P90" s="267"/>
      <c r="Q90" s="261">
        <f>Q36</f>
        <v>81336.069999999992</v>
      </c>
      <c r="R90" s="267"/>
      <c r="S90" s="261">
        <f>S36</f>
        <v>79286.388672980014</v>
      </c>
      <c r="T90" s="267"/>
      <c r="U90" s="261">
        <f>U36</f>
        <v>44307.5</v>
      </c>
      <c r="V90" s="267"/>
      <c r="W90" s="261">
        <f>W36</f>
        <v>43779.16</v>
      </c>
      <c r="X90" s="267"/>
      <c r="Y90" s="261">
        <f>Y36</f>
        <v>42793.5</v>
      </c>
      <c r="Z90" s="267"/>
      <c r="AA90" s="261">
        <f>AA36</f>
        <v>42090.69</v>
      </c>
      <c r="AB90" s="267"/>
      <c r="AC90" s="261">
        <f>AC36</f>
        <v>40483.611327409999</v>
      </c>
      <c r="AD90" s="267"/>
    </row>
    <row r="91" spans="1:30" ht="13.5" thickBot="1">
      <c r="A91" s="326" t="s">
        <v>290</v>
      </c>
      <c r="B91" s="271" t="s">
        <v>287</v>
      </c>
      <c r="C91" s="287">
        <f>C89/C90</f>
        <v>3.2658344563275391E-3</v>
      </c>
      <c r="D91" s="278"/>
      <c r="E91" s="287">
        <f>E89/E90</f>
        <v>2.4943290983319944E-3</v>
      </c>
      <c r="F91" s="278"/>
      <c r="G91" s="287">
        <f>G89/G90</f>
        <v>3.1679547479719476E-3</v>
      </c>
      <c r="H91" s="278"/>
      <c r="I91" s="287">
        <f>I89/I90</f>
        <v>3.193265093590142E-3</v>
      </c>
      <c r="J91" s="278"/>
      <c r="K91" s="287">
        <f>K89/K90</f>
        <v>2.9952836477535592E-3</v>
      </c>
      <c r="L91" s="278"/>
      <c r="M91" s="287">
        <f>M89/M90</f>
        <v>2.6171936330982365E-3</v>
      </c>
      <c r="N91" s="278"/>
      <c r="O91" s="287">
        <f>O89/O90</f>
        <v>2.8056610418236839E-3</v>
      </c>
      <c r="P91" s="278"/>
      <c r="Q91" s="287">
        <f>Q89/Q90</f>
        <v>4.1331846989902509E-3</v>
      </c>
      <c r="R91" s="278"/>
      <c r="S91" s="287">
        <f>S89/S90</f>
        <v>4.193115685609451E-3</v>
      </c>
      <c r="T91" s="278"/>
      <c r="U91" s="287">
        <f>U89/U90</f>
        <v>5.8567962534559611E-3</v>
      </c>
      <c r="V91" s="278"/>
      <c r="W91" s="287">
        <f>W89/W90</f>
        <v>6.5442096193714079E-3</v>
      </c>
      <c r="X91" s="278"/>
      <c r="Y91" s="287">
        <f>Y89/Y90</f>
        <v>7.7454987322841083E-3</v>
      </c>
      <c r="Z91" s="278"/>
      <c r="AA91" s="287">
        <f>AA89/AA90</f>
        <v>8.8832471028628887E-3</v>
      </c>
      <c r="AB91" s="278"/>
      <c r="AC91" s="287">
        <f>AC89/AC90</f>
        <v>7.4276970393796571E-3</v>
      </c>
      <c r="AD91" s="278"/>
    </row>
    <row r="92" spans="1:30">
      <c r="A92" s="255"/>
      <c r="B92" s="258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1"/>
      <c r="AB92" s="267"/>
      <c r="AC92" s="267"/>
      <c r="AD92" s="267"/>
    </row>
    <row r="93" spans="1:30">
      <c r="A93" s="255"/>
      <c r="B93" s="259" t="s">
        <v>255</v>
      </c>
      <c r="C93" s="261">
        <v>218.058446</v>
      </c>
      <c r="D93" s="267"/>
      <c r="E93" s="261">
        <v>252.654</v>
      </c>
      <c r="F93" s="267"/>
      <c r="G93" s="261">
        <v>254.45234506</v>
      </c>
      <c r="H93" s="267"/>
      <c r="I93" s="261">
        <v>250.24210007000002</v>
      </c>
      <c r="J93" s="267"/>
      <c r="K93" s="261">
        <v>262.46432599999997</v>
      </c>
      <c r="L93" s="267"/>
      <c r="M93" s="261">
        <v>256.79862200000002</v>
      </c>
      <c r="N93" s="267"/>
      <c r="O93" s="261">
        <v>272.18251900000001</v>
      </c>
      <c r="P93" s="267"/>
      <c r="Q93" s="261">
        <v>223.315</v>
      </c>
      <c r="R93" s="267"/>
      <c r="S93" s="261">
        <v>232.28300000000002</v>
      </c>
      <c r="T93" s="267"/>
      <c r="U93" s="261">
        <v>219.3</v>
      </c>
      <c r="V93" s="267"/>
      <c r="W93" s="261">
        <v>256.5</v>
      </c>
      <c r="X93" s="267"/>
      <c r="Y93" s="261">
        <v>211.9</v>
      </c>
      <c r="Z93" s="267"/>
      <c r="AA93" s="261">
        <v>216.64699999999999</v>
      </c>
      <c r="AB93" s="267"/>
      <c r="AC93" s="266">
        <v>217.36</v>
      </c>
      <c r="AD93" s="267"/>
    </row>
    <row r="94" spans="1:30">
      <c r="A94" s="255"/>
      <c r="B94" s="258" t="s">
        <v>254</v>
      </c>
      <c r="C94" s="261">
        <v>96039.543704459997</v>
      </c>
      <c r="D94" s="267"/>
      <c r="E94" s="261">
        <f>+E85</f>
        <v>92817.744119980198</v>
      </c>
      <c r="F94" s="267"/>
      <c r="G94" s="261">
        <f>G36</f>
        <v>90460.14825605003</v>
      </c>
      <c r="H94" s="267"/>
      <c r="I94" s="261">
        <f>I36</f>
        <v>88945.039514610005</v>
      </c>
      <c r="J94" s="267"/>
      <c r="K94" s="261">
        <f>K36</f>
        <v>87527.837190519887</v>
      </c>
      <c r="L94" s="267"/>
      <c r="M94" s="261">
        <f>M36</f>
        <v>84901.214854689984</v>
      </c>
      <c r="N94" s="267"/>
      <c r="O94" s="261">
        <f>O36</f>
        <v>82944.802144999994</v>
      </c>
      <c r="P94" s="267"/>
      <c r="Q94" s="261">
        <f>Q36</f>
        <v>81336.069999999992</v>
      </c>
      <c r="R94" s="267"/>
      <c r="S94" s="261">
        <f>S36</f>
        <v>79286.388672980014</v>
      </c>
      <c r="T94" s="267"/>
      <c r="U94" s="261">
        <f>U36</f>
        <v>44307.5</v>
      </c>
      <c r="V94" s="267"/>
      <c r="W94" s="261">
        <f>W36</f>
        <v>43779.16</v>
      </c>
      <c r="X94" s="267"/>
      <c r="Y94" s="261">
        <f>Y36</f>
        <v>42793.5</v>
      </c>
      <c r="Z94" s="267"/>
      <c r="AA94" s="261">
        <f>AA36</f>
        <v>42090.69</v>
      </c>
      <c r="AB94" s="267"/>
      <c r="AC94" s="261">
        <f>AC36</f>
        <v>40483.611327409999</v>
      </c>
      <c r="AD94" s="267"/>
    </row>
    <row r="95" spans="1:30" ht="13.5" thickBot="1">
      <c r="A95" s="326" t="s">
        <v>289</v>
      </c>
      <c r="B95" s="284" t="s">
        <v>288</v>
      </c>
      <c r="C95" s="287">
        <f>C93/C94</f>
        <v>2.2705068931920961E-3</v>
      </c>
      <c r="D95" s="278"/>
      <c r="E95" s="287">
        <f>E93/E94</f>
        <v>2.7220441780335513E-3</v>
      </c>
      <c r="F95" s="278"/>
      <c r="G95" s="287">
        <f>G93/G94</f>
        <v>2.8128667702352794E-3</v>
      </c>
      <c r="H95" s="278"/>
      <c r="I95" s="287">
        <f>I93/I94</f>
        <v>2.8134463870679999E-3</v>
      </c>
      <c r="J95" s="278"/>
      <c r="K95" s="287">
        <f>K93/K94</f>
        <v>2.9986383123885461E-3</v>
      </c>
      <c r="L95" s="278"/>
      <c r="M95" s="287">
        <f>M93/M94</f>
        <v>3.0246754706574654E-3</v>
      </c>
      <c r="N95" s="278"/>
      <c r="O95" s="287">
        <f>O93/O94</f>
        <v>3.2814897613979961E-3</v>
      </c>
      <c r="P95" s="278"/>
      <c r="Q95" s="287">
        <f>Q93/Q94</f>
        <v>2.745583847363169E-3</v>
      </c>
      <c r="R95" s="278"/>
      <c r="S95" s="287">
        <f>S93/S94</f>
        <v>2.9296705763464754E-3</v>
      </c>
      <c r="T95" s="278"/>
      <c r="U95" s="287">
        <f>U93/U94</f>
        <v>4.9495006488743439E-3</v>
      </c>
      <c r="V95" s="278"/>
      <c r="W95" s="287">
        <f>W93/W94</f>
        <v>5.8589520676047687E-3</v>
      </c>
      <c r="X95" s="278"/>
      <c r="Y95" s="287">
        <f>Y93/Y94</f>
        <v>4.9516865879163895E-3</v>
      </c>
      <c r="Z95" s="278"/>
      <c r="AA95" s="287">
        <f>AA93/AA94</f>
        <v>5.147147742172912E-3</v>
      </c>
      <c r="AB95" s="278"/>
      <c r="AC95" s="287">
        <f>AC93/AC94</f>
        <v>5.369086227068714E-3</v>
      </c>
      <c r="AD95" s="278"/>
    </row>
    <row r="96" spans="1:30">
      <c r="A96" s="255"/>
      <c r="B96" s="288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90"/>
      <c r="AB96" s="289"/>
      <c r="AC96" s="289"/>
      <c r="AD96" s="289"/>
    </row>
    <row r="97" spans="1:30">
      <c r="A97" s="255"/>
      <c r="B97" s="258" t="s">
        <v>256</v>
      </c>
      <c r="C97" s="266">
        <v>193.17000000000002</v>
      </c>
      <c r="D97" s="291"/>
      <c r="E97" s="266">
        <v>193.17000000000002</v>
      </c>
      <c r="F97" s="291"/>
      <c r="G97" s="266">
        <v>244.41251417000001</v>
      </c>
      <c r="H97" s="291"/>
      <c r="I97" s="266">
        <v>230.18639757</v>
      </c>
      <c r="J97" s="291"/>
      <c r="K97" s="266">
        <v>221.43033446000004</v>
      </c>
      <c r="L97" s="291"/>
      <c r="M97" s="266">
        <v>176.29389296000005</v>
      </c>
      <c r="N97" s="292"/>
      <c r="O97" s="266">
        <v>178.596238</v>
      </c>
      <c r="P97" s="292"/>
      <c r="Q97" s="266">
        <v>286.62699999999995</v>
      </c>
      <c r="R97" s="292"/>
      <c r="S97" s="266">
        <v>285.33299999999997</v>
      </c>
      <c r="T97" s="292"/>
      <c r="U97" s="266">
        <v>208.2</v>
      </c>
      <c r="V97" s="291"/>
      <c r="W97" s="266">
        <v>245.8</v>
      </c>
      <c r="X97" s="291"/>
      <c r="Y97" s="266">
        <v>288.25700000000001</v>
      </c>
      <c r="Z97" s="268"/>
      <c r="AA97" s="266">
        <v>323.09199999999998</v>
      </c>
      <c r="AB97" s="268"/>
      <c r="AC97" s="266">
        <v>250.7</v>
      </c>
      <c r="AD97" s="268"/>
    </row>
    <row r="98" spans="1:30">
      <c r="A98" s="255"/>
      <c r="B98" s="264" t="s">
        <v>257</v>
      </c>
      <c r="C98" s="265">
        <v>160.41399999999999</v>
      </c>
      <c r="D98" s="293"/>
      <c r="E98" s="265">
        <v>160.41399999999999</v>
      </c>
      <c r="F98" s="293"/>
      <c r="G98" s="265">
        <v>150.86494906000001</v>
      </c>
      <c r="H98" s="293"/>
      <c r="I98" s="265">
        <v>152.74032990000001</v>
      </c>
      <c r="J98" s="293"/>
      <c r="K98" s="265">
        <v>157.60262899999998</v>
      </c>
      <c r="L98" s="293"/>
      <c r="M98" s="265">
        <v>149.49618800000002</v>
      </c>
      <c r="N98" s="294"/>
      <c r="O98" s="265">
        <v>170.83889500000004</v>
      </c>
      <c r="P98" s="294"/>
      <c r="Q98" s="265">
        <v>134.68</v>
      </c>
      <c r="R98" s="294"/>
      <c r="S98" s="265">
        <v>130.21000000000004</v>
      </c>
      <c r="T98" s="294"/>
      <c r="U98" s="265">
        <v>119.80000000000001</v>
      </c>
      <c r="V98" s="293"/>
      <c r="W98" s="265">
        <v>150</v>
      </c>
      <c r="X98" s="293"/>
      <c r="Y98" s="265">
        <v>109</v>
      </c>
      <c r="Z98" s="280"/>
      <c r="AA98" s="265">
        <v>116.38699999999999</v>
      </c>
      <c r="AB98" s="280"/>
      <c r="AC98" s="265">
        <v>131.36000000000001</v>
      </c>
      <c r="AD98" s="280"/>
    </row>
    <row r="99" spans="1:30">
      <c r="A99" s="255"/>
      <c r="B99" s="295" t="s">
        <v>258</v>
      </c>
      <c r="C99" s="266">
        <f>C97+C98</f>
        <v>353.584</v>
      </c>
      <c r="D99" s="291"/>
      <c r="E99" s="266">
        <f>E97+E98</f>
        <v>353.584</v>
      </c>
      <c r="F99" s="291"/>
      <c r="G99" s="266">
        <f>G97+G98</f>
        <v>395.27746323000002</v>
      </c>
      <c r="H99" s="291"/>
      <c r="I99" s="266">
        <f>I97+I98</f>
        <v>382.92672747</v>
      </c>
      <c r="J99" s="291"/>
      <c r="K99" s="266">
        <f>K97+K98</f>
        <v>379.03296346000002</v>
      </c>
      <c r="L99" s="291"/>
      <c r="M99" s="266">
        <f>M97+M98</f>
        <v>325.79008096000007</v>
      </c>
      <c r="N99" s="292"/>
      <c r="O99" s="266">
        <f>O97+O98</f>
        <v>349.43513300000006</v>
      </c>
      <c r="P99" s="292"/>
      <c r="Q99" s="266">
        <f>Q97+Q98</f>
        <v>421.30699999999996</v>
      </c>
      <c r="R99" s="292"/>
      <c r="S99" s="266">
        <f>S97+S98</f>
        <v>415.54300000000001</v>
      </c>
      <c r="T99" s="292"/>
      <c r="U99" s="266">
        <f>U97+U98</f>
        <v>328</v>
      </c>
      <c r="V99" s="291"/>
      <c r="W99" s="266">
        <f>W97+W98</f>
        <v>395.8</v>
      </c>
      <c r="X99" s="291"/>
      <c r="Y99" s="266">
        <f>Y97+Y98</f>
        <v>397.25700000000001</v>
      </c>
      <c r="Z99" s="291"/>
      <c r="AA99" s="266">
        <f>AA97+AA98</f>
        <v>439.47899999999998</v>
      </c>
      <c r="AB99" s="291"/>
      <c r="AC99" s="266">
        <f>AC97+AC98</f>
        <v>382.06</v>
      </c>
      <c r="AD99" s="291"/>
    </row>
    <row r="100" spans="1:30">
      <c r="A100" s="255"/>
      <c r="B100" s="258" t="s">
        <v>254</v>
      </c>
      <c r="C100" s="266">
        <f>C36</f>
        <v>96039.543704459997</v>
      </c>
      <c r="D100" s="291"/>
      <c r="E100" s="266">
        <f>E36</f>
        <v>92817.744119980198</v>
      </c>
      <c r="F100" s="291"/>
      <c r="G100" s="266">
        <f>G36</f>
        <v>90460.14825605003</v>
      </c>
      <c r="H100" s="291"/>
      <c r="I100" s="266">
        <f>I36</f>
        <v>88945.039514610005</v>
      </c>
      <c r="J100" s="291"/>
      <c r="K100" s="266">
        <f>K36</f>
        <v>87527.837190519887</v>
      </c>
      <c r="L100" s="291"/>
      <c r="M100" s="266">
        <f>M36</f>
        <v>84901.214854689984</v>
      </c>
      <c r="N100" s="292"/>
      <c r="O100" s="266">
        <f>O36</f>
        <v>82944.802144999994</v>
      </c>
      <c r="P100" s="292"/>
      <c r="Q100" s="266">
        <f>Q36</f>
        <v>81336.069999999992</v>
      </c>
      <c r="R100" s="292"/>
      <c r="S100" s="266">
        <f>S36</f>
        <v>79286.388672980014</v>
      </c>
      <c r="T100" s="292"/>
      <c r="U100" s="266">
        <f>U36</f>
        <v>44307.5</v>
      </c>
      <c r="V100" s="291"/>
      <c r="W100" s="266">
        <f>W36</f>
        <v>43779.16</v>
      </c>
      <c r="X100" s="291"/>
      <c r="Y100" s="266">
        <f>Y36</f>
        <v>42793.5</v>
      </c>
      <c r="Z100" s="291"/>
      <c r="AA100" s="266">
        <f>AA36</f>
        <v>42090.69</v>
      </c>
      <c r="AB100" s="291"/>
      <c r="AC100" s="266">
        <f>AC36</f>
        <v>40483.611327409999</v>
      </c>
      <c r="AD100" s="291"/>
    </row>
    <row r="101" spans="1:30" ht="13.5" thickBot="1">
      <c r="A101" s="326" t="s">
        <v>282</v>
      </c>
      <c r="B101" s="284" t="s">
        <v>263</v>
      </c>
      <c r="C101" s="272">
        <f>C99/C100</f>
        <v>3.6816501449452414E-3</v>
      </c>
      <c r="D101" s="278"/>
      <c r="E101" s="272">
        <f>E99/E100</f>
        <v>3.8094440168998521E-3</v>
      </c>
      <c r="F101" s="278"/>
      <c r="G101" s="272">
        <f>G99/G100</f>
        <v>4.3696309463384462E-3</v>
      </c>
      <c r="H101" s="278"/>
      <c r="I101" s="272">
        <f>I99/I100</f>
        <v>4.305206108847711E-3</v>
      </c>
      <c r="J101" s="278"/>
      <c r="K101" s="272">
        <f>K99/K100</f>
        <v>4.3304276173872251E-3</v>
      </c>
      <c r="L101" s="278"/>
      <c r="M101" s="272">
        <f>M99/M100</f>
        <v>3.8372840897223422E-3</v>
      </c>
      <c r="N101" s="277"/>
      <c r="O101" s="272">
        <f>O99/O100</f>
        <v>4.2128635425416399E-3</v>
      </c>
      <c r="P101" s="277"/>
      <c r="Q101" s="272">
        <f>Q99/Q100</f>
        <v>5.1798298098248412E-3</v>
      </c>
      <c r="R101" s="277"/>
      <c r="S101" s="272">
        <f>S99/S100</f>
        <v>5.2410383037361464E-3</v>
      </c>
      <c r="T101" s="277"/>
      <c r="U101" s="272">
        <f>U99/U100</f>
        <v>7.4028099080291144E-3</v>
      </c>
      <c r="V101" s="278"/>
      <c r="W101" s="272">
        <f>W99/W100</f>
        <v>9.0408312996411982E-3</v>
      </c>
      <c r="X101" s="278"/>
      <c r="Y101" s="272">
        <f>Y99/Y100</f>
        <v>9.2831154264082158E-3</v>
      </c>
      <c r="Z101" s="278"/>
      <c r="AA101" s="272">
        <f>AA99/AA100</f>
        <v>1.0441240093711933E-2</v>
      </c>
      <c r="AB101" s="278"/>
      <c r="AC101" s="272">
        <f>AC99/AC100</f>
        <v>9.4373991714845097E-3</v>
      </c>
      <c r="AD101" s="278"/>
    </row>
    <row r="102" spans="1:30">
      <c r="A102" s="255"/>
      <c r="B102" s="258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1"/>
      <c r="AB102" s="267"/>
      <c r="AC102" s="261"/>
      <c r="AD102" s="267"/>
    </row>
    <row r="103" spans="1:30">
      <c r="A103" s="255"/>
      <c r="B103" s="258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1"/>
      <c r="AB103" s="267"/>
      <c r="AC103" s="261"/>
      <c r="AD103" s="267"/>
    </row>
    <row r="104" spans="1:30">
      <c r="A104" s="255"/>
      <c r="B104" s="259" t="s">
        <v>260</v>
      </c>
      <c r="C104" s="261">
        <v>56.091317000000004</v>
      </c>
      <c r="D104" s="267"/>
      <c r="E104" s="261">
        <v>38.347999999999999</v>
      </c>
      <c r="F104" s="267"/>
      <c r="G104" s="261">
        <v>42.161141999999998</v>
      </c>
      <c r="H104" s="267"/>
      <c r="I104" s="261">
        <v>53.838692359999996</v>
      </c>
      <c r="J104" s="267"/>
      <c r="K104" s="261">
        <v>40.740365000000004</v>
      </c>
      <c r="L104" s="267"/>
      <c r="M104" s="261">
        <v>45.909025999999997</v>
      </c>
      <c r="N104" s="267"/>
      <c r="O104" s="261">
        <v>54.118761999999997</v>
      </c>
      <c r="P104" s="267"/>
      <c r="Q104" s="261">
        <v>49.550000000000004</v>
      </c>
      <c r="R104" s="267"/>
      <c r="S104" s="261">
        <v>47.124000000000002</v>
      </c>
      <c r="T104" s="267"/>
      <c r="U104" s="261">
        <v>51.3</v>
      </c>
      <c r="V104" s="267"/>
      <c r="W104" s="261">
        <v>40.700000000000003</v>
      </c>
      <c r="X104" s="267"/>
      <c r="Y104" s="261">
        <v>43.2</v>
      </c>
      <c r="Z104" s="267"/>
      <c r="AA104" s="261">
        <v>50.81</v>
      </c>
      <c r="AB104" s="267"/>
      <c r="AC104" s="261">
        <v>50</v>
      </c>
      <c r="AD104" s="267"/>
    </row>
    <row r="105" spans="1:30">
      <c r="A105" s="255"/>
      <c r="B105" s="258" t="s">
        <v>252</v>
      </c>
      <c r="C105" s="261">
        <v>313.64925100000005</v>
      </c>
      <c r="D105" s="267"/>
      <c r="E105" s="261">
        <f>+E89</f>
        <v>231.518</v>
      </c>
      <c r="F105" s="267"/>
      <c r="G105" s="261">
        <f>+G89</f>
        <v>286.57365616999999</v>
      </c>
      <c r="H105" s="267"/>
      <c r="I105" s="261">
        <f>+I89</f>
        <v>284.02508992999998</v>
      </c>
      <c r="J105" s="267"/>
      <c r="K105" s="261">
        <f>+K89</f>
        <v>262.17069946000004</v>
      </c>
      <c r="L105" s="267"/>
      <c r="M105" s="261">
        <f>+M89</f>
        <v>222.20291896000003</v>
      </c>
      <c r="N105" s="267"/>
      <c r="O105" s="261">
        <f>+O89</f>
        <v>232.715</v>
      </c>
      <c r="P105" s="267"/>
      <c r="Q105" s="261">
        <f>+Q89</f>
        <v>336.17699999999996</v>
      </c>
      <c r="R105" s="267"/>
      <c r="S105" s="261">
        <f>+S89</f>
        <v>332.45699999999999</v>
      </c>
      <c r="T105" s="267"/>
      <c r="U105" s="261">
        <f>+U89</f>
        <v>259.5</v>
      </c>
      <c r="V105" s="267"/>
      <c r="W105" s="261">
        <f>+W89</f>
        <v>286.5</v>
      </c>
      <c r="X105" s="267"/>
      <c r="Y105" s="261">
        <f>+Y89</f>
        <v>331.45699999999999</v>
      </c>
      <c r="Z105" s="267"/>
      <c r="AA105" s="261">
        <f>+AA89</f>
        <v>373.90199999999999</v>
      </c>
      <c r="AB105" s="267"/>
      <c r="AC105" s="261">
        <f>+AC89</f>
        <v>300.7</v>
      </c>
      <c r="AD105" s="267"/>
    </row>
    <row r="106" spans="1:30" ht="13.5" thickBot="1">
      <c r="A106" s="326" t="s">
        <v>275</v>
      </c>
      <c r="B106" s="271" t="s">
        <v>259</v>
      </c>
      <c r="C106" s="296">
        <f>C104/C105</f>
        <v>0.17883453195301907</v>
      </c>
      <c r="D106" s="278"/>
      <c r="E106" s="296">
        <f>E104/E105</f>
        <v>0.1656372290707418</v>
      </c>
      <c r="F106" s="278"/>
      <c r="G106" s="296">
        <f>G104/G105</f>
        <v>0.14712148549687118</v>
      </c>
      <c r="H106" s="278"/>
      <c r="I106" s="296">
        <f>I104/I105</f>
        <v>0.18955611412100576</v>
      </c>
      <c r="J106" s="278"/>
      <c r="K106" s="296">
        <f>K104/K105</f>
        <v>0.15539633179418608</v>
      </c>
      <c r="L106" s="278"/>
      <c r="M106" s="296">
        <f>M104/M105</f>
        <v>0.20660856398679592</v>
      </c>
      <c r="N106" s="278"/>
      <c r="O106" s="296">
        <f>O104/O105</f>
        <v>0.2325538190490514</v>
      </c>
      <c r="P106" s="278"/>
      <c r="Q106" s="296">
        <f>Q104/Q105</f>
        <v>0.14739259378244202</v>
      </c>
      <c r="R106" s="278"/>
      <c r="S106" s="296">
        <f>S104/S105</f>
        <v>0.1417446466761115</v>
      </c>
      <c r="T106" s="278"/>
      <c r="U106" s="296">
        <f>U104/U105</f>
        <v>0.19768786127167629</v>
      </c>
      <c r="V106" s="278"/>
      <c r="W106" s="296">
        <f>W104/W105</f>
        <v>0.14205933682373473</v>
      </c>
      <c r="X106" s="278"/>
      <c r="Y106" s="296">
        <f>Y104/Y105</f>
        <v>0.13033364810518408</v>
      </c>
      <c r="Z106" s="278"/>
      <c r="AA106" s="296">
        <f>AA104/AA105</f>
        <v>0.13589122283379068</v>
      </c>
      <c r="AB106" s="278"/>
      <c r="AC106" s="296">
        <f>AC104/AC105</f>
        <v>0.16627868307283006</v>
      </c>
      <c r="AD106" s="278"/>
    </row>
    <row r="107" spans="1:30">
      <c r="A107" s="255"/>
      <c r="B107" s="258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1"/>
      <c r="AB107" s="267"/>
      <c r="AC107" s="261"/>
      <c r="AD107" s="267"/>
    </row>
    <row r="108" spans="1:30">
      <c r="A108" s="255"/>
      <c r="B108" s="259" t="s">
        <v>261</v>
      </c>
      <c r="C108" s="261">
        <v>88.599948999999995</v>
      </c>
      <c r="D108" s="267"/>
      <c r="E108" s="261">
        <v>92.24</v>
      </c>
      <c r="F108" s="267"/>
      <c r="G108" s="261">
        <v>103.58739599999998</v>
      </c>
      <c r="H108" s="267"/>
      <c r="I108" s="261">
        <v>97.50177017</v>
      </c>
      <c r="J108" s="267"/>
      <c r="K108" s="261">
        <v>104.86169700000001</v>
      </c>
      <c r="L108" s="267"/>
      <c r="M108" s="261">
        <v>107.30243400000001</v>
      </c>
      <c r="N108" s="267"/>
      <c r="O108" s="261">
        <v>101.34362399999999</v>
      </c>
      <c r="P108" s="267"/>
      <c r="Q108" s="261">
        <v>88.635000000000005</v>
      </c>
      <c r="R108" s="267"/>
      <c r="S108" s="261">
        <v>102.07299999999999</v>
      </c>
      <c r="T108" s="267"/>
      <c r="U108" s="261">
        <v>99.5</v>
      </c>
      <c r="V108" s="267"/>
      <c r="W108" s="261">
        <v>106.5</v>
      </c>
      <c r="X108" s="267"/>
      <c r="Y108" s="261">
        <v>102.9</v>
      </c>
      <c r="Z108" s="267"/>
      <c r="AA108" s="261">
        <v>100.26</v>
      </c>
      <c r="AB108" s="267"/>
      <c r="AC108" s="261">
        <v>86</v>
      </c>
      <c r="AD108" s="267"/>
    </row>
    <row r="109" spans="1:30">
      <c r="A109" s="255"/>
      <c r="B109" s="258" t="s">
        <v>255</v>
      </c>
      <c r="C109" s="261">
        <v>218.058446</v>
      </c>
      <c r="D109" s="267"/>
      <c r="E109" s="261">
        <f>E93</f>
        <v>252.654</v>
      </c>
      <c r="F109" s="267"/>
      <c r="G109" s="261">
        <f>G93</f>
        <v>254.45234506</v>
      </c>
      <c r="H109" s="267"/>
      <c r="I109" s="261">
        <f>I93</f>
        <v>250.24210007000002</v>
      </c>
      <c r="J109" s="267"/>
      <c r="K109" s="261">
        <f>K93</f>
        <v>262.46432599999997</v>
      </c>
      <c r="L109" s="267"/>
      <c r="M109" s="261">
        <f>M93</f>
        <v>256.79862200000002</v>
      </c>
      <c r="N109" s="267"/>
      <c r="O109" s="261">
        <f>O93</f>
        <v>272.18251900000001</v>
      </c>
      <c r="P109" s="267"/>
      <c r="Q109" s="261">
        <f>Q93</f>
        <v>223.315</v>
      </c>
      <c r="R109" s="267"/>
      <c r="S109" s="261">
        <f>S93</f>
        <v>232.28300000000002</v>
      </c>
      <c r="T109" s="267"/>
      <c r="U109" s="261">
        <f>U93</f>
        <v>219.3</v>
      </c>
      <c r="V109" s="267"/>
      <c r="W109" s="261">
        <f>W93</f>
        <v>256.5</v>
      </c>
      <c r="X109" s="267"/>
      <c r="Y109" s="261">
        <f>Y93</f>
        <v>211.9</v>
      </c>
      <c r="Z109" s="267"/>
      <c r="AA109" s="261">
        <f>AA93</f>
        <v>216.64699999999999</v>
      </c>
      <c r="AB109" s="267"/>
      <c r="AC109" s="261">
        <f>AC93</f>
        <v>217.36</v>
      </c>
      <c r="AD109" s="267"/>
    </row>
    <row r="110" spans="1:30" ht="13.5" thickBot="1">
      <c r="A110" s="326" t="s">
        <v>276</v>
      </c>
      <c r="B110" s="271" t="s">
        <v>262</v>
      </c>
      <c r="C110" s="296">
        <f>C108/C109</f>
        <v>0.40631285155540359</v>
      </c>
      <c r="D110" s="278"/>
      <c r="E110" s="296">
        <f>E108/E109</f>
        <v>0.36508426543810901</v>
      </c>
      <c r="F110" s="278"/>
      <c r="G110" s="296">
        <f>G108/G109</f>
        <v>0.40709939606009143</v>
      </c>
      <c r="H110" s="278"/>
      <c r="I110" s="296">
        <f>I108/I109</f>
        <v>0.38962976310830955</v>
      </c>
      <c r="J110" s="278"/>
      <c r="K110" s="296">
        <f>K108/K109</f>
        <v>0.3995274275864828</v>
      </c>
      <c r="L110" s="278"/>
      <c r="M110" s="296">
        <f>M108/M109</f>
        <v>0.41784661134201878</v>
      </c>
      <c r="N110" s="278"/>
      <c r="O110" s="296">
        <f>O108/O109</f>
        <v>0.3723370052284658</v>
      </c>
      <c r="P110" s="278"/>
      <c r="Q110" s="296">
        <f>Q108/Q109</f>
        <v>0.39690571614087727</v>
      </c>
      <c r="R110" s="278"/>
      <c r="S110" s="296">
        <f>S108/S109</f>
        <v>0.43943379412182548</v>
      </c>
      <c r="T110" s="278"/>
      <c r="U110" s="296">
        <f>U108/U109</f>
        <v>0.45371637026903783</v>
      </c>
      <c r="V110" s="278"/>
      <c r="W110" s="296">
        <f>W108/W109</f>
        <v>0.41520467836257308</v>
      </c>
      <c r="X110" s="278"/>
      <c r="Y110" s="296">
        <f>Y108/Y109</f>
        <v>0.48560641812175553</v>
      </c>
      <c r="Z110" s="278"/>
      <c r="AA110" s="296">
        <f>AA108/AA109</f>
        <v>0.46278046776553566</v>
      </c>
      <c r="AB110" s="278"/>
      <c r="AC110" s="296">
        <f>AC108/AC109</f>
        <v>0.39565697460434301</v>
      </c>
      <c r="AD110" s="278"/>
    </row>
    <row r="111" spans="1:30">
      <c r="A111" s="255"/>
      <c r="B111" s="258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</row>
    <row r="112" spans="1:30">
      <c r="A112" s="255"/>
      <c r="B112" s="258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</row>
    <row r="113" spans="1:30">
      <c r="A113" s="255"/>
      <c r="B113" s="258" t="s">
        <v>229</v>
      </c>
      <c r="C113" s="261">
        <f>C19</f>
        <v>13419.826445000001</v>
      </c>
      <c r="D113" s="267"/>
      <c r="E113" s="261">
        <f>E19</f>
        <v>13006.999244000001</v>
      </c>
      <c r="F113" s="267"/>
      <c r="G113" s="261">
        <f>G19</f>
        <v>13331.214576718428</v>
      </c>
      <c r="H113" s="267"/>
      <c r="I113" s="261">
        <f>I19</f>
        <v>12991.201010299999</v>
      </c>
      <c r="J113" s="267"/>
      <c r="K113" s="261">
        <f>K19</f>
        <v>12591.153999999999</v>
      </c>
      <c r="L113" s="267"/>
      <c r="M113" s="261">
        <f>M19</f>
        <v>12369.748290755098</v>
      </c>
      <c r="N113" s="267"/>
      <c r="O113" s="261">
        <f>O19</f>
        <v>12107.396449</v>
      </c>
      <c r="P113" s="267"/>
      <c r="Q113" s="261">
        <f>Q19</f>
        <v>11775.9</v>
      </c>
      <c r="R113" s="267"/>
      <c r="S113" s="261">
        <f>S19</f>
        <v>10950.12103489</v>
      </c>
      <c r="T113" s="267"/>
      <c r="U113" s="261">
        <f>U19</f>
        <v>8995.4</v>
      </c>
      <c r="V113" s="267"/>
      <c r="W113" s="261">
        <f>W19</f>
        <v>8717.7999999999993</v>
      </c>
      <c r="X113" s="267"/>
      <c r="Y113" s="261">
        <f>Y19</f>
        <v>8449.2000000000007</v>
      </c>
      <c r="Z113" s="267"/>
      <c r="AA113" s="261">
        <f>AA19</f>
        <v>8128</v>
      </c>
      <c r="AB113" s="267"/>
      <c r="AC113" s="261">
        <f>AC19</f>
        <v>7889</v>
      </c>
      <c r="AD113" s="267"/>
    </row>
    <row r="114" spans="1:30">
      <c r="A114" s="255"/>
      <c r="B114" s="258" t="s">
        <v>230</v>
      </c>
      <c r="C114" s="261">
        <f>+C72</f>
        <v>119591.87386200001</v>
      </c>
      <c r="D114" s="267"/>
      <c r="E114" s="261">
        <f>+E72</f>
        <v>114088.20773600001</v>
      </c>
      <c r="F114" s="267"/>
      <c r="G114" s="261">
        <f>+G72</f>
        <v>108321.32653799999</v>
      </c>
      <c r="H114" s="267"/>
      <c r="I114" s="261">
        <f>+I72</f>
        <v>106311.634504</v>
      </c>
      <c r="J114" s="267"/>
      <c r="K114" s="261">
        <f>+K72</f>
        <v>107652.02759400001</v>
      </c>
      <c r="L114" s="267"/>
      <c r="M114" s="261">
        <f>+M72</f>
        <v>101861.10500000003</v>
      </c>
      <c r="N114" s="267"/>
      <c r="O114" s="261">
        <f>+O72</f>
        <v>101241.63347000002</v>
      </c>
      <c r="P114" s="267"/>
      <c r="Q114" s="261">
        <f>+Q72</f>
        <v>99719.943000000014</v>
      </c>
      <c r="R114" s="267"/>
      <c r="S114" s="261">
        <f>+S72</f>
        <v>100882.75</v>
      </c>
      <c r="T114" s="267"/>
      <c r="U114" s="261">
        <f>+U72</f>
        <v>57184.580000000009</v>
      </c>
      <c r="V114" s="267"/>
      <c r="W114" s="261">
        <f>+W72</f>
        <v>55970</v>
      </c>
      <c r="X114" s="267"/>
      <c r="Y114" s="261">
        <f>+Y72</f>
        <v>54500.600000000006</v>
      </c>
      <c r="Z114" s="267"/>
      <c r="AA114" s="261">
        <f>+AA72</f>
        <v>53558.399999999994</v>
      </c>
      <c r="AB114" s="267"/>
      <c r="AC114" s="261">
        <f>+AC72</f>
        <v>51101</v>
      </c>
      <c r="AD114" s="267"/>
    </row>
    <row r="115" spans="1:30" ht="13.5" thickBot="1">
      <c r="A115" s="326" t="s">
        <v>277</v>
      </c>
      <c r="B115" s="271" t="s">
        <v>231</v>
      </c>
      <c r="C115" s="287">
        <f>C113/C114</f>
        <v>0.11221353100032086</v>
      </c>
      <c r="D115" s="278"/>
      <c r="E115" s="287">
        <f>E113/E114</f>
        <v>0.11400827046120475</v>
      </c>
      <c r="F115" s="278"/>
      <c r="G115" s="287">
        <f>G113/G114</f>
        <v>0.12307100552393743</v>
      </c>
      <c r="H115" s="278"/>
      <c r="I115" s="287">
        <f>I113/I114</f>
        <v>0.12219924066552849</v>
      </c>
      <c r="J115" s="278"/>
      <c r="K115" s="287">
        <f>K113/K114</f>
        <v>0.11696160566047496</v>
      </c>
      <c r="L115" s="278"/>
      <c r="M115" s="287">
        <f>M113/M114</f>
        <v>0.12143740528590471</v>
      </c>
      <c r="N115" s="278"/>
      <c r="O115" s="287">
        <f>O113/O114</f>
        <v>0.11958910612191645</v>
      </c>
      <c r="P115" s="278"/>
      <c r="Q115" s="287">
        <f>Q113/Q114</f>
        <v>0.11808971852300396</v>
      </c>
      <c r="R115" s="278"/>
      <c r="S115" s="287">
        <f>S113/S114</f>
        <v>0.10854304660499442</v>
      </c>
      <c r="T115" s="278"/>
      <c r="U115" s="287">
        <f>U113/U114</f>
        <v>0.15730464401417302</v>
      </c>
      <c r="V115" s="278"/>
      <c r="W115" s="287">
        <f>W113/W114</f>
        <v>0.15575844202251204</v>
      </c>
      <c r="X115" s="278"/>
      <c r="Y115" s="287">
        <f>Y113/Y114</f>
        <v>0.15502948591391655</v>
      </c>
      <c r="Z115" s="278"/>
      <c r="AA115" s="287">
        <f>AA113/AA114</f>
        <v>0.15175957459520822</v>
      </c>
      <c r="AB115" s="278"/>
      <c r="AC115" s="287">
        <f>AC113/AC114</f>
        <v>0.154380540498229</v>
      </c>
      <c r="AD115" s="278"/>
    </row>
    <row r="116" spans="1:30">
      <c r="A116" s="255"/>
      <c r="B116" s="258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</row>
    <row r="117" spans="1:30">
      <c r="A117" s="255"/>
      <c r="B117" s="258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</row>
    <row r="118" spans="1:30">
      <c r="A118" s="255"/>
      <c r="B118" s="258" t="s">
        <v>229</v>
      </c>
      <c r="C118" s="261">
        <f>C19</f>
        <v>13419.826445000001</v>
      </c>
      <c r="D118" s="267"/>
      <c r="E118" s="261">
        <f>E19</f>
        <v>13006.999244000001</v>
      </c>
      <c r="F118" s="267"/>
      <c r="G118" s="261">
        <f>G19</f>
        <v>13331.214576718428</v>
      </c>
      <c r="H118" s="267"/>
      <c r="I118" s="261">
        <f>I19</f>
        <v>12991.201010299999</v>
      </c>
      <c r="J118" s="261"/>
      <c r="K118" s="261">
        <f>K19</f>
        <v>12591.153999999999</v>
      </c>
      <c r="L118" s="267"/>
      <c r="M118" s="261">
        <f>M19</f>
        <v>12369.748290755098</v>
      </c>
      <c r="N118" s="267"/>
      <c r="O118" s="261">
        <f>+O113</f>
        <v>12107.396449</v>
      </c>
      <c r="P118" s="267"/>
      <c r="Q118" s="261">
        <f>+Q113</f>
        <v>11775.9</v>
      </c>
      <c r="R118" s="267"/>
      <c r="S118" s="261">
        <f>+S113</f>
        <v>10950.12103489</v>
      </c>
      <c r="T118" s="267"/>
      <c r="U118" s="297" t="s">
        <v>175</v>
      </c>
      <c r="V118" s="267"/>
      <c r="W118" s="297" t="s">
        <v>175</v>
      </c>
      <c r="X118" s="267"/>
      <c r="Y118" s="297" t="s">
        <v>175</v>
      </c>
      <c r="Z118" s="267"/>
      <c r="AA118" s="297" t="s">
        <v>175</v>
      </c>
      <c r="AB118" s="267"/>
      <c r="AC118" s="297" t="s">
        <v>175</v>
      </c>
      <c r="AD118" s="267"/>
    </row>
    <row r="119" spans="1:30">
      <c r="A119" s="255"/>
      <c r="B119" s="275" t="s">
        <v>232</v>
      </c>
      <c r="C119" s="261">
        <v>92.616168999999999</v>
      </c>
      <c r="D119" s="267"/>
      <c r="E119" s="261">
        <v>57.376956999999997</v>
      </c>
      <c r="F119" s="267"/>
      <c r="G119" s="261">
        <v>62.4</v>
      </c>
      <c r="H119" s="267"/>
      <c r="I119" s="261">
        <v>53.335999999999999</v>
      </c>
      <c r="J119" s="261"/>
      <c r="K119" s="261">
        <v>50.855761000000001</v>
      </c>
      <c r="L119" s="267"/>
      <c r="M119" s="261">
        <v>49</v>
      </c>
      <c r="N119" s="267"/>
      <c r="O119" s="261">
        <v>47.279034750000001</v>
      </c>
      <c r="P119" s="267"/>
      <c r="Q119" s="261">
        <v>46</v>
      </c>
      <c r="R119" s="267"/>
      <c r="S119" s="261">
        <v>45</v>
      </c>
      <c r="T119" s="267"/>
      <c r="U119" s="297" t="s">
        <v>175</v>
      </c>
      <c r="V119" s="267"/>
      <c r="W119" s="297" t="s">
        <v>175</v>
      </c>
      <c r="X119" s="267"/>
      <c r="Y119" s="297" t="s">
        <v>175</v>
      </c>
      <c r="Z119" s="267"/>
      <c r="AA119" s="297" t="s">
        <v>175</v>
      </c>
      <c r="AB119" s="267"/>
      <c r="AC119" s="297" t="s">
        <v>175</v>
      </c>
      <c r="AD119" s="267"/>
    </row>
    <row r="120" spans="1:30">
      <c r="A120" s="327"/>
      <c r="B120" s="275" t="s">
        <v>233</v>
      </c>
      <c r="C120" s="261">
        <v>19.009160000000001</v>
      </c>
      <c r="D120" s="267"/>
      <c r="E120" s="261">
        <v>19.237159999999999</v>
      </c>
      <c r="F120" s="267"/>
      <c r="G120" s="261">
        <v>19.520132000000004</v>
      </c>
      <c r="H120" s="267"/>
      <c r="I120" s="261">
        <v>23.610119999999998</v>
      </c>
      <c r="J120" s="261"/>
      <c r="K120" s="261">
        <v>27.225885000000002</v>
      </c>
      <c r="L120" s="267"/>
      <c r="M120" s="261">
        <v>28.733000000000001</v>
      </c>
      <c r="N120" s="267"/>
      <c r="O120" s="261">
        <v>32.701132000000001</v>
      </c>
      <c r="P120" s="267"/>
      <c r="Q120" s="261">
        <v>40.4</v>
      </c>
      <c r="R120" s="267"/>
      <c r="S120" s="261">
        <v>43.90314489</v>
      </c>
      <c r="T120" s="267"/>
      <c r="U120" s="297" t="s">
        <v>175</v>
      </c>
      <c r="V120" s="267"/>
      <c r="W120" s="297" t="s">
        <v>175</v>
      </c>
      <c r="X120" s="267"/>
      <c r="Y120" s="297" t="s">
        <v>175</v>
      </c>
      <c r="Z120" s="267"/>
      <c r="AA120" s="297" t="s">
        <v>175</v>
      </c>
      <c r="AB120" s="267"/>
      <c r="AC120" s="297" t="s">
        <v>175</v>
      </c>
      <c r="AD120" s="267"/>
    </row>
    <row r="121" spans="1:30">
      <c r="A121" s="327"/>
      <c r="B121" s="275" t="s">
        <v>234</v>
      </c>
      <c r="C121" s="261">
        <v>400</v>
      </c>
      <c r="D121" s="267"/>
      <c r="E121" s="261">
        <v>400</v>
      </c>
      <c r="F121" s="267"/>
      <c r="G121" s="261">
        <v>400</v>
      </c>
      <c r="H121" s="267"/>
      <c r="I121" s="261">
        <v>400</v>
      </c>
      <c r="J121" s="261"/>
      <c r="K121" s="261">
        <v>400</v>
      </c>
      <c r="L121" s="267"/>
      <c r="M121" s="261">
        <v>400</v>
      </c>
      <c r="N121" s="267"/>
      <c r="O121" s="261">
        <v>400</v>
      </c>
      <c r="P121" s="267"/>
      <c r="Q121" s="261">
        <v>400</v>
      </c>
      <c r="R121" s="267"/>
      <c r="S121" s="261">
        <v>400</v>
      </c>
      <c r="T121" s="267"/>
      <c r="U121" s="297" t="s">
        <v>175</v>
      </c>
      <c r="V121" s="267"/>
      <c r="W121" s="297" t="s">
        <v>175</v>
      </c>
      <c r="X121" s="267"/>
      <c r="Y121" s="297" t="s">
        <v>175</v>
      </c>
      <c r="Z121" s="267"/>
      <c r="AA121" s="297" t="s">
        <v>175</v>
      </c>
      <c r="AB121" s="267"/>
      <c r="AC121" s="297" t="s">
        <v>175</v>
      </c>
      <c r="AD121" s="267"/>
    </row>
    <row r="122" spans="1:30">
      <c r="A122" s="327"/>
      <c r="B122" s="295" t="s">
        <v>235</v>
      </c>
      <c r="C122" s="266">
        <v>37.998388000000006</v>
      </c>
      <c r="D122" s="268"/>
      <c r="E122" s="266">
        <v>34.439278000000002</v>
      </c>
      <c r="F122" s="268"/>
      <c r="G122" s="266">
        <v>29.5</v>
      </c>
      <c r="H122" s="268"/>
      <c r="I122" s="266">
        <v>26.188611000000002</v>
      </c>
      <c r="J122" s="266"/>
      <c r="K122" s="266">
        <v>22</v>
      </c>
      <c r="L122" s="268"/>
      <c r="M122" s="266">
        <v>17.637833999999998</v>
      </c>
      <c r="N122" s="268"/>
      <c r="O122" s="266">
        <f>+O11</f>
        <v>13.238778</v>
      </c>
      <c r="P122" s="268"/>
      <c r="Q122" s="266">
        <f>+Q11</f>
        <v>8.8353889999999993</v>
      </c>
      <c r="R122" s="268"/>
      <c r="S122" s="266">
        <f>+S11</f>
        <v>4.4354440000000004</v>
      </c>
      <c r="T122" s="268"/>
      <c r="U122" s="298" t="s">
        <v>175</v>
      </c>
      <c r="V122" s="268"/>
      <c r="W122" s="298" t="s">
        <v>175</v>
      </c>
      <c r="X122" s="268"/>
      <c r="Y122" s="298" t="s">
        <v>175</v>
      </c>
      <c r="Z122" s="268"/>
      <c r="AA122" s="298" t="s">
        <v>175</v>
      </c>
      <c r="AB122" s="268"/>
      <c r="AC122" s="298" t="s">
        <v>175</v>
      </c>
      <c r="AD122" s="268"/>
    </row>
    <row r="123" spans="1:30">
      <c r="A123" s="327"/>
      <c r="B123" s="264" t="s">
        <v>236</v>
      </c>
      <c r="C123" s="265">
        <v>3.1597220000000004</v>
      </c>
      <c r="D123" s="280"/>
      <c r="E123" s="265">
        <v>1.0351250000000001</v>
      </c>
      <c r="F123" s="280"/>
      <c r="G123" s="265"/>
      <c r="H123" s="280"/>
      <c r="I123" s="265"/>
      <c r="J123" s="265"/>
      <c r="K123" s="265"/>
      <c r="L123" s="280"/>
      <c r="M123" s="265"/>
      <c r="N123" s="280"/>
      <c r="O123" s="265"/>
      <c r="P123" s="280"/>
      <c r="Q123" s="265"/>
      <c r="R123" s="280"/>
      <c r="S123" s="265"/>
      <c r="T123" s="280"/>
      <c r="U123" s="299"/>
      <c r="V123" s="280"/>
      <c r="W123" s="299"/>
      <c r="X123" s="280"/>
      <c r="Y123" s="299"/>
      <c r="Z123" s="280"/>
      <c r="AA123" s="299"/>
      <c r="AB123" s="280"/>
      <c r="AC123" s="299"/>
      <c r="AD123" s="280"/>
    </row>
    <row r="124" spans="1:30">
      <c r="A124" s="328"/>
      <c r="B124" s="300" t="s">
        <v>237</v>
      </c>
      <c r="C124" s="261">
        <f>C118-C119-C120-C121+C122-C123</f>
        <v>12943.039782</v>
      </c>
      <c r="D124" s="267"/>
      <c r="E124" s="261">
        <f>E118-E119-E120-E121+E122-E123</f>
        <v>12563.789279999999</v>
      </c>
      <c r="F124" s="267"/>
      <c r="G124" s="261">
        <f>G118-G119-G120-G121+G122</f>
        <v>12878.794444718429</v>
      </c>
      <c r="H124" s="267"/>
      <c r="I124" s="261">
        <f>I118-I119-I120-I121+I122</f>
        <v>12540.4435013</v>
      </c>
      <c r="J124" s="261"/>
      <c r="K124" s="261">
        <f>K118-K119-K120-K121+K122</f>
        <v>12135.072353999998</v>
      </c>
      <c r="L124" s="267"/>
      <c r="M124" s="261">
        <f>M118-M119-M120-M121+M122</f>
        <v>11909.653124755097</v>
      </c>
      <c r="N124" s="267"/>
      <c r="O124" s="261">
        <f>O118-O119-O120-O121+O122</f>
        <v>11640.655060250001</v>
      </c>
      <c r="P124" s="261"/>
      <c r="Q124" s="261">
        <f>Q118-Q119-Q120-Q121+Q122</f>
        <v>11298.335389</v>
      </c>
      <c r="R124" s="267"/>
      <c r="S124" s="261">
        <f>S118-S119-S120-S121+S122</f>
        <v>10465.653334000001</v>
      </c>
      <c r="T124" s="267"/>
      <c r="U124" s="297" t="s">
        <v>175</v>
      </c>
      <c r="V124" s="267"/>
      <c r="W124" s="297" t="s">
        <v>175</v>
      </c>
      <c r="X124" s="267"/>
      <c r="Y124" s="297" t="s">
        <v>175</v>
      </c>
      <c r="Z124" s="267"/>
      <c r="AA124" s="297" t="s">
        <v>175</v>
      </c>
      <c r="AB124" s="267"/>
      <c r="AC124" s="297" t="s">
        <v>175</v>
      </c>
      <c r="AD124" s="267"/>
    </row>
    <row r="125" spans="1:30">
      <c r="A125" s="327"/>
      <c r="B125" s="301" t="s">
        <v>238</v>
      </c>
      <c r="C125" s="302">
        <v>0.67552884523400603</v>
      </c>
      <c r="D125" s="267"/>
      <c r="E125" s="302">
        <v>0.67552884523400603</v>
      </c>
      <c r="F125" s="267"/>
      <c r="G125" s="303">
        <v>0.67527848656046996</v>
      </c>
      <c r="H125" s="303"/>
      <c r="I125" s="303">
        <v>0.67909544299689906</v>
      </c>
      <c r="J125" s="303"/>
      <c r="K125" s="303">
        <v>0.68019204285072066</v>
      </c>
      <c r="L125" s="303"/>
      <c r="M125" s="303">
        <v>0.67294279680764146</v>
      </c>
      <c r="N125" s="304"/>
      <c r="O125" s="303">
        <v>0.67300000000000004</v>
      </c>
      <c r="P125" s="303">
        <f>+O125</f>
        <v>0.67300000000000004</v>
      </c>
      <c r="Q125" s="303">
        <v>0.67255691881993418</v>
      </c>
      <c r="R125" s="304"/>
      <c r="S125" s="303">
        <v>0.67255691881993418</v>
      </c>
      <c r="T125" s="303"/>
      <c r="U125" s="297" t="s">
        <v>175</v>
      </c>
      <c r="V125" s="297"/>
      <c r="W125" s="297" t="s">
        <v>175</v>
      </c>
      <c r="X125" s="305"/>
      <c r="Y125" s="297" t="s">
        <v>175</v>
      </c>
      <c r="Z125" s="297"/>
      <c r="AA125" s="297" t="s">
        <v>175</v>
      </c>
      <c r="AB125" s="297"/>
      <c r="AC125" s="297" t="s">
        <v>175</v>
      </c>
      <c r="AD125" s="297"/>
    </row>
    <row r="126" spans="1:30">
      <c r="A126" s="328"/>
      <c r="B126" s="300" t="s">
        <v>239</v>
      </c>
      <c r="C126" s="261">
        <f>C124*C125</f>
        <v>8743.3967177522609</v>
      </c>
      <c r="D126" s="267"/>
      <c r="E126" s="261">
        <f>E124*E125</f>
        <v>8487.2020640817827</v>
      </c>
      <c r="F126" s="267"/>
      <c r="G126" s="261">
        <f>G124*G125</f>
        <v>8696.772821352848</v>
      </c>
      <c r="H126" s="261"/>
      <c r="I126" s="261">
        <f>I124*I125</f>
        <v>8516.1580348929074</v>
      </c>
      <c r="J126" s="261"/>
      <c r="K126" s="261">
        <f>K124*K125</f>
        <v>8254.1796546085625</v>
      </c>
      <c r="L126" s="261"/>
      <c r="M126" s="261">
        <f>M124*M125</f>
        <v>8014.5152827815618</v>
      </c>
      <c r="N126" s="267"/>
      <c r="O126" s="261">
        <f>O124*O125</f>
        <v>7834.1608555482508</v>
      </c>
      <c r="P126" s="261"/>
      <c r="Q126" s="261">
        <f>Q124*Q125</f>
        <v>7598.7736370200628</v>
      </c>
      <c r="R126" s="267"/>
      <c r="S126" s="261">
        <f>S124*S125</f>
        <v>7038.7475597526118</v>
      </c>
      <c r="T126" s="261"/>
      <c r="U126" s="297" t="s">
        <v>175</v>
      </c>
      <c r="V126" s="297"/>
      <c r="W126" s="297" t="s">
        <v>175</v>
      </c>
      <c r="X126" s="261"/>
      <c r="Y126" s="297" t="s">
        <v>175</v>
      </c>
      <c r="Z126" s="297"/>
      <c r="AA126" s="297" t="s">
        <v>175</v>
      </c>
      <c r="AB126" s="297"/>
      <c r="AC126" s="297" t="s">
        <v>175</v>
      </c>
      <c r="AD126" s="297"/>
    </row>
    <row r="127" spans="1:30">
      <c r="A127" s="328"/>
      <c r="B127" s="301" t="s">
        <v>240</v>
      </c>
      <c r="C127" s="261">
        <v>107179987</v>
      </c>
      <c r="D127" s="267"/>
      <c r="E127" s="261">
        <v>107179987</v>
      </c>
      <c r="F127" s="267"/>
      <c r="G127" s="261">
        <v>107179987</v>
      </c>
      <c r="H127" s="261"/>
      <c r="I127" s="261">
        <v>107179987</v>
      </c>
      <c r="J127" s="261"/>
      <c r="K127" s="261">
        <v>107179987</v>
      </c>
      <c r="L127" s="261"/>
      <c r="M127" s="261">
        <v>106202540</v>
      </c>
      <c r="N127" s="267"/>
      <c r="O127" s="261">
        <v>106202540</v>
      </c>
      <c r="P127" s="261">
        <f>+O127</f>
        <v>106202540</v>
      </c>
      <c r="Q127" s="261">
        <v>106202540</v>
      </c>
      <c r="R127" s="267"/>
      <c r="S127" s="261">
        <v>106202540</v>
      </c>
      <c r="T127" s="261">
        <f>+S127</f>
        <v>106202540</v>
      </c>
      <c r="U127" s="297" t="s">
        <v>175</v>
      </c>
      <c r="V127" s="297"/>
      <c r="W127" s="297" t="s">
        <v>175</v>
      </c>
      <c r="X127" s="297"/>
      <c r="Y127" s="297" t="s">
        <v>175</v>
      </c>
      <c r="Z127" s="297"/>
      <c r="AA127" s="297" t="s">
        <v>175</v>
      </c>
      <c r="AB127" s="297"/>
      <c r="AC127" s="297" t="s">
        <v>175</v>
      </c>
      <c r="AD127" s="297"/>
    </row>
    <row r="128" spans="1:30" ht="13.5" thickBot="1">
      <c r="A128" s="326" t="s">
        <v>278</v>
      </c>
      <c r="B128" s="271" t="s">
        <v>241</v>
      </c>
      <c r="C128" s="306">
        <f>C126*1000000/C127</f>
        <v>81.57676598479398</v>
      </c>
      <c r="D128" s="278"/>
      <c r="E128" s="306">
        <f>E126*1000000/E127</f>
        <v>79.186444238715779</v>
      </c>
      <c r="F128" s="278"/>
      <c r="G128" s="306">
        <f>G126*1000000/G127</f>
        <v>81.141760367566079</v>
      </c>
      <c r="H128" s="278"/>
      <c r="I128" s="306">
        <f>I126*1000000/I127</f>
        <v>79.456606342869847</v>
      </c>
      <c r="J128" s="277"/>
      <c r="K128" s="306">
        <f>K126*1000000/K127</f>
        <v>77.012321848934008</v>
      </c>
      <c r="L128" s="278"/>
      <c r="M128" s="306">
        <f>M126*1000000/M127</f>
        <v>75.464440707176706</v>
      </c>
      <c r="N128" s="278"/>
      <c r="O128" s="306">
        <f>O126*1000000/O127</f>
        <v>73.766228713063271</v>
      </c>
      <c r="P128" s="278"/>
      <c r="Q128" s="306">
        <f>Q126*1000000/Q127</f>
        <v>71.549829571120071</v>
      </c>
      <c r="R128" s="278"/>
      <c r="S128" s="306">
        <f>S126*1000000/S127</f>
        <v>66.276640462201868</v>
      </c>
      <c r="T128" s="278"/>
      <c r="U128" s="307" t="s">
        <v>175</v>
      </c>
      <c r="V128" s="307"/>
      <c r="W128" s="307" t="s">
        <v>175</v>
      </c>
      <c r="X128" s="277"/>
      <c r="Y128" s="307" t="s">
        <v>175</v>
      </c>
      <c r="Z128" s="307"/>
      <c r="AA128" s="307" t="s">
        <v>175</v>
      </c>
      <c r="AB128" s="307"/>
      <c r="AC128" s="307" t="s">
        <v>175</v>
      </c>
      <c r="AD128" s="307"/>
    </row>
    <row r="129" spans="1:30">
      <c r="A129" s="255"/>
      <c r="B129" s="288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90"/>
      <c r="R129" s="289"/>
      <c r="S129" s="289"/>
      <c r="T129" s="289"/>
      <c r="U129" s="291"/>
      <c r="V129" s="289"/>
      <c r="W129" s="289"/>
      <c r="X129" s="289"/>
      <c r="Y129" s="289"/>
      <c r="Z129" s="289"/>
      <c r="AA129" s="289"/>
      <c r="AB129" s="289"/>
      <c r="AC129" s="289"/>
      <c r="AD129" s="289"/>
    </row>
    <row r="130" spans="1:30">
      <c r="A130" s="255"/>
      <c r="B130" s="308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2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</row>
    <row r="131" spans="1:30">
      <c r="A131" s="255"/>
      <c r="B131" s="301" t="s">
        <v>242</v>
      </c>
      <c r="C131" s="266">
        <v>726.16647000000012</v>
      </c>
      <c r="D131" s="268"/>
      <c r="E131" s="266">
        <v>312.25379600000002</v>
      </c>
      <c r="F131" s="268"/>
      <c r="G131" s="266">
        <v>1256.9342140499998</v>
      </c>
      <c r="H131" s="266"/>
      <c r="I131" s="266">
        <v>919.86124299999983</v>
      </c>
      <c r="J131" s="266"/>
      <c r="K131" s="266">
        <v>544.72297700000024</v>
      </c>
      <c r="L131" s="266"/>
      <c r="M131" s="266">
        <v>272.52399999999989</v>
      </c>
      <c r="N131" s="266"/>
      <c r="O131" s="266">
        <v>1095.30046425</v>
      </c>
      <c r="P131" s="266"/>
      <c r="Q131" s="266">
        <v>816.02027437000027</v>
      </c>
      <c r="R131" s="268"/>
      <c r="S131" s="266">
        <v>393.79049599999996</v>
      </c>
      <c r="T131" s="266"/>
      <c r="U131" s="297" t="s">
        <v>175</v>
      </c>
      <c r="V131" s="268"/>
      <c r="W131" s="297" t="s">
        <v>175</v>
      </c>
      <c r="X131" s="268"/>
      <c r="Y131" s="297" t="s">
        <v>175</v>
      </c>
      <c r="Z131" s="268"/>
      <c r="AA131" s="297" t="s">
        <v>175</v>
      </c>
      <c r="AB131" s="268"/>
      <c r="AC131" s="297" t="s">
        <v>175</v>
      </c>
      <c r="AD131" s="268"/>
    </row>
    <row r="132" spans="1:30">
      <c r="A132" s="327"/>
      <c r="B132" s="309" t="s">
        <v>238</v>
      </c>
      <c r="C132" s="310">
        <f>+C125</f>
        <v>0.67552884523400603</v>
      </c>
      <c r="D132" s="293"/>
      <c r="E132" s="310">
        <f>+E125</f>
        <v>0.67552884523400603</v>
      </c>
      <c r="F132" s="293"/>
      <c r="G132" s="311">
        <f>G125</f>
        <v>0.67527848656046996</v>
      </c>
      <c r="H132" s="311"/>
      <c r="I132" s="311">
        <v>0.67909544299689906</v>
      </c>
      <c r="J132" s="311"/>
      <c r="K132" s="311">
        <f>K125</f>
        <v>0.68019204285072066</v>
      </c>
      <c r="L132" s="311"/>
      <c r="M132" s="311">
        <f>M125</f>
        <v>0.67294279680764146</v>
      </c>
      <c r="N132" s="311"/>
      <c r="O132" s="311">
        <f>O125</f>
        <v>0.67300000000000004</v>
      </c>
      <c r="P132" s="311"/>
      <c r="Q132" s="311">
        <v>0.67255252798887311</v>
      </c>
      <c r="R132" s="312"/>
      <c r="S132" s="311">
        <f>S125</f>
        <v>0.67255691881993418</v>
      </c>
      <c r="T132" s="311"/>
      <c r="U132" s="313" t="str">
        <f>U125</f>
        <v>-</v>
      </c>
      <c r="V132" s="313"/>
      <c r="W132" s="313" t="str">
        <f>W125</f>
        <v>-</v>
      </c>
      <c r="X132" s="313"/>
      <c r="Y132" s="313" t="str">
        <f>Y125</f>
        <v>-</v>
      </c>
      <c r="Z132" s="313"/>
      <c r="AA132" s="313" t="str">
        <f>AA125</f>
        <v>-</v>
      </c>
      <c r="AB132" s="313"/>
      <c r="AC132" s="313" t="str">
        <f>AC125</f>
        <v>-</v>
      </c>
      <c r="AD132" s="313"/>
    </row>
    <row r="133" spans="1:30">
      <c r="A133" s="327"/>
      <c r="B133" s="300" t="s">
        <v>243</v>
      </c>
      <c r="C133" s="266">
        <f t="shared" ref="C133:E133" si="35">C131*C132</f>
        <v>490.54639692675454</v>
      </c>
      <c r="D133" s="268"/>
      <c r="E133" s="266">
        <f t="shared" si="35"/>
        <v>210.9364462318149</v>
      </c>
      <c r="F133" s="268"/>
      <c r="G133" s="266">
        <f>G131*G132</f>
        <v>848.78063376975763</v>
      </c>
      <c r="H133" s="266"/>
      <c r="I133" s="266">
        <f t="shared" ref="I133" si="36">I131*I132</f>
        <v>624.67357831076311</v>
      </c>
      <c r="J133" s="266"/>
      <c r="K133" s="266">
        <f t="shared" ref="K133" si="37">K131*K132</f>
        <v>370.51623451335627</v>
      </c>
      <c r="L133" s="266"/>
      <c r="M133" s="266">
        <f t="shared" ref="M133" si="38">M131*M132</f>
        <v>183.3930627572056</v>
      </c>
      <c r="N133" s="266"/>
      <c r="O133" s="266">
        <f t="shared" ref="O133" si="39">O131*O132</f>
        <v>737.1372124402501</v>
      </c>
      <c r="P133" s="266"/>
      <c r="Q133" s="266">
        <f t="shared" ref="Q133" si="40">Q131*Q132</f>
        <v>548.81649841771753</v>
      </c>
      <c r="R133" s="268"/>
      <c r="S133" s="266">
        <f t="shared" ref="S133" si="41">S131*S132</f>
        <v>264.84652265033361</v>
      </c>
      <c r="T133" s="266"/>
      <c r="U133" s="297" t="s">
        <v>175</v>
      </c>
      <c r="V133" s="297"/>
      <c r="W133" s="297" t="s">
        <v>175</v>
      </c>
      <c r="X133" s="297"/>
      <c r="Y133" s="297" t="s">
        <v>175</v>
      </c>
      <c r="Z133" s="297"/>
      <c r="AA133" s="297" t="s">
        <v>175</v>
      </c>
      <c r="AB133" s="297"/>
      <c r="AC133" s="297" t="s">
        <v>175</v>
      </c>
      <c r="AD133" s="297"/>
    </row>
    <row r="134" spans="1:30">
      <c r="A134" s="327"/>
      <c r="B134" s="309" t="s">
        <v>244</v>
      </c>
      <c r="C134" s="265">
        <f t="shared" ref="C134" si="42">+C127</f>
        <v>107179987</v>
      </c>
      <c r="D134" s="280"/>
      <c r="E134" s="265">
        <f t="shared" ref="E134:S134" si="43">+E127</f>
        <v>107179987</v>
      </c>
      <c r="F134" s="280"/>
      <c r="G134" s="265">
        <f>+G127</f>
        <v>107179987</v>
      </c>
      <c r="H134" s="265"/>
      <c r="I134" s="265">
        <f t="shared" si="43"/>
        <v>107179987</v>
      </c>
      <c r="J134" s="265"/>
      <c r="K134" s="265">
        <f t="shared" si="43"/>
        <v>107179987</v>
      </c>
      <c r="L134" s="265"/>
      <c r="M134" s="265">
        <f t="shared" si="43"/>
        <v>106202540</v>
      </c>
      <c r="N134" s="265"/>
      <c r="O134" s="265">
        <f t="shared" si="43"/>
        <v>106202540</v>
      </c>
      <c r="P134" s="265"/>
      <c r="Q134" s="265">
        <f t="shared" si="43"/>
        <v>106202540</v>
      </c>
      <c r="R134" s="280"/>
      <c r="S134" s="265">
        <f t="shared" si="43"/>
        <v>106202540</v>
      </c>
      <c r="T134" s="265"/>
      <c r="U134" s="299" t="s">
        <v>175</v>
      </c>
      <c r="V134" s="299"/>
      <c r="W134" s="299" t="s">
        <v>175</v>
      </c>
      <c r="X134" s="299"/>
      <c r="Y134" s="299" t="s">
        <v>175</v>
      </c>
      <c r="Z134" s="299"/>
      <c r="AA134" s="299" t="s">
        <v>175</v>
      </c>
      <c r="AB134" s="299"/>
      <c r="AC134" s="299" t="s">
        <v>175</v>
      </c>
      <c r="AD134" s="299"/>
    </row>
    <row r="135" spans="1:30" ht="13.5" thickBot="1">
      <c r="A135" s="326" t="s">
        <v>279</v>
      </c>
      <c r="B135" s="271" t="s">
        <v>245</v>
      </c>
      <c r="C135" s="306">
        <f>C133*1000000/C134</f>
        <v>4.5768469530300893</v>
      </c>
      <c r="D135" s="314"/>
      <c r="E135" s="306">
        <f>E133*1000000/E134</f>
        <v>1.9680581434649258</v>
      </c>
      <c r="F135" s="314"/>
      <c r="G135" s="306">
        <f>G133*1000000/G134</f>
        <v>7.9192082171997056</v>
      </c>
      <c r="H135" s="306"/>
      <c r="I135" s="306">
        <f t="shared" ref="I135:S135" si="44">I133*1000000/I134</f>
        <v>5.8282669721798257</v>
      </c>
      <c r="J135" s="306"/>
      <c r="K135" s="306">
        <f t="shared" si="44"/>
        <v>3.4569535310109365</v>
      </c>
      <c r="L135" s="306"/>
      <c r="M135" s="306">
        <f t="shared" si="44"/>
        <v>1.7268236970340409</v>
      </c>
      <c r="N135" s="306"/>
      <c r="O135" s="306">
        <f t="shared" si="44"/>
        <v>6.9408623601681283</v>
      </c>
      <c r="P135" s="306"/>
      <c r="Q135" s="306">
        <f t="shared" si="44"/>
        <v>5.1676400434275633</v>
      </c>
      <c r="R135" s="306"/>
      <c r="S135" s="306">
        <f t="shared" si="44"/>
        <v>2.4937870850389605</v>
      </c>
      <c r="T135" s="306"/>
      <c r="U135" s="315" t="s">
        <v>175</v>
      </c>
      <c r="V135" s="315"/>
      <c r="W135" s="315" t="s">
        <v>175</v>
      </c>
      <c r="X135" s="315"/>
      <c r="Y135" s="315" t="s">
        <v>175</v>
      </c>
      <c r="Z135" s="315"/>
      <c r="AA135" s="315" t="s">
        <v>175</v>
      </c>
      <c r="AB135" s="315"/>
      <c r="AC135" s="315" t="s">
        <v>175</v>
      </c>
      <c r="AD135" s="315"/>
    </row>
    <row r="136" spans="1:30">
      <c r="A136" s="255"/>
      <c r="B136" s="301"/>
      <c r="C136" s="291"/>
      <c r="D136" s="291"/>
      <c r="E136" s="291"/>
      <c r="F136" s="291"/>
      <c r="G136" s="292"/>
      <c r="H136" s="291"/>
      <c r="I136" s="291"/>
      <c r="J136" s="291"/>
      <c r="K136" s="292"/>
      <c r="L136" s="291"/>
      <c r="M136" s="292"/>
      <c r="N136" s="291"/>
      <c r="O136" s="292"/>
      <c r="P136" s="292"/>
      <c r="Q136" s="292"/>
      <c r="R136" s="291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</row>
    <row r="137" spans="1:30">
      <c r="A137" s="255"/>
      <c r="B137" s="301" t="s">
        <v>246</v>
      </c>
      <c r="C137" s="316">
        <f>C135/C8*$A$1</f>
        <v>9.2295532478231088</v>
      </c>
      <c r="D137" s="316"/>
      <c r="E137" s="316">
        <f>E135/E8*$A$1</f>
        <v>7.9815691373855326</v>
      </c>
      <c r="F137" s="316"/>
      <c r="G137" s="316">
        <f t="shared" ref="G137:S137" si="45">G135/G8*$A$1</f>
        <v>7.9192082171997056</v>
      </c>
      <c r="H137" s="316"/>
      <c r="I137" s="316">
        <f t="shared" si="45"/>
        <v>7.7923715928411594</v>
      </c>
      <c r="J137" s="316"/>
      <c r="K137" s="316">
        <f t="shared" si="45"/>
        <v>6.9712046343590712</v>
      </c>
      <c r="L137" s="316"/>
      <c r="M137" s="316">
        <f t="shared" si="45"/>
        <v>7.0032294379713891</v>
      </c>
      <c r="N137" s="316"/>
      <c r="O137" s="316">
        <f t="shared" si="45"/>
        <v>6.9218982553589266</v>
      </c>
      <c r="P137" s="316"/>
      <c r="Q137" s="316">
        <f t="shared" si="45"/>
        <v>6.8839000578505862</v>
      </c>
      <c r="R137" s="316"/>
      <c r="S137" s="316">
        <f t="shared" si="45"/>
        <v>5.0012762969187943</v>
      </c>
      <c r="T137" s="316"/>
      <c r="U137" s="297" t="s">
        <v>175</v>
      </c>
      <c r="V137" s="266"/>
      <c r="W137" s="297" t="s">
        <v>175</v>
      </c>
      <c r="X137" s="266"/>
      <c r="Y137" s="297" t="s">
        <v>175</v>
      </c>
      <c r="Z137" s="266"/>
      <c r="AA137" s="297" t="s">
        <v>175</v>
      </c>
      <c r="AB137" s="266"/>
      <c r="AC137" s="297" t="s">
        <v>175</v>
      </c>
      <c r="AD137" s="266"/>
    </row>
    <row r="138" spans="1:30">
      <c r="A138" s="329"/>
      <c r="B138" s="308"/>
      <c r="C138" s="291"/>
      <c r="D138" s="291"/>
      <c r="E138" s="291"/>
      <c r="F138" s="291"/>
      <c r="G138" s="291"/>
      <c r="H138" s="291"/>
      <c r="I138" s="291"/>
      <c r="J138" s="291"/>
      <c r="K138" s="292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</row>
    <row r="139" spans="1:30">
      <c r="A139" s="328"/>
      <c r="B139" s="269" t="s">
        <v>247</v>
      </c>
      <c r="C139" s="316">
        <v>87</v>
      </c>
      <c r="D139" s="317"/>
      <c r="E139" s="316">
        <v>84.2</v>
      </c>
      <c r="F139" s="317"/>
      <c r="G139" s="316">
        <v>90.5</v>
      </c>
      <c r="H139" s="317"/>
      <c r="I139" s="316">
        <v>85.5</v>
      </c>
      <c r="J139" s="317"/>
      <c r="K139" s="316">
        <v>79.25</v>
      </c>
      <c r="L139" s="317"/>
      <c r="M139" s="298" t="s">
        <v>175</v>
      </c>
      <c r="N139" s="317"/>
      <c r="O139" s="298" t="s">
        <v>175</v>
      </c>
      <c r="P139" s="317"/>
      <c r="Q139" s="318" t="s">
        <v>175</v>
      </c>
      <c r="R139" s="317"/>
      <c r="S139" s="298" t="s">
        <v>175</v>
      </c>
      <c r="T139" s="316"/>
      <c r="U139" s="298" t="s">
        <v>175</v>
      </c>
      <c r="V139" s="316"/>
      <c r="W139" s="298" t="s">
        <v>175</v>
      </c>
      <c r="X139" s="316"/>
      <c r="Y139" s="298" t="s">
        <v>175</v>
      </c>
      <c r="Z139" s="316"/>
      <c r="AA139" s="298" t="s">
        <v>175</v>
      </c>
      <c r="AB139" s="316"/>
      <c r="AC139" s="298" t="s">
        <v>175</v>
      </c>
      <c r="AD139" s="316"/>
    </row>
    <row r="140" spans="1:30">
      <c r="A140" s="328"/>
      <c r="B140" s="269" t="s">
        <v>248</v>
      </c>
      <c r="C140" s="316">
        <f>+C137</f>
        <v>9.2295532478231088</v>
      </c>
      <c r="D140" s="268"/>
      <c r="E140" s="316">
        <f>+E137</f>
        <v>7.9815691373855326</v>
      </c>
      <c r="F140" s="268"/>
      <c r="G140" s="316">
        <f>+G137</f>
        <v>7.9192082171997056</v>
      </c>
      <c r="H140" s="268"/>
      <c r="I140" s="316">
        <f>+I137</f>
        <v>7.7923715928411594</v>
      </c>
      <c r="J140" s="268"/>
      <c r="K140" s="316">
        <f>+K137</f>
        <v>6.9712046343590712</v>
      </c>
      <c r="L140" s="268"/>
      <c r="M140" s="319" t="s">
        <v>175</v>
      </c>
      <c r="N140" s="268"/>
      <c r="O140" s="319" t="s">
        <v>175</v>
      </c>
      <c r="P140" s="268"/>
      <c r="Q140" s="320" t="s">
        <v>175</v>
      </c>
      <c r="R140" s="268"/>
      <c r="S140" s="319" t="s">
        <v>175</v>
      </c>
      <c r="T140" s="266"/>
      <c r="U140" s="319" t="s">
        <v>175</v>
      </c>
      <c r="V140" s="266"/>
      <c r="W140" s="319" t="s">
        <v>175</v>
      </c>
      <c r="X140" s="266"/>
      <c r="Y140" s="319" t="s">
        <v>175</v>
      </c>
      <c r="Z140" s="266"/>
      <c r="AA140" s="319" t="s">
        <v>175</v>
      </c>
      <c r="AB140" s="266"/>
      <c r="AC140" s="319" t="s">
        <v>175</v>
      </c>
      <c r="AD140" s="266"/>
    </row>
    <row r="141" spans="1:30" ht="13.5" thickBot="1">
      <c r="A141" s="326" t="s">
        <v>280</v>
      </c>
      <c r="B141" s="271" t="s">
        <v>249</v>
      </c>
      <c r="C141" s="306">
        <f>C139/C140</f>
        <v>9.4262417328292578</v>
      </c>
      <c r="D141" s="278"/>
      <c r="E141" s="306">
        <f>E139/E140</f>
        <v>10.54930409681082</v>
      </c>
      <c r="F141" s="278"/>
      <c r="G141" s="306">
        <f>G139/G140</f>
        <v>11.427910154381761</v>
      </c>
      <c r="H141" s="278"/>
      <c r="I141" s="306">
        <f>I139/I140</f>
        <v>10.972269351034123</v>
      </c>
      <c r="J141" s="278"/>
      <c r="K141" s="306">
        <f>K139/K140</f>
        <v>11.368193039320557</v>
      </c>
      <c r="L141" s="278"/>
      <c r="M141" s="315" t="s">
        <v>175</v>
      </c>
      <c r="N141" s="278"/>
      <c r="O141" s="315" t="s">
        <v>175</v>
      </c>
      <c r="P141" s="278"/>
      <c r="Q141" s="321" t="s">
        <v>175</v>
      </c>
      <c r="R141" s="278"/>
      <c r="S141" s="315" t="s">
        <v>175</v>
      </c>
      <c r="T141" s="277"/>
      <c r="U141" s="315" t="s">
        <v>175</v>
      </c>
      <c r="V141" s="277"/>
      <c r="W141" s="315" t="s">
        <v>175</v>
      </c>
      <c r="X141" s="277"/>
      <c r="Y141" s="315" t="s">
        <v>175</v>
      </c>
      <c r="Z141" s="277"/>
      <c r="AA141" s="315" t="s">
        <v>175</v>
      </c>
      <c r="AB141" s="277"/>
      <c r="AC141" s="315" t="s">
        <v>175</v>
      </c>
      <c r="AD141" s="277"/>
    </row>
    <row r="142" spans="1:30">
      <c r="A142" s="255"/>
      <c r="B142" s="308"/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2"/>
      <c r="N142" s="291"/>
      <c r="O142" s="292"/>
      <c r="P142" s="291"/>
      <c r="Q142" s="291"/>
      <c r="R142" s="291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</row>
    <row r="143" spans="1:30">
      <c r="A143" s="327"/>
      <c r="B143" s="269" t="s">
        <v>247</v>
      </c>
      <c r="C143" s="316">
        <f>+C139</f>
        <v>87</v>
      </c>
      <c r="D143" s="268"/>
      <c r="E143" s="316">
        <f>+E139</f>
        <v>84.2</v>
      </c>
      <c r="F143" s="268"/>
      <c r="G143" s="316">
        <v>90.5</v>
      </c>
      <c r="H143" s="268"/>
      <c r="I143" s="316">
        <v>85.5</v>
      </c>
      <c r="J143" s="268"/>
      <c r="K143" s="316">
        <f>+K139</f>
        <v>79.25</v>
      </c>
      <c r="L143" s="318"/>
      <c r="M143" s="298" t="s">
        <v>175</v>
      </c>
      <c r="N143" s="318"/>
      <c r="O143" s="298" t="s">
        <v>175</v>
      </c>
      <c r="P143" s="318"/>
      <c r="Q143" s="318" t="s">
        <v>175</v>
      </c>
      <c r="R143" s="318"/>
      <c r="S143" s="298" t="s">
        <v>175</v>
      </c>
      <c r="T143" s="298"/>
      <c r="U143" s="298" t="s">
        <v>175</v>
      </c>
      <c r="V143" s="298"/>
      <c r="W143" s="298" t="s">
        <v>175</v>
      </c>
      <c r="X143" s="298"/>
      <c r="Y143" s="298" t="s">
        <v>175</v>
      </c>
      <c r="Z143" s="298"/>
      <c r="AA143" s="298" t="s">
        <v>175</v>
      </c>
      <c r="AB143" s="298"/>
      <c r="AC143" s="298" t="s">
        <v>175</v>
      </c>
      <c r="AD143" s="298"/>
    </row>
    <row r="144" spans="1:30">
      <c r="A144" s="327"/>
      <c r="B144" s="269" t="s">
        <v>250</v>
      </c>
      <c r="C144" s="316">
        <f>+C128</f>
        <v>81.57676598479398</v>
      </c>
      <c r="D144" s="268"/>
      <c r="E144" s="316">
        <f>+E128</f>
        <v>79.186444238715779</v>
      </c>
      <c r="F144" s="268"/>
      <c r="G144" s="316">
        <f>+G128</f>
        <v>81.141760367566079</v>
      </c>
      <c r="H144" s="268"/>
      <c r="I144" s="316">
        <f>+I128</f>
        <v>79.456606342869847</v>
      </c>
      <c r="J144" s="268"/>
      <c r="K144" s="316">
        <f>+K128</f>
        <v>77.012321848934008</v>
      </c>
      <c r="L144" s="320"/>
      <c r="M144" s="319" t="s">
        <v>175</v>
      </c>
      <c r="N144" s="320"/>
      <c r="O144" s="319" t="s">
        <v>175</v>
      </c>
      <c r="P144" s="320"/>
      <c r="Q144" s="320" t="s">
        <v>175</v>
      </c>
      <c r="R144" s="320"/>
      <c r="S144" s="319" t="s">
        <v>175</v>
      </c>
      <c r="T144" s="319"/>
      <c r="U144" s="319" t="s">
        <v>175</v>
      </c>
      <c r="V144" s="319"/>
      <c r="W144" s="319" t="s">
        <v>175</v>
      </c>
      <c r="X144" s="319"/>
      <c r="Y144" s="319" t="s">
        <v>175</v>
      </c>
      <c r="Z144" s="319"/>
      <c r="AA144" s="319" t="s">
        <v>175</v>
      </c>
      <c r="AB144" s="319"/>
      <c r="AC144" s="319" t="s">
        <v>175</v>
      </c>
      <c r="AD144" s="319"/>
    </row>
    <row r="145" spans="1:30" ht="13.5" thickBot="1">
      <c r="A145" s="326" t="s">
        <v>281</v>
      </c>
      <c r="B145" s="271" t="s">
        <v>251</v>
      </c>
      <c r="C145" s="306">
        <f>C143/C144</f>
        <v>1.0664801300926408</v>
      </c>
      <c r="D145" s="278"/>
      <c r="E145" s="306">
        <f>E143/E144</f>
        <v>1.0633133083507367</v>
      </c>
      <c r="F145" s="278"/>
      <c r="G145" s="306">
        <f>G143/G144</f>
        <v>1.1153319769011887</v>
      </c>
      <c r="H145" s="278"/>
      <c r="I145" s="306">
        <f>I143/I144</f>
        <v>1.0760590457519894</v>
      </c>
      <c r="J145" s="278"/>
      <c r="K145" s="306">
        <f>K143/K144</f>
        <v>1.0290561055340648</v>
      </c>
      <c r="L145" s="321"/>
      <c r="M145" s="315" t="s">
        <v>175</v>
      </c>
      <c r="N145" s="321"/>
      <c r="O145" s="315" t="s">
        <v>175</v>
      </c>
      <c r="P145" s="321"/>
      <c r="Q145" s="321" t="s">
        <v>175</v>
      </c>
      <c r="R145" s="321"/>
      <c r="S145" s="315" t="s">
        <v>175</v>
      </c>
      <c r="T145" s="315"/>
      <c r="U145" s="315" t="s">
        <v>175</v>
      </c>
      <c r="V145" s="315"/>
      <c r="W145" s="315" t="s">
        <v>175</v>
      </c>
      <c r="X145" s="315"/>
      <c r="Y145" s="315" t="s">
        <v>175</v>
      </c>
      <c r="Z145" s="315"/>
      <c r="AA145" s="315" t="s">
        <v>175</v>
      </c>
      <c r="AB145" s="315"/>
      <c r="AC145" s="315" t="s">
        <v>175</v>
      </c>
      <c r="AD145" s="315"/>
    </row>
  </sheetData>
  <pageMargins left="0.7" right="0.7" top="0.75" bottom="0.75" header="0.3" footer="0.3"/>
  <pageSetup paperSize="9" orientation="portrait" verticalDpi="0" r:id="rId1"/>
  <ignoredErrors>
    <ignoredError sqref="F85 E133 D28 D84:D85 N85 G85:M85 O85:AD8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C61"/>
  <sheetViews>
    <sheetView showGridLines="0" zoomScale="85" zoomScaleNormal="85" workbookViewId="0">
      <selection activeCell="A107" sqref="A107"/>
    </sheetView>
  </sheetViews>
  <sheetFormatPr baseColWidth="10" defaultColWidth="11.42578125" defaultRowHeight="14.25"/>
  <cols>
    <col min="1" max="1" width="4.28515625" style="19" customWidth="1"/>
    <col min="2" max="2" width="67.140625" style="19" customWidth="1"/>
    <col min="3" max="10" width="14.28515625" style="19" customWidth="1"/>
    <col min="11" max="16384" width="11.42578125" style="19"/>
  </cols>
  <sheetData>
    <row r="1" spans="1:29" ht="18.75" customHeight="1"/>
    <row r="2" spans="1:29" ht="18.75" customHeight="1">
      <c r="A2" s="20" t="s">
        <v>176</v>
      </c>
      <c r="B2" s="21"/>
      <c r="C2" s="22"/>
      <c r="D2" s="22"/>
      <c r="E2" s="22"/>
      <c r="F2" s="22"/>
    </row>
    <row r="3" spans="1:29" ht="14.25" customHeight="1">
      <c r="A3" s="20"/>
      <c r="B3" s="21"/>
      <c r="C3" s="22"/>
      <c r="D3" s="22"/>
      <c r="E3" s="22"/>
      <c r="F3" s="22"/>
    </row>
    <row r="4" spans="1:29" ht="14.25" customHeight="1">
      <c r="A4" s="20"/>
      <c r="B4" s="23"/>
      <c r="C4" s="22"/>
      <c r="D4" s="22"/>
      <c r="E4" s="22"/>
      <c r="F4" s="22"/>
    </row>
    <row r="5" spans="1:29" ht="14.25" customHeight="1">
      <c r="A5" s="20"/>
      <c r="B5" s="21"/>
      <c r="C5" s="22"/>
      <c r="D5" s="22"/>
      <c r="E5" s="22"/>
      <c r="F5" s="22"/>
    </row>
    <row r="6" spans="1:29" ht="14.25" customHeight="1">
      <c r="B6" s="25"/>
      <c r="C6" s="151" t="s">
        <v>18</v>
      </c>
      <c r="D6" s="151" t="s">
        <v>15</v>
      </c>
      <c r="E6" s="26" t="s">
        <v>16</v>
      </c>
      <c r="F6" s="26" t="s">
        <v>17</v>
      </c>
      <c r="G6" s="26" t="s">
        <v>18</v>
      </c>
      <c r="H6" s="26" t="s">
        <v>19</v>
      </c>
      <c r="I6" s="26" t="s">
        <v>16</v>
      </c>
      <c r="J6" s="26" t="s">
        <v>17</v>
      </c>
      <c r="K6" s="26" t="s">
        <v>18</v>
      </c>
      <c r="L6" s="26" t="s">
        <v>15</v>
      </c>
      <c r="M6" s="26" t="s">
        <v>16</v>
      </c>
    </row>
    <row r="7" spans="1:29" ht="14.25" customHeight="1">
      <c r="B7" s="27" t="s">
        <v>180</v>
      </c>
      <c r="C7" s="152">
        <v>2018</v>
      </c>
      <c r="D7" s="152">
        <v>2018</v>
      </c>
      <c r="E7" s="28">
        <v>2017</v>
      </c>
      <c r="F7" s="28">
        <v>2017</v>
      </c>
      <c r="G7" s="28">
        <v>2017</v>
      </c>
      <c r="H7" s="28">
        <v>2017</v>
      </c>
      <c r="I7" s="28">
        <v>2016</v>
      </c>
      <c r="J7" s="28">
        <v>2016</v>
      </c>
      <c r="K7" s="28">
        <v>2016</v>
      </c>
      <c r="L7" s="28">
        <v>2016</v>
      </c>
      <c r="M7" s="28">
        <v>2015</v>
      </c>
    </row>
    <row r="8" spans="1:29">
      <c r="B8" s="29" t="s">
        <v>20</v>
      </c>
      <c r="C8" s="150">
        <v>843.95764199999985</v>
      </c>
      <c r="D8" s="150">
        <v>810.7</v>
      </c>
      <c r="E8" s="30">
        <v>820</v>
      </c>
      <c r="F8" s="30">
        <v>808.6</v>
      </c>
      <c r="G8" s="30">
        <v>822.9</v>
      </c>
      <c r="H8" s="30">
        <v>786.8</v>
      </c>
      <c r="I8" s="30">
        <v>785.5</v>
      </c>
      <c r="J8" s="30">
        <v>765</v>
      </c>
      <c r="K8" s="30">
        <v>472</v>
      </c>
      <c r="L8" s="30">
        <v>472</v>
      </c>
      <c r="M8" s="30">
        <v>480.9</v>
      </c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</row>
    <row r="9" spans="1:29" ht="14.25" customHeight="1">
      <c r="B9" s="31" t="s">
        <v>21</v>
      </c>
      <c r="C9" s="153">
        <v>332.84017799999998</v>
      </c>
      <c r="D9" s="153">
        <v>315.7</v>
      </c>
      <c r="E9" s="32">
        <v>318</v>
      </c>
      <c r="F9" s="32">
        <v>310.2</v>
      </c>
      <c r="G9" s="32">
        <v>331.5</v>
      </c>
      <c r="H9" s="32">
        <v>322.3</v>
      </c>
      <c r="I9" s="32">
        <v>333.2</v>
      </c>
      <c r="J9" s="32">
        <v>323</v>
      </c>
      <c r="K9" s="32">
        <v>171.8</v>
      </c>
      <c r="L9" s="32">
        <v>175.7</v>
      </c>
      <c r="M9" s="32">
        <v>191.8</v>
      </c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</row>
    <row r="10" spans="1:29" ht="14.25" customHeight="1">
      <c r="B10" s="33" t="s">
        <v>22</v>
      </c>
      <c r="C10" s="154">
        <v>511.11746399999987</v>
      </c>
      <c r="D10" s="154">
        <v>495</v>
      </c>
      <c r="E10" s="34">
        <v>501</v>
      </c>
      <c r="F10" s="35">
        <v>498.4</v>
      </c>
      <c r="G10" s="35">
        <v>491.4</v>
      </c>
      <c r="H10" s="35">
        <v>464.5</v>
      </c>
      <c r="I10" s="35">
        <v>452.3</v>
      </c>
      <c r="J10" s="35">
        <v>442</v>
      </c>
      <c r="K10" s="35">
        <v>300</v>
      </c>
      <c r="L10" s="35">
        <v>296.60000000000002</v>
      </c>
      <c r="M10" s="35">
        <v>289.10000000000002</v>
      </c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</row>
    <row r="11" spans="1:29" ht="14.25" customHeight="1">
      <c r="B11" s="36" t="s">
        <v>23</v>
      </c>
      <c r="C11" s="150">
        <v>309.97711000000004</v>
      </c>
      <c r="D11" s="150">
        <v>304.39999999999998</v>
      </c>
      <c r="E11" s="30">
        <v>312</v>
      </c>
      <c r="F11" s="30">
        <v>310.7</v>
      </c>
      <c r="G11" s="30">
        <v>297.39999999999998</v>
      </c>
      <c r="H11" s="30">
        <v>276.89999999999998</v>
      </c>
      <c r="I11" s="30">
        <v>275</v>
      </c>
      <c r="J11" s="30">
        <v>295</v>
      </c>
      <c r="K11" s="30">
        <v>137</v>
      </c>
      <c r="L11" s="30">
        <v>122.9</v>
      </c>
      <c r="M11" s="30">
        <v>128.5</v>
      </c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</row>
    <row r="12" spans="1:29" ht="14.25" customHeight="1">
      <c r="B12" s="36" t="s">
        <v>24</v>
      </c>
      <c r="C12" s="150">
        <v>27.311281999999999</v>
      </c>
      <c r="D12" s="150">
        <v>22.5</v>
      </c>
      <c r="E12" s="30">
        <v>27</v>
      </c>
      <c r="F12" s="30">
        <v>27.5</v>
      </c>
      <c r="G12" s="30">
        <v>26.1</v>
      </c>
      <c r="H12" s="30">
        <v>22.3</v>
      </c>
      <c r="I12" s="30">
        <v>22.6</v>
      </c>
      <c r="J12" s="30">
        <v>23</v>
      </c>
      <c r="K12" s="30">
        <v>12.9</v>
      </c>
      <c r="L12" s="30">
        <v>12.5</v>
      </c>
      <c r="M12" s="30">
        <v>13.6</v>
      </c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</row>
    <row r="13" spans="1:29" ht="14.25" customHeight="1">
      <c r="B13" s="31" t="s">
        <v>25</v>
      </c>
      <c r="C13" s="153">
        <v>51.124432000000006</v>
      </c>
      <c r="D13" s="153">
        <v>41.5</v>
      </c>
      <c r="E13" s="32">
        <v>29</v>
      </c>
      <c r="F13" s="32">
        <v>41.6</v>
      </c>
      <c r="G13" s="32">
        <v>44.8</v>
      </c>
      <c r="H13" s="32">
        <v>53.2</v>
      </c>
      <c r="I13" s="32">
        <v>42.8</v>
      </c>
      <c r="J13" s="32">
        <v>37</v>
      </c>
      <c r="K13" s="32">
        <v>50.5</v>
      </c>
      <c r="L13" s="32">
        <v>49.7</v>
      </c>
      <c r="M13" s="32">
        <v>44.2</v>
      </c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</row>
    <row r="14" spans="1:29" ht="14.25" customHeight="1">
      <c r="B14" s="33" t="s">
        <v>26</v>
      </c>
      <c r="C14" s="155">
        <v>333.79026000000005</v>
      </c>
      <c r="D14" s="155">
        <v>323.39999999999998</v>
      </c>
      <c r="E14" s="35">
        <v>315</v>
      </c>
      <c r="F14" s="35">
        <v>324.89999999999998</v>
      </c>
      <c r="G14" s="35">
        <v>316</v>
      </c>
      <c r="H14" s="35">
        <v>307.8</v>
      </c>
      <c r="I14" s="35">
        <v>295.2</v>
      </c>
      <c r="J14" s="35">
        <v>310</v>
      </c>
      <c r="K14" s="35">
        <v>174.6</v>
      </c>
      <c r="L14" s="35">
        <v>160.1</v>
      </c>
      <c r="M14" s="35">
        <v>159.1</v>
      </c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</row>
    <row r="15" spans="1:29" ht="14.25" customHeight="1">
      <c r="B15" s="37" t="s">
        <v>27</v>
      </c>
      <c r="C15" s="150">
        <v>0.43433100000000024</v>
      </c>
      <c r="D15" s="150">
        <v>12.1</v>
      </c>
      <c r="E15" s="30">
        <v>0</v>
      </c>
      <c r="F15" s="30">
        <v>-0.2</v>
      </c>
      <c r="G15" s="30">
        <v>1.8</v>
      </c>
      <c r="H15" s="30">
        <v>8.6999999999999993</v>
      </c>
      <c r="I15" s="30">
        <v>0.3</v>
      </c>
      <c r="J15" s="30">
        <v>1</v>
      </c>
      <c r="K15" s="30">
        <v>45</v>
      </c>
      <c r="L15" s="30">
        <v>0</v>
      </c>
      <c r="M15" s="30">
        <v>0</v>
      </c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</row>
    <row r="16" spans="1:29" ht="14.25" customHeight="1">
      <c r="B16" s="36" t="s">
        <v>28</v>
      </c>
      <c r="C16" s="150">
        <v>53.778029999999987</v>
      </c>
      <c r="D16" s="150">
        <v>29.7</v>
      </c>
      <c r="E16" s="30">
        <v>77</v>
      </c>
      <c r="F16" s="30">
        <v>81.8</v>
      </c>
      <c r="G16" s="30">
        <v>30.3</v>
      </c>
      <c r="H16" s="30">
        <v>6</v>
      </c>
      <c r="I16" s="30">
        <v>48.6</v>
      </c>
      <c r="J16" s="30">
        <v>21</v>
      </c>
      <c r="K16" s="30">
        <v>96</v>
      </c>
      <c r="L16" s="30">
        <v>70</v>
      </c>
      <c r="M16" s="30">
        <v>70.2</v>
      </c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</row>
    <row r="17" spans="2:29" ht="14.25" customHeight="1">
      <c r="B17" s="31" t="s">
        <v>29</v>
      </c>
      <c r="C17" s="153">
        <v>94.596384</v>
      </c>
      <c r="D17" s="153">
        <v>3.6</v>
      </c>
      <c r="E17" s="32">
        <v>67</v>
      </c>
      <c r="F17" s="32">
        <v>18.600000000000001</v>
      </c>
      <c r="G17" s="32">
        <v>1.7</v>
      </c>
      <c r="H17" s="32">
        <v>-14.5</v>
      </c>
      <c r="I17" s="32">
        <v>17.100000000000001</v>
      </c>
      <c r="J17" s="32">
        <v>30</v>
      </c>
      <c r="K17" s="32">
        <v>-47</v>
      </c>
      <c r="L17" s="32">
        <v>-62.7</v>
      </c>
      <c r="M17" s="32">
        <v>33</v>
      </c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</row>
    <row r="18" spans="2:29" ht="14.25" customHeight="1">
      <c r="B18" s="33" t="s">
        <v>30</v>
      </c>
      <c r="C18" s="155">
        <v>148.80874499999999</v>
      </c>
      <c r="D18" s="155">
        <v>45.4</v>
      </c>
      <c r="E18" s="38">
        <v>143</v>
      </c>
      <c r="F18" s="35">
        <v>100.1</v>
      </c>
      <c r="G18" s="35">
        <v>33.799999999999997</v>
      </c>
      <c r="H18" s="35">
        <v>0.3</v>
      </c>
      <c r="I18" s="35">
        <v>66</v>
      </c>
      <c r="J18" s="35">
        <v>53</v>
      </c>
      <c r="K18" s="35">
        <v>94</v>
      </c>
      <c r="L18" s="35">
        <v>7.3</v>
      </c>
      <c r="M18" s="35">
        <v>103.2</v>
      </c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</row>
    <row r="19" spans="2:29" ht="14.25" customHeight="1">
      <c r="B19" s="39" t="s">
        <v>31</v>
      </c>
      <c r="C19" s="156">
        <v>993.71646899999996</v>
      </c>
      <c r="D19" s="156">
        <v>863.8</v>
      </c>
      <c r="E19" s="30">
        <v>959</v>
      </c>
      <c r="F19" s="38">
        <v>923.4</v>
      </c>
      <c r="G19" s="38">
        <v>841.3</v>
      </c>
      <c r="H19" s="38">
        <v>772.6</v>
      </c>
      <c r="I19" s="38">
        <v>813.5</v>
      </c>
      <c r="J19" s="38">
        <v>805</v>
      </c>
      <c r="K19" s="38">
        <v>568.6</v>
      </c>
      <c r="L19" s="38">
        <v>464</v>
      </c>
      <c r="M19" s="38">
        <v>551.4</v>
      </c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</row>
    <row r="20" spans="2:29" ht="14.25" customHeight="1">
      <c r="B20" s="36" t="s">
        <v>32</v>
      </c>
      <c r="C20" s="150">
        <v>246.939616</v>
      </c>
      <c r="D20" s="150">
        <v>257.8</v>
      </c>
      <c r="E20" s="30">
        <v>308</v>
      </c>
      <c r="F20" s="30">
        <v>233.2</v>
      </c>
      <c r="G20" s="30">
        <v>236.6</v>
      </c>
      <c r="H20" s="30">
        <v>232.5</v>
      </c>
      <c r="I20" s="30">
        <v>253.5</v>
      </c>
      <c r="J20" s="30">
        <v>27</v>
      </c>
      <c r="K20" s="30">
        <v>145</v>
      </c>
      <c r="L20" s="30">
        <v>148.1</v>
      </c>
      <c r="M20" s="30">
        <v>155.19999999999999</v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</row>
    <row r="21" spans="2:29" ht="14.25" customHeight="1">
      <c r="B21" s="37" t="s">
        <v>33</v>
      </c>
      <c r="C21" s="150">
        <v>31.885989000000002</v>
      </c>
      <c r="D21" s="150">
        <v>23.2</v>
      </c>
      <c r="E21" s="30">
        <v>22</v>
      </c>
      <c r="F21" s="30">
        <v>20.7</v>
      </c>
      <c r="G21" s="30">
        <v>20.8</v>
      </c>
      <c r="H21" s="30">
        <v>20.5</v>
      </c>
      <c r="I21" s="30">
        <v>21.9</v>
      </c>
      <c r="J21" s="30">
        <v>19</v>
      </c>
      <c r="K21" s="30">
        <v>12</v>
      </c>
      <c r="L21" s="30">
        <v>11</v>
      </c>
      <c r="M21" s="30">
        <v>13</v>
      </c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</row>
    <row r="22" spans="2:29" ht="14.25" customHeight="1">
      <c r="B22" s="31" t="s">
        <v>34</v>
      </c>
      <c r="C22" s="153">
        <v>189.56019799999999</v>
      </c>
      <c r="D22" s="153">
        <v>168.5</v>
      </c>
      <c r="E22" s="32">
        <v>220</v>
      </c>
      <c r="F22" s="32">
        <v>178.9</v>
      </c>
      <c r="G22" s="32">
        <v>220.8</v>
      </c>
      <c r="H22" s="32">
        <v>184.3</v>
      </c>
      <c r="I22" s="32">
        <v>201.2</v>
      </c>
      <c r="J22" s="32">
        <v>168</v>
      </c>
      <c r="K22" s="32">
        <v>102</v>
      </c>
      <c r="L22" s="32">
        <v>93.7</v>
      </c>
      <c r="M22" s="32">
        <v>126.1</v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</row>
    <row r="23" spans="2:29" ht="14.25" customHeight="1">
      <c r="B23" s="33" t="s">
        <v>35</v>
      </c>
      <c r="C23" s="155">
        <v>468.38580300000001</v>
      </c>
      <c r="D23" s="155">
        <v>449.5</v>
      </c>
      <c r="E23" s="38">
        <v>550</v>
      </c>
      <c r="F23" s="35">
        <v>432.8</v>
      </c>
      <c r="G23" s="35">
        <v>478.1</v>
      </c>
      <c r="H23" s="35">
        <v>437.3</v>
      </c>
      <c r="I23" s="35">
        <v>476.5</v>
      </c>
      <c r="J23" s="35">
        <v>214</v>
      </c>
      <c r="K23" s="35">
        <v>259</v>
      </c>
      <c r="L23" s="35">
        <v>252.8</v>
      </c>
      <c r="M23" s="35">
        <v>294.3</v>
      </c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</row>
    <row r="24" spans="2:29" ht="14.25" customHeight="1">
      <c r="B24" s="40" t="s">
        <v>36</v>
      </c>
      <c r="C24" s="156">
        <v>525.33066599999995</v>
      </c>
      <c r="D24" s="156">
        <v>414.3</v>
      </c>
      <c r="E24" s="30">
        <v>409</v>
      </c>
      <c r="F24" s="38">
        <v>490.5</v>
      </c>
      <c r="G24" s="38">
        <v>363.1</v>
      </c>
      <c r="H24" s="38">
        <v>335.3</v>
      </c>
      <c r="I24" s="38">
        <v>336.9</v>
      </c>
      <c r="J24" s="38">
        <v>590</v>
      </c>
      <c r="K24" s="38">
        <v>309.60000000000002</v>
      </c>
      <c r="L24" s="38">
        <v>210.9</v>
      </c>
      <c r="M24" s="38">
        <v>259.5</v>
      </c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</row>
    <row r="25" spans="2:29" ht="14.25" customHeight="1">
      <c r="B25" s="31" t="s">
        <v>37</v>
      </c>
      <c r="C25" s="153">
        <v>7.1308810000000005</v>
      </c>
      <c r="D25" s="153">
        <v>4.8</v>
      </c>
      <c r="E25" s="32">
        <v>-13</v>
      </c>
      <c r="F25" s="32">
        <v>14.5</v>
      </c>
      <c r="G25" s="32">
        <v>5.2</v>
      </c>
      <c r="H25" s="32">
        <v>-26.2</v>
      </c>
      <c r="I25" s="32">
        <v>42.6</v>
      </c>
      <c r="J25" s="32">
        <v>3</v>
      </c>
      <c r="K25" s="32">
        <v>20.2</v>
      </c>
      <c r="L25" s="32">
        <v>8.9</v>
      </c>
      <c r="M25" s="32">
        <v>17.8</v>
      </c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</row>
    <row r="26" spans="2:29" ht="14.25" customHeight="1">
      <c r="B26" s="33" t="s">
        <v>38</v>
      </c>
      <c r="C26" s="155">
        <v>518.19978499999991</v>
      </c>
      <c r="D26" s="155">
        <v>409.5</v>
      </c>
      <c r="E26" s="38">
        <v>422</v>
      </c>
      <c r="F26" s="35">
        <v>476</v>
      </c>
      <c r="G26" s="35">
        <v>357.9</v>
      </c>
      <c r="H26" s="35">
        <v>361.4</v>
      </c>
      <c r="I26" s="35">
        <v>294.39999999999998</v>
      </c>
      <c r="J26" s="35">
        <v>587</v>
      </c>
      <c r="K26" s="35">
        <v>289.39999999999998</v>
      </c>
      <c r="L26" s="35">
        <v>202</v>
      </c>
      <c r="M26" s="35">
        <v>241.7</v>
      </c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</row>
    <row r="27" spans="2:29" ht="14.25" customHeight="1">
      <c r="B27" s="31" t="s">
        <v>39</v>
      </c>
      <c r="C27" s="157">
        <v>102.04516299999999</v>
      </c>
      <c r="D27" s="157">
        <v>95.6</v>
      </c>
      <c r="E27" s="32">
        <v>85</v>
      </c>
      <c r="F27" s="41">
        <v>99.2</v>
      </c>
      <c r="G27" s="41">
        <v>83.9</v>
      </c>
      <c r="H27" s="41">
        <v>87.6</v>
      </c>
      <c r="I27" s="41">
        <v>13.5</v>
      </c>
      <c r="J27" s="41">
        <v>163</v>
      </c>
      <c r="K27" s="41">
        <v>62.2</v>
      </c>
      <c r="L27" s="41">
        <v>33</v>
      </c>
      <c r="M27" s="41">
        <v>48.2</v>
      </c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</row>
    <row r="28" spans="2:29" ht="14.25" customHeight="1">
      <c r="B28" s="42" t="s">
        <v>40</v>
      </c>
      <c r="C28" s="158">
        <v>416.1546219999999</v>
      </c>
      <c r="D28" s="158">
        <v>313.89999999999998</v>
      </c>
      <c r="E28" s="43">
        <v>337</v>
      </c>
      <c r="F28" s="44">
        <v>376.8</v>
      </c>
      <c r="G28" s="44">
        <v>274</v>
      </c>
      <c r="H28" s="44">
        <v>273.89999999999998</v>
      </c>
      <c r="I28" s="44">
        <v>280.8</v>
      </c>
      <c r="J28" s="44">
        <v>424</v>
      </c>
      <c r="K28" s="44">
        <v>227.2</v>
      </c>
      <c r="L28" s="44">
        <v>169</v>
      </c>
      <c r="M28" s="44">
        <v>193.5</v>
      </c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</row>
    <row r="29" spans="2:29" ht="14.25" customHeight="1">
      <c r="B29" s="45"/>
      <c r="C29" s="159"/>
      <c r="D29" s="159"/>
      <c r="E29" s="46"/>
      <c r="F29" s="46"/>
      <c r="G29" s="46"/>
      <c r="H29" s="46"/>
      <c r="I29" s="46"/>
      <c r="J29" s="47"/>
      <c r="K29" s="47"/>
      <c r="L29" s="47"/>
      <c r="M29" s="47"/>
    </row>
    <row r="30" spans="2:29" ht="14.25" customHeight="1">
      <c r="B30" s="45"/>
      <c r="C30" s="151" t="s">
        <v>291</v>
      </c>
      <c r="D30" s="151" t="s">
        <v>15</v>
      </c>
      <c r="E30" s="26" t="s">
        <v>16</v>
      </c>
      <c r="F30" s="26" t="s">
        <v>17</v>
      </c>
      <c r="G30" s="26" t="s">
        <v>18</v>
      </c>
      <c r="H30" s="26" t="s">
        <v>19</v>
      </c>
      <c r="I30" s="26" t="s">
        <v>16</v>
      </c>
      <c r="J30" s="26" t="s">
        <v>17</v>
      </c>
      <c r="K30" s="26" t="s">
        <v>18</v>
      </c>
      <c r="L30" s="26" t="s">
        <v>15</v>
      </c>
      <c r="M30" s="26" t="s">
        <v>16</v>
      </c>
    </row>
    <row r="31" spans="2:29" ht="14.25" customHeight="1">
      <c r="B31" s="48"/>
      <c r="C31" s="152">
        <v>2018</v>
      </c>
      <c r="D31" s="152">
        <v>2018</v>
      </c>
      <c r="E31" s="28">
        <v>2017</v>
      </c>
      <c r="F31" s="28">
        <v>2017</v>
      </c>
      <c r="G31" s="28">
        <v>2017</v>
      </c>
      <c r="H31" s="28">
        <v>2017</v>
      </c>
      <c r="I31" s="28">
        <v>2016</v>
      </c>
      <c r="J31" s="28">
        <v>2016</v>
      </c>
      <c r="K31" s="28">
        <v>2016</v>
      </c>
      <c r="L31" s="28">
        <v>2016</v>
      </c>
      <c r="M31" s="28">
        <v>2015</v>
      </c>
    </row>
    <row r="32" spans="2:29" ht="14.25" customHeight="1">
      <c r="B32" s="49" t="s">
        <v>41</v>
      </c>
      <c r="C32" s="160"/>
      <c r="D32" s="330"/>
      <c r="E32" s="50"/>
      <c r="F32" s="50"/>
      <c r="G32" s="50"/>
      <c r="H32" s="50"/>
      <c r="I32" s="50"/>
      <c r="J32" s="50"/>
      <c r="K32" s="50"/>
      <c r="L32" s="50"/>
      <c r="M32" s="50"/>
    </row>
    <row r="33" spans="2:24" ht="14.25" customHeight="1">
      <c r="B33" s="51" t="s">
        <v>53</v>
      </c>
      <c r="C33" s="161">
        <v>0.1292459749133735</v>
      </c>
      <c r="D33" s="161">
        <v>9.8718530466129092E-2</v>
      </c>
      <c r="E33" s="52">
        <v>0.104</v>
      </c>
      <c r="F33" s="52">
        <v>0.11963768594542483</v>
      </c>
      <c r="G33" s="52">
        <v>8.9898277387968142E-2</v>
      </c>
      <c r="H33" s="52">
        <v>9.2213275370305686E-2</v>
      </c>
      <c r="I33" s="52">
        <v>9.3904522868818091E-2</v>
      </c>
      <c r="J33" s="52">
        <v>0.14992409630498033</v>
      </c>
      <c r="K33" s="52">
        <v>9.0290287344681225E-2</v>
      </c>
      <c r="L33" s="52">
        <v>7.6999999999999999E-2</v>
      </c>
      <c r="M33" s="52">
        <v>8.9436891969963225E-2</v>
      </c>
    </row>
    <row r="34" spans="2:24" ht="14.25" customHeight="1">
      <c r="B34" s="51" t="s">
        <v>54</v>
      </c>
      <c r="C34" s="162">
        <v>1.7546095743363091E-2</v>
      </c>
      <c r="D34" s="162">
        <v>1.8051702661913416E-2</v>
      </c>
      <c r="E34" s="53">
        <v>1.8499999999999999E-2</v>
      </c>
      <c r="F34" s="53">
        <v>1.8482305724621995E-2</v>
      </c>
      <c r="G34" s="53">
        <v>1.8816458079217023E-2</v>
      </c>
      <c r="H34" s="53">
        <v>1.8514002321617137E-2</v>
      </c>
      <c r="I34" s="53">
        <v>1.7871202954242278E-2</v>
      </c>
      <c r="J34" s="53">
        <v>1.7531074385281023E-2</v>
      </c>
      <c r="K34" s="53">
        <v>1.5269661810367211E-2</v>
      </c>
      <c r="L34" s="53">
        <v>2.085552428517521E-2</v>
      </c>
      <c r="M34" s="53">
        <v>2.076513883439015E-2</v>
      </c>
    </row>
    <row r="35" spans="2:24" ht="14.25" customHeight="1">
      <c r="B35" s="51" t="s">
        <v>55</v>
      </c>
      <c r="C35" s="161">
        <v>0.4764039777931286</v>
      </c>
      <c r="D35" s="161">
        <v>0.520355215279799</v>
      </c>
      <c r="E35" s="52">
        <v>0.57399999999999995</v>
      </c>
      <c r="F35" s="52">
        <v>0.46874258094775179</v>
      </c>
      <c r="G35" s="52">
        <v>0.56834671267374404</v>
      </c>
      <c r="H35" s="52">
        <v>0.56606069235100342</v>
      </c>
      <c r="I35" s="52">
        <v>0.58578992165698129</v>
      </c>
      <c r="J35" s="52">
        <v>0.26583850931677017</v>
      </c>
      <c r="K35" s="52">
        <v>0.45550474850510025</v>
      </c>
      <c r="L35" s="52">
        <v>0.5448158444861102</v>
      </c>
      <c r="M35" s="52">
        <v>0.52900000000000003</v>
      </c>
    </row>
    <row r="36" spans="2:24" ht="14.25" customHeight="1">
      <c r="B36" s="54" t="s">
        <v>42</v>
      </c>
      <c r="C36" s="163"/>
      <c r="D36" s="163"/>
      <c r="E36" s="55"/>
      <c r="F36" s="55"/>
      <c r="G36" s="55"/>
      <c r="H36" s="55"/>
      <c r="I36" s="55"/>
      <c r="J36" s="55"/>
      <c r="K36" s="55"/>
      <c r="L36" s="55"/>
      <c r="M36" s="55"/>
    </row>
    <row r="37" spans="2:24" ht="14.25" customHeight="1">
      <c r="B37" s="29" t="s">
        <v>43</v>
      </c>
      <c r="C37" s="150">
        <v>96039.576516000001</v>
      </c>
      <c r="D37" s="150">
        <v>92817.7</v>
      </c>
      <c r="E37" s="30">
        <v>90460</v>
      </c>
      <c r="F37" s="30">
        <v>88945</v>
      </c>
      <c r="G37" s="56">
        <v>87527.8</v>
      </c>
      <c r="H37" s="56">
        <v>84901.4</v>
      </c>
      <c r="I37" s="56">
        <v>82944.800000000003</v>
      </c>
      <c r="J37" s="56">
        <v>81336</v>
      </c>
      <c r="K37" s="56">
        <v>79286</v>
      </c>
      <c r="L37" s="56">
        <v>44308</v>
      </c>
      <c r="M37" s="56">
        <v>43779.199999999997</v>
      </c>
      <c r="O37" s="242"/>
      <c r="P37" s="242"/>
      <c r="Q37" s="242"/>
      <c r="R37" s="242"/>
      <c r="S37" s="242"/>
      <c r="T37" s="242"/>
      <c r="U37" s="242"/>
      <c r="V37" s="242"/>
      <c r="W37" s="242"/>
      <c r="X37" s="242"/>
    </row>
    <row r="38" spans="2:24" ht="14.25" customHeight="1">
      <c r="B38" s="29" t="s">
        <v>56</v>
      </c>
      <c r="C38" s="150">
        <v>135494.81651599999</v>
      </c>
      <c r="D38" s="150">
        <v>132432.79999999999</v>
      </c>
      <c r="E38" s="30">
        <v>129535</v>
      </c>
      <c r="F38" s="30">
        <v>126919</v>
      </c>
      <c r="G38" s="56">
        <v>124393.2</v>
      </c>
      <c r="H38" s="56">
        <v>121701.4</v>
      </c>
      <c r="I38" s="56">
        <v>119450.1</v>
      </c>
      <c r="J38" s="56">
        <v>117625</v>
      </c>
      <c r="K38" s="56">
        <v>115224</v>
      </c>
      <c r="L38" s="56">
        <v>62156</v>
      </c>
      <c r="M38" s="56">
        <v>61140</v>
      </c>
      <c r="O38" s="242"/>
      <c r="P38" s="242"/>
      <c r="Q38" s="242"/>
      <c r="R38" s="242"/>
      <c r="S38" s="242"/>
      <c r="T38" s="242"/>
      <c r="U38" s="242"/>
      <c r="V38" s="242"/>
      <c r="W38" s="242"/>
      <c r="X38" s="242"/>
    </row>
    <row r="39" spans="2:24" ht="14.25" customHeight="1">
      <c r="B39" s="29" t="s">
        <v>57</v>
      </c>
      <c r="C39" s="164">
        <v>9.7246083059870439E-2</v>
      </c>
      <c r="D39" s="164">
        <v>9.3241288298602412E-2</v>
      </c>
      <c r="E39" s="57">
        <v>9.0999999999999998E-2</v>
      </c>
      <c r="F39" s="57">
        <v>9.3550697287916859E-2</v>
      </c>
      <c r="G39" s="58">
        <v>0.10395072510304325</v>
      </c>
      <c r="H39" s="58">
        <v>0.91618632962816671</v>
      </c>
      <c r="I39" s="58">
        <v>0.8946184016550337</v>
      </c>
      <c r="J39" s="58">
        <v>0.90100000000000002</v>
      </c>
      <c r="K39" s="58">
        <v>0.88400000000000001</v>
      </c>
      <c r="L39" s="58">
        <v>9.4E-2</v>
      </c>
      <c r="M39" s="58">
        <v>9.6222679199101158E-2</v>
      </c>
      <c r="O39" s="242"/>
      <c r="P39" s="242"/>
      <c r="Q39" s="242"/>
      <c r="R39" s="242"/>
      <c r="S39" s="242"/>
      <c r="T39" s="242"/>
      <c r="U39" s="242"/>
      <c r="V39" s="242"/>
      <c r="W39" s="242"/>
      <c r="X39" s="242"/>
    </row>
    <row r="40" spans="2:24" ht="14.25" customHeight="1">
      <c r="B40" s="29" t="s">
        <v>58</v>
      </c>
      <c r="C40" s="164">
        <v>8.9246319388888426E-2</v>
      </c>
      <c r="D40" s="164">
        <v>8.8178235441355363E-2</v>
      </c>
      <c r="E40" s="57">
        <v>8.4000000000000005E-2</v>
      </c>
      <c r="F40" s="57">
        <v>7.9014132638554668E-2</v>
      </c>
      <c r="G40" s="58">
        <v>7.9577022100603079E-2</v>
      </c>
      <c r="H40" s="58">
        <v>0.95798997575466982</v>
      </c>
      <c r="I40" s="58">
        <v>0.95371404514229607</v>
      </c>
      <c r="J40" s="58">
        <v>0.999</v>
      </c>
      <c r="K40" s="58">
        <v>0.98699999999999999</v>
      </c>
      <c r="L40" s="58">
        <v>9.8000000000000004E-2</v>
      </c>
      <c r="M40" s="58">
        <v>9.3143949061668202E-2</v>
      </c>
      <c r="O40" s="242"/>
      <c r="P40" s="242"/>
      <c r="Q40" s="242"/>
      <c r="R40" s="242"/>
      <c r="S40" s="242"/>
      <c r="T40" s="242"/>
      <c r="U40" s="242"/>
      <c r="V40" s="242"/>
      <c r="W40" s="242"/>
      <c r="X40" s="242"/>
    </row>
    <row r="41" spans="2:24" ht="14.25" customHeight="1">
      <c r="B41" s="29" t="s">
        <v>44</v>
      </c>
      <c r="C41" s="150">
        <v>70644.658796999996</v>
      </c>
      <c r="D41" s="150">
        <v>66109.600000000006</v>
      </c>
      <c r="E41" s="30">
        <v>65985</v>
      </c>
      <c r="F41" s="30">
        <v>65267.8</v>
      </c>
      <c r="G41" s="56">
        <v>66652.5</v>
      </c>
      <c r="H41" s="56">
        <v>62781.8</v>
      </c>
      <c r="I41" s="56">
        <v>63070.3</v>
      </c>
      <c r="J41" s="56">
        <v>62107</v>
      </c>
      <c r="K41" s="56">
        <v>62637</v>
      </c>
      <c r="L41" s="56">
        <v>33675</v>
      </c>
      <c r="M41" s="56">
        <v>33458.199999999997</v>
      </c>
      <c r="O41" s="242"/>
      <c r="P41" s="242"/>
      <c r="Q41" s="242"/>
      <c r="R41" s="242"/>
      <c r="S41" s="242"/>
      <c r="T41" s="242"/>
      <c r="U41" s="242"/>
      <c r="V41" s="242"/>
      <c r="W41" s="242"/>
      <c r="X41" s="242"/>
    </row>
    <row r="42" spans="2:24" ht="14.25" customHeight="1">
      <c r="B42" s="29" t="s">
        <v>59</v>
      </c>
      <c r="C42" s="164">
        <v>0.71225155411603103</v>
      </c>
      <c r="D42" s="164">
        <v>0.71225155411603103</v>
      </c>
      <c r="E42" s="57">
        <v>0.72899999999999998</v>
      </c>
      <c r="F42" s="57">
        <v>0.73379943876779308</v>
      </c>
      <c r="G42" s="58">
        <v>0.76150075776371529</v>
      </c>
      <c r="H42" s="58">
        <v>0.73946669809637056</v>
      </c>
      <c r="I42" s="58">
        <v>0.7603890024325286</v>
      </c>
      <c r="J42" s="58">
        <v>0.76400000000000001</v>
      </c>
      <c r="K42" s="58">
        <v>0.79</v>
      </c>
      <c r="L42" s="58">
        <v>0.76</v>
      </c>
      <c r="M42" s="58">
        <v>0.76424947395061926</v>
      </c>
      <c r="O42" s="242"/>
      <c r="P42" s="242"/>
      <c r="Q42" s="242"/>
      <c r="R42" s="242"/>
      <c r="S42" s="242"/>
      <c r="T42" s="242"/>
      <c r="U42" s="242"/>
      <c r="V42" s="242"/>
      <c r="W42" s="242"/>
      <c r="X42" s="242"/>
    </row>
    <row r="43" spans="2:24" ht="14.25" customHeight="1">
      <c r="B43" s="29" t="s">
        <v>184</v>
      </c>
      <c r="C43" s="164">
        <v>0.52138274078298685</v>
      </c>
      <c r="D43" s="164">
        <v>0.49919331511297699</v>
      </c>
      <c r="E43" s="57">
        <v>0.50939900413015782</v>
      </c>
      <c r="F43" s="57">
        <v>0.51424767662068993</v>
      </c>
      <c r="G43" s="58">
        <v>0.53582127933892176</v>
      </c>
      <c r="H43" s="58">
        <v>0.51586728369070856</v>
      </c>
      <c r="I43" s="58">
        <v>0.52800564965597796</v>
      </c>
      <c r="J43" s="58">
        <v>0.52800850159404888</v>
      </c>
      <c r="K43" s="58">
        <v>0.54361070610289519</v>
      </c>
      <c r="L43" s="58">
        <v>0.5417819679516056</v>
      </c>
      <c r="M43" s="58">
        <v>0.54723956190282186</v>
      </c>
      <c r="O43" s="242"/>
      <c r="P43" s="242"/>
      <c r="Q43" s="242"/>
      <c r="R43" s="242"/>
      <c r="S43" s="242"/>
      <c r="T43" s="242"/>
      <c r="U43" s="242"/>
      <c r="V43" s="242"/>
      <c r="W43" s="242"/>
      <c r="X43" s="242"/>
    </row>
    <row r="44" spans="2:24" ht="14.25" customHeight="1">
      <c r="B44" s="29" t="s">
        <v>45</v>
      </c>
      <c r="C44" s="164">
        <v>5.9894881538547391E-2</v>
      </c>
      <c r="D44" s="164">
        <v>5.3005914423224984E-2</v>
      </c>
      <c r="E44" s="57">
        <v>4.5999999999999999E-2</v>
      </c>
      <c r="F44" s="57">
        <v>5.0893137279211631E-2</v>
      </c>
      <c r="G44" s="58">
        <v>6.4107705445663049E-2</v>
      </c>
      <c r="H44" s="58">
        <v>0.86437146802476661</v>
      </c>
      <c r="I44" s="58">
        <v>0.8850480707270566</v>
      </c>
      <c r="J44" s="58">
        <v>0.879</v>
      </c>
      <c r="K44" s="58">
        <v>0.88600000000000001</v>
      </c>
      <c r="L44" s="58">
        <v>8.4000000000000005E-2</v>
      </c>
      <c r="M44" s="58">
        <v>7.6865143224975771E-2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2:24" ht="14.25" customHeight="1">
      <c r="B45" s="29" t="s">
        <v>46</v>
      </c>
      <c r="C45" s="150">
        <v>116840.040167</v>
      </c>
      <c r="D45" s="150">
        <v>111204.8</v>
      </c>
      <c r="E45" s="30">
        <v>107316</v>
      </c>
      <c r="F45" s="30">
        <v>106981.7</v>
      </c>
      <c r="G45" s="56">
        <v>104756.6</v>
      </c>
      <c r="H45" s="56">
        <v>101749</v>
      </c>
      <c r="I45" s="56">
        <v>100678.7</v>
      </c>
      <c r="J45" s="56">
        <v>100301.4</v>
      </c>
      <c r="K45" s="56">
        <v>79019</v>
      </c>
      <c r="L45" s="56">
        <v>56577.4</v>
      </c>
      <c r="M45" s="56">
        <v>55235.5</v>
      </c>
      <c r="O45" s="242"/>
      <c r="P45" s="242"/>
      <c r="Q45" s="242"/>
      <c r="R45" s="242"/>
      <c r="S45" s="242"/>
      <c r="T45" s="242"/>
      <c r="U45" s="242"/>
      <c r="V45" s="242"/>
      <c r="W45" s="242"/>
      <c r="X45" s="242"/>
    </row>
    <row r="46" spans="2:24" ht="14.25" customHeight="1">
      <c r="B46" s="29" t="s">
        <v>1</v>
      </c>
      <c r="C46" s="150">
        <v>119591.872598</v>
      </c>
      <c r="D46" s="150">
        <v>114088.2</v>
      </c>
      <c r="E46" s="30">
        <v>108321</v>
      </c>
      <c r="F46" s="30">
        <v>106311.6</v>
      </c>
      <c r="G46" s="56">
        <v>107652</v>
      </c>
      <c r="H46" s="56">
        <v>101861.1</v>
      </c>
      <c r="I46" s="56">
        <v>101639.9</v>
      </c>
      <c r="J46" s="56">
        <v>99720</v>
      </c>
      <c r="K46" s="56">
        <v>100883</v>
      </c>
      <c r="L46" s="56">
        <v>57185</v>
      </c>
      <c r="M46" s="56">
        <v>55970.3</v>
      </c>
      <c r="O46" s="242"/>
      <c r="P46" s="242"/>
      <c r="Q46" s="242"/>
      <c r="R46" s="242"/>
      <c r="S46" s="242"/>
      <c r="T46" s="242"/>
      <c r="U46" s="242"/>
      <c r="V46" s="242"/>
      <c r="W46" s="242"/>
      <c r="X46" s="242"/>
    </row>
    <row r="47" spans="2:24" ht="14.25" customHeight="1">
      <c r="B47" s="59" t="s">
        <v>60</v>
      </c>
      <c r="C47" s="150">
        <v>159047.11259800001</v>
      </c>
      <c r="D47" s="150">
        <v>153703.29999999999</v>
      </c>
      <c r="E47" s="30">
        <v>147396</v>
      </c>
      <c r="F47" s="30">
        <v>144285.6</v>
      </c>
      <c r="G47" s="56">
        <v>144517.4</v>
      </c>
      <c r="H47" s="56">
        <v>138661.1</v>
      </c>
      <c r="I47" s="56">
        <v>138145.20000000001</v>
      </c>
      <c r="J47" s="56">
        <v>136009</v>
      </c>
      <c r="K47" s="56">
        <v>136821</v>
      </c>
      <c r="L47" s="56">
        <v>75033</v>
      </c>
      <c r="M47" s="56">
        <v>73331.100000000006</v>
      </c>
      <c r="O47" s="242"/>
      <c r="P47" s="242"/>
      <c r="Q47" s="242"/>
      <c r="R47" s="242"/>
      <c r="S47" s="242"/>
      <c r="T47" s="242"/>
      <c r="U47" s="242"/>
      <c r="V47" s="242"/>
      <c r="W47" s="242"/>
      <c r="X47" s="242"/>
    </row>
    <row r="48" spans="2:24" ht="14.25" customHeight="1">
      <c r="B48" s="54" t="s">
        <v>47</v>
      </c>
      <c r="C48" s="163"/>
      <c r="D48" s="163"/>
      <c r="E48" s="55"/>
      <c r="F48" s="55"/>
      <c r="G48" s="55"/>
      <c r="H48" s="55"/>
      <c r="I48" s="55"/>
      <c r="J48" s="55"/>
      <c r="K48" s="55"/>
      <c r="L48" s="55"/>
      <c r="M48" s="55"/>
    </row>
    <row r="49" spans="2:13">
      <c r="B49" s="60" t="s">
        <v>61</v>
      </c>
      <c r="C49" s="165">
        <v>9.5789346750926868E-5</v>
      </c>
      <c r="D49" s="165">
        <v>2.1135930919004934E-4</v>
      </c>
      <c r="E49" s="61">
        <v>-1E-3</v>
      </c>
      <c r="F49" s="61">
        <v>6.4676460584925388E-4</v>
      </c>
      <c r="G49" s="62">
        <v>2.4003537282928076E-4</v>
      </c>
      <c r="H49" s="62">
        <v>-1.249558258629124E-3</v>
      </c>
      <c r="I49" s="62">
        <v>2.0428415177094279E-3</v>
      </c>
      <c r="J49" s="62">
        <v>1.4673431947348839E-4</v>
      </c>
      <c r="K49" s="62">
        <v>1.0246948521044831E-3</v>
      </c>
      <c r="L49" s="62">
        <v>8.0788129447513751E-4</v>
      </c>
      <c r="M49" s="62">
        <v>1.6130863455898032E-3</v>
      </c>
    </row>
    <row r="50" spans="2:13">
      <c r="B50" s="63" t="s">
        <v>62</v>
      </c>
      <c r="C50" s="165">
        <v>3.2658333405681636E-3</v>
      </c>
      <c r="D50" s="165">
        <v>2.4943290983319944E-3</v>
      </c>
      <c r="E50" s="61">
        <v>3.0000000000000001E-3</v>
      </c>
      <c r="F50" s="61">
        <v>3.193265093590142E-3</v>
      </c>
      <c r="G50" s="62">
        <v>2.9952836477535592E-3</v>
      </c>
      <c r="H50" s="62">
        <v>2.6147970768236497E-3</v>
      </c>
      <c r="I50" s="62">
        <v>3.4549923414010455E-3</v>
      </c>
      <c r="J50" s="62">
        <v>4.1310120979640014E-3</v>
      </c>
      <c r="K50" s="62">
        <v>2.3538293624676436E-3</v>
      </c>
      <c r="L50" s="62">
        <v>5.8680148054527396E-3</v>
      </c>
      <c r="M50" s="62">
        <v>5.3450089037797889E-3</v>
      </c>
    </row>
    <row r="51" spans="2:13">
      <c r="B51" s="63" t="s">
        <v>63</v>
      </c>
      <c r="C51" s="164">
        <v>2.2705061174824307E-3</v>
      </c>
      <c r="D51" s="164">
        <v>2.7220441780335513E-3</v>
      </c>
      <c r="E51" s="57">
        <v>3.0000000000000001E-3</v>
      </c>
      <c r="F51" s="57">
        <v>2.8134463870679999E-3</v>
      </c>
      <c r="G51" s="58">
        <v>2.9986383123885461E-3</v>
      </c>
      <c r="H51" s="58">
        <v>2.9917047635730047E-3</v>
      </c>
      <c r="I51" s="58">
        <v>3.0677310510088267E-3</v>
      </c>
      <c r="J51" s="58">
        <v>2.7417133864463461E-3</v>
      </c>
      <c r="K51" s="58">
        <v>2.7203069137612976E-3</v>
      </c>
      <c r="L51" s="58">
        <v>4.9426740092082698E-3</v>
      </c>
      <c r="M51" s="58">
        <v>5.8703730268008791E-3</v>
      </c>
    </row>
    <row r="52" spans="2:13" ht="25.5">
      <c r="B52" s="63" t="s">
        <v>64</v>
      </c>
      <c r="C52" s="164">
        <v>4.0297598660852477E-3</v>
      </c>
      <c r="D52" s="164">
        <v>3.8094440168998521E-3</v>
      </c>
      <c r="E52" s="57">
        <v>4.0000000000000001E-3</v>
      </c>
      <c r="F52" s="57">
        <v>4.305206108847711E-3</v>
      </c>
      <c r="G52" s="58">
        <v>4.3304276173872251E-3</v>
      </c>
      <c r="H52" s="58">
        <v>3.8279686935481362E-3</v>
      </c>
      <c r="I52" s="58">
        <v>4.7655483286221543E-3</v>
      </c>
      <c r="J52" s="58">
        <v>5.1883544801809775E-3</v>
      </c>
      <c r="K52" s="58">
        <v>3.4511439460541225E-3</v>
      </c>
      <c r="L52" s="58">
        <v>7.402726369955764E-3</v>
      </c>
      <c r="M52" s="58">
        <v>7.8347780085319136E-3</v>
      </c>
    </row>
    <row r="53" spans="2:13" ht="14.25" customHeight="1">
      <c r="B53" s="64" t="s">
        <v>48</v>
      </c>
      <c r="C53" s="166"/>
      <c r="D53" s="166"/>
      <c r="E53" s="65"/>
      <c r="F53" s="65"/>
      <c r="G53" s="65"/>
      <c r="H53" s="65"/>
      <c r="I53" s="65"/>
      <c r="J53" s="65"/>
      <c r="K53" s="65"/>
      <c r="L53" s="65"/>
      <c r="M53" s="65"/>
    </row>
    <row r="54" spans="2:13" ht="14.25" customHeight="1">
      <c r="B54" s="51" t="s">
        <v>49</v>
      </c>
      <c r="C54" s="165">
        <v>0.16073137456060582</v>
      </c>
      <c r="D54" s="165">
        <v>0.16200000000000001</v>
      </c>
      <c r="E54" s="61">
        <v>0.16800000000000001</v>
      </c>
      <c r="F54" s="61">
        <v>0.16904691016046353</v>
      </c>
      <c r="G54" s="62">
        <v>0.16728993952436366</v>
      </c>
      <c r="H54" s="62">
        <v>0.1671850404112834</v>
      </c>
      <c r="I54" s="62">
        <v>0.16912237515982342</v>
      </c>
      <c r="J54" s="62">
        <v>0.17499999999999999</v>
      </c>
      <c r="K54" s="62">
        <v>0.16</v>
      </c>
      <c r="L54" s="62">
        <v>0.16900000000000001</v>
      </c>
      <c r="M54" s="62">
        <v>0.17164537610378716</v>
      </c>
    </row>
    <row r="55" spans="2:13" ht="14.25" customHeight="1">
      <c r="B55" s="51" t="s">
        <v>50</v>
      </c>
      <c r="C55" s="165">
        <v>0.16920918599169132</v>
      </c>
      <c r="D55" s="165">
        <v>0.17</v>
      </c>
      <c r="E55" s="61">
        <v>0.17699999999999999</v>
      </c>
      <c r="F55" s="61">
        <v>0.17823123747045869</v>
      </c>
      <c r="G55" s="62">
        <v>0.17645196408748351</v>
      </c>
      <c r="H55" s="62">
        <v>0.17577394801537041</v>
      </c>
      <c r="I55" s="62">
        <v>0.17905896998433671</v>
      </c>
      <c r="J55" s="62">
        <v>0.183</v>
      </c>
      <c r="K55" s="62">
        <v>0.16700000000000001</v>
      </c>
      <c r="L55" s="62">
        <v>0.17299999999999999</v>
      </c>
      <c r="M55" s="62">
        <v>0.17509574781498574</v>
      </c>
    </row>
    <row r="56" spans="2:13" ht="14.25" customHeight="1">
      <c r="B56" s="51" t="s">
        <v>51</v>
      </c>
      <c r="C56" s="165">
        <v>0.19320302052973701</v>
      </c>
      <c r="D56" s="165">
        <v>0.19400000000000001</v>
      </c>
      <c r="E56" s="61">
        <v>0.20499999999999999</v>
      </c>
      <c r="F56" s="61">
        <v>0.19922772977857001</v>
      </c>
      <c r="G56" s="62">
        <v>0.19899450243251088</v>
      </c>
      <c r="H56" s="62">
        <v>0.192948041099678</v>
      </c>
      <c r="I56" s="62">
        <v>0.20325903515439406</v>
      </c>
      <c r="J56" s="62">
        <v>0.20200000000000001</v>
      </c>
      <c r="K56" s="62">
        <v>0.186</v>
      </c>
      <c r="L56" s="62">
        <v>0.188</v>
      </c>
      <c r="M56" s="62">
        <v>0.19051625523195787</v>
      </c>
    </row>
    <row r="57" spans="2:13" ht="14.25" customHeight="1">
      <c r="B57" s="66" t="s">
        <v>52</v>
      </c>
      <c r="C57" s="157">
        <v>14288.335436423935</v>
      </c>
      <c r="D57" s="157">
        <v>14028</v>
      </c>
      <c r="E57" s="41">
        <v>14138</v>
      </c>
      <c r="F57" s="41">
        <v>13423.270844741101</v>
      </c>
      <c r="G57" s="67">
        <v>13440.194272883036</v>
      </c>
      <c r="H57" s="67">
        <v>12648.510290755101</v>
      </c>
      <c r="I57" s="67">
        <v>12655.881342749999</v>
      </c>
      <c r="J57" s="67">
        <v>9608</v>
      </c>
      <c r="K57" s="67">
        <v>9305</v>
      </c>
      <c r="L57" s="67">
        <v>7229</v>
      </c>
      <c r="M57" s="67">
        <v>7178.0999999999995</v>
      </c>
    </row>
    <row r="58" spans="2:13" s="68" customFormat="1" ht="14.25" customHeight="1">
      <c r="B58" s="69"/>
      <c r="C58" s="70"/>
      <c r="D58" s="70"/>
      <c r="E58" s="70"/>
      <c r="F58" s="70"/>
      <c r="G58" s="70"/>
      <c r="H58" s="70"/>
      <c r="I58" s="70"/>
      <c r="J58" s="70"/>
    </row>
    <row r="59" spans="2:13" s="68" customFormat="1" ht="14.25" customHeight="1">
      <c r="B59" s="251" t="s">
        <v>181</v>
      </c>
      <c r="C59" s="71"/>
      <c r="D59" s="71"/>
      <c r="E59" s="71"/>
      <c r="F59" s="71"/>
      <c r="G59" s="71"/>
      <c r="H59" s="71"/>
      <c r="I59" s="71"/>
      <c r="J59" s="71"/>
    </row>
    <row r="60" spans="2:13" s="68" customFormat="1" ht="14.25" customHeight="1">
      <c r="B60" s="251" t="s">
        <v>182</v>
      </c>
      <c r="C60" s="71"/>
      <c r="D60" s="71"/>
      <c r="E60" s="71"/>
      <c r="F60" s="71"/>
      <c r="G60" s="71"/>
      <c r="H60" s="71"/>
      <c r="I60" s="71"/>
      <c r="J60" s="71"/>
    </row>
    <row r="61" spans="2:13" s="68" customFormat="1" ht="14.25" customHeight="1">
      <c r="B61" s="251" t="s">
        <v>183</v>
      </c>
      <c r="C61" s="70"/>
      <c r="D61" s="70"/>
      <c r="E61" s="70"/>
      <c r="F61" s="70"/>
      <c r="G61" s="70"/>
      <c r="H61" s="70"/>
      <c r="I61" s="70"/>
      <c r="J61" s="70"/>
    </row>
  </sheetData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P132"/>
  <sheetViews>
    <sheetView showGridLines="0" zoomScale="85" zoomScaleNormal="85" workbookViewId="0">
      <selection activeCell="A159" sqref="A159"/>
    </sheetView>
  </sheetViews>
  <sheetFormatPr baseColWidth="10" defaultColWidth="11.42578125" defaultRowHeight="14.25"/>
  <cols>
    <col min="1" max="2" width="4.28515625" style="19" customWidth="1"/>
    <col min="3" max="3" width="67.85546875" style="19" bestFit="1" customWidth="1"/>
    <col min="4" max="8" width="14.28515625" style="19" customWidth="1"/>
    <col min="9" max="10" width="11.42578125" style="19"/>
    <col min="11" max="11" width="70.42578125" style="19" bestFit="1" customWidth="1"/>
    <col min="12" max="16384" width="11.42578125" style="19"/>
  </cols>
  <sheetData>
    <row r="1" spans="1:16" ht="18.75" customHeight="1">
      <c r="K1" s="192"/>
      <c r="L1" s="192"/>
      <c r="M1" s="192"/>
      <c r="N1" s="192"/>
      <c r="O1" s="192"/>
      <c r="P1" s="192"/>
    </row>
    <row r="2" spans="1:16" ht="18.75" customHeight="1">
      <c r="A2" s="20" t="s">
        <v>165</v>
      </c>
      <c r="B2" s="21"/>
      <c r="C2" s="21"/>
      <c r="D2" s="22"/>
      <c r="E2" s="22"/>
      <c r="F2" s="22"/>
      <c r="G2" s="22"/>
      <c r="K2" s="192"/>
      <c r="L2" s="192"/>
      <c r="M2" s="192"/>
      <c r="N2" s="192"/>
      <c r="O2" s="192"/>
    </row>
    <row r="3" spans="1:16" ht="14.25" customHeight="1">
      <c r="A3" s="20"/>
      <c r="B3" s="21"/>
      <c r="C3" s="21"/>
      <c r="D3" s="241"/>
      <c r="E3" s="241"/>
      <c r="F3" s="241"/>
      <c r="G3" s="241"/>
      <c r="H3" s="241"/>
    </row>
    <row r="4" spans="1:16" ht="14.25" customHeight="1">
      <c r="A4" s="20"/>
      <c r="B4" s="104"/>
      <c r="C4" s="109" t="s">
        <v>102</v>
      </c>
      <c r="D4" s="237" t="s">
        <v>292</v>
      </c>
      <c r="E4" s="238" t="s">
        <v>95</v>
      </c>
      <c r="F4" s="238" t="s">
        <v>94</v>
      </c>
      <c r="G4" s="238" t="s">
        <v>93</v>
      </c>
      <c r="H4" s="238" t="s">
        <v>99</v>
      </c>
    </row>
    <row r="5" spans="1:16" ht="14.25" customHeight="1">
      <c r="A5" s="20"/>
      <c r="B5" s="105"/>
      <c r="C5" s="105" t="s">
        <v>22</v>
      </c>
      <c r="D5" s="167">
        <v>511.1</v>
      </c>
      <c r="E5" s="106">
        <v>495</v>
      </c>
      <c r="F5" s="106">
        <v>501.2</v>
      </c>
      <c r="G5" s="106">
        <v>498</v>
      </c>
      <c r="H5" s="106">
        <v>482.5</v>
      </c>
    </row>
    <row r="6" spans="1:16" ht="14.25" customHeight="1">
      <c r="B6" s="105"/>
      <c r="C6" s="110" t="s">
        <v>96</v>
      </c>
      <c r="D6" s="168">
        <v>87.5</v>
      </c>
      <c r="E6" s="184">
        <v>106.7</v>
      </c>
      <c r="F6" s="113">
        <v>109.3</v>
      </c>
      <c r="G6" s="113">
        <v>100.5</v>
      </c>
      <c r="H6" s="113">
        <v>90.8</v>
      </c>
    </row>
    <row r="7" spans="1:16" ht="14.25" customHeight="1">
      <c r="B7" s="105"/>
      <c r="C7" s="111" t="s">
        <v>97</v>
      </c>
      <c r="D7" s="169">
        <f>+D5+D6</f>
        <v>598.6</v>
      </c>
      <c r="E7" s="185">
        <f>+E5+E6</f>
        <v>601.70000000000005</v>
      </c>
      <c r="F7" s="112">
        <f>+F5+F6</f>
        <v>610.5</v>
      </c>
      <c r="G7" s="112">
        <f>+G5+G6</f>
        <v>598.5</v>
      </c>
      <c r="H7" s="112">
        <f>+H5+H6</f>
        <v>573.29999999999995</v>
      </c>
    </row>
    <row r="8" spans="1:16" ht="15">
      <c r="B8" s="107"/>
      <c r="C8" s="107" t="s">
        <v>98</v>
      </c>
      <c r="D8" s="170">
        <v>1.7797109087120667E-2</v>
      </c>
      <c r="E8" s="186">
        <v>1.8100000000000002E-2</v>
      </c>
      <c r="F8" s="108">
        <v>1.8596715041282436E-2</v>
      </c>
      <c r="G8" s="108">
        <v>1.8599999999999998E-2</v>
      </c>
      <c r="H8" s="108">
        <v>1.84E-2</v>
      </c>
    </row>
    <row r="9" spans="1:16" ht="15">
      <c r="B9" s="107"/>
      <c r="C9" s="187"/>
      <c r="D9" s="188">
        <f>H8</f>
        <v>1.84E-2</v>
      </c>
      <c r="E9" s="188">
        <f>G8</f>
        <v>1.8599999999999998E-2</v>
      </c>
      <c r="F9" s="188">
        <f>F8</f>
        <v>1.8596715041282436E-2</v>
      </c>
      <c r="G9" s="188">
        <f>E8</f>
        <v>1.8100000000000002E-2</v>
      </c>
      <c r="H9" s="188">
        <f>D8</f>
        <v>1.7797109087120667E-2</v>
      </c>
    </row>
    <row r="10" spans="1:16" ht="14.25" customHeight="1">
      <c r="B10" s="100"/>
      <c r="C10" s="101"/>
      <c r="D10" s="70"/>
      <c r="E10" s="70"/>
      <c r="F10" s="70"/>
      <c r="G10" s="70"/>
    </row>
    <row r="11" spans="1:16" ht="14.25" customHeight="1">
      <c r="B11" s="102"/>
      <c r="C11" s="95"/>
      <c r="D11" s="71"/>
      <c r="E11" s="71"/>
      <c r="F11" s="71"/>
      <c r="G11" s="71"/>
      <c r="H11" s="71"/>
    </row>
    <row r="12" spans="1:16" ht="14.25" customHeight="1">
      <c r="B12" s="102"/>
      <c r="C12" s="95"/>
      <c r="D12" s="71"/>
      <c r="E12" s="71"/>
      <c r="F12" s="71"/>
      <c r="G12" s="71"/>
      <c r="H12" s="71"/>
    </row>
    <row r="13" spans="1:16" ht="14.25" customHeight="1">
      <c r="B13" s="102"/>
      <c r="C13" s="95"/>
      <c r="D13" s="71"/>
      <c r="E13" s="71"/>
      <c r="F13" s="71"/>
      <c r="G13" s="71"/>
      <c r="H13" s="71"/>
    </row>
    <row r="14" spans="1:16" ht="14.25" customHeight="1">
      <c r="B14" s="102"/>
      <c r="C14" s="95"/>
      <c r="D14" s="71"/>
      <c r="E14" s="71"/>
      <c r="F14" s="71"/>
      <c r="G14" s="71"/>
      <c r="H14" s="71"/>
    </row>
    <row r="15" spans="1:16" ht="14.25" customHeight="1">
      <c r="B15" s="102"/>
      <c r="C15" s="95"/>
      <c r="D15" s="71"/>
      <c r="E15" s="71"/>
      <c r="F15" s="71"/>
      <c r="G15" s="71"/>
      <c r="H15" s="71"/>
    </row>
    <row r="16" spans="1:16" ht="14.25" customHeight="1">
      <c r="B16" s="102"/>
      <c r="C16" s="95"/>
      <c r="D16" s="71"/>
      <c r="E16" s="71"/>
      <c r="F16" s="71"/>
      <c r="G16" s="71"/>
      <c r="H16" s="71"/>
    </row>
    <row r="17" spans="2:8" ht="14.25" customHeight="1">
      <c r="B17" s="102"/>
      <c r="C17" s="95"/>
      <c r="D17" s="71"/>
      <c r="E17" s="71"/>
      <c r="F17" s="71"/>
      <c r="G17" s="71"/>
      <c r="H17" s="71"/>
    </row>
    <row r="18" spans="2:8" ht="14.25" customHeight="1">
      <c r="B18" s="102"/>
      <c r="C18" s="95"/>
      <c r="D18" s="71"/>
      <c r="E18" s="71"/>
      <c r="F18" s="71"/>
      <c r="G18" s="71"/>
      <c r="H18" s="71"/>
    </row>
    <row r="19" spans="2:8" ht="14.25" customHeight="1">
      <c r="B19" s="102"/>
      <c r="C19" s="95"/>
      <c r="D19" s="71"/>
      <c r="E19" s="71"/>
      <c r="F19" s="71"/>
      <c r="G19" s="71"/>
      <c r="H19" s="71"/>
    </row>
    <row r="20" spans="2:8" ht="14.25" customHeight="1">
      <c r="B20" s="102"/>
      <c r="C20" s="95"/>
      <c r="D20" s="71"/>
      <c r="E20" s="71"/>
      <c r="F20" s="71"/>
      <c r="G20" s="71"/>
      <c r="H20" s="71"/>
    </row>
    <row r="21" spans="2:8" ht="14.25" customHeight="1">
      <c r="B21" s="102"/>
      <c r="C21" s="95"/>
      <c r="D21" s="71"/>
      <c r="E21" s="71"/>
      <c r="F21" s="71"/>
      <c r="G21" s="71"/>
      <c r="H21" s="71"/>
    </row>
    <row r="22" spans="2:8" ht="14.25" customHeight="1">
      <c r="B22" s="102"/>
      <c r="C22" s="95"/>
      <c r="D22" s="71"/>
      <c r="E22" s="71"/>
      <c r="F22" s="71"/>
      <c r="G22" s="71"/>
      <c r="H22" s="71"/>
    </row>
    <row r="23" spans="2:8" ht="14.25" customHeight="1">
      <c r="B23" s="102"/>
      <c r="C23" s="103"/>
      <c r="D23" s="71"/>
      <c r="E23" s="71"/>
      <c r="F23" s="71"/>
      <c r="G23" s="71"/>
      <c r="H23" s="71"/>
    </row>
    <row r="24" spans="2:8" ht="14.25" customHeight="1">
      <c r="B24" s="102"/>
      <c r="C24" s="103"/>
      <c r="D24" s="71"/>
      <c r="E24" s="71"/>
      <c r="F24" s="71"/>
      <c r="G24" s="71"/>
      <c r="H24" s="71"/>
    </row>
    <row r="25" spans="2:8" ht="14.25" customHeight="1">
      <c r="B25" s="102"/>
      <c r="C25" s="103"/>
      <c r="D25" s="71"/>
      <c r="E25" s="71"/>
      <c r="F25" s="71"/>
      <c r="G25" s="71"/>
      <c r="H25" s="71"/>
    </row>
    <row r="26" spans="2:8" ht="14.25" customHeight="1">
      <c r="B26" s="102"/>
      <c r="C26" s="103"/>
      <c r="D26" s="71"/>
      <c r="E26" s="71"/>
      <c r="F26" s="71"/>
      <c r="G26" s="71"/>
      <c r="H26" s="71"/>
    </row>
    <row r="27" spans="2:8" ht="14.25" customHeight="1">
      <c r="B27" s="102"/>
      <c r="C27" s="95"/>
      <c r="D27" s="71"/>
      <c r="E27" s="71"/>
      <c r="F27" s="71"/>
      <c r="G27" s="71"/>
      <c r="H27" s="71"/>
    </row>
    <row r="28" spans="2:8" ht="14.25" customHeight="1">
      <c r="B28" s="100"/>
      <c r="C28" s="101"/>
      <c r="D28" s="70"/>
      <c r="E28" s="70"/>
      <c r="F28" s="70"/>
      <c r="G28" s="70"/>
      <c r="H28" s="70"/>
    </row>
    <row r="43" spans="1:8" ht="15">
      <c r="A43" s="20" t="s">
        <v>166</v>
      </c>
    </row>
    <row r="44" spans="1:8">
      <c r="D44" s="192"/>
      <c r="E44" s="192"/>
      <c r="F44" s="192"/>
      <c r="G44" s="192"/>
      <c r="H44" s="192"/>
    </row>
    <row r="45" spans="1:8">
      <c r="C45" s="109" t="s">
        <v>103</v>
      </c>
      <c r="D45" s="171" t="s">
        <v>292</v>
      </c>
      <c r="E45" s="172" t="s">
        <v>95</v>
      </c>
      <c r="F45" s="172" t="s">
        <v>94</v>
      </c>
      <c r="G45" s="172" t="s">
        <v>93</v>
      </c>
      <c r="H45" s="172" t="s">
        <v>113</v>
      </c>
    </row>
    <row r="46" spans="1:8">
      <c r="C46" s="145" t="s">
        <v>96</v>
      </c>
      <c r="D46" s="173">
        <v>87.5</v>
      </c>
      <c r="E46" s="146">
        <v>106.7</v>
      </c>
      <c r="F46" s="146">
        <v>108.8</v>
      </c>
      <c r="G46" s="146">
        <v>100.5</v>
      </c>
      <c r="H46" s="146">
        <v>90.8</v>
      </c>
    </row>
    <row r="47" spans="1:8">
      <c r="C47" s="145" t="s">
        <v>114</v>
      </c>
      <c r="D47" s="173">
        <v>17.568441960000001</v>
      </c>
      <c r="E47" s="146">
        <v>16.100000000000001</v>
      </c>
      <c r="F47" s="146">
        <v>14.8</v>
      </c>
      <c r="G47" s="146">
        <v>16</v>
      </c>
      <c r="H47" s="146">
        <v>15.5</v>
      </c>
    </row>
    <row r="48" spans="1:8">
      <c r="C48" s="145" t="s">
        <v>115</v>
      </c>
      <c r="D48" s="173">
        <v>29.2493792</v>
      </c>
      <c r="E48" s="146">
        <v>33.6</v>
      </c>
      <c r="F48" s="146">
        <v>37.6</v>
      </c>
      <c r="G48" s="146">
        <v>41</v>
      </c>
      <c r="H48" s="146">
        <v>36.4</v>
      </c>
    </row>
    <row r="49" spans="3:8">
      <c r="C49" s="145" t="s">
        <v>116</v>
      </c>
      <c r="D49" s="173">
        <v>46.310327749999999</v>
      </c>
      <c r="E49" s="146">
        <v>53.7</v>
      </c>
      <c r="F49" s="146">
        <v>52.5</v>
      </c>
      <c r="G49" s="146">
        <v>49.5</v>
      </c>
      <c r="H49" s="146">
        <v>47.1</v>
      </c>
    </row>
    <row r="50" spans="3:8">
      <c r="C50" s="145" t="s">
        <v>117</v>
      </c>
      <c r="D50" s="173">
        <v>95.710966999999997</v>
      </c>
      <c r="E50" s="146">
        <v>66.599999999999994</v>
      </c>
      <c r="F50" s="146">
        <v>68.7</v>
      </c>
      <c r="G50" s="146">
        <v>72.900000000000006</v>
      </c>
      <c r="H50" s="146">
        <v>83.3</v>
      </c>
    </row>
    <row r="51" spans="3:8">
      <c r="C51" s="145" t="s">
        <v>118</v>
      </c>
      <c r="D51" s="173">
        <v>45.438003000000002</v>
      </c>
      <c r="E51" s="146">
        <v>37.299999999999997</v>
      </c>
      <c r="F51" s="146">
        <v>32.700000000000003</v>
      </c>
      <c r="G51" s="146">
        <v>28.6</v>
      </c>
      <c r="H51" s="146">
        <v>41.1</v>
      </c>
    </row>
    <row r="52" spans="3:8">
      <c r="C52" s="147" t="s">
        <v>119</v>
      </c>
      <c r="D52" s="174">
        <v>11.995184930000157</v>
      </c>
      <c r="E52" s="180">
        <v>9.4</v>
      </c>
      <c r="F52" s="148">
        <v>0</v>
      </c>
      <c r="G52" s="148">
        <v>16.899999999999999</v>
      </c>
      <c r="H52" s="148">
        <v>10.4</v>
      </c>
    </row>
    <row r="53" spans="3:8">
      <c r="C53" s="143" t="s">
        <v>120</v>
      </c>
      <c r="D53" s="175">
        <f>SUM(D46:D52)</f>
        <v>333.77230384000012</v>
      </c>
      <c r="E53" s="183">
        <v>323.39999999999998</v>
      </c>
      <c r="F53" s="149">
        <v>315.2</v>
      </c>
      <c r="G53" s="149">
        <v>325.3</v>
      </c>
      <c r="H53" s="149">
        <v>324.5</v>
      </c>
    </row>
    <row r="54" spans="3:8">
      <c r="C54" s="239" t="s">
        <v>185</v>
      </c>
    </row>
    <row r="86" spans="1:16">
      <c r="A86" s="189"/>
      <c r="K86" s="192"/>
      <c r="L86" s="192"/>
      <c r="M86" s="192"/>
      <c r="N86" s="192"/>
      <c r="O86" s="192"/>
      <c r="P86" s="192"/>
    </row>
    <row r="87" spans="1:16">
      <c r="K87" s="192"/>
      <c r="L87" s="192"/>
      <c r="M87" s="192"/>
      <c r="N87" s="192"/>
      <c r="O87" s="192"/>
      <c r="P87" s="192"/>
    </row>
    <row r="88" spans="1:16">
      <c r="K88" s="192"/>
      <c r="L88" s="192"/>
      <c r="M88" s="192"/>
      <c r="N88" s="192"/>
      <c r="O88" s="192"/>
      <c r="P88" s="192"/>
    </row>
    <row r="89" spans="1:16">
      <c r="K89" s="192"/>
      <c r="L89" s="192"/>
      <c r="M89" s="192"/>
      <c r="N89" s="192"/>
      <c r="O89" s="192"/>
      <c r="P89" s="192"/>
    </row>
    <row r="90" spans="1:16" ht="15">
      <c r="A90" s="20" t="s">
        <v>167</v>
      </c>
      <c r="K90" s="192"/>
      <c r="L90" s="192"/>
      <c r="M90" s="192"/>
      <c r="N90" s="192"/>
      <c r="O90" s="192"/>
      <c r="P90" s="192"/>
    </row>
    <row r="91" spans="1:16">
      <c r="K91" s="192"/>
      <c r="L91" s="192"/>
      <c r="M91" s="192"/>
      <c r="N91" s="192"/>
      <c r="O91" s="192"/>
      <c r="P91" s="192"/>
    </row>
    <row r="92" spans="1:16">
      <c r="K92" s="192"/>
      <c r="L92" s="192"/>
      <c r="M92" s="192"/>
      <c r="N92" s="192"/>
      <c r="O92" s="192"/>
      <c r="P92" s="192"/>
    </row>
    <row r="93" spans="1:16">
      <c r="C93" s="109" t="s">
        <v>125</v>
      </c>
      <c r="D93" s="171" t="str">
        <f>D45</f>
        <v>Q2-18</v>
      </c>
      <c r="E93" s="181" t="s">
        <v>95</v>
      </c>
      <c r="F93" s="181" t="s">
        <v>94</v>
      </c>
      <c r="G93" s="181" t="s">
        <v>93</v>
      </c>
      <c r="H93" s="181" t="s">
        <v>99</v>
      </c>
      <c r="K93" s="192"/>
      <c r="L93" s="192"/>
      <c r="M93" s="192"/>
      <c r="N93" s="192"/>
      <c r="O93" s="192"/>
      <c r="P93" s="192"/>
    </row>
    <row r="94" spans="1:16">
      <c r="C94" s="145" t="s">
        <v>27</v>
      </c>
      <c r="D94" s="173">
        <v>0.5</v>
      </c>
      <c r="E94" s="182">
        <v>12.1</v>
      </c>
      <c r="F94" s="182">
        <v>0.2</v>
      </c>
      <c r="G94" s="182">
        <v>0.2</v>
      </c>
      <c r="H94" s="182">
        <v>1.8</v>
      </c>
      <c r="K94" s="192"/>
    </row>
    <row r="95" spans="1:16">
      <c r="C95" s="145" t="s">
        <v>28</v>
      </c>
      <c r="D95" s="173">
        <v>53.8</v>
      </c>
      <c r="E95" s="182">
        <v>29.7</v>
      </c>
      <c r="F95" s="182">
        <v>76.599999999999994</v>
      </c>
      <c r="G95" s="182">
        <v>81.5</v>
      </c>
      <c r="H95" s="182">
        <v>30.3</v>
      </c>
      <c r="K95" s="192"/>
    </row>
    <row r="96" spans="1:16">
      <c r="C96" s="147" t="s">
        <v>29</v>
      </c>
      <c r="D96" s="174">
        <v>94.6</v>
      </c>
      <c r="E96" s="180">
        <v>3.6</v>
      </c>
      <c r="F96" s="180">
        <v>66.599999999999994</v>
      </c>
      <c r="G96" s="180">
        <v>18.399999999999999</v>
      </c>
      <c r="H96" s="180">
        <v>1.6</v>
      </c>
      <c r="K96" s="192"/>
    </row>
    <row r="97" spans="1:16">
      <c r="C97" s="143" t="s">
        <v>26</v>
      </c>
      <c r="D97" s="175">
        <f>SUM(D94:D96)</f>
        <v>148.89999999999998</v>
      </c>
      <c r="E97" s="183">
        <f>SUM(E94:E96)</f>
        <v>45.4</v>
      </c>
      <c r="F97" s="183">
        <f t="shared" ref="F97:H97" si="0">SUM(F94:F96)</f>
        <v>143.39999999999998</v>
      </c>
      <c r="G97" s="183">
        <f t="shared" si="0"/>
        <v>100.1</v>
      </c>
      <c r="H97" s="183">
        <f t="shared" si="0"/>
        <v>33.700000000000003</v>
      </c>
    </row>
    <row r="98" spans="1:16">
      <c r="D98" s="192"/>
      <c r="E98" s="192"/>
      <c r="F98" s="192"/>
      <c r="G98" s="192"/>
      <c r="H98" s="192"/>
    </row>
    <row r="99" spans="1:16">
      <c r="E99" s="192"/>
      <c r="G99" s="192"/>
    </row>
    <row r="103" spans="1:16" ht="15">
      <c r="A103" s="20" t="s">
        <v>168</v>
      </c>
    </row>
    <row r="104" spans="1:16">
      <c r="A104" s="240"/>
    </row>
    <row r="106" spans="1:16">
      <c r="C106" s="109" t="s">
        <v>126</v>
      </c>
      <c r="D106" s="171" t="str">
        <f>D93</f>
        <v>Q2-18</v>
      </c>
      <c r="E106" s="181" t="str">
        <f t="shared" ref="E106:H106" si="1">E93</f>
        <v>Q1-18</v>
      </c>
      <c r="F106" s="181" t="str">
        <f t="shared" si="1"/>
        <v>Q4-17</v>
      </c>
      <c r="G106" s="181" t="str">
        <f t="shared" si="1"/>
        <v>Q3-17</v>
      </c>
      <c r="H106" s="181" t="str">
        <f t="shared" si="1"/>
        <v>Q2-17</v>
      </c>
    </row>
    <row r="107" spans="1:16">
      <c r="C107" s="145" t="s">
        <v>127</v>
      </c>
      <c r="D107" s="173">
        <v>489.2</v>
      </c>
      <c r="E107" s="182">
        <v>441.4</v>
      </c>
      <c r="F107" s="182">
        <v>276.10000000000002</v>
      </c>
      <c r="G107" s="182">
        <v>262.8</v>
      </c>
      <c r="H107" s="182">
        <v>372.5</v>
      </c>
      <c r="I107" s="192"/>
      <c r="J107" s="192"/>
      <c r="K107" s="192"/>
      <c r="L107" s="192"/>
      <c r="M107" s="192"/>
      <c r="N107" s="192"/>
      <c r="O107" s="192"/>
      <c r="P107" s="192"/>
    </row>
    <row r="108" spans="1:16">
      <c r="C108" s="145" t="s">
        <v>128</v>
      </c>
      <c r="D108" s="173">
        <v>-182.1</v>
      </c>
      <c r="E108" s="182">
        <v>-185.4</v>
      </c>
      <c r="F108" s="182">
        <v>-22.4</v>
      </c>
      <c r="G108" s="182">
        <v>0</v>
      </c>
      <c r="H108" s="182">
        <v>-159.6</v>
      </c>
      <c r="I108" s="192"/>
      <c r="J108" s="192"/>
      <c r="K108" s="192"/>
      <c r="L108" s="192"/>
      <c r="M108" s="192"/>
      <c r="N108" s="192"/>
      <c r="O108" s="192"/>
      <c r="P108" s="192"/>
    </row>
    <row r="109" spans="1:16" ht="15">
      <c r="C109" s="252"/>
      <c r="D109" s="173">
        <v>0</v>
      </c>
      <c r="E109" s="190"/>
      <c r="F109" s="190"/>
      <c r="G109" s="190"/>
      <c r="H109" s="193"/>
      <c r="I109" s="192"/>
      <c r="J109" s="192"/>
      <c r="K109" s="192"/>
      <c r="L109" s="192"/>
      <c r="M109" s="192"/>
      <c r="N109" s="192"/>
      <c r="O109" s="192"/>
      <c r="P109" s="192"/>
    </row>
    <row r="110" spans="1:16" ht="15">
      <c r="C110" s="253" t="s">
        <v>129</v>
      </c>
      <c r="D110" s="173">
        <v>0</v>
      </c>
      <c r="E110" s="190"/>
      <c r="F110" s="190"/>
      <c r="G110" s="190"/>
      <c r="H110" s="193"/>
      <c r="I110" s="192"/>
      <c r="J110" s="192"/>
      <c r="K110" s="192"/>
      <c r="L110" s="192"/>
      <c r="M110" s="192"/>
      <c r="N110" s="192"/>
      <c r="O110" s="192"/>
      <c r="P110" s="192"/>
    </row>
    <row r="111" spans="1:16">
      <c r="C111" s="252" t="s">
        <v>12</v>
      </c>
      <c r="D111" s="173">
        <v>51.6</v>
      </c>
      <c r="E111" s="193">
        <v>22.9</v>
      </c>
      <c r="F111" s="193">
        <v>85.4</v>
      </c>
      <c r="G111" s="193">
        <v>51</v>
      </c>
      <c r="H111" s="193">
        <v>43.3</v>
      </c>
      <c r="I111" s="192"/>
      <c r="J111" s="192"/>
      <c r="K111" s="192"/>
      <c r="L111" s="192"/>
      <c r="M111" s="192"/>
      <c r="N111" s="192"/>
      <c r="O111" s="192"/>
      <c r="P111" s="192"/>
    </row>
    <row r="112" spans="1:16">
      <c r="C112" s="252" t="s">
        <v>130</v>
      </c>
      <c r="D112" s="173">
        <v>0</v>
      </c>
      <c r="E112" s="193">
        <v>0</v>
      </c>
      <c r="F112" s="193">
        <v>0</v>
      </c>
      <c r="G112" s="193">
        <v>0</v>
      </c>
      <c r="H112" s="193">
        <v>0</v>
      </c>
      <c r="I112" s="192"/>
      <c r="J112" s="192"/>
      <c r="K112" s="192"/>
      <c r="L112" s="192"/>
      <c r="M112" s="192"/>
      <c r="N112" s="192"/>
      <c r="O112" s="192"/>
      <c r="P112" s="192"/>
    </row>
    <row r="113" spans="3:16">
      <c r="C113" s="252" t="s">
        <v>9</v>
      </c>
      <c r="D113" s="173">
        <v>-8.8000000000000007</v>
      </c>
      <c r="E113" s="193">
        <v>3.4</v>
      </c>
      <c r="F113" s="193">
        <v>-10.199999999999999</v>
      </c>
      <c r="G113" s="193">
        <v>9.6999999999999993</v>
      </c>
      <c r="H113" s="193">
        <v>-17.5</v>
      </c>
      <c r="I113" s="192"/>
      <c r="J113" s="192"/>
      <c r="K113" s="192"/>
      <c r="L113" s="192"/>
      <c r="M113" s="192"/>
      <c r="N113" s="192"/>
      <c r="O113" s="192"/>
      <c r="P113" s="192"/>
    </row>
    <row r="114" spans="3:16">
      <c r="C114" s="252" t="s">
        <v>10</v>
      </c>
      <c r="D114" s="173">
        <v>0.8</v>
      </c>
      <c r="E114" s="193">
        <v>0.7</v>
      </c>
      <c r="F114" s="193">
        <v>0.2</v>
      </c>
      <c r="G114" s="193">
        <v>0.3</v>
      </c>
      <c r="H114" s="193">
        <v>0.1</v>
      </c>
      <c r="I114" s="192"/>
      <c r="J114" s="192"/>
      <c r="K114" s="192"/>
      <c r="L114" s="192"/>
      <c r="M114" s="192"/>
      <c r="N114" s="192"/>
      <c r="O114" s="192"/>
      <c r="P114" s="192"/>
    </row>
    <row r="115" spans="3:16">
      <c r="C115" s="252" t="s">
        <v>7</v>
      </c>
      <c r="D115" s="173">
        <v>9.1999999999999993</v>
      </c>
      <c r="E115" s="193">
        <v>-1.6</v>
      </c>
      <c r="F115" s="193">
        <v>-4.7</v>
      </c>
      <c r="G115" s="193">
        <v>5.4</v>
      </c>
      <c r="H115" s="193">
        <v>7.3</v>
      </c>
      <c r="I115" s="192"/>
      <c r="J115" s="192"/>
      <c r="K115" s="192"/>
      <c r="L115" s="192"/>
      <c r="M115" s="192"/>
      <c r="N115" s="192"/>
      <c r="O115" s="192"/>
      <c r="P115" s="192"/>
    </row>
    <row r="116" spans="3:16">
      <c r="C116" s="252" t="s">
        <v>131</v>
      </c>
      <c r="D116" s="173">
        <v>5.3</v>
      </c>
      <c r="E116" s="194">
        <v>-1.5</v>
      </c>
      <c r="F116" s="194">
        <v>-10.8</v>
      </c>
      <c r="G116" s="194">
        <v>-4.2</v>
      </c>
      <c r="H116" s="194">
        <v>3.4</v>
      </c>
      <c r="I116" s="192"/>
      <c r="J116" s="192"/>
      <c r="K116" s="192"/>
      <c r="L116" s="192"/>
      <c r="M116" s="192"/>
      <c r="N116" s="192"/>
      <c r="O116" s="192"/>
      <c r="P116" s="192"/>
    </row>
    <row r="117" spans="3:16">
      <c r="C117" s="252" t="s">
        <v>6</v>
      </c>
      <c r="D117" s="173">
        <v>39.299999999999997</v>
      </c>
      <c r="E117" s="193">
        <v>33.4</v>
      </c>
      <c r="F117" s="193">
        <v>27.4</v>
      </c>
      <c r="G117" s="193">
        <v>28.8</v>
      </c>
      <c r="H117" s="193">
        <v>34.4</v>
      </c>
      <c r="I117" s="192"/>
      <c r="J117" s="192"/>
      <c r="K117" s="192"/>
      <c r="L117" s="192"/>
      <c r="M117" s="192"/>
      <c r="N117" s="192"/>
      <c r="O117" s="192"/>
      <c r="P117" s="192"/>
    </row>
    <row r="118" spans="3:16">
      <c r="C118" s="254" t="s">
        <v>8</v>
      </c>
      <c r="D118" s="173">
        <v>1</v>
      </c>
      <c r="E118" s="193">
        <v>-2.9</v>
      </c>
      <c r="F118" s="193">
        <v>-4.0999999999999996</v>
      </c>
      <c r="G118" s="193">
        <v>-1.9</v>
      </c>
      <c r="H118" s="193">
        <v>1</v>
      </c>
      <c r="I118" s="192"/>
      <c r="J118" s="192"/>
      <c r="K118" s="192"/>
      <c r="L118" s="192"/>
      <c r="M118" s="192"/>
      <c r="N118" s="192"/>
      <c r="O118" s="192"/>
      <c r="P118" s="192"/>
    </row>
    <row r="119" spans="3:16">
      <c r="C119" s="254" t="s">
        <v>11</v>
      </c>
      <c r="D119" s="173">
        <v>7</v>
      </c>
      <c r="E119" s="193">
        <v>6.3</v>
      </c>
      <c r="F119" s="193">
        <v>5.0999999999999996</v>
      </c>
      <c r="G119" s="193">
        <v>3.8</v>
      </c>
      <c r="H119" s="193">
        <v>5.7</v>
      </c>
      <c r="I119" s="192"/>
      <c r="J119" s="192"/>
      <c r="K119" s="192"/>
      <c r="L119" s="192"/>
      <c r="M119" s="192"/>
      <c r="N119" s="192"/>
      <c r="O119" s="192"/>
      <c r="P119" s="192"/>
    </row>
    <row r="120" spans="3:16">
      <c r="C120" s="145" t="s">
        <v>13</v>
      </c>
      <c r="D120" s="173">
        <v>-3.5</v>
      </c>
      <c r="E120" s="182">
        <v>-3</v>
      </c>
      <c r="F120" s="182">
        <v>-10.3</v>
      </c>
      <c r="G120" s="182">
        <v>18.3</v>
      </c>
      <c r="H120" s="182">
        <v>-1.5</v>
      </c>
      <c r="I120" s="192"/>
      <c r="J120" s="192"/>
      <c r="K120" s="192"/>
      <c r="L120" s="192"/>
      <c r="M120" s="192"/>
      <c r="N120" s="192"/>
      <c r="O120" s="192"/>
      <c r="P120" s="192"/>
    </row>
    <row r="121" spans="3:16">
      <c r="C121" s="147" t="s">
        <v>132</v>
      </c>
      <c r="D121" s="174">
        <v>6.8</v>
      </c>
      <c r="E121" s="180">
        <v>0.3</v>
      </c>
      <c r="F121" s="180">
        <v>5.5</v>
      </c>
      <c r="G121" s="180">
        <v>3.4</v>
      </c>
      <c r="H121" s="180">
        <v>-14.8</v>
      </c>
      <c r="I121" s="192"/>
      <c r="J121" s="192"/>
      <c r="K121" s="192"/>
      <c r="L121" s="192"/>
      <c r="M121" s="192"/>
      <c r="N121" s="192"/>
      <c r="O121" s="192"/>
      <c r="P121" s="192"/>
    </row>
    <row r="122" spans="3:16">
      <c r="C122" s="143" t="s">
        <v>133</v>
      </c>
      <c r="D122" s="175">
        <f t="shared" ref="D122:H122" si="2">SUM(D107:D121)</f>
        <v>415.80000000000007</v>
      </c>
      <c r="E122" s="183">
        <f t="shared" si="2"/>
        <v>313.99999999999994</v>
      </c>
      <c r="F122" s="183">
        <f t="shared" si="2"/>
        <v>337.2</v>
      </c>
      <c r="G122" s="183">
        <f t="shared" si="2"/>
        <v>377.40000000000003</v>
      </c>
      <c r="H122" s="183">
        <f t="shared" si="2"/>
        <v>274.29999999999995</v>
      </c>
      <c r="I122" s="183"/>
      <c r="J122" s="183"/>
      <c r="K122" s="192"/>
      <c r="L122" s="192"/>
      <c r="M122" s="192"/>
      <c r="N122" s="192"/>
      <c r="O122" s="192"/>
      <c r="P122" s="192"/>
    </row>
    <row r="123" spans="3:16">
      <c r="C123"/>
      <c r="D123"/>
      <c r="H123" s="195"/>
      <c r="K123" s="192"/>
      <c r="L123" s="192"/>
      <c r="M123" s="192"/>
      <c r="N123" s="192"/>
      <c r="O123" s="192"/>
      <c r="P123" s="192"/>
    </row>
    <row r="124" spans="3:16">
      <c r="C124"/>
      <c r="D124"/>
      <c r="H124" s="195"/>
      <c r="K124" s="192"/>
      <c r="L124" s="192"/>
      <c r="M124" s="192"/>
      <c r="N124" s="192"/>
      <c r="O124" s="192"/>
      <c r="P124" s="192"/>
    </row>
    <row r="125" spans="3:16">
      <c r="C125" s="109" t="s">
        <v>134</v>
      </c>
      <c r="D125" s="171" t="str">
        <f>D106</f>
        <v>Q2-18</v>
      </c>
      <c r="E125" s="181" t="str">
        <f t="shared" ref="E125:H125" si="3">E106</f>
        <v>Q1-18</v>
      </c>
      <c r="F125" s="181" t="str">
        <f t="shared" si="3"/>
        <v>Q4-17</v>
      </c>
      <c r="G125" s="181" t="str">
        <f t="shared" si="3"/>
        <v>Q3-17</v>
      </c>
      <c r="H125" s="181" t="str">
        <f t="shared" si="3"/>
        <v>Q2-17</v>
      </c>
      <c r="K125" s="192"/>
      <c r="L125" s="192"/>
      <c r="M125" s="192"/>
      <c r="N125" s="192"/>
      <c r="O125" s="192"/>
      <c r="P125" s="192"/>
    </row>
    <row r="126" spans="3:16">
      <c r="C126" s="145" t="s">
        <v>12</v>
      </c>
      <c r="D126" s="173">
        <v>51.6</v>
      </c>
      <c r="E126" s="182">
        <v>22.9</v>
      </c>
      <c r="F126" s="182">
        <v>85.4</v>
      </c>
      <c r="G126" s="182">
        <v>51</v>
      </c>
      <c r="H126" s="182">
        <v>43.2</v>
      </c>
      <c r="I126" s="192"/>
      <c r="J126" s="192"/>
      <c r="K126" s="192"/>
      <c r="L126" s="192"/>
      <c r="M126" s="192"/>
      <c r="N126" s="192"/>
      <c r="O126" s="192"/>
      <c r="P126" s="192"/>
    </row>
    <row r="127" spans="3:16">
      <c r="C127" s="145" t="s">
        <v>9</v>
      </c>
      <c r="D127" s="173">
        <v>-8.8000000000000007</v>
      </c>
      <c r="E127" s="182">
        <v>3.4</v>
      </c>
      <c r="F127" s="182">
        <v>-10</v>
      </c>
      <c r="G127" s="182">
        <v>9.6999999999999993</v>
      </c>
      <c r="H127" s="182">
        <v>-17.5</v>
      </c>
      <c r="I127" s="192"/>
      <c r="K127" s="192"/>
      <c r="L127" s="192"/>
      <c r="M127" s="192"/>
      <c r="N127" s="192"/>
      <c r="O127" s="192"/>
      <c r="P127" s="192"/>
    </row>
    <row r="128" spans="3:16">
      <c r="C128" s="191" t="s">
        <v>10</v>
      </c>
      <c r="D128" s="173">
        <v>0.8</v>
      </c>
      <c r="E128" s="193">
        <v>0.7</v>
      </c>
      <c r="F128" s="193">
        <v>0.2</v>
      </c>
      <c r="G128" s="193">
        <v>0.3</v>
      </c>
      <c r="H128" s="193">
        <v>0.1</v>
      </c>
      <c r="I128" s="192"/>
      <c r="K128" s="192"/>
      <c r="L128" s="192"/>
      <c r="M128" s="192"/>
      <c r="N128" s="192"/>
      <c r="O128" s="192"/>
      <c r="P128" s="192"/>
    </row>
    <row r="129" spans="3:16">
      <c r="C129" s="191" t="s">
        <v>11</v>
      </c>
      <c r="D129" s="173">
        <v>7</v>
      </c>
      <c r="E129" s="193">
        <v>6.3</v>
      </c>
      <c r="F129" s="193">
        <v>5.0999999999999996</v>
      </c>
      <c r="G129" s="193">
        <v>3.8</v>
      </c>
      <c r="H129" s="193">
        <v>5.5</v>
      </c>
      <c r="I129" s="192"/>
      <c r="K129" s="192"/>
      <c r="L129" s="192"/>
      <c r="M129" s="192"/>
      <c r="N129" s="192"/>
      <c r="O129" s="192"/>
      <c r="P129" s="192"/>
    </row>
    <row r="130" spans="3:16">
      <c r="C130" s="145" t="s">
        <v>13</v>
      </c>
      <c r="D130" s="173">
        <v>-3.5</v>
      </c>
      <c r="E130" s="182">
        <v>-3</v>
      </c>
      <c r="F130" s="182">
        <v>-10.3</v>
      </c>
      <c r="G130" s="182">
        <v>18.399999999999999</v>
      </c>
      <c r="H130" s="182">
        <v>-1.5</v>
      </c>
      <c r="I130" s="192"/>
      <c r="K130" s="192"/>
      <c r="L130" s="192"/>
      <c r="M130" s="192"/>
      <c r="N130" s="192"/>
      <c r="O130" s="192"/>
      <c r="P130" s="192"/>
    </row>
    <row r="131" spans="3:16">
      <c r="C131" s="147" t="s">
        <v>132</v>
      </c>
      <c r="D131" s="174">
        <v>6.8</v>
      </c>
      <c r="E131" s="180">
        <v>0</v>
      </c>
      <c r="F131" s="180">
        <v>6.2</v>
      </c>
      <c r="G131" s="180">
        <v>-1.7</v>
      </c>
      <c r="H131" s="180">
        <v>0.5</v>
      </c>
      <c r="I131" s="192"/>
      <c r="K131" s="192"/>
      <c r="L131" s="192"/>
      <c r="M131" s="192"/>
      <c r="N131" s="192"/>
      <c r="O131" s="192"/>
      <c r="P131" s="192"/>
    </row>
    <row r="132" spans="3:16">
      <c r="C132" s="143" t="s">
        <v>28</v>
      </c>
      <c r="D132" s="175">
        <f t="shared" ref="D132:H132" si="4">SUM(D126:D131)</f>
        <v>53.899999999999991</v>
      </c>
      <c r="E132" s="183">
        <f t="shared" si="4"/>
        <v>30.299999999999997</v>
      </c>
      <c r="F132" s="183">
        <f t="shared" si="4"/>
        <v>76.600000000000009</v>
      </c>
      <c r="G132" s="183">
        <f t="shared" si="4"/>
        <v>81.499999999999986</v>
      </c>
      <c r="H132" s="183">
        <f t="shared" si="4"/>
        <v>30.300000000000004</v>
      </c>
      <c r="I132" s="192"/>
      <c r="K132" s="192"/>
      <c r="L132" s="192"/>
      <c r="M132" s="192"/>
      <c r="N132" s="192"/>
      <c r="O132" s="192"/>
      <c r="P132" s="192"/>
    </row>
  </sheetData>
  <sortState columnSort="1" ref="D44:H52">
    <sortCondition descending="1" ref="D44:H44"/>
  </sortState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AO55"/>
  <sheetViews>
    <sheetView showGridLines="0" zoomScale="85" zoomScaleNormal="85" workbookViewId="0">
      <selection activeCell="A111" sqref="A111"/>
    </sheetView>
  </sheetViews>
  <sheetFormatPr baseColWidth="10" defaultColWidth="11.42578125" defaultRowHeight="14.25"/>
  <cols>
    <col min="1" max="1" width="4.28515625" style="68" customWidth="1"/>
    <col min="2" max="2" width="44.85546875" style="68" bestFit="1" customWidth="1"/>
    <col min="3" max="7" width="19" style="68" customWidth="1"/>
    <col min="8" max="16384" width="11.42578125" style="68"/>
  </cols>
  <sheetData>
    <row r="1" spans="1:22" ht="18.75" customHeight="1"/>
    <row r="2" spans="1:22" ht="18.75" customHeight="1">
      <c r="A2" s="139" t="s">
        <v>169</v>
      </c>
      <c r="B2" s="99"/>
      <c r="C2" s="99"/>
      <c r="D2" s="98"/>
    </row>
    <row r="3" spans="1:22" ht="18.75" customHeight="1">
      <c r="A3" s="139"/>
      <c r="B3" s="99"/>
      <c r="C3" s="99"/>
      <c r="D3" s="98"/>
    </row>
    <row r="4" spans="1:22" ht="14.25" customHeight="1">
      <c r="A4" s="139"/>
      <c r="B4" s="99"/>
      <c r="F4" s="98"/>
      <c r="G4" s="99"/>
    </row>
    <row r="5" spans="1:22" ht="14.25" customHeight="1">
      <c r="A5" s="139"/>
      <c r="B5" s="109" t="s">
        <v>102</v>
      </c>
      <c r="C5" s="171" t="s">
        <v>292</v>
      </c>
      <c r="D5" s="172" t="s">
        <v>95</v>
      </c>
      <c r="E5" s="172" t="s">
        <v>94</v>
      </c>
      <c r="F5" s="172" t="s">
        <v>93</v>
      </c>
      <c r="G5" s="172" t="s">
        <v>99</v>
      </c>
      <c r="Q5" s="243"/>
      <c r="R5" s="243"/>
      <c r="S5" s="243"/>
      <c r="T5" s="243"/>
      <c r="U5" s="243"/>
      <c r="V5" s="243"/>
    </row>
    <row r="6" spans="1:22" ht="14.25" customHeight="1">
      <c r="B6" s="145" t="s">
        <v>104</v>
      </c>
      <c r="C6" s="173">
        <v>183.15322499999996</v>
      </c>
      <c r="D6" s="146">
        <v>189.7</v>
      </c>
      <c r="E6" s="146">
        <v>216.6</v>
      </c>
      <c r="F6" s="146">
        <v>165.7</v>
      </c>
      <c r="G6" s="146">
        <v>161</v>
      </c>
      <c r="Q6" s="243"/>
      <c r="R6" s="243"/>
      <c r="S6" s="243"/>
      <c r="T6" s="243"/>
      <c r="U6" s="243"/>
      <c r="V6" s="243"/>
    </row>
    <row r="7" spans="1:22" ht="14.25" customHeight="1">
      <c r="B7" s="145" t="s">
        <v>105</v>
      </c>
      <c r="C7" s="173">
        <v>17.318556999999998</v>
      </c>
      <c r="D7" s="146">
        <v>16.399999999999999</v>
      </c>
      <c r="E7" s="146">
        <v>30.4</v>
      </c>
      <c r="F7" s="146">
        <v>16.2</v>
      </c>
      <c r="G7" s="146">
        <v>10.7</v>
      </c>
      <c r="Q7" s="243"/>
      <c r="R7" s="243"/>
      <c r="S7" s="243"/>
      <c r="T7" s="243"/>
      <c r="U7" s="243"/>
      <c r="V7" s="243"/>
    </row>
    <row r="8" spans="1:22">
      <c r="B8" s="145" t="s">
        <v>106</v>
      </c>
      <c r="C8" s="173">
        <v>46.467833759999998</v>
      </c>
      <c r="D8" s="146">
        <v>51.6</v>
      </c>
      <c r="E8" s="146">
        <v>60.6</v>
      </c>
      <c r="F8" s="146">
        <v>50.5</v>
      </c>
      <c r="G8" s="146">
        <v>64.8</v>
      </c>
      <c r="Q8" s="243"/>
      <c r="R8" s="243"/>
      <c r="S8" s="243"/>
      <c r="T8" s="243"/>
      <c r="U8" s="243"/>
      <c r="V8" s="243"/>
    </row>
    <row r="9" spans="1:22" ht="14.25" customHeight="1">
      <c r="B9" s="145" t="s">
        <v>107</v>
      </c>
      <c r="C9" s="173">
        <v>135.21860125000001</v>
      </c>
      <c r="D9" s="146">
        <v>121.4</v>
      </c>
      <c r="E9" s="146">
        <v>131.80000000000001</v>
      </c>
      <c r="F9" s="146">
        <v>153.4</v>
      </c>
      <c r="G9" s="146">
        <v>141</v>
      </c>
      <c r="Q9" s="243"/>
      <c r="R9" s="243"/>
      <c r="S9" s="243"/>
      <c r="T9" s="243"/>
      <c r="U9" s="243"/>
      <c r="V9" s="243"/>
    </row>
    <row r="10" spans="1:22" ht="14.25" customHeight="1">
      <c r="B10" s="145" t="s">
        <v>33</v>
      </c>
      <c r="C10" s="173">
        <v>31.885988999999999</v>
      </c>
      <c r="D10" s="146">
        <v>23.2</v>
      </c>
      <c r="E10" s="146">
        <v>22</v>
      </c>
      <c r="F10" s="146">
        <v>20.399999999999999</v>
      </c>
      <c r="G10" s="146">
        <v>20.8</v>
      </c>
      <c r="Q10" s="243"/>
      <c r="R10" s="243"/>
      <c r="S10" s="243"/>
      <c r="T10" s="243"/>
      <c r="U10" s="243"/>
      <c r="V10" s="243"/>
    </row>
    <row r="11" spans="1:22" ht="14.25" customHeight="1">
      <c r="B11" s="147" t="s">
        <v>34</v>
      </c>
      <c r="C11" s="174">
        <v>55.331211909999993</v>
      </c>
      <c r="D11" s="148">
        <v>47.1</v>
      </c>
      <c r="E11" s="148">
        <v>88.4</v>
      </c>
      <c r="F11" s="148">
        <v>26.6</v>
      </c>
      <c r="G11" s="148">
        <v>79.8</v>
      </c>
      <c r="Q11" s="243"/>
      <c r="R11" s="243"/>
      <c r="S11" s="243"/>
      <c r="T11" s="243"/>
      <c r="U11" s="243"/>
      <c r="V11" s="243"/>
    </row>
    <row r="12" spans="1:22" ht="14.25" customHeight="1">
      <c r="B12" s="143" t="s">
        <v>186</v>
      </c>
      <c r="C12" s="175">
        <f>SUM(C6:C11)</f>
        <v>469.3754179199999</v>
      </c>
      <c r="D12" s="149">
        <f>SUM(D6:D11)</f>
        <v>449.40000000000003</v>
      </c>
      <c r="E12" s="149">
        <f>SUM(E6:E11)</f>
        <v>549.80000000000007</v>
      </c>
      <c r="F12" s="149">
        <f>SUM(F6:F11)</f>
        <v>432.79999999999995</v>
      </c>
      <c r="G12" s="149">
        <f>SUM(G6:G11)</f>
        <v>478.1</v>
      </c>
      <c r="Q12" s="243"/>
      <c r="R12" s="243"/>
      <c r="S12" s="243"/>
      <c r="T12" s="243"/>
      <c r="U12" s="243"/>
      <c r="V12" s="243"/>
    </row>
    <row r="13" spans="1:22" ht="14.25" customHeight="1">
      <c r="B13" s="179" t="s">
        <v>121</v>
      </c>
      <c r="C13" s="173">
        <f>0.9+5</f>
        <v>5.9</v>
      </c>
      <c r="D13" s="146">
        <v>1</v>
      </c>
      <c r="E13" s="146">
        <v>75</v>
      </c>
      <c r="F13" s="146">
        <v>3</v>
      </c>
      <c r="G13" s="146">
        <v>40</v>
      </c>
    </row>
    <row r="14" spans="1:22" ht="14.25" customHeight="1">
      <c r="B14" s="128"/>
      <c r="C14" s="140"/>
      <c r="D14" s="140"/>
      <c r="E14" s="140"/>
    </row>
    <row r="15" spans="1:22" ht="14.25" customHeight="1">
      <c r="B15" s="128"/>
      <c r="C15" s="140"/>
      <c r="D15" s="140"/>
      <c r="E15" s="140"/>
    </row>
    <row r="16" spans="1:22" ht="14.25" customHeight="1">
      <c r="B16" s="128"/>
      <c r="C16" s="140"/>
      <c r="D16" s="140"/>
      <c r="E16" s="140"/>
    </row>
    <row r="17" spans="2:5" ht="15" customHeight="1">
      <c r="B17" s="128"/>
      <c r="C17" s="140"/>
      <c r="D17" s="140"/>
      <c r="E17" s="140"/>
    </row>
    <row r="18" spans="2:5" ht="14.25" customHeight="1">
      <c r="B18" s="128"/>
      <c r="C18" s="140"/>
      <c r="D18" s="140"/>
      <c r="E18" s="140"/>
    </row>
    <row r="19" spans="2:5" ht="14.25" customHeight="1">
      <c r="B19" s="128"/>
      <c r="C19" s="140"/>
      <c r="D19" s="140"/>
      <c r="E19" s="140"/>
    </row>
    <row r="20" spans="2:5" ht="14.25" customHeight="1">
      <c r="B20" s="128"/>
      <c r="C20" s="140"/>
      <c r="D20" s="140"/>
      <c r="E20" s="140"/>
    </row>
    <row r="21" spans="2:5" ht="14.25" customHeight="1">
      <c r="B21" s="128"/>
      <c r="C21" s="140"/>
      <c r="D21" s="140"/>
      <c r="E21" s="140"/>
    </row>
    <row r="22" spans="2:5" ht="14.25" customHeight="1">
      <c r="B22" s="128"/>
      <c r="C22" s="140"/>
      <c r="D22" s="140"/>
      <c r="E22" s="140"/>
    </row>
    <row r="23" spans="2:5" ht="14.25" customHeight="1">
      <c r="B23" s="128"/>
      <c r="C23" s="140"/>
      <c r="D23" s="140"/>
      <c r="E23" s="140"/>
    </row>
    <row r="24" spans="2:5" ht="14.25" customHeight="1">
      <c r="B24" s="128"/>
      <c r="C24" s="140"/>
      <c r="D24" s="140"/>
      <c r="E24" s="140"/>
    </row>
    <row r="25" spans="2:5" ht="14.25" customHeight="1">
      <c r="B25" s="141"/>
      <c r="C25" s="142"/>
      <c r="D25" s="142"/>
      <c r="E25" s="142"/>
    </row>
    <row r="34" spans="1:41">
      <c r="M34" s="144"/>
      <c r="N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44" spans="1:41" ht="15">
      <c r="A44" s="139" t="s">
        <v>285</v>
      </c>
    </row>
    <row r="46" spans="1:41">
      <c r="B46" s="96"/>
      <c r="F46" s="98"/>
      <c r="G46" s="97"/>
    </row>
    <row r="47" spans="1:41">
      <c r="B47" s="109" t="s">
        <v>286</v>
      </c>
      <c r="C47" s="171" t="s">
        <v>292</v>
      </c>
      <c r="D47" s="172" t="s">
        <v>95</v>
      </c>
      <c r="E47" s="172" t="s">
        <v>94</v>
      </c>
      <c r="F47" s="172" t="s">
        <v>93</v>
      </c>
      <c r="G47" s="172" t="s">
        <v>99</v>
      </c>
      <c r="Q47" s="243"/>
      <c r="R47" s="243"/>
      <c r="S47" s="243"/>
      <c r="T47" s="243"/>
      <c r="U47" s="243"/>
      <c r="V47" s="243"/>
    </row>
    <row r="48" spans="1:41">
      <c r="B48" s="145" t="s">
        <v>104</v>
      </c>
      <c r="C48" s="173">
        <v>115.689533</v>
      </c>
      <c r="D48" s="146">
        <v>117.7</v>
      </c>
      <c r="E48" s="146">
        <v>151.80000000000001</v>
      </c>
      <c r="F48" s="146">
        <v>117.8</v>
      </c>
      <c r="G48" s="146">
        <v>114.9</v>
      </c>
      <c r="Q48" s="243"/>
      <c r="R48" s="243"/>
      <c r="S48" s="243"/>
      <c r="T48" s="243"/>
      <c r="U48" s="243"/>
      <c r="V48" s="243"/>
    </row>
    <row r="49" spans="2:22">
      <c r="B49" s="145" t="s">
        <v>105</v>
      </c>
      <c r="C49" s="173">
        <v>12.847517</v>
      </c>
      <c r="D49" s="146">
        <v>13</v>
      </c>
      <c r="E49" s="146">
        <v>27.4</v>
      </c>
      <c r="F49" s="146">
        <v>12.6</v>
      </c>
      <c r="G49" s="146">
        <v>8.4</v>
      </c>
      <c r="Q49" s="243"/>
      <c r="R49" s="243"/>
      <c r="S49" s="243"/>
      <c r="T49" s="243"/>
      <c r="U49" s="243"/>
      <c r="V49" s="243"/>
    </row>
    <row r="50" spans="2:22">
      <c r="B50" s="145" t="s">
        <v>106</v>
      </c>
      <c r="C50" s="173">
        <v>33.981789759999998</v>
      </c>
      <c r="D50" s="146">
        <v>35.9</v>
      </c>
      <c r="E50" s="146">
        <v>45.2</v>
      </c>
      <c r="F50" s="146">
        <v>36.799999999999997</v>
      </c>
      <c r="G50" s="146">
        <v>53.3</v>
      </c>
      <c r="Q50" s="243"/>
      <c r="R50" s="243"/>
      <c r="S50" s="243"/>
      <c r="T50" s="243"/>
      <c r="U50" s="243"/>
      <c r="V50" s="243"/>
    </row>
    <row r="51" spans="2:22">
      <c r="B51" s="145" t="s">
        <v>107</v>
      </c>
      <c r="C51" s="173">
        <v>116.17854325</v>
      </c>
      <c r="D51" s="146">
        <v>107</v>
      </c>
      <c r="E51" s="146">
        <v>136</v>
      </c>
      <c r="F51" s="146">
        <v>102.6</v>
      </c>
      <c r="G51" s="146">
        <v>137.4</v>
      </c>
      <c r="Q51" s="243"/>
      <c r="R51" s="243"/>
      <c r="S51" s="243"/>
      <c r="T51" s="243"/>
      <c r="U51" s="243"/>
      <c r="V51" s="243"/>
    </row>
    <row r="52" spans="2:22">
      <c r="B52" s="145" t="s">
        <v>33</v>
      </c>
      <c r="C52" s="173">
        <v>17.169706000000001</v>
      </c>
      <c r="D52" s="146">
        <v>16.7</v>
      </c>
      <c r="E52" s="146">
        <v>16.399999999999999</v>
      </c>
      <c r="F52" s="146">
        <v>14.8</v>
      </c>
      <c r="G52" s="146">
        <v>15.1</v>
      </c>
      <c r="Q52" s="243"/>
      <c r="R52" s="243"/>
      <c r="S52" s="243"/>
      <c r="T52" s="243"/>
      <c r="U52" s="243"/>
      <c r="V52" s="243"/>
    </row>
    <row r="53" spans="2:22">
      <c r="B53" s="147" t="s">
        <v>34</v>
      </c>
      <c r="C53" s="174">
        <v>26.197970659999999</v>
      </c>
      <c r="D53" s="180">
        <v>27.8</v>
      </c>
      <c r="E53" s="148">
        <v>33.9</v>
      </c>
      <c r="F53" s="148">
        <v>25.6</v>
      </c>
      <c r="G53" s="148">
        <v>27.4</v>
      </c>
      <c r="Q53" s="243"/>
      <c r="R53" s="243"/>
      <c r="S53" s="243"/>
      <c r="T53" s="243"/>
      <c r="U53" s="243"/>
      <c r="V53" s="243"/>
    </row>
    <row r="54" spans="2:22">
      <c r="B54" s="143" t="s">
        <v>186</v>
      </c>
      <c r="C54" s="175">
        <f>SUM(C48:C53)</f>
        <v>322.06505967000004</v>
      </c>
      <c r="D54" s="149">
        <f>SUM(D48:D53)</f>
        <v>318.10000000000002</v>
      </c>
      <c r="E54" s="149">
        <f>SUM(E48:E53)</f>
        <v>410.7</v>
      </c>
      <c r="F54" s="149">
        <f>SUM(F48:F53)</f>
        <v>310.2</v>
      </c>
      <c r="G54" s="149">
        <f>SUM(G48:G53)</f>
        <v>356.5</v>
      </c>
      <c r="Q54" s="243"/>
      <c r="R54" s="243"/>
      <c r="S54" s="243"/>
      <c r="T54" s="243"/>
      <c r="U54" s="243"/>
      <c r="V54" s="243"/>
    </row>
    <row r="55" spans="2:22">
      <c r="B55" s="179" t="s">
        <v>121</v>
      </c>
      <c r="C55" s="173">
        <v>0.9</v>
      </c>
      <c r="D55" s="146">
        <v>1</v>
      </c>
      <c r="E55" s="146">
        <v>75</v>
      </c>
      <c r="F55" s="146">
        <v>14</v>
      </c>
      <c r="G55" s="146">
        <v>40</v>
      </c>
    </row>
  </sheetData>
  <sortState columnSort="1" ref="C4:G12">
    <sortCondition descending="1" ref="C4:G4"/>
  </sortState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3"/>
  <dimension ref="A1:I108"/>
  <sheetViews>
    <sheetView showGridLines="0" zoomScale="85" zoomScaleNormal="85" workbookViewId="0">
      <selection activeCell="A83" sqref="A83"/>
    </sheetView>
  </sheetViews>
  <sheetFormatPr baseColWidth="10" defaultColWidth="11.42578125" defaultRowHeight="14.25"/>
  <cols>
    <col min="1" max="2" width="4.28515625" style="114" customWidth="1"/>
    <col min="3" max="3" width="2.140625" style="114" customWidth="1"/>
    <col min="4" max="4" width="50.42578125" style="114" bestFit="1" customWidth="1"/>
    <col min="5" max="6" width="14.28515625" style="114" customWidth="1"/>
    <col min="7" max="16384" width="11.42578125" style="114"/>
  </cols>
  <sheetData>
    <row r="1" spans="1:9" ht="18.75" customHeight="1"/>
    <row r="2" spans="1:9" ht="18.75" customHeight="1">
      <c r="A2" s="115" t="s">
        <v>170</v>
      </c>
      <c r="B2" s="116"/>
      <c r="C2" s="116"/>
      <c r="D2" s="116"/>
      <c r="E2" s="117"/>
    </row>
    <row r="3" spans="1:9" ht="14.25" customHeight="1">
      <c r="A3" s="115"/>
      <c r="B3" s="116"/>
      <c r="C3" s="116"/>
      <c r="D3" s="116"/>
      <c r="E3" s="68"/>
      <c r="F3" s="68"/>
      <c r="G3" s="68"/>
      <c r="H3" s="98"/>
      <c r="I3" s="97"/>
    </row>
    <row r="4" spans="1:9" ht="14.25" customHeight="1">
      <c r="A4" s="115"/>
      <c r="B4" s="116"/>
      <c r="C4" s="116"/>
      <c r="D4" s="116"/>
      <c r="E4" s="68"/>
      <c r="F4" s="68"/>
      <c r="G4" s="68"/>
      <c r="H4" s="98"/>
      <c r="I4" s="97"/>
    </row>
    <row r="5" spans="1:9" ht="14.25" customHeight="1">
      <c r="A5" s="115"/>
      <c r="B5" s="118"/>
      <c r="C5" s="119"/>
      <c r="D5" s="109" t="s">
        <v>2</v>
      </c>
      <c r="E5" s="171" t="s">
        <v>292</v>
      </c>
      <c r="F5" s="172" t="s">
        <v>95</v>
      </c>
      <c r="G5" s="172" t="s">
        <v>94</v>
      </c>
      <c r="H5" s="172" t="s">
        <v>93</v>
      </c>
      <c r="I5" s="172" t="s">
        <v>99</v>
      </c>
    </row>
    <row r="6" spans="1:9" s="124" customFormat="1" ht="14.25" customHeight="1">
      <c r="A6" s="120"/>
      <c r="B6" s="121"/>
      <c r="C6" s="122"/>
      <c r="D6" s="145" t="s">
        <v>100</v>
      </c>
      <c r="E6" s="176">
        <v>2.2000000000000006E-3</v>
      </c>
      <c r="F6" s="177">
        <v>8.0000000000000004E-4</v>
      </c>
      <c r="G6" s="177">
        <v>-4.0000000000000002E-4</v>
      </c>
      <c r="H6" s="177">
        <v>-5.0000000000000001E-4</v>
      </c>
      <c r="I6" s="177">
        <v>5.9999999999999995E-4</v>
      </c>
    </row>
    <row r="7" spans="1:9" s="124" customFormat="1" ht="14.25" customHeight="1">
      <c r="A7" s="120"/>
      <c r="B7" s="125"/>
      <c r="C7" s="125"/>
      <c r="D7" s="145" t="s">
        <v>101</v>
      </c>
      <c r="E7" s="176">
        <v>2.9999999999999992E-3</v>
      </c>
      <c r="F7" s="177">
        <v>2.3E-3</v>
      </c>
      <c r="G7" s="177">
        <v>1.1000000000000001E-3</v>
      </c>
      <c r="H7" s="177">
        <v>8.9999999999999998E-4</v>
      </c>
      <c r="I7" s="177">
        <v>1.2999999999999999E-3</v>
      </c>
    </row>
    <row r="8" spans="1:9" s="124" customFormat="1" ht="14.25" customHeight="1">
      <c r="A8" s="120"/>
      <c r="B8" s="126"/>
      <c r="C8" s="127"/>
      <c r="D8" s="127"/>
      <c r="E8" s="128"/>
    </row>
    <row r="9" spans="1:9" s="124" customFormat="1" ht="14.25" customHeight="1">
      <c r="A9" s="120"/>
      <c r="B9" s="126"/>
      <c r="C9" s="127"/>
      <c r="D9" s="129"/>
      <c r="E9" s="130"/>
    </row>
    <row r="10" spans="1:9" s="124" customFormat="1" ht="14.25" customHeight="1">
      <c r="A10" s="120"/>
      <c r="B10" s="126"/>
      <c r="C10" s="127"/>
      <c r="D10" s="129"/>
      <c r="E10" s="130"/>
    </row>
    <row r="11" spans="1:9" s="124" customFormat="1" ht="14.25" customHeight="1">
      <c r="A11" s="120"/>
      <c r="B11" s="126"/>
      <c r="C11" s="127"/>
      <c r="D11" s="127"/>
      <c r="E11" s="128"/>
    </row>
    <row r="12" spans="1:9" s="124" customFormat="1" ht="14.25" customHeight="1">
      <c r="A12" s="120"/>
      <c r="B12" s="126"/>
      <c r="C12" s="127"/>
      <c r="D12" s="127"/>
      <c r="E12" s="128"/>
    </row>
    <row r="13" spans="1:9" s="124" customFormat="1" ht="14.25" customHeight="1">
      <c r="A13" s="120"/>
      <c r="B13" s="126"/>
      <c r="C13" s="127"/>
      <c r="D13" s="127"/>
      <c r="E13" s="128"/>
    </row>
    <row r="14" spans="1:9" s="124" customFormat="1" ht="14.25" customHeight="1">
      <c r="A14" s="120"/>
      <c r="B14" s="126"/>
      <c r="C14" s="127"/>
      <c r="D14" s="127"/>
      <c r="E14" s="128"/>
    </row>
    <row r="15" spans="1:9" s="124" customFormat="1" ht="14.25" customHeight="1">
      <c r="A15" s="120"/>
      <c r="B15" s="131"/>
      <c r="C15" s="125"/>
      <c r="D15" s="125"/>
      <c r="E15" s="132"/>
    </row>
    <row r="16" spans="1:9" s="124" customFormat="1" ht="14.25" customHeight="1">
      <c r="A16" s="120"/>
      <c r="B16" s="125"/>
      <c r="C16" s="125"/>
      <c r="D16" s="125"/>
      <c r="E16" s="125"/>
    </row>
    <row r="17" spans="1:5" s="124" customFormat="1" ht="14.25" customHeight="1">
      <c r="A17" s="120"/>
      <c r="B17" s="126"/>
      <c r="C17" s="127"/>
      <c r="D17" s="127"/>
      <c r="E17" s="128"/>
    </row>
    <row r="18" spans="1:5" s="124" customFormat="1" ht="14.25" customHeight="1">
      <c r="A18" s="120"/>
      <c r="B18" s="126"/>
      <c r="C18" s="127"/>
      <c r="D18" s="127"/>
      <c r="E18" s="128"/>
    </row>
    <row r="19" spans="1:5" s="124" customFormat="1" ht="14.25" customHeight="1">
      <c r="A19" s="120"/>
      <c r="B19" s="126"/>
      <c r="C19" s="127"/>
      <c r="D19" s="127"/>
      <c r="E19" s="128"/>
    </row>
    <row r="20" spans="1:5" s="124" customFormat="1" ht="14.25" customHeight="1">
      <c r="A20" s="120"/>
      <c r="B20" s="126"/>
      <c r="C20" s="127"/>
      <c r="D20" s="127"/>
      <c r="E20" s="128"/>
    </row>
    <row r="21" spans="1:5" s="124" customFormat="1" ht="14.25" customHeight="1">
      <c r="A21" s="120"/>
      <c r="B21" s="126"/>
      <c r="C21" s="127"/>
      <c r="D21" s="127"/>
      <c r="E21" s="128"/>
    </row>
    <row r="22" spans="1:5" s="124" customFormat="1" ht="14.25" customHeight="1">
      <c r="A22" s="120"/>
      <c r="B22" s="126"/>
      <c r="C22" s="127"/>
      <c r="D22" s="127"/>
      <c r="E22" s="128"/>
    </row>
    <row r="23" spans="1:5" s="124" customFormat="1" ht="14.25" customHeight="1">
      <c r="A23" s="120"/>
      <c r="B23" s="126"/>
      <c r="C23" s="127"/>
      <c r="D23" s="127"/>
      <c r="E23" s="128"/>
    </row>
    <row r="24" spans="1:5" s="124" customFormat="1" ht="14.25" customHeight="1">
      <c r="A24" s="120"/>
      <c r="B24" s="126"/>
      <c r="C24" s="127"/>
      <c r="D24" s="127"/>
      <c r="E24" s="128"/>
    </row>
    <row r="25" spans="1:5" s="124" customFormat="1" ht="14.25" customHeight="1">
      <c r="A25" s="120"/>
      <c r="B25" s="126"/>
      <c r="C25" s="127"/>
      <c r="D25" s="127"/>
      <c r="E25" s="128"/>
    </row>
    <row r="26" spans="1:5" s="124" customFormat="1" ht="14.25" customHeight="1">
      <c r="A26" s="120"/>
      <c r="B26" s="126"/>
      <c r="C26" s="127"/>
      <c r="D26" s="127"/>
      <c r="E26" s="128"/>
    </row>
    <row r="27" spans="1:5" s="124" customFormat="1" ht="14.25" customHeight="1">
      <c r="A27" s="120"/>
      <c r="B27" s="126"/>
      <c r="C27" s="127"/>
      <c r="D27" s="127"/>
      <c r="E27" s="128"/>
    </row>
    <row r="28" spans="1:5" s="124" customFormat="1" ht="14.25" customHeight="1">
      <c r="A28" s="120"/>
      <c r="B28" s="126"/>
      <c r="C28" s="127"/>
      <c r="D28" s="127"/>
      <c r="E28" s="128"/>
    </row>
    <row r="29" spans="1:5" s="124" customFormat="1" ht="14.25" customHeight="1">
      <c r="A29" s="120"/>
      <c r="B29" s="126"/>
      <c r="C29" s="127"/>
      <c r="D29" s="127"/>
      <c r="E29" s="128"/>
    </row>
    <row r="30" spans="1:5" s="124" customFormat="1" ht="14.25" customHeight="1">
      <c r="A30" s="120"/>
      <c r="B30" s="126"/>
      <c r="C30" s="127"/>
      <c r="D30" s="127"/>
      <c r="E30" s="128"/>
    </row>
    <row r="31" spans="1:5" s="124" customFormat="1" ht="14.25" customHeight="1">
      <c r="A31" s="115" t="s">
        <v>171</v>
      </c>
      <c r="B31" s="126"/>
      <c r="C31" s="127"/>
      <c r="D31" s="127"/>
      <c r="E31" s="128"/>
    </row>
    <row r="32" spans="1:5" s="124" customFormat="1" ht="14.25" customHeight="1">
      <c r="A32" s="120"/>
      <c r="B32" s="126"/>
      <c r="C32" s="127"/>
      <c r="D32" s="129"/>
      <c r="E32" s="130"/>
    </row>
    <row r="33" spans="1:9" s="124" customFormat="1" ht="14.25" customHeight="1">
      <c r="A33" s="120"/>
      <c r="B33" s="126"/>
      <c r="C33" s="127"/>
      <c r="D33" s="129"/>
      <c r="E33" s="97"/>
      <c r="F33" s="98"/>
      <c r="G33" s="68"/>
      <c r="H33" s="68"/>
      <c r="I33" s="68"/>
    </row>
    <row r="34" spans="1:9" s="124" customFormat="1" ht="14.25" customHeight="1">
      <c r="A34" s="120"/>
      <c r="B34" s="126"/>
      <c r="C34" s="127"/>
      <c r="D34" s="109" t="s">
        <v>2</v>
      </c>
      <c r="E34" s="171" t="s">
        <v>292</v>
      </c>
      <c r="F34" s="172" t="s">
        <v>95</v>
      </c>
      <c r="G34" s="172" t="s">
        <v>94</v>
      </c>
      <c r="H34" s="172" t="s">
        <v>93</v>
      </c>
      <c r="I34" s="172" t="s">
        <v>99</v>
      </c>
    </row>
    <row r="35" spans="1:9" s="124" customFormat="1" ht="14.25" customHeight="1">
      <c r="A35" s="120"/>
      <c r="B35" s="126"/>
      <c r="C35" s="127"/>
      <c r="D35" s="145" t="s">
        <v>108</v>
      </c>
      <c r="E35" s="176">
        <v>1.5943965071706902E-2</v>
      </c>
      <c r="F35" s="177">
        <v>1.7600000000000001E-2</v>
      </c>
      <c r="G35" s="177">
        <v>1.9300000000000001E-2</v>
      </c>
      <c r="H35" s="177">
        <v>1.9199999999999998E-2</v>
      </c>
      <c r="I35" s="177">
        <v>1.8499999999999999E-2</v>
      </c>
    </row>
    <row r="36" spans="1:9" s="124" customFormat="1" ht="14.25" customHeight="1">
      <c r="A36" s="120"/>
      <c r="B36" s="126"/>
      <c r="C36" s="127"/>
      <c r="D36" s="145" t="s">
        <v>109</v>
      </c>
      <c r="E36" s="176">
        <v>2.5306936103057301E-2</v>
      </c>
      <c r="F36" s="177">
        <v>2.4899999999999999E-2</v>
      </c>
      <c r="G36" s="177">
        <v>2.6800000000000001E-2</v>
      </c>
      <c r="H36" s="177">
        <v>2.76E-2</v>
      </c>
      <c r="I36" s="177">
        <v>2.6599999999999999E-2</v>
      </c>
    </row>
    <row r="37" spans="1:9" s="124" customFormat="1" ht="14.25" customHeight="1">
      <c r="A37" s="120"/>
      <c r="B37" s="126"/>
      <c r="C37" s="127"/>
      <c r="D37" s="127"/>
      <c r="E37" s="128"/>
    </row>
    <row r="38" spans="1:9" s="124" customFormat="1" ht="14.25" customHeight="1">
      <c r="A38" s="120"/>
      <c r="B38" s="131"/>
      <c r="C38" s="125"/>
      <c r="D38" s="125"/>
      <c r="E38" s="132"/>
    </row>
    <row r="39" spans="1:9" s="124" customFormat="1" ht="14.25" customHeight="1">
      <c r="A39" s="120"/>
      <c r="B39" s="125"/>
      <c r="C39" s="125"/>
      <c r="D39" s="125"/>
      <c r="E39" s="125"/>
    </row>
    <row r="40" spans="1:9" s="124" customFormat="1" ht="14.25" customHeight="1">
      <c r="A40" s="120"/>
      <c r="B40" s="126"/>
      <c r="C40" s="127"/>
      <c r="D40" s="127"/>
      <c r="E40" s="128"/>
    </row>
    <row r="41" spans="1:9" s="124" customFormat="1" ht="14.25" customHeight="1">
      <c r="A41" s="120"/>
      <c r="B41" s="126"/>
      <c r="C41" s="127"/>
      <c r="D41" s="129"/>
      <c r="E41" s="130"/>
    </row>
    <row r="42" spans="1:9" s="124" customFormat="1" ht="14.25" customHeight="1">
      <c r="A42" s="120"/>
      <c r="B42" s="126"/>
      <c r="C42" s="127"/>
      <c r="D42" s="129"/>
      <c r="E42" s="130"/>
    </row>
    <row r="43" spans="1:9" s="124" customFormat="1" ht="14.25" customHeight="1">
      <c r="A43" s="120"/>
      <c r="B43" s="126"/>
      <c r="C43" s="127"/>
      <c r="D43" s="127"/>
      <c r="E43" s="128"/>
    </row>
    <row r="44" spans="1:9" s="124" customFormat="1" ht="14.25" customHeight="1">
      <c r="A44" s="120"/>
      <c r="B44" s="131"/>
      <c r="C44" s="125"/>
      <c r="D44" s="125"/>
      <c r="E44" s="132"/>
    </row>
    <row r="45" spans="1:9" s="124" customFormat="1" ht="14.25" customHeight="1">
      <c r="A45" s="120"/>
      <c r="B45" s="125"/>
      <c r="C45" s="125"/>
      <c r="D45" s="125"/>
      <c r="E45" s="125"/>
    </row>
    <row r="46" spans="1:9" s="124" customFormat="1" ht="14.25" customHeight="1">
      <c r="A46" s="120"/>
      <c r="B46" s="126"/>
      <c r="C46" s="127"/>
      <c r="D46" s="127"/>
      <c r="E46" s="128"/>
    </row>
    <row r="47" spans="1:9" s="124" customFormat="1" ht="14.25" customHeight="1">
      <c r="A47" s="120"/>
      <c r="B47" s="126"/>
      <c r="C47" s="127"/>
      <c r="D47" s="127"/>
      <c r="E47" s="128"/>
    </row>
    <row r="48" spans="1:9" s="124" customFormat="1" ht="14.25" customHeight="1">
      <c r="A48" s="120"/>
      <c r="B48" s="126"/>
      <c r="C48" s="127"/>
      <c r="D48" s="127"/>
      <c r="E48" s="128"/>
    </row>
    <row r="49" spans="1:5" s="124" customFormat="1" ht="14.25" customHeight="1">
      <c r="A49" s="120"/>
      <c r="B49" s="126"/>
      <c r="C49" s="127"/>
      <c r="D49" s="127"/>
      <c r="E49" s="128"/>
    </row>
    <row r="50" spans="1:5" s="124" customFormat="1" ht="14.25" customHeight="1">
      <c r="A50" s="120"/>
      <c r="B50" s="126"/>
      <c r="C50" s="127"/>
      <c r="D50" s="127"/>
      <c r="E50" s="128"/>
    </row>
    <row r="51" spans="1:5" s="124" customFormat="1" ht="14.25" customHeight="1">
      <c r="A51" s="120"/>
      <c r="B51" s="126"/>
      <c r="C51" s="127"/>
      <c r="D51" s="127"/>
      <c r="E51" s="128"/>
    </row>
    <row r="52" spans="1:5" s="124" customFormat="1" ht="14.25" customHeight="1">
      <c r="A52" s="120"/>
      <c r="B52" s="131"/>
      <c r="C52" s="125"/>
      <c r="D52" s="125"/>
      <c r="E52" s="132"/>
    </row>
    <row r="53" spans="1:5" s="124" customFormat="1" ht="14.25" customHeight="1">
      <c r="A53" s="120"/>
      <c r="B53" s="125"/>
      <c r="C53" s="125"/>
      <c r="D53" s="125"/>
      <c r="E53" s="125"/>
    </row>
    <row r="54" spans="1:5" s="124" customFormat="1" ht="14.25" customHeight="1">
      <c r="A54" s="120"/>
      <c r="B54" s="126"/>
      <c r="C54" s="127"/>
      <c r="D54" s="127"/>
      <c r="E54" s="128"/>
    </row>
    <row r="55" spans="1:5" s="124" customFormat="1" ht="14.25" customHeight="1">
      <c r="A55" s="120"/>
      <c r="B55" s="126"/>
      <c r="C55" s="127"/>
      <c r="D55" s="127"/>
      <c r="E55" s="128"/>
    </row>
    <row r="56" spans="1:5" s="124" customFormat="1" ht="14.25" customHeight="1">
      <c r="A56" s="120"/>
      <c r="B56" s="126"/>
      <c r="C56" s="127"/>
      <c r="D56" s="127"/>
      <c r="E56" s="128"/>
    </row>
    <row r="57" spans="1:5" s="124" customFormat="1" ht="14.25" customHeight="1">
      <c r="A57" s="120"/>
      <c r="B57" s="131"/>
      <c r="C57" s="125"/>
      <c r="D57" s="125"/>
      <c r="E57" s="132"/>
    </row>
    <row r="58" spans="1:5" s="124" customFormat="1" ht="14.25" customHeight="1">
      <c r="A58" s="120"/>
      <c r="B58" s="125"/>
      <c r="C58" s="125"/>
      <c r="D58" s="125"/>
      <c r="E58" s="125"/>
    </row>
    <row r="59" spans="1:5" s="124" customFormat="1" ht="14.25" customHeight="1">
      <c r="A59" s="120"/>
      <c r="B59" s="126"/>
      <c r="C59" s="127"/>
      <c r="D59" s="127"/>
      <c r="E59" s="128"/>
    </row>
    <row r="60" spans="1:5" s="124" customFormat="1" ht="14.25" customHeight="1">
      <c r="A60" s="120"/>
      <c r="B60" s="126"/>
      <c r="C60" s="127"/>
      <c r="D60" s="127"/>
      <c r="E60" s="128"/>
    </row>
    <row r="61" spans="1:5" s="124" customFormat="1" ht="14.25" customHeight="1">
      <c r="A61" s="120"/>
      <c r="B61" s="126"/>
      <c r="C61" s="127"/>
      <c r="D61" s="127"/>
      <c r="E61" s="128"/>
    </row>
    <row r="62" spans="1:5" s="124" customFormat="1" ht="14.25" customHeight="1">
      <c r="A62" s="120"/>
      <c r="B62" s="126"/>
      <c r="C62" s="127"/>
      <c r="D62" s="129"/>
      <c r="E62" s="130"/>
    </row>
    <row r="63" spans="1:5" s="124" customFormat="1" ht="14.25" customHeight="1">
      <c r="A63" s="120"/>
      <c r="B63" s="126"/>
      <c r="C63" s="127"/>
      <c r="D63" s="129"/>
      <c r="E63" s="130"/>
    </row>
    <row r="64" spans="1:5" s="124" customFormat="1" ht="14.25" customHeight="1">
      <c r="A64" s="120"/>
      <c r="B64" s="126"/>
      <c r="C64" s="127"/>
      <c r="D64" s="127"/>
      <c r="E64" s="128"/>
    </row>
    <row r="65" spans="1:5" s="124" customFormat="1" ht="14.25" customHeight="1">
      <c r="A65" s="120"/>
      <c r="B65" s="126"/>
      <c r="C65" s="127"/>
      <c r="D65" s="127"/>
      <c r="E65" s="128"/>
    </row>
    <row r="66" spans="1:5" s="124" customFormat="1" ht="14.25" customHeight="1">
      <c r="A66" s="120"/>
      <c r="B66" s="131"/>
      <c r="C66" s="125"/>
      <c r="D66" s="125"/>
      <c r="E66" s="132"/>
    </row>
    <row r="67" spans="1:5" s="124" customFormat="1" ht="14.25" customHeight="1">
      <c r="A67" s="120"/>
      <c r="B67" s="131"/>
      <c r="C67" s="125"/>
      <c r="D67" s="125"/>
      <c r="E67" s="132"/>
    </row>
    <row r="68" spans="1:5" s="124" customFormat="1" ht="14.25" customHeight="1">
      <c r="A68" s="120"/>
      <c r="B68" s="131"/>
      <c r="C68" s="125"/>
      <c r="D68" s="125"/>
      <c r="E68" s="132"/>
    </row>
    <row r="69" spans="1:5" s="124" customFormat="1" ht="14.25" customHeight="1">
      <c r="A69" s="120"/>
      <c r="B69" s="125"/>
      <c r="C69" s="125"/>
      <c r="D69" s="125"/>
      <c r="E69" s="125"/>
    </row>
    <row r="70" spans="1:5" s="124" customFormat="1" ht="14.25" customHeight="1">
      <c r="A70" s="120"/>
      <c r="B70" s="126"/>
      <c r="C70" s="127"/>
      <c r="D70" s="127"/>
      <c r="E70" s="133"/>
    </row>
    <row r="71" spans="1:5" s="124" customFormat="1" ht="14.25" customHeight="1">
      <c r="A71" s="120"/>
      <c r="B71" s="126"/>
      <c r="C71" s="127"/>
      <c r="D71" s="127"/>
      <c r="E71" s="133"/>
    </row>
    <row r="72" spans="1:5" s="124" customFormat="1" ht="14.25" customHeight="1">
      <c r="A72" s="120"/>
      <c r="B72" s="126"/>
      <c r="C72" s="127"/>
      <c r="D72" s="127"/>
      <c r="E72" s="133"/>
    </row>
    <row r="73" spans="1:5" s="124" customFormat="1" ht="14.25" customHeight="1">
      <c r="A73" s="120"/>
      <c r="B73" s="126"/>
      <c r="C73" s="127"/>
      <c r="D73" s="127"/>
      <c r="E73" s="133"/>
    </row>
    <row r="74" spans="1:5" s="124" customFormat="1" ht="14.25" customHeight="1">
      <c r="A74" s="120"/>
      <c r="B74" s="126"/>
      <c r="C74" s="127"/>
      <c r="D74" s="127"/>
      <c r="E74" s="133"/>
    </row>
    <row r="75" spans="1:5" s="124" customFormat="1" ht="14.25" customHeight="1">
      <c r="A75" s="120"/>
      <c r="B75" s="126"/>
      <c r="C75" s="127"/>
      <c r="D75" s="127"/>
      <c r="E75" s="133"/>
    </row>
    <row r="76" spans="1:5" s="124" customFormat="1" ht="14.25" customHeight="1">
      <c r="A76" s="120"/>
      <c r="B76" s="126"/>
      <c r="C76" s="127"/>
      <c r="D76" s="127"/>
      <c r="E76" s="133"/>
    </row>
    <row r="77" spans="1:5" s="124" customFormat="1" ht="14.25" customHeight="1">
      <c r="A77" s="120"/>
      <c r="B77" s="126"/>
      <c r="C77" s="127"/>
      <c r="D77" s="127"/>
      <c r="E77" s="133"/>
    </row>
    <row r="78" spans="1:5" s="124" customFormat="1" ht="14.25" customHeight="1">
      <c r="A78" s="120"/>
      <c r="B78" s="125"/>
      <c r="C78" s="125"/>
      <c r="D78" s="125"/>
      <c r="E78" s="125"/>
    </row>
    <row r="79" spans="1:5" s="124" customFormat="1" ht="14.25" customHeight="1">
      <c r="A79" s="120"/>
      <c r="B79" s="126"/>
      <c r="C79" s="127"/>
      <c r="D79" s="127"/>
      <c r="E79" s="128"/>
    </row>
    <row r="80" spans="1:5" s="124" customFormat="1" ht="14.25" customHeight="1">
      <c r="A80" s="120"/>
      <c r="B80" s="126"/>
      <c r="C80" s="127"/>
      <c r="D80" s="127"/>
      <c r="E80" s="128"/>
    </row>
    <row r="81" spans="1:5" s="124" customFormat="1" ht="14.25" customHeight="1">
      <c r="A81" s="120"/>
      <c r="B81" s="126"/>
      <c r="C81" s="127"/>
      <c r="D81" s="127"/>
      <c r="E81" s="128"/>
    </row>
    <row r="82" spans="1:5" s="124" customFormat="1" ht="14.25" customHeight="1">
      <c r="A82" s="120"/>
      <c r="B82" s="125"/>
      <c r="C82" s="125"/>
      <c r="D82" s="125"/>
      <c r="E82" s="125"/>
    </row>
    <row r="83" spans="1:5" s="124" customFormat="1" ht="14.25" customHeight="1">
      <c r="A83" s="120"/>
      <c r="B83" s="126"/>
      <c r="C83" s="127"/>
      <c r="D83" s="127"/>
      <c r="E83" s="128"/>
    </row>
    <row r="84" spans="1:5" s="124" customFormat="1" ht="14.25" customHeight="1">
      <c r="A84" s="120"/>
      <c r="B84" s="126"/>
      <c r="C84" s="127"/>
      <c r="D84" s="127"/>
      <c r="E84" s="128"/>
    </row>
    <row r="85" spans="1:5" s="124" customFormat="1" ht="14.25" customHeight="1">
      <c r="A85" s="120"/>
      <c r="B85" s="126"/>
      <c r="C85" s="127"/>
      <c r="D85" s="127"/>
      <c r="E85" s="128"/>
    </row>
    <row r="86" spans="1:5" s="124" customFormat="1" ht="14.25" customHeight="1">
      <c r="A86" s="120"/>
      <c r="B86" s="126"/>
      <c r="C86" s="127"/>
      <c r="D86" s="127"/>
      <c r="E86" s="128"/>
    </row>
    <row r="87" spans="1:5" s="124" customFormat="1" ht="15" customHeight="1">
      <c r="A87" s="120"/>
      <c r="B87" s="121"/>
      <c r="C87" s="122"/>
      <c r="D87" s="122"/>
      <c r="E87" s="123"/>
    </row>
    <row r="88" spans="1:5" s="124" customFormat="1" ht="15" customHeight="1">
      <c r="A88" s="120"/>
      <c r="B88" s="121"/>
      <c r="C88" s="122"/>
      <c r="D88" s="122"/>
      <c r="E88" s="123"/>
    </row>
    <row r="89" spans="1:5" s="124" customFormat="1" ht="15" customHeight="1">
      <c r="A89" s="120"/>
      <c r="B89" s="121"/>
      <c r="C89" s="122"/>
      <c r="D89" s="122"/>
      <c r="E89" s="123"/>
    </row>
    <row r="90" spans="1:5" s="124" customFormat="1" ht="15" customHeight="1">
      <c r="A90" s="120"/>
      <c r="B90" s="121"/>
      <c r="C90" s="122"/>
      <c r="D90" s="122"/>
      <c r="E90" s="123"/>
    </row>
    <row r="91" spans="1:5" s="124" customFormat="1" ht="15" customHeight="1">
      <c r="A91" s="120"/>
      <c r="B91" s="121"/>
      <c r="C91" s="122"/>
      <c r="D91" s="122"/>
      <c r="E91" s="123"/>
    </row>
    <row r="92" spans="1:5" s="124" customFormat="1" ht="15" customHeight="1">
      <c r="A92" s="120"/>
      <c r="B92" s="121"/>
      <c r="C92" s="122"/>
      <c r="D92" s="122"/>
      <c r="E92" s="123"/>
    </row>
    <row r="93" spans="1:5" s="124" customFormat="1" ht="15" customHeight="1">
      <c r="A93" s="120"/>
      <c r="B93" s="121"/>
      <c r="C93" s="122"/>
      <c r="D93" s="122"/>
      <c r="E93" s="123"/>
    </row>
    <row r="94" spans="1:5" s="134" customFormat="1" ht="15" customHeight="1">
      <c r="B94" s="135"/>
      <c r="C94" s="122"/>
      <c r="D94" s="122"/>
      <c r="E94" s="122"/>
    </row>
    <row r="95" spans="1:5" s="134" customFormat="1" ht="15" customHeight="1">
      <c r="B95" s="135"/>
      <c r="C95" s="122"/>
      <c r="D95" s="122"/>
      <c r="E95" s="122"/>
    </row>
    <row r="96" spans="1:5" s="134" customFormat="1" ht="15" customHeight="1">
      <c r="B96" s="135"/>
      <c r="C96" s="122"/>
      <c r="D96" s="122"/>
      <c r="E96" s="122"/>
    </row>
    <row r="97" spans="1:9" s="134" customFormat="1" ht="15" customHeight="1">
      <c r="B97" s="135"/>
      <c r="C97" s="122"/>
      <c r="D97" s="122"/>
      <c r="E97" s="122"/>
    </row>
    <row r="98" spans="1:9" s="134" customFormat="1" ht="15" customHeight="1">
      <c r="B98" s="135"/>
      <c r="C98" s="122"/>
      <c r="D98" s="122"/>
      <c r="E98" s="122"/>
    </row>
    <row r="99" spans="1:9" s="134" customFormat="1" ht="15" customHeight="1">
      <c r="B99" s="135"/>
      <c r="C99" s="122"/>
      <c r="D99" s="122"/>
      <c r="E99" s="122"/>
    </row>
    <row r="100" spans="1:9" s="134" customFormat="1" ht="15" customHeight="1">
      <c r="B100" s="135"/>
      <c r="C100" s="122"/>
      <c r="D100" s="122"/>
      <c r="E100" s="122"/>
    </row>
    <row r="101" spans="1:9" s="134" customFormat="1" ht="15" customHeight="1">
      <c r="B101" s="135"/>
      <c r="C101" s="122"/>
      <c r="D101" s="122"/>
      <c r="E101" s="122"/>
    </row>
    <row r="102" spans="1:9" s="134" customFormat="1" ht="15" customHeight="1">
      <c r="B102" s="135"/>
      <c r="C102" s="122"/>
      <c r="D102" s="122"/>
      <c r="E102" s="122"/>
    </row>
    <row r="103" spans="1:9" s="137" customFormat="1" ht="15" customHeight="1">
      <c r="A103" s="136"/>
      <c r="B103" s="135"/>
      <c r="C103" s="122"/>
      <c r="D103" s="122"/>
      <c r="E103" s="122"/>
      <c r="F103" s="134"/>
      <c r="G103" s="134"/>
    </row>
    <row r="104" spans="1:9" ht="15" customHeight="1">
      <c r="A104" s="115"/>
      <c r="B104" s="135"/>
      <c r="C104" s="122"/>
      <c r="D104" s="122"/>
      <c r="E104" s="122"/>
      <c r="F104" s="134"/>
    </row>
    <row r="108" spans="1:9">
      <c r="I108" s="138"/>
    </row>
  </sheetData>
  <sortState columnSort="1" ref="E33:I36">
    <sortCondition ref="E33:I33"/>
  </sortState>
  <pageMargins left="0.7" right="0.7" top="0.75" bottom="0.75" header="0.3" footer="0.3"/>
  <pageSetup paperSize="9" orientation="portrait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9"/>
  <sheetViews>
    <sheetView showGridLines="0" zoomScale="85" zoomScaleNormal="85" workbookViewId="0">
      <selection activeCell="A102" sqref="A102"/>
    </sheetView>
  </sheetViews>
  <sheetFormatPr baseColWidth="10" defaultColWidth="11.42578125" defaultRowHeight="14.25"/>
  <cols>
    <col min="1" max="2" width="4.28515625" style="337" customWidth="1"/>
    <col min="3" max="3" width="52.42578125" style="337" bestFit="1" customWidth="1"/>
    <col min="4" max="18" width="14.28515625" style="337" customWidth="1"/>
    <col min="19" max="109" width="11.42578125" style="337"/>
    <col min="110" max="16384" width="11.42578125" style="114"/>
  </cols>
  <sheetData>
    <row r="1" spans="1:27" s="114" customFormat="1" ht="18.75" customHeight="1"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</row>
    <row r="2" spans="1:27" s="114" customFormat="1" ht="18.75" customHeight="1">
      <c r="A2" s="139" t="s">
        <v>172</v>
      </c>
      <c r="B2" s="116"/>
      <c r="C2" s="116"/>
      <c r="D2" s="117"/>
      <c r="E2" s="117"/>
      <c r="F2" s="117"/>
      <c r="G2" s="117"/>
      <c r="H2" s="117"/>
      <c r="I2" s="117"/>
      <c r="J2" s="117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spans="1:27" s="114" customFormat="1" ht="14.25" customHeight="1">
      <c r="A3" s="115"/>
      <c r="B3" s="116"/>
      <c r="C3" s="116"/>
      <c r="D3" s="117"/>
      <c r="E3" s="117"/>
      <c r="F3" s="117"/>
      <c r="G3" s="117"/>
      <c r="H3" s="117"/>
      <c r="I3" s="117"/>
      <c r="J3" s="117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27" s="114" customFormat="1" ht="14.25" customHeight="1">
      <c r="A4" s="115"/>
      <c r="B4" s="118"/>
      <c r="C4" s="119"/>
      <c r="D4" s="117"/>
      <c r="E4" s="117"/>
      <c r="F4" s="117"/>
      <c r="G4" s="117"/>
      <c r="H4" s="117"/>
      <c r="I4" s="117"/>
      <c r="J4" s="117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</row>
    <row r="5" spans="1:27" s="124" customFormat="1" ht="14.25" customHeight="1">
      <c r="A5" s="120"/>
      <c r="B5" s="121"/>
      <c r="C5" s="109" t="s">
        <v>2</v>
      </c>
      <c r="D5" s="171" t="s">
        <v>292</v>
      </c>
      <c r="E5" s="172" t="s">
        <v>95</v>
      </c>
      <c r="F5" s="172" t="s">
        <v>94</v>
      </c>
      <c r="G5" s="172" t="s">
        <v>93</v>
      </c>
      <c r="H5" s="172" t="s">
        <v>99</v>
      </c>
      <c r="I5" s="235"/>
      <c r="J5" s="236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</row>
    <row r="6" spans="1:27" s="124" customFormat="1" ht="12.75" customHeight="1">
      <c r="A6" s="120"/>
      <c r="B6" s="126"/>
      <c r="C6" s="200" t="s">
        <v>135</v>
      </c>
      <c r="D6" s="208">
        <v>540.6</v>
      </c>
      <c r="E6" s="201">
        <v>532.4</v>
      </c>
      <c r="F6" s="201">
        <v>295.39999999999998</v>
      </c>
      <c r="G6" s="201">
        <v>250.8</v>
      </c>
      <c r="H6" s="201">
        <v>224.1</v>
      </c>
      <c r="I6" s="229"/>
      <c r="J6" s="226"/>
      <c r="K6" s="196"/>
      <c r="L6" s="196"/>
      <c r="M6" s="196"/>
      <c r="N6" s="196"/>
      <c r="O6" s="196"/>
      <c r="P6" s="246"/>
      <c r="Q6" s="246"/>
      <c r="R6" s="246"/>
      <c r="S6" s="245"/>
      <c r="T6" s="245"/>
      <c r="U6" s="245"/>
      <c r="V6" s="245"/>
      <c r="W6" s="245"/>
      <c r="X6" s="245"/>
      <c r="Y6" s="245"/>
      <c r="Z6" s="245"/>
      <c r="AA6" s="245"/>
    </row>
    <row r="7" spans="1:27" s="124" customFormat="1" ht="14.25" customHeight="1">
      <c r="A7" s="120"/>
      <c r="B7" s="126"/>
      <c r="C7" s="200" t="s">
        <v>136</v>
      </c>
      <c r="D7" s="208">
        <v>4367.2</v>
      </c>
      <c r="E7" s="201">
        <v>4122.6000000000004</v>
      </c>
      <c r="F7" s="201">
        <v>4179</v>
      </c>
      <c r="G7" s="201">
        <v>4792.8999999999996</v>
      </c>
      <c r="H7" s="201">
        <v>4570.7</v>
      </c>
      <c r="I7" s="229"/>
      <c r="J7" s="226"/>
      <c r="K7" s="196"/>
      <c r="L7" s="196"/>
      <c r="M7" s="196"/>
      <c r="N7" s="196"/>
      <c r="O7" s="196"/>
      <c r="P7" s="246"/>
      <c r="Q7" s="246"/>
      <c r="R7" s="246"/>
      <c r="S7" s="246"/>
      <c r="T7" s="246"/>
      <c r="U7" s="246"/>
      <c r="V7" s="246"/>
      <c r="W7" s="246"/>
      <c r="X7" s="245"/>
      <c r="Y7" s="245"/>
      <c r="Z7" s="245"/>
      <c r="AA7" s="245"/>
    </row>
    <row r="8" spans="1:27" s="124" customFormat="1" ht="14.25" customHeight="1">
      <c r="A8" s="120"/>
      <c r="B8" s="126"/>
      <c r="C8" s="200" t="s">
        <v>137</v>
      </c>
      <c r="D8" s="208">
        <v>1018.7</v>
      </c>
      <c r="E8" s="201">
        <v>973.4</v>
      </c>
      <c r="F8" s="201">
        <v>946</v>
      </c>
      <c r="G8" s="201">
        <v>18.899999999999999</v>
      </c>
      <c r="H8" s="201">
        <v>18.3</v>
      </c>
      <c r="I8" s="229"/>
      <c r="J8" s="226"/>
      <c r="K8" s="196"/>
      <c r="L8" s="196"/>
      <c r="M8" s="196"/>
      <c r="N8" s="196"/>
      <c r="O8" s="196"/>
      <c r="P8" s="246"/>
      <c r="Q8" s="246"/>
      <c r="R8" s="246"/>
      <c r="S8" s="246"/>
      <c r="T8" s="246"/>
      <c r="U8" s="246"/>
      <c r="V8" s="246"/>
      <c r="W8" s="246"/>
      <c r="X8" s="245"/>
      <c r="Y8" s="245"/>
      <c r="Z8" s="245"/>
      <c r="AA8" s="245"/>
    </row>
    <row r="9" spans="1:27" s="124" customFormat="1" ht="14.25" customHeight="1">
      <c r="A9" s="120"/>
      <c r="B9" s="126"/>
      <c r="C9" s="200" t="s">
        <v>138</v>
      </c>
      <c r="D9" s="208">
        <v>1108.9000000000001</v>
      </c>
      <c r="E9" s="201">
        <v>1024.8</v>
      </c>
      <c r="F9" s="201">
        <v>1030.0999999999999</v>
      </c>
      <c r="G9" s="201">
        <v>1112.8</v>
      </c>
      <c r="H9" s="201">
        <v>1171.7</v>
      </c>
      <c r="I9" s="229"/>
      <c r="J9" s="226"/>
      <c r="K9" s="196"/>
      <c r="L9" s="196"/>
      <c r="M9" s="196"/>
      <c r="N9" s="196"/>
      <c r="O9" s="196"/>
      <c r="P9" s="246"/>
      <c r="Q9" s="246"/>
      <c r="R9" s="246"/>
      <c r="S9" s="246"/>
      <c r="T9" s="246"/>
      <c r="U9" s="246"/>
      <c r="V9" s="246"/>
      <c r="W9" s="246"/>
      <c r="X9" s="245"/>
      <c r="Y9" s="245"/>
      <c r="Z9" s="245"/>
      <c r="AA9" s="245"/>
    </row>
    <row r="10" spans="1:27" s="124" customFormat="1" ht="14.25" customHeight="1">
      <c r="A10" s="120"/>
      <c r="B10" s="126"/>
      <c r="C10" s="200" t="s">
        <v>139</v>
      </c>
      <c r="D10" s="208">
        <v>4553.1000000000004</v>
      </c>
      <c r="E10" s="201">
        <v>4131.8999999999996</v>
      </c>
      <c r="F10" s="201">
        <v>3923.4</v>
      </c>
      <c r="G10" s="201">
        <v>3066</v>
      </c>
      <c r="H10" s="201">
        <v>2884.4</v>
      </c>
      <c r="I10" s="229"/>
      <c r="J10" s="226"/>
      <c r="K10" s="197"/>
      <c r="L10" s="197"/>
      <c r="M10" s="197"/>
      <c r="N10" s="197"/>
      <c r="O10" s="197"/>
      <c r="P10" s="246"/>
      <c r="Q10" s="246"/>
      <c r="R10" s="246"/>
      <c r="S10" s="246"/>
      <c r="T10" s="246"/>
      <c r="U10" s="246"/>
      <c r="V10" s="246"/>
      <c r="W10" s="246"/>
      <c r="X10" s="245"/>
      <c r="Y10" s="245"/>
      <c r="Z10" s="245"/>
      <c r="AA10" s="245"/>
    </row>
    <row r="11" spans="1:27" s="124" customFormat="1" ht="14.25" customHeight="1">
      <c r="A11" s="120"/>
      <c r="B11" s="126"/>
      <c r="C11" s="200" t="s">
        <v>140</v>
      </c>
      <c r="D11" s="208">
        <v>342.1</v>
      </c>
      <c r="E11" s="201">
        <v>368.2</v>
      </c>
      <c r="F11" s="201">
        <v>427.2</v>
      </c>
      <c r="G11" s="201">
        <v>434.5</v>
      </c>
      <c r="H11" s="201">
        <v>399.9</v>
      </c>
      <c r="I11" s="229"/>
      <c r="J11" s="226"/>
      <c r="K11" s="196"/>
      <c r="L11" s="196"/>
      <c r="M11" s="196"/>
      <c r="N11" s="196"/>
      <c r="O11" s="196"/>
      <c r="P11" s="246"/>
      <c r="Q11" s="246"/>
      <c r="R11" s="246"/>
      <c r="S11" s="246"/>
      <c r="T11" s="246"/>
      <c r="U11" s="246"/>
      <c r="V11" s="246"/>
      <c r="W11" s="246"/>
      <c r="X11" s="245"/>
      <c r="Y11" s="245"/>
      <c r="Z11" s="245"/>
      <c r="AA11" s="245"/>
    </row>
    <row r="12" spans="1:27" s="124" customFormat="1" ht="14.25" customHeight="1">
      <c r="A12" s="120"/>
      <c r="B12" s="126"/>
      <c r="C12" s="200" t="s">
        <v>141</v>
      </c>
      <c r="D12" s="208">
        <v>1263.3</v>
      </c>
      <c r="E12" s="201">
        <v>1363.5</v>
      </c>
      <c r="F12" s="201">
        <v>1316.4</v>
      </c>
      <c r="G12" s="201">
        <v>1376.6</v>
      </c>
      <c r="H12" s="201">
        <v>1383.8</v>
      </c>
      <c r="I12" s="229"/>
      <c r="J12" s="226"/>
      <c r="K12" s="196"/>
      <c r="L12" s="196"/>
      <c r="M12" s="196"/>
      <c r="N12" s="196"/>
      <c r="O12" s="196"/>
      <c r="P12" s="246"/>
      <c r="Q12" s="246"/>
      <c r="R12" s="246"/>
      <c r="S12" s="246"/>
      <c r="T12" s="246"/>
      <c r="U12" s="246"/>
      <c r="V12" s="246"/>
      <c r="W12" s="246"/>
      <c r="X12" s="245"/>
      <c r="Y12" s="245"/>
      <c r="Z12" s="245"/>
      <c r="AA12" s="245"/>
    </row>
    <row r="13" spans="1:27" s="124" customFormat="1" ht="12.75">
      <c r="A13" s="120"/>
      <c r="B13" s="126"/>
      <c r="C13" s="200" t="s">
        <v>142</v>
      </c>
      <c r="D13" s="208">
        <v>576.4</v>
      </c>
      <c r="E13" s="201">
        <v>518.9</v>
      </c>
      <c r="F13" s="201">
        <v>504.6</v>
      </c>
      <c r="G13" s="201">
        <v>499.2</v>
      </c>
      <c r="H13" s="201">
        <v>489.4</v>
      </c>
      <c r="I13" s="229"/>
      <c r="J13" s="226"/>
      <c r="K13" s="196"/>
      <c r="L13" s="196"/>
      <c r="M13" s="196"/>
      <c r="N13" s="196"/>
      <c r="O13" s="196"/>
      <c r="P13" s="246"/>
      <c r="Q13" s="246"/>
      <c r="R13" s="246"/>
      <c r="S13" s="246"/>
      <c r="T13" s="246"/>
      <c r="U13" s="246"/>
      <c r="V13" s="246"/>
      <c r="W13" s="246"/>
      <c r="X13" s="245"/>
      <c r="Y13" s="245"/>
      <c r="Z13" s="245"/>
      <c r="AA13" s="245"/>
    </row>
    <row r="14" spans="1:27" s="124" customFormat="1" ht="12.75">
      <c r="A14" s="120"/>
      <c r="B14" s="126"/>
      <c r="C14" s="200" t="s">
        <v>143</v>
      </c>
      <c r="D14" s="208">
        <v>13809.4</v>
      </c>
      <c r="E14" s="201">
        <v>13806</v>
      </c>
      <c r="F14" s="201">
        <v>12860.9</v>
      </c>
      <c r="G14" s="201">
        <v>14438.6</v>
      </c>
      <c r="H14" s="201">
        <v>14510.7</v>
      </c>
      <c r="I14" s="229"/>
      <c r="J14" s="226"/>
      <c r="K14" s="196"/>
      <c r="L14" s="196"/>
      <c r="M14" s="196"/>
      <c r="N14" s="196"/>
      <c r="O14" s="196"/>
      <c r="P14" s="246"/>
      <c r="Q14" s="246"/>
      <c r="R14" s="246"/>
      <c r="S14" s="246"/>
      <c r="T14" s="246"/>
      <c r="U14" s="246"/>
      <c r="V14" s="246"/>
      <c r="W14" s="246"/>
      <c r="X14" s="245"/>
      <c r="Y14" s="245"/>
      <c r="Z14" s="245"/>
      <c r="AA14" s="245"/>
    </row>
    <row r="15" spans="1:27" s="124" customFormat="1" ht="14.25" customHeight="1">
      <c r="A15" s="120"/>
      <c r="B15" s="126"/>
      <c r="C15" s="200" t="s">
        <v>144</v>
      </c>
      <c r="D15" s="208">
        <v>4475.8</v>
      </c>
      <c r="E15" s="201">
        <v>4371.1000000000004</v>
      </c>
      <c r="F15" s="201">
        <v>4368</v>
      </c>
      <c r="G15" s="201">
        <v>3773.5</v>
      </c>
      <c r="H15" s="201">
        <v>3534.9</v>
      </c>
      <c r="I15" s="229"/>
      <c r="J15" s="226"/>
      <c r="K15" s="128"/>
      <c r="L15" s="128"/>
      <c r="M15" s="128"/>
      <c r="N15" s="128"/>
      <c r="O15" s="128"/>
      <c r="P15" s="246"/>
      <c r="Q15" s="246"/>
      <c r="R15" s="246"/>
      <c r="S15" s="246"/>
      <c r="T15" s="246"/>
      <c r="U15" s="246"/>
      <c r="V15" s="246"/>
      <c r="W15" s="246"/>
      <c r="X15" s="245"/>
      <c r="Y15" s="245"/>
      <c r="Z15" s="245"/>
      <c r="AA15" s="245"/>
    </row>
    <row r="16" spans="1:27" s="124" customFormat="1" ht="14.25" customHeight="1">
      <c r="A16" s="120"/>
      <c r="B16" s="126"/>
      <c r="C16" s="200" t="s">
        <v>145</v>
      </c>
      <c r="D16" s="208">
        <v>1502.8</v>
      </c>
      <c r="E16" s="201">
        <v>1614.3</v>
      </c>
      <c r="F16" s="201">
        <v>1730.3</v>
      </c>
      <c r="G16" s="201">
        <v>1506.9</v>
      </c>
      <c r="H16" s="201">
        <v>1482.2</v>
      </c>
      <c r="I16" s="229"/>
      <c r="J16" s="226"/>
      <c r="K16" s="128"/>
      <c r="L16" s="128"/>
      <c r="M16" s="128"/>
      <c r="N16" s="128"/>
      <c r="O16" s="128"/>
      <c r="P16" s="246"/>
      <c r="Q16" s="246"/>
      <c r="R16" s="246"/>
      <c r="S16" s="246"/>
      <c r="T16" s="246"/>
      <c r="U16" s="246"/>
      <c r="V16" s="246"/>
      <c r="W16" s="246"/>
      <c r="X16" s="245"/>
      <c r="Y16" s="245"/>
      <c r="Z16" s="245"/>
      <c r="AA16" s="245"/>
    </row>
    <row r="17" spans="1:109" s="124" customFormat="1" ht="14.25" customHeight="1">
      <c r="A17" s="120"/>
      <c r="B17" s="126"/>
      <c r="C17" s="200" t="s">
        <v>0</v>
      </c>
      <c r="D17" s="208">
        <v>0</v>
      </c>
      <c r="E17" s="201">
        <v>0</v>
      </c>
      <c r="F17" s="201">
        <v>8</v>
      </c>
      <c r="G17" s="201">
        <v>163.5</v>
      </c>
      <c r="H17" s="201">
        <v>492.4</v>
      </c>
      <c r="I17" s="229"/>
      <c r="J17" s="226"/>
      <c r="K17" s="128"/>
      <c r="L17" s="128"/>
      <c r="M17" s="128"/>
      <c r="N17" s="128"/>
      <c r="O17" s="128"/>
      <c r="P17" s="246"/>
      <c r="Q17" s="246"/>
      <c r="R17" s="246"/>
      <c r="S17" s="246"/>
      <c r="T17" s="246"/>
      <c r="U17" s="246"/>
      <c r="V17" s="246"/>
      <c r="W17" s="246"/>
      <c r="X17" s="245"/>
      <c r="Y17" s="245"/>
      <c r="Z17" s="245"/>
      <c r="AA17" s="245"/>
    </row>
    <row r="18" spans="1:109" s="124" customFormat="1" ht="14.25" customHeight="1">
      <c r="A18" s="120"/>
      <c r="B18" s="126"/>
      <c r="C18" s="204" t="s">
        <v>146</v>
      </c>
      <c r="D18" s="209">
        <f>SUM(D6:D17)</f>
        <v>33558.299999999996</v>
      </c>
      <c r="E18" s="203">
        <f t="shared" ref="E18:H18" si="0">SUM(E6:E17)</f>
        <v>32827.1</v>
      </c>
      <c r="F18" s="203">
        <f t="shared" si="0"/>
        <v>31589.3</v>
      </c>
      <c r="G18" s="203">
        <f t="shared" si="0"/>
        <v>31434.200000000004</v>
      </c>
      <c r="H18" s="203">
        <f t="shared" si="0"/>
        <v>31162.500000000004</v>
      </c>
      <c r="K18" s="128"/>
      <c r="L18" s="128"/>
      <c r="M18" s="128"/>
      <c r="N18" s="128"/>
      <c r="O18" s="128"/>
      <c r="P18" s="246"/>
      <c r="Q18" s="246"/>
      <c r="R18" s="246"/>
      <c r="S18" s="246"/>
      <c r="T18" s="246"/>
      <c r="U18" s="246"/>
      <c r="V18" s="246"/>
      <c r="W18" s="246"/>
      <c r="X18" s="245"/>
      <c r="Y18" s="245"/>
      <c r="Z18" s="245"/>
      <c r="AA18" s="245"/>
    </row>
    <row r="19" spans="1:109" s="124" customFormat="1" ht="12.75">
      <c r="A19" s="120"/>
      <c r="B19" s="126"/>
      <c r="C19" s="200" t="s">
        <v>147</v>
      </c>
      <c r="D19" s="208">
        <v>62481.3</v>
      </c>
      <c r="E19" s="201">
        <v>59990.7</v>
      </c>
      <c r="F19" s="201">
        <v>58871.8</v>
      </c>
      <c r="G19" s="201">
        <v>57510.8</v>
      </c>
      <c r="H19" s="201">
        <v>56365.3</v>
      </c>
      <c r="I19" s="229"/>
      <c r="J19" s="226"/>
      <c r="K19" s="198"/>
      <c r="L19" s="198"/>
      <c r="M19" s="198"/>
      <c r="N19" s="198"/>
      <c r="O19" s="198"/>
      <c r="P19" s="246"/>
      <c r="Q19" s="246"/>
      <c r="R19" s="246"/>
      <c r="S19" s="246"/>
      <c r="T19" s="246"/>
      <c r="U19" s="246"/>
      <c r="V19" s="246"/>
      <c r="W19" s="246"/>
      <c r="X19" s="245"/>
      <c r="Y19" s="245"/>
      <c r="Z19" s="245"/>
      <c r="AA19" s="245"/>
    </row>
    <row r="20" spans="1:109" s="124" customFormat="1" ht="14.25" customHeight="1">
      <c r="A20" s="120"/>
      <c r="B20" s="126"/>
      <c r="C20" s="204" t="s">
        <v>148</v>
      </c>
      <c r="D20" s="209">
        <f>SUM(D18:D19)</f>
        <v>96039.6</v>
      </c>
      <c r="E20" s="203">
        <f t="shared" ref="E20:H20" si="1">SUM(E18:E19)</f>
        <v>92817.799999999988</v>
      </c>
      <c r="F20" s="203">
        <f t="shared" si="1"/>
        <v>90461.1</v>
      </c>
      <c r="G20" s="203">
        <f t="shared" si="1"/>
        <v>88945</v>
      </c>
      <c r="H20" s="203">
        <f t="shared" si="1"/>
        <v>87527.8</v>
      </c>
      <c r="I20" s="232"/>
      <c r="J20" s="233"/>
      <c r="K20" s="199"/>
      <c r="L20" s="199"/>
      <c r="M20" s="199"/>
      <c r="N20" s="199"/>
      <c r="O20" s="199"/>
      <c r="P20" s="246"/>
      <c r="Q20" s="246"/>
      <c r="R20" s="246"/>
      <c r="S20" s="246"/>
      <c r="T20" s="246"/>
      <c r="U20" s="246"/>
      <c r="V20" s="246"/>
      <c r="W20" s="246"/>
      <c r="X20" s="245"/>
      <c r="Y20" s="245"/>
      <c r="Z20" s="245"/>
      <c r="AA20" s="245"/>
    </row>
    <row r="21" spans="1:109" s="124" customFormat="1" ht="14.25" customHeight="1">
      <c r="A21" s="120"/>
      <c r="B21" s="126"/>
      <c r="C21" s="200" t="s">
        <v>149</v>
      </c>
      <c r="D21" s="208">
        <v>-297.8</v>
      </c>
      <c r="E21" s="205">
        <v>-308.2</v>
      </c>
      <c r="F21" s="205"/>
      <c r="G21" s="205"/>
      <c r="H21" s="205"/>
      <c r="K21" s="128"/>
      <c r="L21" s="128"/>
      <c r="M21" s="128"/>
      <c r="N21" s="128"/>
      <c r="O21" s="128"/>
      <c r="P21" s="246"/>
      <c r="Q21" s="246"/>
      <c r="R21" s="246"/>
      <c r="S21" s="246"/>
      <c r="T21" s="246"/>
      <c r="U21" s="246"/>
      <c r="V21" s="246"/>
      <c r="W21" s="246"/>
      <c r="X21" s="245"/>
      <c r="Y21" s="245"/>
      <c r="Z21" s="245"/>
      <c r="AA21" s="245"/>
    </row>
    <row r="22" spans="1:109" s="124" customFormat="1" ht="14.25" customHeight="1">
      <c r="A22" s="120"/>
      <c r="B22" s="126"/>
      <c r="C22" s="200" t="s">
        <v>150</v>
      </c>
      <c r="D22" s="208">
        <v>-61.1</v>
      </c>
      <c r="E22" s="205">
        <v>-59.6</v>
      </c>
      <c r="F22" s="205"/>
      <c r="G22" s="205"/>
      <c r="H22" s="205"/>
      <c r="K22" s="128"/>
      <c r="L22" s="199"/>
      <c r="M22" s="128"/>
      <c r="N22" s="128"/>
      <c r="O22" s="128"/>
      <c r="P22" s="246"/>
      <c r="Q22" s="246"/>
      <c r="R22" s="246"/>
      <c r="S22" s="246"/>
      <c r="T22" s="246"/>
      <c r="U22" s="246"/>
      <c r="V22" s="246"/>
      <c r="W22" s="246"/>
      <c r="X22" s="245"/>
      <c r="Y22" s="245"/>
      <c r="Z22" s="245"/>
      <c r="AA22" s="245"/>
    </row>
    <row r="23" spans="1:109" s="124" customFormat="1" ht="14.25" customHeight="1">
      <c r="A23" s="120"/>
      <c r="B23" s="126"/>
      <c r="C23" s="200" t="s">
        <v>151</v>
      </c>
      <c r="D23" s="208"/>
      <c r="E23" s="201"/>
      <c r="F23" s="201">
        <v>-142.30000000000001</v>
      </c>
      <c r="G23" s="201">
        <v>-141.30000000000001</v>
      </c>
      <c r="H23" s="201">
        <v>-135.6</v>
      </c>
      <c r="I23" s="229"/>
      <c r="J23" s="226"/>
      <c r="K23" s="128"/>
      <c r="L23" s="128"/>
      <c r="M23" s="128"/>
      <c r="N23" s="128"/>
      <c r="O23" s="128"/>
      <c r="P23" s="246"/>
      <c r="Q23" s="246"/>
      <c r="R23" s="246"/>
      <c r="S23" s="246"/>
      <c r="T23" s="246"/>
      <c r="U23" s="246"/>
      <c r="V23" s="246"/>
      <c r="W23" s="246"/>
      <c r="X23" s="245"/>
      <c r="Y23" s="245"/>
      <c r="Z23" s="245"/>
      <c r="AA23" s="245"/>
    </row>
    <row r="24" spans="1:109" s="124" customFormat="1" ht="14.25" customHeight="1">
      <c r="A24" s="120"/>
      <c r="B24" s="365"/>
      <c r="C24" s="200" t="s">
        <v>152</v>
      </c>
      <c r="D24" s="208"/>
      <c r="E24" s="201"/>
      <c r="F24" s="201">
        <v>-221</v>
      </c>
      <c r="G24" s="201">
        <v>-238.3</v>
      </c>
      <c r="H24" s="201">
        <v>-237.7</v>
      </c>
      <c r="I24" s="229"/>
      <c r="J24" s="226"/>
      <c r="K24" s="199"/>
      <c r="L24" s="199"/>
      <c r="M24" s="199"/>
      <c r="N24" s="199"/>
      <c r="O24" s="199"/>
      <c r="P24" s="246"/>
      <c r="Q24" s="246"/>
      <c r="R24" s="246"/>
      <c r="S24" s="246"/>
      <c r="T24" s="246"/>
      <c r="U24" s="246"/>
      <c r="V24" s="246"/>
      <c r="W24" s="246"/>
      <c r="X24" s="245"/>
      <c r="Y24" s="245"/>
      <c r="Z24" s="245"/>
      <c r="AA24" s="245"/>
    </row>
    <row r="25" spans="1:109" s="124" customFormat="1" ht="12.75">
      <c r="A25" s="120"/>
      <c r="B25" s="365"/>
      <c r="C25" s="204" t="s">
        <v>153</v>
      </c>
      <c r="D25" s="209">
        <f>SUM(D20:D24)</f>
        <v>95680.7</v>
      </c>
      <c r="E25" s="203">
        <f t="shared" ref="E25:H25" si="2">SUM(E20:E24)</f>
        <v>92449.999999999985</v>
      </c>
      <c r="F25" s="203">
        <f t="shared" si="2"/>
        <v>90097.8</v>
      </c>
      <c r="G25" s="203">
        <f t="shared" si="2"/>
        <v>88565.4</v>
      </c>
      <c r="H25" s="203">
        <f t="shared" si="2"/>
        <v>87154.5</v>
      </c>
      <c r="I25" s="232"/>
      <c r="J25" s="233"/>
      <c r="K25" s="128"/>
      <c r="L25" s="128"/>
      <c r="M25" s="128"/>
      <c r="N25" s="128"/>
      <c r="O25" s="128"/>
      <c r="P25" s="246"/>
      <c r="Q25" s="246"/>
      <c r="R25" s="246"/>
      <c r="S25" s="246"/>
      <c r="T25" s="246"/>
      <c r="U25" s="246"/>
      <c r="V25" s="246"/>
      <c r="W25" s="246"/>
      <c r="X25" s="245"/>
      <c r="Y25" s="245"/>
      <c r="Z25" s="245"/>
      <c r="AA25" s="245"/>
    </row>
    <row r="26" spans="1:109" s="124" customFormat="1" ht="14.25" customHeight="1">
      <c r="A26" s="120"/>
      <c r="B26" s="126"/>
      <c r="C26" s="200" t="s">
        <v>154</v>
      </c>
      <c r="D26" s="208">
        <v>37943.800000000003</v>
      </c>
      <c r="E26" s="201">
        <v>38009.300000000003</v>
      </c>
      <c r="F26" s="201">
        <v>37451</v>
      </c>
      <c r="G26" s="201">
        <v>36650</v>
      </c>
      <c r="H26" s="201">
        <v>35532.199999999997</v>
      </c>
      <c r="I26" s="234"/>
      <c r="J26" s="226"/>
      <c r="K26" s="128"/>
      <c r="L26" s="128"/>
      <c r="M26" s="128"/>
      <c r="N26" s="128"/>
      <c r="O26" s="128"/>
      <c r="P26" s="246"/>
      <c r="Q26" s="246"/>
      <c r="R26" s="246"/>
      <c r="S26" s="246"/>
      <c r="T26" s="246"/>
      <c r="U26" s="246"/>
      <c r="V26" s="246"/>
      <c r="W26" s="246"/>
      <c r="X26" s="245"/>
      <c r="Y26" s="245"/>
      <c r="Z26" s="245"/>
      <c r="AA26" s="245"/>
    </row>
    <row r="27" spans="1:109" s="124" customFormat="1" ht="14.25" customHeight="1">
      <c r="A27" s="120"/>
      <c r="B27" s="126"/>
      <c r="C27" s="202" t="s">
        <v>155</v>
      </c>
      <c r="D27" s="210">
        <v>1508.4</v>
      </c>
      <c r="E27" s="206">
        <v>1605.8</v>
      </c>
      <c r="F27" s="206">
        <v>1624</v>
      </c>
      <c r="G27" s="206">
        <v>1324.1</v>
      </c>
      <c r="H27" s="206">
        <v>1333.1</v>
      </c>
      <c r="I27" s="234"/>
      <c r="J27" s="226"/>
      <c r="K27" s="130"/>
      <c r="L27" s="130"/>
      <c r="M27" s="130"/>
      <c r="N27" s="130"/>
      <c r="O27" s="130"/>
      <c r="P27" s="246"/>
      <c r="Q27" s="246"/>
      <c r="R27" s="246"/>
      <c r="S27" s="246"/>
      <c r="T27" s="246"/>
      <c r="U27" s="246"/>
      <c r="V27" s="246"/>
      <c r="W27" s="246"/>
      <c r="X27" s="245"/>
      <c r="Y27" s="245"/>
      <c r="Z27" s="245"/>
      <c r="AA27" s="245"/>
    </row>
    <row r="28" spans="1:109" s="124" customFormat="1" ht="14.25" customHeight="1">
      <c r="A28" s="120"/>
      <c r="B28" s="126"/>
      <c r="C28" s="207" t="s">
        <v>156</v>
      </c>
      <c r="D28" s="209">
        <f>SUM(D25:D27)</f>
        <v>135132.9</v>
      </c>
      <c r="E28" s="203">
        <f t="shared" ref="E28:H28" si="3">SUM(E25:E27)</f>
        <v>132065.09999999998</v>
      </c>
      <c r="F28" s="203">
        <f t="shared" si="3"/>
        <v>129172.8</v>
      </c>
      <c r="G28" s="203">
        <f t="shared" si="3"/>
        <v>126539.5</v>
      </c>
      <c r="H28" s="203">
        <f t="shared" si="3"/>
        <v>124019.8</v>
      </c>
      <c r="I28" s="232"/>
      <c r="J28" s="233"/>
      <c r="K28" s="128"/>
      <c r="L28" s="128"/>
      <c r="M28" s="128"/>
      <c r="N28" s="128"/>
      <c r="O28" s="128"/>
      <c r="P28" s="246"/>
      <c r="Q28" s="246"/>
      <c r="R28" s="246"/>
      <c r="S28" s="246"/>
      <c r="T28" s="246"/>
      <c r="U28" s="246"/>
      <c r="V28" s="246"/>
      <c r="W28" s="246"/>
      <c r="X28" s="245"/>
      <c r="Y28" s="245"/>
      <c r="Z28" s="245"/>
      <c r="AA28" s="245"/>
    </row>
    <row r="29" spans="1:109" s="124" customFormat="1" ht="9">
      <c r="A29" s="120"/>
      <c r="B29" s="126"/>
      <c r="C29" s="127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246"/>
      <c r="Q29" s="246"/>
      <c r="R29" s="246"/>
      <c r="S29" s="246"/>
      <c r="T29" s="246"/>
      <c r="U29" s="246"/>
      <c r="V29" s="246"/>
      <c r="W29" s="246"/>
      <c r="X29" s="245"/>
      <c r="Y29" s="245"/>
      <c r="Z29" s="245"/>
      <c r="AA29" s="245"/>
    </row>
    <row r="30" spans="1:109" s="124" customFormat="1" ht="14.25" customHeight="1">
      <c r="A30" s="331"/>
      <c r="B30" s="332"/>
      <c r="C30" s="333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5"/>
      <c r="Q30" s="335"/>
      <c r="R30" s="335"/>
      <c r="S30" s="336"/>
      <c r="T30" s="336"/>
      <c r="U30" s="336"/>
      <c r="V30" s="336"/>
      <c r="W30" s="336"/>
      <c r="X30" s="336"/>
      <c r="Y30" s="336"/>
      <c r="Z30" s="336"/>
      <c r="AA30" s="336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  <c r="BB30" s="337"/>
      <c r="BC30" s="337"/>
      <c r="BD30" s="337"/>
      <c r="BE30" s="337"/>
      <c r="BF30" s="337"/>
      <c r="BG30" s="337"/>
      <c r="BH30" s="337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/>
      <c r="CC30" s="337"/>
      <c r="CD30" s="337"/>
      <c r="CE30" s="337"/>
      <c r="CF30" s="337"/>
      <c r="CG30" s="337"/>
      <c r="CH30" s="337"/>
      <c r="CI30" s="337"/>
      <c r="CJ30" s="337"/>
      <c r="CK30" s="337"/>
      <c r="CL30" s="337"/>
      <c r="CM30" s="337"/>
      <c r="CN30" s="337"/>
      <c r="CO30" s="337"/>
      <c r="CP30" s="337"/>
      <c r="CQ30" s="337"/>
      <c r="CR30" s="337"/>
      <c r="CS30" s="337"/>
      <c r="CT30" s="337"/>
      <c r="CU30" s="337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</row>
    <row r="31" spans="1:109" s="124" customFormat="1" ht="14.25" customHeight="1">
      <c r="A31" s="331"/>
      <c r="B31" s="332"/>
      <c r="C31" s="333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5"/>
      <c r="Q31" s="335"/>
      <c r="R31" s="335"/>
      <c r="S31" s="336"/>
      <c r="T31" s="336"/>
      <c r="U31" s="336"/>
      <c r="V31" s="336"/>
      <c r="W31" s="336"/>
      <c r="X31" s="336"/>
      <c r="Y31" s="336"/>
      <c r="Z31" s="336"/>
      <c r="AA31" s="336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  <c r="BB31" s="337"/>
      <c r="BC31" s="337"/>
      <c r="BD31" s="337"/>
      <c r="BE31" s="337"/>
      <c r="BF31" s="337"/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37"/>
      <c r="CF31" s="337"/>
      <c r="CG31" s="337"/>
      <c r="CH31" s="337"/>
      <c r="CI31" s="337"/>
      <c r="CJ31" s="337"/>
      <c r="CK31" s="337"/>
      <c r="CL31" s="337"/>
      <c r="CM31" s="337"/>
      <c r="CN31" s="337"/>
      <c r="CO31" s="337"/>
      <c r="CP31" s="337"/>
      <c r="CQ31" s="337"/>
      <c r="CR31" s="337"/>
      <c r="CS31" s="337"/>
      <c r="CT31" s="337"/>
      <c r="CU31" s="337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</row>
    <row r="32" spans="1:109" s="124" customFormat="1" ht="14.25" customHeight="1">
      <c r="A32" s="331"/>
      <c r="B32" s="332"/>
      <c r="C32" s="333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5"/>
      <c r="Q32" s="335"/>
      <c r="R32" s="335"/>
      <c r="S32" s="336"/>
      <c r="T32" s="336"/>
      <c r="U32" s="336"/>
      <c r="V32" s="336"/>
      <c r="W32" s="336"/>
      <c r="X32" s="336"/>
      <c r="Y32" s="336"/>
      <c r="Z32" s="336"/>
      <c r="AA32" s="336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7"/>
      <c r="BD32" s="337"/>
      <c r="BE32" s="337"/>
      <c r="BF32" s="337"/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</row>
    <row r="33" spans="1:109" s="124" customFormat="1" ht="14.25" customHeight="1">
      <c r="A33" s="331"/>
      <c r="B33" s="332"/>
      <c r="C33" s="333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5"/>
      <c r="Q33" s="335"/>
      <c r="R33" s="335"/>
      <c r="S33" s="336"/>
      <c r="T33" s="336"/>
      <c r="U33" s="336"/>
      <c r="V33" s="336"/>
      <c r="W33" s="336"/>
      <c r="X33" s="336"/>
      <c r="Y33" s="336"/>
      <c r="Z33" s="336"/>
      <c r="AA33" s="336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</row>
    <row r="34" spans="1:109" s="124" customFormat="1" ht="14.25" customHeight="1">
      <c r="A34" s="331"/>
      <c r="B34" s="332"/>
      <c r="C34" s="333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5"/>
      <c r="Q34" s="335"/>
      <c r="R34" s="335"/>
      <c r="S34" s="336"/>
      <c r="T34" s="336"/>
      <c r="U34" s="336"/>
      <c r="V34" s="336"/>
      <c r="W34" s="336"/>
      <c r="X34" s="336"/>
      <c r="Y34" s="336"/>
      <c r="Z34" s="336"/>
      <c r="AA34" s="336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  <c r="BF34" s="337"/>
      <c r="BG34" s="337"/>
      <c r="BH34" s="337"/>
      <c r="BI34" s="337"/>
      <c r="BJ34" s="337"/>
      <c r="BK34" s="337"/>
      <c r="BL34" s="337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37"/>
      <c r="CA34" s="337"/>
      <c r="CB34" s="337"/>
      <c r="CC34" s="337"/>
      <c r="CD34" s="337"/>
      <c r="CE34" s="337"/>
      <c r="CF34" s="337"/>
      <c r="CG34" s="337"/>
      <c r="CH34" s="337"/>
      <c r="CI34" s="337"/>
      <c r="CJ34" s="337"/>
      <c r="CK34" s="337"/>
      <c r="CL34" s="337"/>
      <c r="CM34" s="337"/>
      <c r="CN34" s="337"/>
      <c r="CO34" s="337"/>
      <c r="CP34" s="337"/>
      <c r="CQ34" s="337"/>
      <c r="CR34" s="337"/>
      <c r="CS34" s="337"/>
      <c r="CT34" s="337"/>
      <c r="CU34" s="337"/>
      <c r="CV34" s="337"/>
      <c r="CW34" s="337"/>
      <c r="CX34" s="337"/>
      <c r="CY34" s="337"/>
      <c r="CZ34" s="337"/>
      <c r="DA34" s="337"/>
      <c r="DB34" s="337"/>
      <c r="DC34" s="337"/>
      <c r="DD34" s="337"/>
      <c r="DE34" s="337"/>
    </row>
    <row r="35" spans="1:109" s="124" customFormat="1" ht="14.25" customHeight="1">
      <c r="A35" s="331"/>
      <c r="B35" s="332"/>
      <c r="C35" s="338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5"/>
      <c r="Q35" s="335"/>
      <c r="R35" s="335"/>
      <c r="S35" s="336"/>
      <c r="T35" s="336"/>
      <c r="U35" s="336"/>
      <c r="V35" s="336"/>
      <c r="W35" s="336"/>
      <c r="X35" s="336"/>
      <c r="Y35" s="336"/>
      <c r="Z35" s="336"/>
      <c r="AA35" s="336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7"/>
      <c r="BC35" s="337"/>
      <c r="BD35" s="337"/>
      <c r="BE35" s="337"/>
      <c r="BF35" s="337"/>
      <c r="BG35" s="337"/>
      <c r="BH35" s="337"/>
      <c r="BI35" s="337"/>
      <c r="BJ35" s="337"/>
      <c r="BK35" s="337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7"/>
      <c r="CB35" s="337"/>
      <c r="CC35" s="337"/>
      <c r="CD35" s="337"/>
      <c r="CE35" s="337"/>
      <c r="CF35" s="337"/>
      <c r="CG35" s="337"/>
      <c r="CH35" s="337"/>
      <c r="CI35" s="337"/>
      <c r="CJ35" s="337"/>
      <c r="CK35" s="337"/>
      <c r="CL35" s="337"/>
      <c r="CM35" s="337"/>
      <c r="CN35" s="337"/>
      <c r="CO35" s="337"/>
      <c r="CP35" s="337"/>
      <c r="CQ35" s="337"/>
      <c r="CR35" s="337"/>
      <c r="CS35" s="337"/>
      <c r="CT35" s="337"/>
      <c r="CU35" s="337"/>
      <c r="CV35" s="337"/>
      <c r="CW35" s="337"/>
      <c r="CX35" s="337"/>
      <c r="CY35" s="337"/>
      <c r="CZ35" s="337"/>
      <c r="DA35" s="337"/>
      <c r="DB35" s="337"/>
      <c r="DC35" s="337"/>
      <c r="DD35" s="337"/>
      <c r="DE35" s="337"/>
    </row>
    <row r="36" spans="1:109" s="124" customFormat="1" ht="14.25" customHeight="1">
      <c r="A36" s="331"/>
      <c r="B36" s="332"/>
      <c r="C36" s="333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40"/>
      <c r="Q36" s="340"/>
      <c r="R36" s="340"/>
      <c r="S36" s="336"/>
      <c r="T36" s="336"/>
      <c r="U36" s="336"/>
      <c r="V36" s="336"/>
      <c r="W36" s="336"/>
      <c r="X36" s="336"/>
      <c r="Y36" s="336"/>
      <c r="Z36" s="336"/>
      <c r="AA36" s="336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7"/>
      <c r="BC36" s="337"/>
      <c r="BD36" s="337"/>
      <c r="BE36" s="337"/>
      <c r="BF36" s="337"/>
      <c r="BG36" s="337"/>
      <c r="BH36" s="337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7"/>
      <c r="CO36" s="337"/>
      <c r="CP36" s="337"/>
      <c r="CQ36" s="337"/>
      <c r="CR36" s="337"/>
      <c r="CS36" s="337"/>
      <c r="CT36" s="337"/>
      <c r="CU36" s="337"/>
      <c r="CV36" s="337"/>
      <c r="CW36" s="337"/>
      <c r="CX36" s="337"/>
      <c r="CY36" s="337"/>
      <c r="CZ36" s="337"/>
      <c r="DA36" s="337"/>
      <c r="DB36" s="337"/>
      <c r="DC36" s="337"/>
      <c r="DD36" s="337"/>
      <c r="DE36" s="337"/>
    </row>
    <row r="37" spans="1:109" s="124" customFormat="1" ht="13.5" customHeight="1">
      <c r="A37" s="331"/>
      <c r="B37" s="332"/>
      <c r="C37" s="333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2"/>
      <c r="Q37" s="342"/>
      <c r="R37" s="342"/>
      <c r="S37" s="336"/>
      <c r="T37" s="336"/>
      <c r="U37" s="336"/>
      <c r="V37" s="336"/>
      <c r="W37" s="336"/>
      <c r="X37" s="336"/>
      <c r="Y37" s="336"/>
      <c r="Z37" s="336"/>
      <c r="AA37" s="336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7"/>
      <c r="CT37" s="337"/>
      <c r="CU37" s="337"/>
      <c r="CV37" s="337"/>
      <c r="CW37" s="337"/>
      <c r="CX37" s="337"/>
      <c r="CY37" s="337"/>
      <c r="CZ37" s="337"/>
      <c r="DA37" s="337"/>
      <c r="DB37" s="337"/>
      <c r="DC37" s="337"/>
      <c r="DD37" s="337"/>
      <c r="DE37" s="337"/>
    </row>
    <row r="38" spans="1:109" s="124" customFormat="1" ht="14.25" customHeight="1">
      <c r="A38" s="331"/>
      <c r="B38" s="332"/>
      <c r="C38" s="333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  <c r="BB38" s="337"/>
      <c r="BC38" s="337"/>
      <c r="BD38" s="337"/>
      <c r="BE38" s="337"/>
      <c r="BF38" s="337"/>
      <c r="BG38" s="337"/>
      <c r="BH38" s="337"/>
      <c r="BI38" s="337"/>
      <c r="BJ38" s="337"/>
      <c r="BK38" s="337"/>
      <c r="BL38" s="337"/>
      <c r="BM38" s="337"/>
      <c r="BN38" s="337"/>
      <c r="BO38" s="337"/>
      <c r="BP38" s="337"/>
      <c r="BQ38" s="337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7"/>
      <c r="CR38" s="337"/>
      <c r="CS38" s="337"/>
      <c r="CT38" s="337"/>
      <c r="CU38" s="337"/>
      <c r="CV38" s="337"/>
      <c r="CW38" s="337"/>
      <c r="CX38" s="337"/>
      <c r="CY38" s="337"/>
      <c r="CZ38" s="337"/>
      <c r="DA38" s="337"/>
      <c r="DB38" s="337"/>
      <c r="DC38" s="337"/>
      <c r="DD38" s="337"/>
      <c r="DE38" s="337"/>
    </row>
    <row r="39" spans="1:109" s="124" customFormat="1" ht="14.25" customHeight="1">
      <c r="A39" s="331"/>
      <c r="B39" s="332"/>
      <c r="C39" s="333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  <c r="CN39" s="337"/>
      <c r="CO39" s="337"/>
      <c r="CP39" s="337"/>
      <c r="CQ39" s="337"/>
      <c r="CR39" s="337"/>
      <c r="CS39" s="337"/>
      <c r="CT39" s="337"/>
      <c r="CU39" s="337"/>
      <c r="CV39" s="337"/>
      <c r="CW39" s="337"/>
      <c r="CX39" s="337"/>
      <c r="CY39" s="337"/>
      <c r="CZ39" s="337"/>
      <c r="DA39" s="337"/>
      <c r="DB39" s="337"/>
      <c r="DC39" s="337"/>
      <c r="DD39" s="337"/>
      <c r="DE39" s="337"/>
    </row>
    <row r="40" spans="1:109" s="124" customFormat="1" ht="14.25" customHeight="1">
      <c r="A40" s="331"/>
      <c r="B40" s="332"/>
      <c r="C40" s="333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  <c r="BG40" s="337"/>
      <c r="BH40" s="337"/>
      <c r="BI40" s="337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37"/>
      <c r="CT40" s="337"/>
      <c r="CU40" s="337"/>
      <c r="CV40" s="337"/>
      <c r="CW40" s="337"/>
      <c r="CX40" s="337"/>
      <c r="CY40" s="337"/>
      <c r="CZ40" s="337"/>
      <c r="DA40" s="337"/>
      <c r="DB40" s="337"/>
      <c r="DC40" s="337"/>
      <c r="DD40" s="337"/>
      <c r="DE40" s="337"/>
    </row>
    <row r="41" spans="1:109" s="124" customFormat="1" ht="14.25" customHeight="1">
      <c r="A41" s="139" t="s">
        <v>314</v>
      </c>
      <c r="B41" s="99"/>
      <c r="C41" s="99"/>
      <c r="D41" s="99"/>
      <c r="E41" s="98"/>
      <c r="F41" s="98"/>
      <c r="G41"/>
      <c r="H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337"/>
      <c r="BF41" s="337"/>
      <c r="BG41" s="337"/>
      <c r="BH41" s="337"/>
      <c r="BI41" s="337"/>
      <c r="BJ41" s="337"/>
      <c r="BK41" s="337"/>
      <c r="BL41" s="337"/>
      <c r="BM41" s="337"/>
      <c r="BN41" s="337"/>
      <c r="BO41" s="337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7"/>
      <c r="CO41" s="337"/>
      <c r="CP41" s="337"/>
      <c r="CQ41" s="337"/>
      <c r="CR41" s="337"/>
      <c r="CS41" s="337"/>
      <c r="CT41" s="337"/>
      <c r="CU41" s="337"/>
      <c r="CV41" s="337"/>
      <c r="CW41" s="337"/>
      <c r="CX41" s="337"/>
      <c r="CY41" s="337"/>
      <c r="CZ41" s="337"/>
      <c r="DA41" s="337"/>
      <c r="DB41" s="337"/>
      <c r="DC41" s="337"/>
      <c r="DD41" s="337"/>
      <c r="DE41" s="337"/>
    </row>
    <row r="42" spans="1:109" s="124" customFormat="1" ht="14.25" customHeight="1">
      <c r="A42" s="139"/>
      <c r="B42" s="99"/>
      <c r="C42" s="99"/>
      <c r="D42" s="99"/>
      <c r="E42" s="98"/>
      <c r="F42" s="98"/>
      <c r="G42"/>
      <c r="H42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  <c r="BB42" s="337"/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</row>
    <row r="43" spans="1:109" s="124" customFormat="1" ht="15">
      <c r="A43" s="139"/>
      <c r="B43" s="96"/>
      <c r="C43" s="96"/>
      <c r="D43" s="97"/>
      <c r="E43" s="98"/>
      <c r="F43" s="98"/>
      <c r="G43"/>
      <c r="H43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  <c r="CR43" s="337"/>
      <c r="CS43" s="337"/>
      <c r="CT43" s="337"/>
      <c r="CU43" s="337"/>
      <c r="CV43" s="337"/>
      <c r="CW43" s="337"/>
      <c r="CX43" s="337"/>
      <c r="CY43" s="337"/>
      <c r="CZ43" s="337"/>
      <c r="DA43" s="337"/>
      <c r="DB43" s="337"/>
      <c r="DC43" s="337"/>
      <c r="DD43" s="337"/>
      <c r="DE43" s="337"/>
    </row>
    <row r="44" spans="1:109" s="124" customFormat="1" ht="12.75">
      <c r="A44"/>
      <c r="B44"/>
      <c r="C44" s="240" t="s">
        <v>310</v>
      </c>
      <c r="D44" s="356" t="s">
        <v>292</v>
      </c>
      <c r="E44" s="236" t="s">
        <v>95</v>
      </c>
      <c r="F44" s="236" t="s">
        <v>94</v>
      </c>
      <c r="G44" s="357" t="s">
        <v>93</v>
      </c>
      <c r="H44" s="357" t="s">
        <v>99</v>
      </c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  <c r="CO44" s="337"/>
      <c r="CP44" s="337"/>
      <c r="CQ44" s="337"/>
      <c r="CR44" s="337"/>
      <c r="CS44" s="337"/>
      <c r="CT44" s="337"/>
      <c r="CU44" s="337"/>
      <c r="CV44" s="337"/>
      <c r="CW44" s="337"/>
      <c r="CX44" s="337"/>
      <c r="CY44" s="337"/>
      <c r="CZ44" s="337"/>
      <c r="DA44" s="337"/>
      <c r="DB44" s="337"/>
      <c r="DC44" s="337"/>
      <c r="DD44" s="337"/>
      <c r="DE44" s="337"/>
    </row>
    <row r="45" spans="1:109" s="124" customFormat="1" ht="12.75">
      <c r="A45"/>
      <c r="B45"/>
      <c r="C45" s="216" t="s">
        <v>311</v>
      </c>
      <c r="D45" s="362">
        <f>D20</f>
        <v>96039.6</v>
      </c>
      <c r="E45" s="363">
        <f t="shared" ref="E45:H45" si="4">E20</f>
        <v>92817.799999999988</v>
      </c>
      <c r="F45" s="363">
        <f t="shared" si="4"/>
        <v>90461.1</v>
      </c>
      <c r="G45" s="363">
        <f t="shared" si="4"/>
        <v>88945</v>
      </c>
      <c r="H45" s="363">
        <f t="shared" si="4"/>
        <v>87527.8</v>
      </c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</row>
    <row r="46" spans="1:109" s="124" customFormat="1" ht="12.75">
      <c r="A46"/>
      <c r="B46"/>
      <c r="C46" s="213" t="s">
        <v>319</v>
      </c>
      <c r="D46" s="210">
        <v>13551.7</v>
      </c>
      <c r="E46" s="360">
        <v>13553.5</v>
      </c>
      <c r="F46" s="360">
        <v>12692.1</v>
      </c>
      <c r="G46" s="361">
        <v>13048.7</v>
      </c>
      <c r="H46" s="361">
        <v>12988.5</v>
      </c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337"/>
    </row>
    <row r="47" spans="1:109" s="124" customFormat="1" ht="12.75">
      <c r="A47"/>
      <c r="B47"/>
      <c r="C47" s="358" t="s">
        <v>312</v>
      </c>
      <c r="D47" s="219">
        <f>D45-D46</f>
        <v>82487.900000000009</v>
      </c>
      <c r="E47" s="233">
        <f t="shared" ref="E47:H47" si="5">E45-E46</f>
        <v>79264.299999999988</v>
      </c>
      <c r="F47" s="233">
        <f t="shared" si="5"/>
        <v>77769</v>
      </c>
      <c r="G47" s="359">
        <f t="shared" si="5"/>
        <v>75896.3</v>
      </c>
      <c r="H47" s="359">
        <f t="shared" si="5"/>
        <v>74539.3</v>
      </c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337"/>
    </row>
    <row r="48" spans="1:109" s="124" customFormat="1" ht="12.75">
      <c r="A48" s="331"/>
      <c r="B48" s="332"/>
      <c r="C48" s="213" t="s">
        <v>317</v>
      </c>
      <c r="D48" s="210">
        <f>SUM(D26:D27)</f>
        <v>39452.200000000004</v>
      </c>
      <c r="E48" s="360">
        <f t="shared" ref="E48:H48" si="6">SUM(E26:E27)</f>
        <v>39615.100000000006</v>
      </c>
      <c r="F48" s="360">
        <f t="shared" si="6"/>
        <v>39075</v>
      </c>
      <c r="G48" s="361">
        <f t="shared" si="6"/>
        <v>37974.1</v>
      </c>
      <c r="H48" s="361">
        <f t="shared" si="6"/>
        <v>36865.299999999996</v>
      </c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  <c r="CO48" s="337"/>
      <c r="CP48" s="337"/>
      <c r="CQ48" s="337"/>
      <c r="CR48" s="337"/>
      <c r="CS48" s="337"/>
      <c r="CT48" s="337"/>
      <c r="CU48" s="337"/>
      <c r="CV48" s="337"/>
      <c r="CW48" s="337"/>
      <c r="CX48" s="337"/>
      <c r="CY48" s="337"/>
      <c r="CZ48" s="337"/>
      <c r="DA48" s="337"/>
      <c r="DB48" s="337"/>
      <c r="DC48" s="337"/>
      <c r="DD48" s="337"/>
      <c r="DE48" s="337"/>
    </row>
    <row r="49" spans="1:109" s="124" customFormat="1" ht="12.75">
      <c r="A49" s="331"/>
      <c r="B49" s="332"/>
      <c r="C49" s="358" t="s">
        <v>312</v>
      </c>
      <c r="D49" s="219">
        <f>D47+D48</f>
        <v>121940.1</v>
      </c>
      <c r="E49" s="233">
        <f t="shared" ref="E49:H49" si="7">E47+E48</f>
        <v>118879.4</v>
      </c>
      <c r="F49" s="233">
        <f t="shared" si="7"/>
        <v>116844</v>
      </c>
      <c r="G49" s="359">
        <f t="shared" si="7"/>
        <v>113870.39999999999</v>
      </c>
      <c r="H49" s="359">
        <f t="shared" si="7"/>
        <v>111404.6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337"/>
    </row>
    <row r="50" spans="1:109" s="124" customFormat="1" ht="12.75">
      <c r="A50" s="331"/>
      <c r="B50" s="332"/>
      <c r="D50" s="35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37"/>
      <c r="BF50" s="337"/>
      <c r="BG50" s="337"/>
      <c r="BH50" s="337"/>
      <c r="BI50" s="337"/>
      <c r="BJ50" s="337"/>
      <c r="BK50" s="337"/>
      <c r="BL50" s="337"/>
      <c r="BM50" s="337"/>
      <c r="BN50" s="337"/>
      <c r="BO50" s="337"/>
      <c r="BP50" s="337"/>
      <c r="BQ50" s="337"/>
      <c r="BR50" s="337"/>
      <c r="BS50" s="337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337"/>
      <c r="CE50" s="337"/>
      <c r="CF50" s="337"/>
      <c r="CG50" s="337"/>
      <c r="CH50" s="337"/>
      <c r="CI50" s="337"/>
      <c r="CJ50" s="337"/>
      <c r="CK50" s="337"/>
      <c r="CL50" s="337"/>
      <c r="CM50" s="337"/>
      <c r="CN50" s="337"/>
      <c r="CO50" s="337"/>
      <c r="CP50" s="337"/>
      <c r="CQ50" s="337"/>
      <c r="CR50" s="337"/>
      <c r="CS50" s="337"/>
      <c r="CT50" s="337"/>
      <c r="CU50" s="337"/>
      <c r="CV50" s="337"/>
      <c r="CW50" s="337"/>
      <c r="CX50" s="337"/>
      <c r="CY50" s="337"/>
      <c r="CZ50" s="337"/>
      <c r="DA50" s="337"/>
      <c r="DB50" s="337"/>
      <c r="DC50" s="337"/>
      <c r="DD50" s="337"/>
      <c r="DE50" s="337"/>
    </row>
    <row r="51" spans="1:109" s="124" customFormat="1" ht="12.75">
      <c r="A51" s="331"/>
      <c r="B51" s="332"/>
      <c r="C51" s="352" t="s">
        <v>315</v>
      </c>
      <c r="D51" s="350"/>
      <c r="E51" s="343"/>
      <c r="F51" s="343"/>
      <c r="G51" s="343"/>
      <c r="H51" s="343"/>
      <c r="I51" s="343"/>
      <c r="J51" s="343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</row>
    <row r="52" spans="1:109" s="124" customFormat="1" ht="12.75">
      <c r="A52" s="331"/>
      <c r="B52" s="344"/>
      <c r="D52" s="350"/>
      <c r="E52" s="346"/>
      <c r="F52" s="346"/>
      <c r="G52" s="346"/>
      <c r="H52" s="346"/>
      <c r="I52" s="346"/>
      <c r="J52" s="346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337"/>
    </row>
    <row r="53" spans="1:109" s="124" customFormat="1" ht="12.75">
      <c r="A53" s="331"/>
      <c r="B53" s="344"/>
      <c r="C53" s="345"/>
      <c r="D53" s="350"/>
      <c r="E53" s="346"/>
      <c r="F53" s="346"/>
      <c r="G53" s="346"/>
      <c r="H53" s="346"/>
      <c r="I53" s="346"/>
      <c r="J53" s="346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  <c r="BC53" s="337"/>
      <c r="BD53" s="337"/>
      <c r="BE53" s="337"/>
      <c r="BF53" s="337"/>
      <c r="BG53" s="337"/>
      <c r="BH53" s="337"/>
      <c r="BI53" s="337"/>
      <c r="BJ53" s="337"/>
      <c r="BK53" s="337"/>
      <c r="BL53" s="337"/>
      <c r="BM53" s="337"/>
      <c r="BN53" s="337"/>
      <c r="BO53" s="337"/>
      <c r="BP53" s="337"/>
      <c r="BQ53" s="337"/>
      <c r="BR53" s="337"/>
      <c r="BS53" s="337"/>
      <c r="BT53" s="337"/>
      <c r="BU53" s="337"/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337"/>
    </row>
    <row r="54" spans="1:109" s="124" customFormat="1" ht="12.75">
      <c r="A54" s="331"/>
      <c r="B54" s="344"/>
      <c r="C54" s="345"/>
      <c r="D54" s="350"/>
      <c r="E54" s="346"/>
      <c r="F54" s="346"/>
      <c r="G54" s="346"/>
      <c r="H54" s="346"/>
      <c r="I54" s="346"/>
      <c r="J54" s="346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37"/>
      <c r="BF54" s="337"/>
      <c r="BG54" s="337"/>
      <c r="BH54" s="337"/>
      <c r="BI54" s="337"/>
      <c r="BJ54" s="337"/>
      <c r="BK54" s="337"/>
      <c r="BL54" s="337"/>
      <c r="BM54" s="337"/>
      <c r="BN54" s="337"/>
      <c r="BO54" s="337"/>
      <c r="BP54" s="337"/>
      <c r="BQ54" s="337"/>
      <c r="BR54" s="337"/>
      <c r="BS54" s="337"/>
      <c r="BT54" s="337"/>
      <c r="BU54" s="337"/>
      <c r="BV54" s="337"/>
      <c r="BW54" s="337"/>
      <c r="BX54" s="337"/>
      <c r="BY54" s="337"/>
      <c r="BZ54" s="337"/>
      <c r="CA54" s="337"/>
      <c r="CB54" s="337"/>
      <c r="CC54" s="337"/>
      <c r="CD54" s="337"/>
      <c r="CE54" s="337"/>
      <c r="CF54" s="337"/>
      <c r="CG54" s="337"/>
      <c r="CH54" s="337"/>
      <c r="CI54" s="337"/>
      <c r="CJ54" s="337"/>
      <c r="CK54" s="337"/>
      <c r="CL54" s="337"/>
      <c r="CM54" s="337"/>
      <c r="CN54" s="337"/>
      <c r="CO54" s="337"/>
      <c r="CP54" s="337"/>
      <c r="CQ54" s="337"/>
      <c r="CR54" s="337"/>
      <c r="CS54" s="337"/>
      <c r="CT54" s="337"/>
      <c r="CU54" s="337"/>
      <c r="CV54" s="337"/>
      <c r="CW54" s="337"/>
      <c r="CX54" s="337"/>
      <c r="CY54" s="337"/>
      <c r="CZ54" s="337"/>
      <c r="DA54" s="337"/>
      <c r="DB54" s="337"/>
      <c r="DC54" s="337"/>
      <c r="DD54" s="337"/>
      <c r="DE54" s="337"/>
    </row>
    <row r="55" spans="1:109" s="124" customFormat="1" ht="12.75">
      <c r="A55" s="331"/>
      <c r="B55" s="344"/>
      <c r="C55" s="345"/>
      <c r="D55" s="350"/>
      <c r="E55" s="346"/>
      <c r="F55" s="346"/>
      <c r="G55" s="346"/>
      <c r="H55" s="346"/>
      <c r="I55" s="346"/>
      <c r="J55" s="346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</row>
    <row r="56" spans="1:109" s="124" customFormat="1" ht="12.75">
      <c r="A56" s="331"/>
      <c r="B56" s="344"/>
      <c r="C56" s="345"/>
      <c r="D56" s="350"/>
      <c r="E56" s="346"/>
      <c r="F56" s="346"/>
      <c r="G56" s="346"/>
      <c r="H56" s="346"/>
      <c r="I56" s="346"/>
      <c r="J56" s="346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  <c r="CJ56" s="337"/>
      <c r="CK56" s="337"/>
      <c r="CL56" s="337"/>
      <c r="CM56" s="337"/>
      <c r="CN56" s="337"/>
      <c r="CO56" s="337"/>
      <c r="CP56" s="337"/>
      <c r="CQ56" s="337"/>
      <c r="CR56" s="337"/>
      <c r="CS56" s="337"/>
      <c r="CT56" s="337"/>
      <c r="CU56" s="337"/>
      <c r="CV56" s="337"/>
      <c r="CW56" s="337"/>
      <c r="CX56" s="337"/>
      <c r="CY56" s="337"/>
      <c r="CZ56" s="337"/>
      <c r="DA56" s="337"/>
      <c r="DB56" s="337"/>
      <c r="DC56" s="337"/>
      <c r="DD56" s="337"/>
      <c r="DE56" s="337"/>
    </row>
    <row r="57" spans="1:109" s="124" customFormat="1" ht="12.75">
      <c r="A57" s="331"/>
      <c r="B57" s="344"/>
      <c r="C57" s="345"/>
      <c r="D57" s="350"/>
      <c r="E57" s="346"/>
      <c r="F57" s="346"/>
      <c r="G57" s="346"/>
      <c r="H57" s="346"/>
      <c r="I57" s="346"/>
      <c r="J57" s="346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7"/>
      <c r="CW57" s="337"/>
      <c r="CX57" s="337"/>
      <c r="CY57" s="337"/>
      <c r="CZ57" s="337"/>
      <c r="DA57" s="337"/>
      <c r="DB57" s="337"/>
      <c r="DC57" s="337"/>
      <c r="DD57" s="337"/>
      <c r="DE57" s="337"/>
    </row>
    <row r="58" spans="1:109" s="124" customFormat="1" ht="12.75">
      <c r="A58" s="331"/>
      <c r="B58" s="344"/>
      <c r="C58" s="345"/>
      <c r="D58" s="350"/>
      <c r="E58" s="346"/>
      <c r="F58" s="346"/>
      <c r="G58" s="346"/>
      <c r="H58" s="346"/>
      <c r="I58" s="346"/>
      <c r="J58" s="346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/>
      <c r="BK58" s="337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  <c r="CJ58" s="337"/>
      <c r="CK58" s="337"/>
      <c r="CL58" s="337"/>
      <c r="CM58" s="337"/>
      <c r="CN58" s="337"/>
      <c r="CO58" s="337"/>
      <c r="CP58" s="337"/>
      <c r="CQ58" s="337"/>
      <c r="CR58" s="337"/>
      <c r="CS58" s="337"/>
      <c r="CT58" s="337"/>
      <c r="CU58" s="337"/>
      <c r="CV58" s="337"/>
      <c r="CW58" s="337"/>
      <c r="CX58" s="337"/>
      <c r="CY58" s="337"/>
      <c r="CZ58" s="337"/>
      <c r="DA58" s="337"/>
      <c r="DB58" s="337"/>
      <c r="DC58" s="337"/>
      <c r="DD58" s="337"/>
      <c r="DE58" s="337"/>
    </row>
    <row r="59" spans="1:109" s="134" customFormat="1" ht="12.75">
      <c r="A59" s="347"/>
      <c r="B59" s="348"/>
      <c r="C59" s="345"/>
      <c r="D59" s="350"/>
      <c r="E59" s="345"/>
      <c r="F59" s="345"/>
      <c r="G59" s="345"/>
      <c r="H59" s="345"/>
      <c r="I59" s="345"/>
      <c r="J59" s="345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  <c r="BW59" s="347"/>
      <c r="BX59" s="347"/>
      <c r="BY59" s="347"/>
      <c r="BZ59" s="347"/>
      <c r="CA59" s="347"/>
      <c r="CB59" s="347"/>
      <c r="CC59" s="347"/>
      <c r="CD59" s="347"/>
      <c r="CE59" s="347"/>
      <c r="CF59" s="347"/>
      <c r="CG59" s="347"/>
      <c r="CH59" s="347"/>
      <c r="CI59" s="347"/>
      <c r="CJ59" s="347"/>
      <c r="CK59" s="347"/>
      <c r="CL59" s="347"/>
      <c r="CM59" s="347"/>
      <c r="CN59" s="347"/>
      <c r="CO59" s="347"/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7"/>
      <c r="DB59" s="347"/>
      <c r="DC59" s="347"/>
      <c r="DD59" s="347"/>
      <c r="DE59" s="347"/>
    </row>
    <row r="60" spans="1:109" s="134" customFormat="1" ht="12.75">
      <c r="A60" s="347"/>
      <c r="B60" s="348"/>
      <c r="C60" s="345"/>
      <c r="D60" s="350"/>
      <c r="E60" s="345"/>
      <c r="F60" s="345"/>
      <c r="G60" s="345"/>
      <c r="H60" s="345"/>
      <c r="I60" s="345"/>
      <c r="J60" s="345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7"/>
      <c r="CW60" s="347"/>
      <c r="CX60" s="347"/>
      <c r="CY60" s="347"/>
      <c r="CZ60" s="347"/>
      <c r="DA60" s="347"/>
      <c r="DB60" s="347"/>
      <c r="DC60" s="347"/>
      <c r="DD60" s="347"/>
      <c r="DE60" s="347"/>
    </row>
    <row r="61" spans="1:109" s="134" customFormat="1" ht="12.75">
      <c r="A61" s="347"/>
      <c r="B61" s="348"/>
      <c r="C61" s="345"/>
      <c r="D61" s="350"/>
      <c r="E61" s="345"/>
      <c r="F61" s="345"/>
      <c r="G61" s="345"/>
      <c r="H61" s="345"/>
      <c r="I61" s="345"/>
      <c r="J61" s="345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  <c r="BK61" s="347"/>
      <c r="BL61" s="347"/>
      <c r="BM61" s="347"/>
      <c r="BN61" s="347"/>
      <c r="BO61" s="347"/>
      <c r="BP61" s="347"/>
      <c r="BQ61" s="347"/>
      <c r="BR61" s="347"/>
      <c r="BS61" s="347"/>
      <c r="BT61" s="347"/>
      <c r="BU61" s="347"/>
      <c r="BV61" s="347"/>
      <c r="BW61" s="347"/>
      <c r="BX61" s="347"/>
      <c r="BY61" s="347"/>
      <c r="BZ61" s="347"/>
      <c r="CA61" s="347"/>
      <c r="CB61" s="347"/>
      <c r="CC61" s="347"/>
      <c r="CD61" s="347"/>
      <c r="CE61" s="347"/>
      <c r="CF61" s="347"/>
      <c r="CG61" s="347"/>
      <c r="CH61" s="347"/>
      <c r="CI61" s="347"/>
      <c r="CJ61" s="347"/>
      <c r="CK61" s="347"/>
      <c r="CL61" s="347"/>
      <c r="CM61" s="347"/>
      <c r="CN61" s="347"/>
      <c r="CO61" s="347"/>
      <c r="CP61" s="347"/>
      <c r="CQ61" s="347"/>
      <c r="CR61" s="347"/>
      <c r="CS61" s="347"/>
      <c r="CT61" s="347"/>
      <c r="CU61" s="347"/>
      <c r="CV61" s="347"/>
      <c r="CW61" s="347"/>
      <c r="CX61" s="347"/>
      <c r="CY61" s="347"/>
      <c r="CZ61" s="347"/>
      <c r="DA61" s="347"/>
      <c r="DB61" s="347"/>
      <c r="DC61" s="347"/>
      <c r="DD61" s="347"/>
      <c r="DE61" s="347"/>
    </row>
    <row r="62" spans="1:109" s="134" customFormat="1" ht="12.75">
      <c r="A62" s="347"/>
      <c r="B62" s="348"/>
      <c r="C62" s="345"/>
      <c r="D62" s="350"/>
      <c r="E62" s="345"/>
      <c r="F62" s="345"/>
      <c r="G62" s="345"/>
      <c r="H62" s="345"/>
      <c r="I62" s="345"/>
      <c r="J62" s="345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7"/>
      <c r="BS62" s="347"/>
      <c r="BT62" s="347"/>
      <c r="BU62" s="347"/>
      <c r="BV62" s="347"/>
      <c r="BW62" s="347"/>
      <c r="BX62" s="347"/>
      <c r="BY62" s="347"/>
      <c r="BZ62" s="347"/>
      <c r="CA62" s="347"/>
      <c r="CB62" s="347"/>
      <c r="CC62" s="347"/>
      <c r="CD62" s="347"/>
      <c r="CE62" s="347"/>
      <c r="CF62" s="347"/>
      <c r="CG62" s="347"/>
      <c r="CH62" s="347"/>
      <c r="CI62" s="347"/>
      <c r="CJ62" s="347"/>
      <c r="CK62" s="347"/>
      <c r="CL62" s="347"/>
      <c r="CM62" s="347"/>
      <c r="CN62" s="347"/>
      <c r="CO62" s="347"/>
      <c r="CP62" s="347"/>
      <c r="CQ62" s="347"/>
      <c r="CR62" s="347"/>
      <c r="CS62" s="347"/>
      <c r="CT62" s="347"/>
      <c r="CU62" s="347"/>
      <c r="CV62" s="347"/>
      <c r="CW62" s="347"/>
      <c r="CX62" s="347"/>
      <c r="CY62" s="347"/>
      <c r="CZ62" s="347"/>
      <c r="DA62" s="347"/>
      <c r="DB62" s="347"/>
      <c r="DC62" s="347"/>
      <c r="DD62" s="347"/>
      <c r="DE62" s="347"/>
    </row>
    <row r="63" spans="1:109" s="134" customFormat="1" ht="12.75">
      <c r="A63" s="347"/>
      <c r="B63" s="348"/>
      <c r="C63" s="345"/>
      <c r="D63" s="350"/>
      <c r="E63" s="345"/>
      <c r="F63" s="345"/>
      <c r="G63" s="345"/>
      <c r="H63" s="345"/>
      <c r="I63" s="345"/>
      <c r="J63" s="345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7"/>
      <c r="BJ63" s="347"/>
      <c r="BK63" s="347"/>
      <c r="BL63" s="347"/>
      <c r="BM63" s="347"/>
      <c r="BN63" s="347"/>
      <c r="BO63" s="347"/>
      <c r="BP63" s="347"/>
      <c r="BQ63" s="347"/>
      <c r="BR63" s="347"/>
      <c r="BS63" s="347"/>
      <c r="BT63" s="347"/>
      <c r="BU63" s="347"/>
      <c r="BV63" s="347"/>
      <c r="BW63" s="347"/>
      <c r="BX63" s="347"/>
      <c r="BY63" s="347"/>
      <c r="BZ63" s="347"/>
      <c r="CA63" s="347"/>
      <c r="CB63" s="347"/>
      <c r="CC63" s="347"/>
      <c r="CD63" s="347"/>
      <c r="CE63" s="347"/>
      <c r="CF63" s="347"/>
      <c r="CG63" s="347"/>
      <c r="CH63" s="347"/>
      <c r="CI63" s="347"/>
      <c r="CJ63" s="347"/>
      <c r="CK63" s="347"/>
      <c r="CL63" s="347"/>
      <c r="CM63" s="347"/>
      <c r="CN63" s="347"/>
      <c r="CO63" s="347"/>
      <c r="CP63" s="347"/>
      <c r="CQ63" s="347"/>
      <c r="CR63" s="347"/>
      <c r="CS63" s="347"/>
      <c r="CT63" s="347"/>
      <c r="CU63" s="347"/>
      <c r="CV63" s="347"/>
      <c r="CW63" s="347"/>
      <c r="CX63" s="347"/>
      <c r="CY63" s="347"/>
      <c r="CZ63" s="347"/>
      <c r="DA63" s="347"/>
      <c r="DB63" s="347"/>
      <c r="DC63" s="347"/>
      <c r="DD63" s="347"/>
      <c r="DE63" s="347"/>
    </row>
    <row r="64" spans="1:109" s="134" customFormat="1" ht="12.75">
      <c r="A64" s="347"/>
      <c r="B64" s="348"/>
      <c r="C64" s="345"/>
      <c r="D64" s="350"/>
      <c r="E64" s="345"/>
      <c r="F64" s="345"/>
      <c r="G64" s="345"/>
      <c r="H64" s="345"/>
      <c r="I64" s="345"/>
      <c r="J64" s="345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7"/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347"/>
      <c r="BV64" s="347"/>
      <c r="BW64" s="347"/>
      <c r="BX64" s="347"/>
      <c r="BY64" s="347"/>
      <c r="BZ64" s="347"/>
      <c r="CA64" s="347"/>
      <c r="CB64" s="347"/>
      <c r="CC64" s="347"/>
      <c r="CD64" s="347"/>
      <c r="CE64" s="347"/>
      <c r="CF64" s="347"/>
      <c r="CG64" s="347"/>
      <c r="CH64" s="347"/>
      <c r="CI64" s="347"/>
      <c r="CJ64" s="347"/>
      <c r="CK64" s="347"/>
      <c r="CL64" s="347"/>
      <c r="CM64" s="347"/>
      <c r="CN64" s="347"/>
      <c r="CO64" s="347"/>
      <c r="CP64" s="347"/>
      <c r="CQ64" s="347"/>
      <c r="CR64" s="347"/>
      <c r="CS64" s="347"/>
      <c r="CT64" s="347"/>
      <c r="CU64" s="347"/>
      <c r="CV64" s="347"/>
      <c r="CW64" s="347"/>
      <c r="CX64" s="347"/>
      <c r="CY64" s="347"/>
      <c r="CZ64" s="347"/>
      <c r="DA64" s="347"/>
      <c r="DB64" s="347"/>
      <c r="DC64" s="347"/>
      <c r="DD64" s="347"/>
      <c r="DE64" s="347"/>
    </row>
    <row r="65" spans="1:109" s="134" customFormat="1" ht="12.75">
      <c r="A65" s="347"/>
      <c r="B65" s="348"/>
      <c r="C65" s="345"/>
      <c r="D65" s="350"/>
      <c r="E65" s="345"/>
      <c r="F65" s="345"/>
      <c r="G65" s="345"/>
      <c r="H65" s="345"/>
      <c r="I65" s="345"/>
      <c r="J65" s="345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  <c r="BD65" s="347"/>
      <c r="BE65" s="347"/>
      <c r="BF65" s="347"/>
      <c r="BG65" s="347"/>
      <c r="BH65" s="347"/>
      <c r="BI65" s="347"/>
      <c r="BJ65" s="347"/>
      <c r="BK65" s="347"/>
      <c r="BL65" s="347"/>
      <c r="BM65" s="347"/>
      <c r="BN65" s="347"/>
      <c r="BO65" s="347"/>
      <c r="BP65" s="347"/>
      <c r="BQ65" s="347"/>
      <c r="BR65" s="347"/>
      <c r="BS65" s="347"/>
      <c r="BT65" s="347"/>
      <c r="BU65" s="347"/>
      <c r="BV65" s="347"/>
      <c r="BW65" s="347"/>
      <c r="BX65" s="347"/>
      <c r="BY65" s="347"/>
      <c r="BZ65" s="347"/>
      <c r="CA65" s="347"/>
      <c r="CB65" s="347"/>
      <c r="CC65" s="347"/>
      <c r="CD65" s="347"/>
      <c r="CE65" s="347"/>
      <c r="CF65" s="347"/>
      <c r="CG65" s="347"/>
      <c r="CH65" s="347"/>
      <c r="CI65" s="347"/>
      <c r="CJ65" s="347"/>
      <c r="CK65" s="347"/>
      <c r="CL65" s="347"/>
      <c r="CM65" s="347"/>
      <c r="CN65" s="347"/>
      <c r="CO65" s="347"/>
      <c r="CP65" s="347"/>
      <c r="CQ65" s="347"/>
      <c r="CR65" s="347"/>
      <c r="CS65" s="347"/>
      <c r="CT65" s="347"/>
      <c r="CU65" s="347"/>
      <c r="CV65" s="347"/>
      <c r="CW65" s="347"/>
      <c r="CX65" s="347"/>
      <c r="CY65" s="347"/>
      <c r="CZ65" s="347"/>
      <c r="DA65" s="347"/>
      <c r="DB65" s="347"/>
      <c r="DC65" s="347"/>
      <c r="DD65" s="347"/>
      <c r="DE65" s="347"/>
    </row>
    <row r="66" spans="1:109" s="134" customFormat="1" ht="12.75">
      <c r="A66" s="347"/>
      <c r="B66" s="348"/>
      <c r="C66" s="345"/>
      <c r="D66" s="350"/>
      <c r="E66" s="345"/>
      <c r="F66" s="345"/>
      <c r="G66" s="345"/>
      <c r="H66" s="345"/>
      <c r="I66" s="345"/>
      <c r="J66" s="345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7"/>
      <c r="BD66" s="347"/>
      <c r="BE66" s="347"/>
      <c r="BF66" s="347"/>
      <c r="BG66" s="347"/>
      <c r="BH66" s="347"/>
      <c r="BI66" s="347"/>
      <c r="BJ66" s="347"/>
      <c r="BK66" s="347"/>
      <c r="BL66" s="347"/>
      <c r="BM66" s="347"/>
      <c r="BN66" s="347"/>
      <c r="BO66" s="347"/>
      <c r="BP66" s="347"/>
      <c r="BQ66" s="347"/>
      <c r="BR66" s="347"/>
      <c r="BS66" s="347"/>
      <c r="BT66" s="347"/>
      <c r="BU66" s="347"/>
      <c r="BV66" s="347"/>
      <c r="BW66" s="347"/>
      <c r="BX66" s="347"/>
      <c r="BY66" s="347"/>
      <c r="BZ66" s="347"/>
      <c r="CA66" s="347"/>
      <c r="CB66" s="347"/>
      <c r="CC66" s="347"/>
      <c r="CD66" s="347"/>
      <c r="CE66" s="347"/>
      <c r="CF66" s="347"/>
      <c r="CG66" s="347"/>
      <c r="CH66" s="347"/>
      <c r="CI66" s="347"/>
      <c r="CJ66" s="347"/>
      <c r="CK66" s="347"/>
      <c r="CL66" s="347"/>
      <c r="CM66" s="347"/>
      <c r="CN66" s="347"/>
      <c r="CO66" s="347"/>
      <c r="CP66" s="347"/>
      <c r="CQ66" s="347"/>
      <c r="CR66" s="347"/>
      <c r="CS66" s="347"/>
      <c r="CT66" s="347"/>
      <c r="CU66" s="347"/>
      <c r="CV66" s="347"/>
      <c r="CW66" s="347"/>
      <c r="CX66" s="347"/>
      <c r="CY66" s="347"/>
      <c r="CZ66" s="347"/>
      <c r="DA66" s="347"/>
      <c r="DB66" s="347"/>
      <c r="DC66" s="347"/>
      <c r="DD66" s="347"/>
      <c r="DE66" s="347"/>
    </row>
    <row r="67" spans="1:109" s="134" customFormat="1" ht="12.75">
      <c r="A67" s="347"/>
      <c r="B67" s="348"/>
      <c r="C67" s="345"/>
      <c r="D67" s="345"/>
      <c r="E67" s="345"/>
      <c r="F67" s="345"/>
      <c r="G67" s="345"/>
      <c r="H67" s="345"/>
      <c r="I67" s="345"/>
      <c r="J67" s="345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347"/>
      <c r="AJ67" s="347"/>
      <c r="AK67" s="347"/>
      <c r="AL67" s="347"/>
      <c r="AM67" s="347"/>
      <c r="AN67" s="347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  <c r="BD67" s="347"/>
      <c r="BE67" s="347"/>
      <c r="BF67" s="347"/>
      <c r="BG67" s="347"/>
      <c r="BH67" s="347"/>
      <c r="BI67" s="347"/>
      <c r="BJ67" s="347"/>
      <c r="BK67" s="347"/>
      <c r="BL67" s="347"/>
      <c r="BM67" s="347"/>
      <c r="BN67" s="347"/>
      <c r="BO67" s="347"/>
      <c r="BP67" s="347"/>
      <c r="BQ67" s="347"/>
      <c r="BR67" s="347"/>
      <c r="BS67" s="347"/>
      <c r="BT67" s="347"/>
      <c r="BU67" s="347"/>
      <c r="BV67" s="347"/>
      <c r="BW67" s="347"/>
      <c r="BX67" s="347"/>
      <c r="BY67" s="347"/>
      <c r="BZ67" s="347"/>
      <c r="CA67" s="347"/>
      <c r="CB67" s="347"/>
      <c r="CC67" s="347"/>
      <c r="CD67" s="347"/>
      <c r="CE67" s="347"/>
      <c r="CF67" s="347"/>
      <c r="CG67" s="347"/>
      <c r="CH67" s="347"/>
      <c r="CI67" s="347"/>
      <c r="CJ67" s="347"/>
      <c r="CK67" s="347"/>
      <c r="CL67" s="347"/>
      <c r="CM67" s="347"/>
      <c r="CN67" s="347"/>
      <c r="CO67" s="347"/>
      <c r="CP67" s="347"/>
      <c r="CQ67" s="347"/>
      <c r="CR67" s="347"/>
      <c r="CS67" s="347"/>
      <c r="CT67" s="347"/>
      <c r="CU67" s="347"/>
      <c r="CV67" s="347"/>
      <c r="CW67" s="347"/>
      <c r="CX67" s="347"/>
      <c r="CY67" s="347"/>
      <c r="CZ67" s="347"/>
      <c r="DA67" s="347"/>
      <c r="DB67" s="347"/>
      <c r="DC67" s="347"/>
      <c r="DD67" s="347"/>
      <c r="DE67" s="347"/>
    </row>
    <row r="68" spans="1:109" s="137" customFormat="1">
      <c r="A68" s="347"/>
      <c r="B68" s="348"/>
      <c r="C68" s="345"/>
      <c r="D68" s="345"/>
      <c r="E68" s="345"/>
      <c r="F68" s="345"/>
      <c r="G68" s="345"/>
      <c r="H68" s="345"/>
      <c r="I68" s="345"/>
      <c r="J68" s="345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347"/>
      <c r="BD68" s="347"/>
      <c r="BE68" s="347"/>
      <c r="BF68" s="347"/>
      <c r="BG68" s="347"/>
      <c r="BH68" s="347"/>
      <c r="BI68" s="347"/>
      <c r="BJ68" s="347"/>
      <c r="BK68" s="347"/>
      <c r="BL68" s="347"/>
      <c r="BM68" s="347"/>
      <c r="BN68" s="347"/>
      <c r="BO68" s="347"/>
      <c r="BP68" s="347"/>
      <c r="BQ68" s="347"/>
      <c r="BR68" s="347"/>
      <c r="BS68" s="347"/>
      <c r="BT68" s="347"/>
      <c r="BU68" s="347"/>
      <c r="BV68" s="347"/>
      <c r="BW68" s="347"/>
      <c r="BX68" s="347"/>
      <c r="BY68" s="347"/>
      <c r="BZ68" s="347"/>
      <c r="CA68" s="347"/>
      <c r="CB68" s="347"/>
      <c r="CC68" s="347"/>
      <c r="CD68" s="347"/>
      <c r="CE68" s="347"/>
      <c r="CF68" s="347"/>
      <c r="CG68" s="347"/>
      <c r="CH68" s="347"/>
      <c r="CI68" s="347"/>
      <c r="CJ68" s="347"/>
      <c r="CK68" s="347"/>
      <c r="CL68" s="347"/>
      <c r="CM68" s="347"/>
      <c r="CN68" s="347"/>
      <c r="CO68" s="347"/>
      <c r="CP68" s="347"/>
      <c r="CQ68" s="347"/>
      <c r="CR68" s="347"/>
      <c r="CS68" s="347"/>
      <c r="CT68" s="347"/>
      <c r="CU68" s="347"/>
      <c r="CV68" s="347"/>
      <c r="CW68" s="347"/>
      <c r="CX68" s="347"/>
      <c r="CY68" s="347"/>
      <c r="CZ68" s="347"/>
      <c r="DA68" s="347"/>
      <c r="DB68" s="347"/>
      <c r="DC68" s="347"/>
      <c r="DD68" s="347"/>
      <c r="DE68" s="347"/>
    </row>
    <row r="69" spans="1:109">
      <c r="A69" s="349"/>
      <c r="B69" s="348"/>
      <c r="C69" s="345"/>
      <c r="D69" s="345"/>
      <c r="E69" s="345"/>
      <c r="F69" s="345"/>
      <c r="G69" s="345"/>
      <c r="H69" s="345"/>
      <c r="I69" s="345"/>
      <c r="J69" s="345"/>
    </row>
  </sheetData>
  <mergeCells count="1">
    <mergeCell ref="B24:B25"/>
  </mergeCells>
  <pageMargins left="0.7" right="0.7" top="0.75" bottom="0.75" header="0.3" footer="0.3"/>
  <pageSetup paperSize="9" orientation="portrait" verticalDpi="14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Front</vt:lpstr>
      <vt:lpstr>Contact info</vt:lpstr>
      <vt:lpstr>Contents</vt:lpstr>
      <vt:lpstr>1 APM</vt:lpstr>
      <vt:lpstr>2 Results and key figures</vt:lpstr>
      <vt:lpstr>3 Income</vt:lpstr>
      <vt:lpstr>4 Expences</vt:lpstr>
      <vt:lpstr>5 Margins</vt:lpstr>
      <vt:lpstr>6 Lending</vt:lpstr>
      <vt:lpstr>7 Deposits</vt:lpstr>
      <vt:lpstr>8 Customers</vt:lpstr>
    </vt:vector>
  </TitlesOfParts>
  <Company>SpareBank1 Østlandet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Geir-Egil Bolstad</cp:lastModifiedBy>
  <cp:lastPrinted>2018-08-07T09:53:35Z</cp:lastPrinted>
  <dcterms:created xsi:type="dcterms:W3CDTF">2017-12-01T09:54:14Z</dcterms:created>
  <dcterms:modified xsi:type="dcterms:W3CDTF">2018-08-07T10:08:47Z</dcterms:modified>
</cp:coreProperties>
</file>