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700664\Desktop\"/>
    </mc:Choice>
  </mc:AlternateContent>
  <workbookProtection workbookAlgorithmName="SHA-512" workbookHashValue="m5Zm1w0d/T8fe2Swixh53zflC6srof6MvVfdLb7xjblg8OopvAxbBprq7JCtDMHmxgC0L4ko2oo1eBMd+sDMqg==" workbookSaltValue="IRmtJSV9gMv2hOxyy9UoJw==" workbookSpinCount="100000" lockStructure="1"/>
  <bookViews>
    <workbookView xWindow="0" yWindow="0" windowWidth="15360" windowHeight="7455"/>
  </bookViews>
  <sheets>
    <sheet name="Forside" sheetId="23" r:id="rId1"/>
    <sheet name="Innhold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6" r:id="rId15"/>
    <sheet name="14" sheetId="17" r:id="rId16"/>
    <sheet name="15" sheetId="18" r:id="rId17"/>
    <sheet name="16" sheetId="19" r:id="rId18"/>
    <sheet name="17" sheetId="20" r:id="rId19"/>
  </sheets>
  <externalReferences>
    <externalReference r:id="rId20"/>
    <externalReference r:id="rId21"/>
  </externalReferences>
  <definedNames>
    <definedName name="_xlnm._FilterDatabase" localSheetId="17" hidden="1">'16'!$I$5:$J$5</definedName>
    <definedName name="sMargin">[1]Forside!$A$3</definedName>
    <definedName name="SpreadsheetBuilder_1" hidden="1">[2]Markedsdata!$A$1:$B$6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20" l="1"/>
  <c r="F39" i="20"/>
  <c r="D38" i="20"/>
  <c r="C38" i="20"/>
  <c r="D37" i="20"/>
  <c r="C37" i="20"/>
  <c r="D36" i="20"/>
  <c r="C36" i="20"/>
  <c r="F36" i="20" s="1"/>
  <c r="C35" i="20"/>
  <c r="F35" i="20" s="1"/>
  <c r="C34" i="20"/>
  <c r="F34" i="20" s="1"/>
  <c r="D40" i="20" l="1"/>
  <c r="F38" i="20"/>
  <c r="C40" i="20"/>
  <c r="F37" i="20"/>
  <c r="F40" i="20" l="1"/>
  <c r="C41" i="20" s="1"/>
  <c r="E41" i="20" l="1"/>
  <c r="D41" i="20"/>
  <c r="F41" i="20" l="1"/>
  <c r="G108" i="20" l="1"/>
  <c r="F108" i="20"/>
  <c r="C108" i="20" s="1"/>
  <c r="E108" i="20"/>
  <c r="C107" i="20"/>
  <c r="C106" i="20"/>
  <c r="C102" i="20"/>
  <c r="C101" i="20"/>
  <c r="C100" i="20"/>
  <c r="C99" i="20"/>
  <c r="F93" i="20"/>
  <c r="F103" i="20" s="1"/>
  <c r="E93" i="20"/>
  <c r="E103" i="20" s="1"/>
  <c r="D93" i="20"/>
  <c r="G92" i="20"/>
  <c r="G93" i="20" s="1"/>
  <c r="G103" i="20" s="1"/>
  <c r="F92" i="20"/>
  <c r="F18" i="20"/>
  <c r="E18" i="20"/>
  <c r="E20" i="20" s="1"/>
  <c r="D18" i="20"/>
  <c r="D20" i="20" s="1"/>
  <c r="C17" i="20"/>
  <c r="C16" i="20"/>
  <c r="C14" i="20"/>
  <c r="C13" i="20"/>
  <c r="C12" i="20"/>
  <c r="C9" i="20"/>
  <c r="F25" i="20" s="1"/>
  <c r="D25" i="20" l="1"/>
  <c r="E25" i="20"/>
  <c r="C25" i="20" s="1"/>
  <c r="C92" i="20"/>
  <c r="C18" i="20"/>
  <c r="C20" i="20" s="1"/>
  <c r="C23" i="20" s="1"/>
  <c r="C103" i="20"/>
  <c r="C93" i="20"/>
  <c r="F20" i="20"/>
  <c r="D23" i="20"/>
  <c r="E23" i="20"/>
  <c r="D14" i="17"/>
  <c r="E14" i="17"/>
  <c r="G18" i="17"/>
  <c r="E18" i="17"/>
  <c r="D18" i="17"/>
  <c r="C18" i="17"/>
  <c r="E11" i="17"/>
  <c r="E57" i="20"/>
  <c r="D26" i="20" l="1"/>
  <c r="E26" i="20"/>
  <c r="F26" i="20"/>
  <c r="C26" i="20" s="1"/>
  <c r="F23" i="20"/>
  <c r="D44" i="14"/>
  <c r="D23" i="10" l="1"/>
  <c r="D6" i="10" l="1"/>
  <c r="D24" i="10" s="1"/>
  <c r="C179" i="7" l="1"/>
  <c r="C110" i="7"/>
  <c r="C63" i="7"/>
  <c r="C4" i="7"/>
  <c r="C18" i="19" l="1"/>
  <c r="D18" i="19"/>
  <c r="E18" i="19"/>
  <c r="F18" i="19"/>
  <c r="D19" i="9"/>
  <c r="D18" i="9"/>
  <c r="D11" i="9"/>
  <c r="C189" i="7" l="1"/>
  <c r="C155" i="7"/>
  <c r="D155" i="7"/>
  <c r="D121" i="20" l="1"/>
  <c r="F73" i="20"/>
  <c r="E121" i="20" l="1"/>
  <c r="F121" i="20"/>
  <c r="G121" i="20"/>
  <c r="H121" i="20"/>
  <c r="C121" i="20"/>
  <c r="D57" i="20"/>
  <c r="D61" i="20" s="1"/>
  <c r="F57" i="20"/>
  <c r="G57" i="20"/>
  <c r="H57" i="20"/>
  <c r="C57" i="20"/>
  <c r="C52" i="20"/>
  <c r="D52" i="20"/>
  <c r="C61" i="20" l="1"/>
  <c r="C59" i="20"/>
  <c r="D59" i="20"/>
  <c r="C14" i="17" l="1"/>
  <c r="D15" i="17" l="1"/>
  <c r="D6" i="17" l="1"/>
  <c r="C6" i="17"/>
  <c r="C14" i="16" l="1"/>
  <c r="C15" i="16"/>
  <c r="C16" i="16"/>
  <c r="C13" i="16"/>
  <c r="C9" i="16"/>
  <c r="C10" i="16"/>
  <c r="G44" i="14"/>
  <c r="D45" i="14" l="1"/>
  <c r="D31" i="14"/>
  <c r="D18" i="14"/>
  <c r="C82" i="5" l="1"/>
  <c r="I12" i="3" l="1"/>
  <c r="I11" i="3"/>
  <c r="I10" i="3"/>
  <c r="C47" i="6" l="1"/>
  <c r="I9" i="3"/>
  <c r="H13" i="3"/>
  <c r="H9" i="3"/>
  <c r="G18" i="19" l="1"/>
  <c r="E16" i="19"/>
  <c r="E15" i="19"/>
  <c r="E14" i="19"/>
  <c r="E11" i="19"/>
  <c r="E10" i="19"/>
  <c r="E9" i="19"/>
  <c r="E8" i="19"/>
  <c r="D75" i="20" l="1"/>
  <c r="D77" i="20" s="1"/>
  <c r="C75" i="20"/>
  <c r="C77" i="20" s="1"/>
  <c r="G75" i="20"/>
  <c r="G77" i="20" s="1"/>
  <c r="E75" i="20"/>
  <c r="E77" i="20" s="1"/>
  <c r="F75" i="20" l="1"/>
  <c r="F77" i="20" s="1"/>
  <c r="G51" i="12" l="1"/>
  <c r="F52" i="12"/>
  <c r="E52" i="12"/>
  <c r="E53" i="12" s="1"/>
  <c r="D44" i="12"/>
  <c r="F44" i="12"/>
  <c r="E44" i="12"/>
  <c r="F53" i="12" l="1"/>
  <c r="G52" i="12"/>
  <c r="G53" i="12" s="1"/>
  <c r="F45" i="12" l="1"/>
  <c r="E45" i="12"/>
  <c r="D46" i="12"/>
  <c r="C45" i="12"/>
  <c r="C44" i="12"/>
  <c r="X25" i="18" l="1"/>
  <c r="G44" i="12" l="1"/>
  <c r="E46" i="12"/>
  <c r="G45" i="12"/>
  <c r="C35" i="12" l="1"/>
  <c r="E20" i="12" l="1"/>
  <c r="G20" i="12" s="1"/>
  <c r="D18" i="12"/>
  <c r="D8" i="12"/>
  <c r="C8" i="12"/>
  <c r="C8" i="16" s="1"/>
  <c r="E18" i="12"/>
  <c r="F18" i="12" s="1"/>
  <c r="E15" i="12"/>
  <c r="G15" i="12" s="1"/>
  <c r="E16" i="12"/>
  <c r="E14" i="12"/>
  <c r="E13" i="12"/>
  <c r="G13" i="12" s="1"/>
  <c r="E10" i="12"/>
  <c r="E9" i="12"/>
  <c r="E8" i="12"/>
  <c r="F8" i="12" s="1"/>
  <c r="G18" i="12" l="1"/>
  <c r="C23" i="10"/>
  <c r="C6" i="10"/>
  <c r="C24" i="10" s="1"/>
  <c r="C19" i="9" l="1"/>
  <c r="C18" i="9"/>
  <c r="C11" i="9"/>
  <c r="C67" i="8"/>
  <c r="C53" i="8"/>
  <c r="C35" i="8"/>
  <c r="C15" i="8"/>
  <c r="C27" i="8" s="1"/>
  <c r="C29" i="8" l="1"/>
  <c r="C68" i="8"/>
  <c r="C36" i="8" l="1"/>
  <c r="C70" i="8" s="1"/>
  <c r="C69" i="8"/>
  <c r="D217" i="7" l="1"/>
  <c r="D216" i="7"/>
  <c r="D218" i="7" s="1"/>
  <c r="D209" i="7"/>
  <c r="D211" i="7" s="1"/>
  <c r="D208" i="7"/>
  <c r="D189" i="7"/>
  <c r="D194" i="7" s="1"/>
  <c r="D145" i="7"/>
  <c r="C145" i="7"/>
  <c r="D219" i="7" l="1"/>
  <c r="D196" i="7"/>
  <c r="D220" i="7" l="1"/>
  <c r="D199" i="7"/>
  <c r="D221" i="7" s="1"/>
  <c r="D168" i="7" l="1"/>
  <c r="D167" i="7"/>
  <c r="D166" i="7"/>
  <c r="D117" i="7"/>
  <c r="D118" i="7" s="1"/>
  <c r="D125" i="7" s="1"/>
  <c r="D99" i="7"/>
  <c r="D98" i="7"/>
  <c r="D89" i="7"/>
  <c r="D97" i="7" s="1"/>
  <c r="D100" i="7" s="1"/>
  <c r="D76" i="7"/>
  <c r="D71" i="7"/>
  <c r="D75" i="7" s="1"/>
  <c r="D77" i="7" s="1"/>
  <c r="C11" i="7"/>
  <c r="D32" i="7"/>
  <c r="C32" i="7"/>
  <c r="D156" i="7" l="1"/>
  <c r="D165" i="7" s="1"/>
  <c r="D169" i="7" s="1"/>
  <c r="D127" i="7"/>
  <c r="D79" i="7"/>
  <c r="D92" i="7"/>
  <c r="D101" i="7" s="1"/>
  <c r="D160" i="7" l="1"/>
  <c r="D170" i="7" s="1"/>
  <c r="D129" i="7"/>
  <c r="D103" i="7"/>
  <c r="D102" i="7"/>
  <c r="D171" i="7" l="1"/>
  <c r="D172" i="7"/>
  <c r="D52" i="7"/>
  <c r="D51" i="7"/>
  <c r="D50" i="7"/>
  <c r="D39" i="7"/>
  <c r="D40" i="7" s="1"/>
  <c r="D20" i="7"/>
  <c r="D16" i="7"/>
  <c r="D11" i="7"/>
  <c r="D12" i="7" s="1"/>
  <c r="D17" i="7" l="1"/>
  <c r="D19" i="7"/>
  <c r="D44" i="7"/>
  <c r="D49" i="7"/>
  <c r="D53" i="7" s="1"/>
  <c r="C45" i="6"/>
  <c r="C42" i="6"/>
  <c r="C9" i="6"/>
  <c r="C14" i="6"/>
  <c r="D54" i="7" l="1"/>
  <c r="D55" i="7"/>
  <c r="D21" i="7"/>
  <c r="D56" i="7" s="1"/>
  <c r="D43" i="6"/>
  <c r="D42" i="6"/>
  <c r="D44" i="6" s="1"/>
  <c r="D35" i="6"/>
  <c r="D37" i="6" s="1"/>
  <c r="D19" i="6"/>
  <c r="D14" i="6"/>
  <c r="D11" i="6"/>
  <c r="D18" i="6" s="1"/>
  <c r="D81" i="5"/>
  <c r="C77" i="5"/>
  <c r="C63" i="5"/>
  <c r="D20" i="6" l="1"/>
  <c r="D45" i="6"/>
  <c r="D22" i="6" l="1"/>
  <c r="D47" i="6" s="1"/>
  <c r="D46" i="6"/>
  <c r="D68" i="5" l="1"/>
  <c r="D63" i="5"/>
  <c r="D62" i="5"/>
  <c r="D52" i="5"/>
  <c r="H21" i="18" l="1"/>
  <c r="D9" i="18" l="1"/>
  <c r="D10" i="18"/>
  <c r="D11" i="18"/>
  <c r="D8" i="18"/>
  <c r="D7" i="18"/>
  <c r="G12" i="18" l="1"/>
  <c r="E12" i="18"/>
  <c r="H22" i="18"/>
  <c r="H8" i="18" l="1"/>
  <c r="H10" i="18"/>
  <c r="H11" i="18"/>
  <c r="H7" i="18"/>
  <c r="H9" i="18"/>
  <c r="F10" i="18"/>
  <c r="F11" i="18"/>
  <c r="F9" i="18"/>
  <c r="F7" i="18"/>
  <c r="F12" i="18" s="1"/>
  <c r="F8" i="18"/>
  <c r="J59" i="18"/>
  <c r="E52" i="20"/>
  <c r="F52" i="20"/>
  <c r="F61" i="20" s="1"/>
  <c r="G52" i="20"/>
  <c r="G61" i="20" s="1"/>
  <c r="H52" i="20"/>
  <c r="H61" i="20" s="1"/>
  <c r="E61" i="20" l="1"/>
  <c r="E59" i="20"/>
  <c r="H12" i="18"/>
  <c r="F59" i="20"/>
  <c r="G59" i="20"/>
  <c r="H59" i="20"/>
  <c r="C194" i="7" l="1"/>
  <c r="C118" i="7"/>
  <c r="C125" i="7" s="1"/>
  <c r="C127" i="7" s="1"/>
  <c r="C129" i="7" s="1"/>
  <c r="C196" i="7" l="1"/>
  <c r="C199" i="7" s="1"/>
  <c r="I13" i="3" s="1"/>
  <c r="C80" i="5" l="1"/>
  <c r="C79" i="5"/>
  <c r="C78" i="5"/>
  <c r="D72" i="5" l="1"/>
  <c r="D17" i="12" l="1"/>
  <c r="E17" i="12"/>
  <c r="G17" i="12" s="1"/>
  <c r="E45" i="14" s="1"/>
  <c r="C17" i="12"/>
  <c r="C71" i="7" l="1"/>
  <c r="C37" i="12" l="1"/>
  <c r="D8" i="17" l="1"/>
  <c r="D7" i="17"/>
  <c r="H20" i="18" l="1"/>
  <c r="D12" i="18"/>
  <c r="C12" i="18"/>
  <c r="C9" i="17"/>
  <c r="D9" i="17" s="1"/>
  <c r="C17" i="16"/>
  <c r="C11" i="16"/>
  <c r="C18" i="16" s="1"/>
  <c r="G31" i="14"/>
  <c r="G18" i="14"/>
  <c r="F46" i="12"/>
  <c r="C46" i="12"/>
  <c r="F20" i="12"/>
  <c r="G16" i="12"/>
  <c r="F16" i="12"/>
  <c r="F15" i="12"/>
  <c r="G14" i="12"/>
  <c r="F14" i="12"/>
  <c r="F13" i="12"/>
  <c r="E11" i="12"/>
  <c r="D11" i="12"/>
  <c r="D19" i="12" s="1"/>
  <c r="C11" i="12"/>
  <c r="C19" i="12" s="1"/>
  <c r="G10" i="12"/>
  <c r="F10" i="12"/>
  <c r="G9" i="12"/>
  <c r="F9" i="12"/>
  <c r="G8" i="12"/>
  <c r="E14" i="11"/>
  <c r="E15" i="11" s="1"/>
  <c r="E17" i="11" s="1"/>
  <c r="C217" i="7"/>
  <c r="C208" i="7"/>
  <c r="C209" i="7" s="1"/>
  <c r="C168" i="7"/>
  <c r="C167" i="7"/>
  <c r="C166" i="7"/>
  <c r="C99" i="7"/>
  <c r="C98" i="7"/>
  <c r="C89" i="7"/>
  <c r="C97" i="7" s="1"/>
  <c r="C75" i="7"/>
  <c r="C52" i="7"/>
  <c r="C51" i="7"/>
  <c r="C50" i="7"/>
  <c r="C39" i="7"/>
  <c r="C12" i="7"/>
  <c r="C17" i="7" s="1"/>
  <c r="C43" i="6"/>
  <c r="C35" i="6"/>
  <c r="C19" i="6"/>
  <c r="C11" i="6"/>
  <c r="C18" i="6" s="1"/>
  <c r="C68" i="5"/>
  <c r="C62" i="5"/>
  <c r="C52" i="5"/>
  <c r="D33" i="5"/>
  <c r="C33" i="5"/>
  <c r="D15" i="5"/>
  <c r="D27" i="5" s="1"/>
  <c r="C15" i="5"/>
  <c r="C27" i="5" s="1"/>
  <c r="C5" i="11"/>
  <c r="G45" i="14" l="1"/>
  <c r="G46" i="12"/>
  <c r="G11" i="12"/>
  <c r="E18" i="14" s="1"/>
  <c r="E19" i="12"/>
  <c r="G19" i="12" s="1"/>
  <c r="C156" i="7"/>
  <c r="C165" i="7" s="1"/>
  <c r="C169" i="7" s="1"/>
  <c r="H10" i="3" s="1"/>
  <c r="C100" i="7"/>
  <c r="H12" i="3" s="1"/>
  <c r="C44" i="6"/>
  <c r="C20" i="6"/>
  <c r="C37" i="6"/>
  <c r="D29" i="5"/>
  <c r="D83" i="5" s="1"/>
  <c r="D82" i="5"/>
  <c r="C76" i="5"/>
  <c r="D35" i="5"/>
  <c r="D84" i="5" s="1"/>
  <c r="C40" i="7"/>
  <c r="C44" i="7" s="1"/>
  <c r="C54" i="7" s="1"/>
  <c r="C92" i="7"/>
  <c r="C101" i="7" s="1"/>
  <c r="C72" i="5"/>
  <c r="C29" i="5"/>
  <c r="F17" i="12"/>
  <c r="F11" i="12"/>
  <c r="F19" i="12" s="1"/>
  <c r="C19" i="7"/>
  <c r="C77" i="7"/>
  <c r="C216" i="7"/>
  <c r="C218" i="7" s="1"/>
  <c r="C211" i="7"/>
  <c r="C4" i="11"/>
  <c r="G9" i="11" l="1"/>
  <c r="G11" i="11"/>
  <c r="C160" i="7"/>
  <c r="C170" i="7" s="1"/>
  <c r="C49" i="7"/>
  <c r="C53" i="7" s="1"/>
  <c r="H11" i="3" s="1"/>
  <c r="C46" i="6"/>
  <c r="C22" i="6"/>
  <c r="C81" i="5"/>
  <c r="C83" i="5"/>
  <c r="C221" i="7"/>
  <c r="C219" i="7"/>
  <c r="C220" i="7"/>
  <c r="G13" i="11"/>
  <c r="G16" i="11"/>
  <c r="G12" i="11"/>
  <c r="C35" i="5"/>
  <c r="C84" i="5" s="1"/>
  <c r="C21" i="7"/>
  <c r="C55" i="7"/>
  <c r="C79" i="7"/>
  <c r="C102" i="7"/>
  <c r="C171" i="7" l="1"/>
  <c r="J9" i="3"/>
  <c r="G14" i="11"/>
  <c r="G15" i="11" s="1"/>
  <c r="G17" i="11" s="1"/>
  <c r="G18" i="11" s="1"/>
  <c r="C103" i="7"/>
  <c r="J12" i="3" s="1"/>
  <c r="J13" i="3"/>
  <c r="C56" i="7"/>
  <c r="J11" i="3" s="1"/>
  <c r="C172" i="7"/>
  <c r="J10" i="3" s="1"/>
</calcChain>
</file>

<file path=xl/sharedStrings.xml><?xml version="1.0" encoding="utf-8"?>
<sst xmlns="http://schemas.openxmlformats.org/spreadsheetml/2006/main" count="904" uniqueCount="481">
  <si>
    <t>Arkfane</t>
  </si>
  <si>
    <t>Innhold</t>
  </si>
  <si>
    <t>Konsolidering</t>
  </si>
  <si>
    <t>Selskaper som er fullt- og proporsjonalt konsolidert for kapitaldekningsformål</t>
  </si>
  <si>
    <t>Antall aksjer</t>
  </si>
  <si>
    <t>Kostpris</t>
  </si>
  <si>
    <t>Regnskapsmessig konsolidering</t>
  </si>
  <si>
    <t>Kapitalkrav</t>
  </si>
  <si>
    <t>SpareBank 1 Nord-Norge Finans AS</t>
  </si>
  <si>
    <t>SpareBank 1 Nord-Norge Portefølje AS</t>
  </si>
  <si>
    <t>SpareBank 1 Regnskapshuset Nord-Norge AS</t>
  </si>
  <si>
    <t>Eierandel</t>
  </si>
  <si>
    <t>BN Bank ASA</t>
  </si>
  <si>
    <t>SpareBank 1 Boligkreditt AS</t>
  </si>
  <si>
    <t>SpareBank1 Næringskreditt AS</t>
  </si>
  <si>
    <t>EiendomsMegler 1 Nord-Norge AS</t>
  </si>
  <si>
    <t>Fredrik Langesgt. 20 AS</t>
  </si>
  <si>
    <t>Oppkjøpsmetoden</t>
  </si>
  <si>
    <t>Egenkapitalmetoden</t>
  </si>
  <si>
    <t>Datterselskap</t>
  </si>
  <si>
    <t>SpareBank 1 Gruppen AS</t>
  </si>
  <si>
    <t>SpareBank 1 Kredittkort AS</t>
  </si>
  <si>
    <t>Selskaper som ikke er konsolidert inn i SNNs konsernregnskap, og hvor det ikke foreligger innskudd av ansvarlig kapital som er fratrukket i ansvarlig kapital i konsernets kapitaldekning</t>
  </si>
  <si>
    <t>SpareBank1 Markets AS</t>
  </si>
  <si>
    <t>Metoder for beregning av kapitalkravet i SpareBank 1 Nord-Norge</t>
  </si>
  <si>
    <t>Risikotype</t>
  </si>
  <si>
    <t>Portefølje</t>
  </si>
  <si>
    <t>Metode</t>
  </si>
  <si>
    <t>Kredittrisiko</t>
  </si>
  <si>
    <t>Morbank</t>
  </si>
  <si>
    <t>Massemarked</t>
  </si>
  <si>
    <t>A-IRB</t>
  </si>
  <si>
    <t>Foretak</t>
  </si>
  <si>
    <t>Stater og sentralbanker</t>
  </si>
  <si>
    <t>Standardmetoden</t>
  </si>
  <si>
    <t>Institusjoner</t>
  </si>
  <si>
    <t>Borettslag</t>
  </si>
  <si>
    <t xml:space="preserve">Massemarked </t>
  </si>
  <si>
    <t>Sparebank 1 Næringskreditt AS</t>
  </si>
  <si>
    <t>SpareBank 1 Finans Nord-Norge AS</t>
  </si>
  <si>
    <t>Markedsrisiko</t>
  </si>
  <si>
    <t>Egenkapitalposisjoner</t>
  </si>
  <si>
    <t>Obligasjoner og sertifikater</t>
  </si>
  <si>
    <t>Valutaposisjoner</t>
  </si>
  <si>
    <t>CVA-risiko</t>
  </si>
  <si>
    <t>Operasjonell risiko</t>
  </si>
  <si>
    <t>Sjablongmetoden</t>
  </si>
  <si>
    <t>Basismetoden</t>
  </si>
  <si>
    <t>Kapitaldekning, konsern</t>
  </si>
  <si>
    <t>Ansvarlig kapital</t>
  </si>
  <si>
    <t>Beløp i millioner kroner</t>
  </si>
  <si>
    <t>Eierkapital</t>
  </si>
  <si>
    <t>Overkursfond</t>
  </si>
  <si>
    <t>Sparebankens Fond</t>
  </si>
  <si>
    <t>Utjevningsfond</t>
  </si>
  <si>
    <t>Gavefond</t>
  </si>
  <si>
    <t>Fond for urealiserte gevinster</t>
  </si>
  <si>
    <t>Annen egenkapital</t>
  </si>
  <si>
    <t>Sum egenkapital</t>
  </si>
  <si>
    <t>Fradrag</t>
  </si>
  <si>
    <t>Justert kjernekapital fra konsolidert finansinstitusjon</t>
  </si>
  <si>
    <t>Avsatt utbytte til eiere og samfunn</t>
  </si>
  <si>
    <t>Justeringer knyttet til regulatoriske filtre</t>
  </si>
  <si>
    <t>Utsatt skatt, goodwill og andre immaterielle eiendeler</t>
  </si>
  <si>
    <t>Forventet tap utover regnskapsmessige avsetninger</t>
  </si>
  <si>
    <t>Overfinansiering av pensjonsforpliktelser</t>
  </si>
  <si>
    <t>Ansvarlig kapital i finansinstitusjoner</t>
  </si>
  <si>
    <t>Sum ren kjernekapital</t>
  </si>
  <si>
    <t>Sum kjernekapital</t>
  </si>
  <si>
    <t>Tidsbegrenset ansvarlig kapital</t>
  </si>
  <si>
    <t>Fradrag for ansvarlig kapital i andre finansinstitusjoner</t>
  </si>
  <si>
    <t>Sum tilleggskapital</t>
  </si>
  <si>
    <t>Risikovektet beregningsgrunnlag</t>
  </si>
  <si>
    <t>Kredittrisiko, standardmetode</t>
  </si>
  <si>
    <t>Lokale og regionale myndigheter (herunder kommuner)</t>
  </si>
  <si>
    <t>Offentlige foretak</t>
  </si>
  <si>
    <t>Massemarkedsengasjementer</t>
  </si>
  <si>
    <t>Engasjementer med pantesikkerhet i eiendom</t>
  </si>
  <si>
    <t>Forfalte engasjementer</t>
  </si>
  <si>
    <t>Obligasjoner med fortrinnsrett</t>
  </si>
  <si>
    <t>Andeler i verdipapirfond</t>
  </si>
  <si>
    <t xml:space="preserve">Egenkapitalposisjoner  </t>
  </si>
  <si>
    <t>Øvrige engasjementer</t>
  </si>
  <si>
    <t>Sum kredittrisiko, standardmetode</t>
  </si>
  <si>
    <t>Kredittrisiko, IRB</t>
  </si>
  <si>
    <t>Foretak - SMB</t>
  </si>
  <si>
    <t>Foretak - Spesialiserte</t>
  </si>
  <si>
    <t>Foretak - Øvrige</t>
  </si>
  <si>
    <t>Massemarked med pantesikkerhet i eiendom  - SMB</t>
  </si>
  <si>
    <t>Massemarked med pantesikkerhet i eiendom  - ikke SMB</t>
  </si>
  <si>
    <t>Massemarked - Øvrige SMB</t>
  </si>
  <si>
    <t xml:space="preserve">Massemarked - Øvrige ikke SMB </t>
  </si>
  <si>
    <t>Egenkapitalposisjoner IRB</t>
  </si>
  <si>
    <t>Sum kredittrisiko, IRB</t>
  </si>
  <si>
    <t>Sum kredittrisiko</t>
  </si>
  <si>
    <t>Gjeldsrisiko</t>
  </si>
  <si>
    <t>Egenkapitalrisiko</t>
  </si>
  <si>
    <t>Valutarisiko</t>
  </si>
  <si>
    <t>Sum markedsrisiko</t>
  </si>
  <si>
    <t>Svekket kredittverdighet hos motpart (CVA-risiko)</t>
  </si>
  <si>
    <t>Tillegg for Basel 1-gulv</t>
  </si>
  <si>
    <t>Sum risikovektet beregningsgrunnlag</t>
  </si>
  <si>
    <t xml:space="preserve">Minimumskrav til ansvarlig kapital </t>
  </si>
  <si>
    <t>Kapitalkrav knyttet til Basel 1-gulv</t>
  </si>
  <si>
    <t>Sum minimumskrav til ansvarlig kapital</t>
  </si>
  <si>
    <t>Ren kjernekapitaldekning</t>
  </si>
  <si>
    <t>Kjernekapitaldekning</t>
  </si>
  <si>
    <t>Beløp i hele tusen</t>
  </si>
  <si>
    <t>Aksjekapital</t>
  </si>
  <si>
    <t>Avsatt utbytte</t>
  </si>
  <si>
    <t>Tilleggskapital</t>
  </si>
  <si>
    <t>Minimumskrav til ansvarlig kapital</t>
  </si>
  <si>
    <t>Immaterielle eiendeler</t>
  </si>
  <si>
    <t>Verdijustering som følge av krav om forsvarlig verdsettelse</t>
  </si>
  <si>
    <t>Annen godkjent kjernekapital</t>
  </si>
  <si>
    <t>Engasjement med pantesikkerhet i eiendom</t>
  </si>
  <si>
    <t>Positive verdier av justert EL etter kapitalkravsforskriften § 15-7</t>
  </si>
  <si>
    <t>Annen fradrag</t>
  </si>
  <si>
    <t>Overgangsbestemmelser knyttet til fradrag i ren kjerne</t>
  </si>
  <si>
    <t>Lokale og regionale myndigheter</t>
  </si>
  <si>
    <t>Utvikling kapitaldekning, konsern</t>
  </si>
  <si>
    <t>Minoritetsinteresser</t>
  </si>
  <si>
    <t>Sum  egenkapital</t>
  </si>
  <si>
    <t>Fradrag for fond for urealiserte gevinster</t>
  </si>
  <si>
    <t>Kapitaldekningsreserve (50 %)</t>
  </si>
  <si>
    <r>
      <t>Fondsobligasjon</t>
    </r>
    <r>
      <rPr>
        <vertAlign val="superscript"/>
        <sz val="10"/>
        <color rgb="FF000000"/>
        <rFont val="Calibri"/>
        <family val="2"/>
      </rPr>
      <t xml:space="preserve">   1)</t>
    </r>
  </si>
  <si>
    <t>Fradrag for ansvarlig kapital i andre finansinstitusjoner (50 %)</t>
  </si>
  <si>
    <t>Fradrag for forventet tap utover regnskapsmessige avsetninger (50 %)</t>
  </si>
  <si>
    <t>1) Fondsobligasjoner kan utgjøre inntil 15 prosent av kjernekapitalen, mens overskytende del teller som evigvarende tilleggskapital</t>
  </si>
  <si>
    <t>Kredittrisiko IRB</t>
  </si>
  <si>
    <t>Kredittrisiko unntak- og innføringsportefølje IRB (Standardmetoden)</t>
  </si>
  <si>
    <t>Egenkapitalrisiko (markedsrisiko)</t>
  </si>
  <si>
    <t>Fradrag for forventet tap utover regnskapsmessige avsetninger (100 %)</t>
  </si>
  <si>
    <t>Kapitaldekningsreserve</t>
  </si>
  <si>
    <t>Tidsbegrenset ansvarlig lånekapital</t>
  </si>
  <si>
    <t>Evigvarende fondsobligasjon</t>
  </si>
  <si>
    <t>Sum evigvarende fondsobligasjon</t>
  </si>
  <si>
    <t>Sum tidsbegrenset ansvarlig lånekapital og evigvarende fondsobligasjon</t>
  </si>
  <si>
    <t>Sum tidsbegrenset ansvarlig lånekapital</t>
  </si>
  <si>
    <t>2099 3 mnd Nibor + 315 bp. (Call-opsjon i år 2022)</t>
  </si>
  <si>
    <t>Kjernekapital</t>
  </si>
  <si>
    <t>Eksponeringsmål</t>
  </si>
  <si>
    <t xml:space="preserve">Obligasjoner med fortrinnsrett </t>
  </si>
  <si>
    <t>Engasjementer med samme risikovekt som stater og sentralbanker</t>
  </si>
  <si>
    <t>Engasjementer med institusjoner</t>
  </si>
  <si>
    <t>Engasjementer med pantesikkerhet i fast eiendom</t>
  </si>
  <si>
    <t xml:space="preserve">Engasjementer med foretak </t>
  </si>
  <si>
    <t>Øvrige utenom balanseposter</t>
  </si>
  <si>
    <t>Uvektet kapitalandel</t>
  </si>
  <si>
    <t>Engasjementer med offentlige foretak</t>
  </si>
  <si>
    <t>Engasjementer med lokale og regionale myndigheter</t>
  </si>
  <si>
    <t>Totalt eksponeringsbeløp</t>
  </si>
  <si>
    <t>Bufferkrav</t>
  </si>
  <si>
    <t xml:space="preserve">Minimumskrav ren kjernekapital </t>
  </si>
  <si>
    <t xml:space="preserve">Bevaringsbuffer </t>
  </si>
  <si>
    <t>Motsyklisk buffer</t>
  </si>
  <si>
    <t xml:space="preserve">Systemrisikobuffer </t>
  </si>
  <si>
    <t>Sum bufferkrav til ren kjernekapital</t>
  </si>
  <si>
    <t>Modeller godkjent for IRB-rapportering</t>
  </si>
  <si>
    <t>PD-modeller</t>
  </si>
  <si>
    <t>Modellbeskrivelse og metode</t>
  </si>
  <si>
    <t>Antall år med datagrunnlag</t>
  </si>
  <si>
    <t>Kalibreringsnivå</t>
  </si>
  <si>
    <t>PD - bedriftsmarkedet</t>
  </si>
  <si>
    <t xml:space="preserve">Modellen består av ulike nøkkeltall fra tradisjonell regnskapsanalyse, kjennetegn ved selskapene og anmerkningshistorikk. Består av flere scorekort der kundene grupperes etter bransjer/felles risikodrivere.  Modellen er utviklet ved hjelp av ekspertkunnskap og  statistisk analyse. </t>
  </si>
  <si>
    <t>&gt; 10 år</t>
  </si>
  <si>
    <t>Nivå satt til beregnet langsiktig utfall, basert på metodikk gitt av Finanstilsynet</t>
  </si>
  <si>
    <t>PD - personmarkedet, boliglånskunder</t>
  </si>
  <si>
    <t>Modellen er basert på informasjon om kundens økonomi, demografi og betalings-/anmerkningshistorikk.  Modellen er utviklet ved hjelp av ekspertkunnskap og  statistisk analyse. Gulv for PD  satt av Finanstilsynet.</t>
  </si>
  <si>
    <t>Langsiktig utfall gitt av metodikk fra Finanstilsynets referansemodell for boliglån</t>
  </si>
  <si>
    <t>PD - personmarkedet, øvrige kunder</t>
  </si>
  <si>
    <t>Modellen er basert på informasjon om kundens økonomi, demografi og betalings-/anmerkningshistorikk. Modellen er utviklet ved hjelp av ekspertkunnskap og  statistisk analyse.  Gulv for PD  satt av Finanstilsynet.</t>
  </si>
  <si>
    <t>LGD-modeller</t>
  </si>
  <si>
    <t>LGD - bedriftsmarkedet</t>
  </si>
  <si>
    <t xml:space="preserve">Modellen hensyntar kundens sannsynlighet for realisasjon, og et anslag på tap der sikkerhetsdekning er den vesentligste variabel.  Modellen er utviklet ved hjelp av ekspertkunnskap og  statistisk analyse. </t>
  </si>
  <si>
    <t>Downturnestimat med sikkerhetsmarginer for verdifall sikkerheter og på totalnivå</t>
  </si>
  <si>
    <t>LGD - personmarkedet</t>
  </si>
  <si>
    <t>Downturnestimat der kalibreringsnivå er fastsatt av Finanstilsynets minimumsnivå for norske boliglånsporteføljer</t>
  </si>
  <si>
    <t>EAD-modeller</t>
  </si>
  <si>
    <t>EAD - bedriftsmarkedet</t>
  </si>
  <si>
    <t xml:space="preserve">Modellen fastsetter konverteringsfaktor for ubenyttede kredittrammer og gir et estimat for kreditteksponering ved framtidig mislighold.  Modellen er utviklet ved hjelp av ekspertkunnskap og  statistisk analyse.  </t>
  </si>
  <si>
    <t>EAD - personmarkedet</t>
  </si>
  <si>
    <t xml:space="preserve">Modellen fastsetter konverteringsfaktor for ubenyttede kredittrammer og gir et estimat for kreditteksponering ved framtidig mislighold.  Modellen er utviklet ved hjelp av ekspertkunnskap og  statistisk analyse. </t>
  </si>
  <si>
    <t>Fondsobligasjon</t>
  </si>
  <si>
    <t>Fondsobligasjoner</t>
  </si>
  <si>
    <t>Egenkapitalbeviskapital</t>
  </si>
  <si>
    <t>Sparebankens fond</t>
  </si>
  <si>
    <t>Urealiserte gevinster på aksjer tilgjengelig for salg</t>
  </si>
  <si>
    <t>Justert kjernekapital fra konsoliderte finansinstitusjoner</t>
  </si>
  <si>
    <t>Goodwill og andre immatrielle eiendeler</t>
  </si>
  <si>
    <t>Fradrag for overfinansiert pensjonsforpliktelse</t>
  </si>
  <si>
    <t>Fradrag for forventet tap IRB utover regnskapsmessige avsetninger</t>
  </si>
  <si>
    <t>Fradrag for vesentlige eierandeler i selskaper i finansiell sektor</t>
  </si>
  <si>
    <t>Fradrag  for beholdning av ren kjernekapital i andre selskaper i finansiell sektor med vesentlig eierandel utover unntaksgrensen</t>
  </si>
  <si>
    <t>Fradrag for ansvarlig kapital i andre selskaper i finansiell sektor med vesentlig eierandel</t>
  </si>
  <si>
    <t>Eierandel og stemmeber. kapital</t>
  </si>
  <si>
    <t>Justeringer i ren kjerkapital knyttet til regulatoriske filtre</t>
  </si>
  <si>
    <t>SMB LAB</t>
  </si>
  <si>
    <t>Foretak-IRB</t>
  </si>
  <si>
    <t>SMB</t>
  </si>
  <si>
    <t>Spesialiserte foretak</t>
  </si>
  <si>
    <t>Øvrige</t>
  </si>
  <si>
    <t>Sum foretak</t>
  </si>
  <si>
    <t>Massemarked-IRB</t>
  </si>
  <si>
    <t>Eiendomsengasjementer- SMB</t>
  </si>
  <si>
    <t>Eiendomsengasjementer-ikke-SMB</t>
  </si>
  <si>
    <t>Øvrige SMB</t>
  </si>
  <si>
    <t>Øvrige ikke-SMB</t>
  </si>
  <si>
    <t>Sum massemarked-IRB</t>
  </si>
  <si>
    <t>Engasjements-
størrelse</t>
  </si>
  <si>
    <t>EAD</t>
  </si>
  <si>
    <t>Beregnings-grunnlag</t>
  </si>
  <si>
    <t>Risikovekt</t>
  </si>
  <si>
    <t>Beløp i tusen kroner</t>
  </si>
  <si>
    <t>Foretaksfinansiering</t>
  </si>
  <si>
    <t>Egenhandel og formidling</t>
  </si>
  <si>
    <t>Megling for massemarkedskunder</t>
  </si>
  <si>
    <t>Banktjenester for bedriftskunder</t>
  </si>
  <si>
    <t>Banktjenester for massemarkedskunder</t>
  </si>
  <si>
    <t>Betalings- og oppgjørstjenester</t>
  </si>
  <si>
    <t>Tilknyttede tjenester</t>
  </si>
  <si>
    <t>Kapitalforvaltning</t>
  </si>
  <si>
    <t>Sum sjablongmetoden</t>
  </si>
  <si>
    <t>Sum basismetoden</t>
  </si>
  <si>
    <t>Sum operasjonell risiko</t>
  </si>
  <si>
    <t>Råvarer</t>
  </si>
  <si>
    <t>Sum</t>
  </si>
  <si>
    <t>Vektet beløp</t>
  </si>
  <si>
    <t>Massemarked-eiendom</t>
  </si>
  <si>
    <t>Massemarked-øvrige</t>
  </si>
  <si>
    <t>Sum massemarked-øvrige</t>
  </si>
  <si>
    <t>Sum massemarked</t>
  </si>
  <si>
    <t>Risiko-
klasse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</si>
  <si>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</si>
  <si>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</si>
  <si>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</si>
  <si>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</si>
  <si>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</si>
  <si>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</si>
  <si>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</si>
  <si>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</si>
  <si>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</si>
  <si>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</si>
  <si>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</si>
  <si>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Andel</t>
  </si>
  <si>
    <t>Konsernets samlede engasjementer fordelt på engasjementstype</t>
  </si>
  <si>
    <t>Utlån fordelt på geografisk område og gjenstående løpetid</t>
  </si>
  <si>
    <t>Regnskapsmessig konsern</t>
  </si>
  <si>
    <t>Finnmark</t>
  </si>
  <si>
    <t>Troms inkludert Svalbard</t>
  </si>
  <si>
    <t>Nordland</t>
  </si>
  <si>
    <t xml:space="preserve">Øvrige fylker </t>
  </si>
  <si>
    <t>Utlandet</t>
  </si>
  <si>
    <t xml:space="preserve">Sum brutto utlån </t>
  </si>
  <si>
    <t>Brutto utlån</t>
  </si>
  <si>
    <t>Utlån fordelt på  gjenstående løpetid</t>
  </si>
  <si>
    <t>På forespørsel</t>
  </si>
  <si>
    <t>Under 
3 måneder</t>
  </si>
  <si>
    <t>3-12 måneder</t>
  </si>
  <si>
    <t>1 - 5 år</t>
  </si>
  <si>
    <t>over 5 år</t>
  </si>
  <si>
    <t>Totalt</t>
  </si>
  <si>
    <t>Misligholdte engasjement</t>
  </si>
  <si>
    <t>Øvrig tapsutsatte engasjement</t>
  </si>
  <si>
    <t>Tap</t>
  </si>
  <si>
    <t>Øvrige tap</t>
  </si>
  <si>
    <t>Sum tap</t>
  </si>
  <si>
    <t>Engasjement</t>
  </si>
  <si>
    <t>Industri</t>
  </si>
  <si>
    <t>Personmarked</t>
  </si>
  <si>
    <t>Gjennomsnittlig engasjementsbeløp i 2016</t>
  </si>
  <si>
    <t>Foretak (næringskunder)</t>
  </si>
  <si>
    <t>Massemarked (personkunder)</t>
  </si>
  <si>
    <t>Offentlig (stat og kommuner)</t>
  </si>
  <si>
    <t>Brutto engasjement kunder</t>
  </si>
  <si>
    <t>Nedskrivninger</t>
  </si>
  <si>
    <t>Individuelle nedskrivinger</t>
  </si>
  <si>
    <t>Netto engasjement kunder</t>
  </si>
  <si>
    <t>Kontanter og fordringer på sentralbanker</t>
  </si>
  <si>
    <t>Individuelle nedskrivninger - kredittinstitusjoner</t>
  </si>
  <si>
    <t>Sum engasjementsbeløp</t>
  </si>
  <si>
    <t>Gjennomsnittlig engasjementsbeløp i 2017</t>
  </si>
  <si>
    <t>Samlet engasjementsbeløp og andelen som er sikret med pant i fast eiendom, fordelt på IRB-engasjementskategorier</t>
  </si>
  <si>
    <t>Sum IRB</t>
  </si>
  <si>
    <r>
      <t>Herav sikret med pant i fast eiendom</t>
    </r>
    <r>
      <rPr>
        <vertAlign val="superscript"/>
        <sz val="10"/>
        <color rgb="FF000000"/>
        <rFont val="Calibri"/>
        <family val="2"/>
      </rPr>
      <t xml:space="preserve"> </t>
    </r>
    <r>
      <rPr>
        <vertAlign val="superscript"/>
        <sz val="10"/>
        <rFont val="Calibri"/>
        <family val="2"/>
      </rPr>
      <t>1) 2)</t>
    </r>
  </si>
  <si>
    <r>
      <t xml:space="preserve">Herav usikret </t>
    </r>
    <r>
      <rPr>
        <vertAlign val="superscript"/>
        <sz val="10"/>
        <rFont val="Calibri"/>
        <family val="2"/>
      </rPr>
      <t>1)</t>
    </r>
  </si>
  <si>
    <t>Eiendom</t>
  </si>
  <si>
    <t>Finansielle foretak, forsikring og verdipapirforetak</t>
  </si>
  <si>
    <t>Fiske og havbruk</t>
  </si>
  <si>
    <t>Jordbruk og skogbruk</t>
  </si>
  <si>
    <t>Kraft og vannforsyning, bygg og anlegg</t>
  </si>
  <si>
    <t>Offentlig forvaltning</t>
  </si>
  <si>
    <t>Tjenesteytende virksomhet</t>
  </si>
  <si>
    <t>Transport og lagring</t>
  </si>
  <si>
    <t>Varehandel, hotell og restaurantvirksomhet</t>
  </si>
  <si>
    <t>Nedskrivinger på grupper av utlån og garantier</t>
  </si>
  <si>
    <t>Gjennomsnittlig rente</t>
  </si>
  <si>
    <t>Sum foretak IRB</t>
  </si>
  <si>
    <t>Sum foretak og massemarked-IRB og egenkapitalposisjoner</t>
  </si>
  <si>
    <t>SpareBank 1 Betaling AS</t>
  </si>
  <si>
    <t>SpareBank 1 Banksamarbeidet DA</t>
  </si>
  <si>
    <t>Massemarked, foretak</t>
  </si>
  <si>
    <t>Datterselskaper og tilknyttede selskaper</t>
  </si>
  <si>
    <t>Minimumskrav til ansvarlig kapital og kapitaldekning</t>
  </si>
  <si>
    <t>Sum massemarked-eiendom</t>
  </si>
  <si>
    <r>
      <t>1)</t>
    </r>
    <r>
      <rPr>
        <sz val="10"/>
        <rFont val="Calibri"/>
        <family val="2"/>
      </rPr>
      <t xml:space="preserve">  Andel er totalt engasjement med slik sikkerhetsstillelse i forhold til totalt engasjement for gjeldende engasjementskategori.</t>
    </r>
  </si>
  <si>
    <r>
      <t xml:space="preserve">Herav sikret med annen pant/ sikkerhet </t>
    </r>
    <r>
      <rPr>
        <vertAlign val="superscript"/>
        <sz val="10"/>
        <rFont val="Calibri"/>
        <family val="2"/>
      </rPr>
      <t>1)</t>
    </r>
  </si>
  <si>
    <t>Opptjent egenkapital</t>
  </si>
  <si>
    <t>Årets resultat</t>
  </si>
  <si>
    <t>Immaterielle eiendeler, inkl utsatt skattefordel</t>
  </si>
  <si>
    <t>Foreslått utbytte</t>
  </si>
  <si>
    <t>Metoder for beregning av kapitalkravet</t>
  </si>
  <si>
    <t>Kapitaldekning, datterselskaper</t>
  </si>
  <si>
    <t>Kapitaldekning, tilknyttede selskaper</t>
  </si>
  <si>
    <t>Ansvarlig lånekapital</t>
  </si>
  <si>
    <t>Uvektet kjernekapitalandel</t>
  </si>
  <si>
    <t>Kapitalkrav pr. risikotype</t>
  </si>
  <si>
    <t>Kreditteksponeringer IRB pr. engasmentskategori og risikoklasse</t>
  </si>
  <si>
    <t>Sikkerhetsstillelser pr. IRB-kategori</t>
  </si>
  <si>
    <t>Utvikling i mislighold, tap og tapsavsetninger</t>
  </si>
  <si>
    <t>Massemarked - Øvrige - SMB</t>
  </si>
  <si>
    <t>Massemarked - Øvrige - Ikke SMB</t>
  </si>
  <si>
    <t>2099 3 mnd Nibor + 330 bp. (Call-opsjon i år 2022)</t>
  </si>
  <si>
    <t>2099 3 mnd Nibor + 330 bp. (Call-opsjon i år 2023)</t>
  </si>
  <si>
    <t>2024 3 mnd Nibor + 150 bp. (Call-opsjon i år 2019)</t>
  </si>
  <si>
    <t>2027 3 mnd Nibor + 154 bp. (Call-opsjon i år 2022)</t>
  </si>
  <si>
    <t>2028 3 mnd Nibor + 140 bp. (Call-opsjon i år 2023)</t>
  </si>
  <si>
    <t>2099 3 mnd Nibor + 475 bp. (Call 2017 benyttet)</t>
  </si>
  <si>
    <t>Øvrige eiendeler</t>
  </si>
  <si>
    <t>Derivater</t>
  </si>
  <si>
    <t>Rente- og valutainstrumenter</t>
  </si>
  <si>
    <t>Utlån fordelt på geografisk område</t>
  </si>
  <si>
    <t>Brutto virkelig verdi</t>
  </si>
  <si>
    <t>Brutto utlån 31.12.2018</t>
  </si>
  <si>
    <t>Brutto utlån 31.12.2016</t>
  </si>
  <si>
    <t>Brutto utlån 31.12.2017</t>
  </si>
  <si>
    <t>Netto virkelig verdi etter motregning og sikkerheter</t>
  </si>
  <si>
    <t>Periodens endring i nedskrivninger for forventet tap</t>
  </si>
  <si>
    <t xml:space="preserve">Konstaterte tap </t>
  </si>
  <si>
    <t xml:space="preserve">Inngang på tidligere avskrevne tap    </t>
  </si>
  <si>
    <t>Trinn 3</t>
  </si>
  <si>
    <t>Trinn 2</t>
  </si>
  <si>
    <t>Trinn1</t>
  </si>
  <si>
    <t>Tapsavsetninger 31.12.17</t>
  </si>
  <si>
    <t>herav tapsavsetninger som reduksjon av eiendeler</t>
  </si>
  <si>
    <t>herav tapsavsetninger som annen gjeld</t>
  </si>
  <si>
    <t>Implementeringseffekt 01.01.18</t>
  </si>
  <si>
    <t>Tapsavsetninger 01.01.18</t>
  </si>
  <si>
    <t>Periodens endringer i beregnet tapsavsetning som følge av</t>
  </si>
  <si>
    <t>at lån har migrert mellom trinnene:</t>
  </si>
  <si>
    <t xml:space="preserve">     til (-fra) trinn 1</t>
  </si>
  <si>
    <t xml:space="preserve">     til (-fra) trinn 2</t>
  </si>
  <si>
    <t xml:space="preserve">     til (-fra) trinn 3 </t>
  </si>
  <si>
    <t xml:space="preserve">Netto økning/reduksjon saldo </t>
  </si>
  <si>
    <t>Tapsavsetninger 31.12.2018</t>
  </si>
  <si>
    <t>Tapsavsetninger utlån</t>
  </si>
  <si>
    <t>Herav tapsavsetninger som reduksjon av eiendeler</t>
  </si>
  <si>
    <t>Herav tapsavsetninger som reduksjon av gjeld</t>
  </si>
  <si>
    <t xml:space="preserve">Totalt engasjement </t>
  </si>
  <si>
    <t xml:space="preserve">Tapsavsetninger utenom balanse </t>
  </si>
  <si>
    <t>Utlån fordelt på sektor og næring</t>
  </si>
  <si>
    <r>
      <t>Totale tap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</si>
  <si>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1) </t>
    </r>
    <r>
      <rPr>
        <sz val="10"/>
        <rFont val="Calibri"/>
        <family val="2"/>
      </rPr>
      <t>Totale tap inneholder endringer i avsetning til tap, konstaterte tap, samt innkommet på tidligere konstaterte tap.</t>
    </r>
  </si>
  <si>
    <t>Konsernets engasjementer og tap fordelt på bransjer</t>
  </si>
  <si>
    <t>Trinn 1</t>
  </si>
  <si>
    <t>Periodens migrering mellom trinn i kredittrisiko</t>
  </si>
  <si>
    <t>til (-fra) trinn 1</t>
  </si>
  <si>
    <t>til (-fra) trinn 2</t>
  </si>
  <si>
    <t>til (-fra) trinn 3</t>
  </si>
  <si>
    <t>Rødbanken Holding AS</t>
  </si>
  <si>
    <t>FVPL</t>
  </si>
  <si>
    <t>Minimumskrav til ansvarlig kapital (8 %)</t>
  </si>
  <si>
    <t>Total kapitaldekning</t>
  </si>
  <si>
    <t>Konsernets engasjementer, tap pr. bransje</t>
  </si>
  <si>
    <t>Gjennomsnittlig engasjementsbeløp i 2018</t>
  </si>
  <si>
    <t>Sum foretak - IRB</t>
  </si>
  <si>
    <r>
      <t xml:space="preserve">Utlån og fordringer på kredittinstitusjoner </t>
    </r>
    <r>
      <rPr>
        <vertAlign val="superscript"/>
        <sz val="10"/>
        <color rgb="FF000000"/>
        <rFont val="Calibri"/>
        <family val="2"/>
      </rPr>
      <t>1)</t>
    </r>
  </si>
  <si>
    <r>
      <t xml:space="preserve">1) </t>
    </r>
    <r>
      <rPr>
        <sz val="10"/>
        <color theme="1"/>
        <rFont val="Calibri"/>
        <family val="2"/>
        <scheme val="minor"/>
      </rPr>
      <t xml:space="preserve">Utlån og fordringer på kredittinstitusjoner inngår i </t>
    </r>
    <r>
      <rPr>
        <i/>
        <sz val="10"/>
        <color theme="1"/>
        <rFont val="Calibri"/>
        <family val="2"/>
        <scheme val="minor"/>
      </rPr>
      <t>Brutto engasjement kunder</t>
    </r>
    <r>
      <rPr>
        <sz val="10"/>
        <color theme="1"/>
        <rFont val="Calibri"/>
        <family val="2"/>
        <scheme val="minor"/>
      </rPr>
      <t xml:space="preserve"> i 2018.</t>
    </r>
  </si>
  <si>
    <r>
      <t xml:space="preserve">Tapsavsetninger trinn 1-3 </t>
    </r>
    <r>
      <rPr>
        <vertAlign val="superscript"/>
        <sz val="10"/>
        <color rgb="FF000000"/>
        <rFont val="Calibri"/>
        <family val="2"/>
      </rPr>
      <t>2)</t>
    </r>
  </si>
  <si>
    <r>
      <t xml:space="preserve">2) </t>
    </r>
    <r>
      <rPr>
        <sz val="10"/>
        <color theme="1"/>
        <rFont val="Calibri"/>
        <family val="2"/>
        <scheme val="minor"/>
      </rPr>
      <t>Gjennomsnitt for 2018 er beregnet i etterkant av implementering av IFRS (1.1.18).</t>
    </r>
  </si>
  <si>
    <t>IA</t>
  </si>
  <si>
    <t>Utlån til virkelig verdi over resultat per 31.12.18</t>
  </si>
  <si>
    <t>Netto økning/reduksjon i saldo</t>
  </si>
  <si>
    <t>Netto ny måling av tap</t>
  </si>
  <si>
    <t>Totalt engasjement til amortisert kost per 31.12.18</t>
  </si>
  <si>
    <t>Poster utenom balansen</t>
  </si>
  <si>
    <t>Brutto utlån 31.12.18</t>
  </si>
  <si>
    <t>Tapsavsetninger trinn 3 J/K (IFRS 9)</t>
  </si>
  <si>
    <t>Individuelle nedskrivninger misligholdte (IAS 39)</t>
  </si>
  <si>
    <t>Individuelle nedskrivninger øvrige (IAS 39)</t>
  </si>
  <si>
    <t>Andel tapsavsetninger av misligholdte og tapsutsatte engasjement</t>
  </si>
  <si>
    <t>Tapsavsetninger trinn 1-3 (IFRS 9)</t>
  </si>
  <si>
    <t>Individuell nedskrivning til dekning av tap på utlån og garantier pr. 31.12 (IAS 39)</t>
  </si>
  <si>
    <t>Gruppenedskrivning til dekning av tap på utlån og garantier pr. 31.12 (IAS 39)</t>
  </si>
  <si>
    <t>IFRS 9</t>
  </si>
  <si>
    <t xml:space="preserve">IAS 39 </t>
  </si>
  <si>
    <t>Endringer i tapsavsetninger på utlån til amortisert kost</t>
  </si>
  <si>
    <t xml:space="preserve">Utvikling totale tapsavsetninger </t>
  </si>
  <si>
    <t>Totale tapsavsetninger (inkl. kredittinstitusjoner)</t>
  </si>
  <si>
    <t>Totale tapsavsetninger historisk</t>
  </si>
  <si>
    <t>Tapsavsetninger etter implementering av IFRS 9 - fordelt på trinn</t>
  </si>
  <si>
    <r>
      <t xml:space="preserve">Sum misligholdte og tapsutsatte engasjement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</si>
  <si>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1) </t>
    </r>
    <r>
      <rPr>
        <sz val="8"/>
        <color theme="1"/>
        <rFont val="Calibri"/>
        <family val="2"/>
        <scheme val="minor"/>
      </rPr>
      <t xml:space="preserve">Saldo for misligholdte og tapsutsatte engasjementer er i denne tabellen oppgitt for alle typer utlån og er derfor større enn i ECL-beregningen etter IFRS 9 hvor kun utlån til amortisert kost oppgis.
</t>
    </r>
  </si>
  <si>
    <t>Kapitaldekning - Konsern</t>
  </si>
  <si>
    <t>Kapitaldekning - SpareBank 1 Finans Nord-Norge AS</t>
  </si>
  <si>
    <t>Kapitaldekning - SpareBank 1 Boligkreditt AS</t>
  </si>
  <si>
    <t>Kapitaldekning - SpareBank 1 Næringskreditt</t>
  </si>
  <si>
    <t>Kapitaldekning - BN Bank ASA</t>
  </si>
  <si>
    <t>Kapitaldekning - SpareBank 1 Kredittkort</t>
  </si>
  <si>
    <t>Utvikling kapitaldekning - Konsern</t>
  </si>
  <si>
    <t>Ansvarlig lånekapital og fondsobligasjoner - Morbank</t>
  </si>
  <si>
    <t>Uvektet kjernkapitalandel (Leverage Ratio) - Konsern</t>
  </si>
  <si>
    <t>Bufferkrav - Konsern</t>
  </si>
  <si>
    <t>Kapitalkrav per risikotype - Konsern</t>
  </si>
  <si>
    <t>BETR AS</t>
  </si>
  <si>
    <t>Tilknyttet selskap</t>
  </si>
  <si>
    <t>Tilknyttede selskaper</t>
  </si>
  <si>
    <t>Selskaper som ikke er konsolidert inn i SNNs konsernregnskap, men hvor det foreligger innskudd av ansvarlig kapital som helt eller delvis er fratrukket i ansvarlig kapital i konsernets kapitaldekning</t>
  </si>
  <si>
    <t>2022 3 mnd Nibor + 275 bp. (Call-opsjon i 2017 benyttet)</t>
  </si>
  <si>
    <t>Nominelt</t>
  </si>
  <si>
    <t>Prosentuelt</t>
  </si>
  <si>
    <t>Sum minimumskrav og bufferkrav til ren kjernekapital</t>
  </si>
  <si>
    <t>Pilar 2-krav til ren kjernekapital</t>
  </si>
  <si>
    <t>Sum krav til ren kjernekapital (pilar 1 og pilar 2)</t>
  </si>
  <si>
    <t>Overskytende ren kjernekapital (buffer)</t>
  </si>
  <si>
    <t>Beregningsgrunnlag 31.12.18</t>
  </si>
  <si>
    <t>Ren kjernekapital 31.12.18</t>
  </si>
  <si>
    <t>Konsern</t>
  </si>
  <si>
    <t>Kapitalkrav (8%) operasjonell risiko</t>
  </si>
  <si>
    <t>Kapitalkrav (8%) kredittrisiko</t>
  </si>
  <si>
    <t>Kapitalkrav (8%) for motpartsrisiko for derivater</t>
  </si>
  <si>
    <t>Modeller godkjent for IRB</t>
  </si>
  <si>
    <r>
      <t>2)</t>
    </r>
    <r>
      <rPr>
        <sz val="10"/>
        <rFont val="Calibri"/>
        <family val="2"/>
      </rPr>
      <t xml:space="preserve"> Engasjement der realisasjonsverdi av fast eiendom er lavere enn 30% av kundens 
    engasjement kategoriseres ikke som engasjement som er sikret med pant i fast eiendom.</t>
    </r>
  </si>
  <si>
    <t>Engasjementsbeløp per 31.12.2018</t>
  </si>
  <si>
    <t>Engasjementsbeløp per 31.12.2017</t>
  </si>
  <si>
    <t>Engasjementsbeløp per 31.12.2016</t>
  </si>
  <si>
    <t>Andel 31.12.18 (totalt engasjement til amortisert kost)</t>
  </si>
  <si>
    <r>
      <t>Bokført verdi</t>
    </r>
    <r>
      <rPr>
        <vertAlign val="superscript"/>
        <sz val="10"/>
        <color theme="1"/>
        <rFont val="Calibri"/>
        <family val="2"/>
        <scheme val="minor"/>
      </rPr>
      <t>1)</t>
    </r>
  </si>
  <si>
    <t>Nivå satt til beregnet langsiktig utfall, basert på metodikk gitt av Finanstilsynet og egne beregningsmetoder</t>
  </si>
  <si>
    <t>Downturnestimat med sikkerhetsmarginer for hvor stor del av ubenyttede kredittrammer som trekkes opp ved mislighold.</t>
  </si>
  <si>
    <t>Downturnestimat med sikkerhetsmarginer for hvor stor del av garanti og ubenyttede kredittrammer som trekkes opp ved mislighold.</t>
  </si>
  <si>
    <t xml:space="preserve"> Ubenyttet ramme**</t>
  </si>
  <si>
    <t>Samlet              EAD*</t>
  </si>
  <si>
    <t>**) Tall for morbank (IRB)</t>
  </si>
  <si>
    <t>*) Tall for konsern (IRB)</t>
  </si>
  <si>
    <t>Kreditteksponeringer per engasjementskategori og risikoklasse IRB-metoden</t>
  </si>
  <si>
    <t>Gjennomsn.     LGD
* / ***</t>
  </si>
  <si>
    <t>Gjennomsn. KF
** / ***</t>
  </si>
  <si>
    <t>***) Vektede gjennomsnitt</t>
  </si>
  <si>
    <t>Sikkerhetsstillelser per IRB-kategori for konsernet</t>
  </si>
  <si>
    <t>Totalt engasjement til amortisert kost per 01.01.2018</t>
  </si>
  <si>
    <t>Totalt engasjement per 31.12.18</t>
  </si>
  <si>
    <t>Brutto utlån fordelt på trinn i kredittrisikovurderingen</t>
  </si>
  <si>
    <t>Andel 01.01.18 (totalt engasjement til amortisert kost)</t>
  </si>
  <si>
    <t>Ufordelt</t>
  </si>
  <si>
    <t xml:space="preserve">Netto misligholdte og tapsutsatte engasjement </t>
  </si>
  <si>
    <t>Sum tapsavsetninger (inkl. kreditt.inst)</t>
  </si>
  <si>
    <r>
      <t>1)</t>
    </r>
    <r>
      <rPr>
        <sz val="10"/>
        <color theme="1"/>
        <rFont val="Calibri"/>
        <family val="2"/>
        <scheme val="minor"/>
      </rPr>
      <t xml:space="preserve"> For datterselskaper er det bokført verdi på morbanknivå som er opplyst. For tilknyttede selskaper er det bokførte verdi på konsernnivå som er opplyst. Tilknyttede selskaper bokføres til kostpris på morbanknivå.</t>
    </r>
  </si>
  <si>
    <t>Uvektet kjernkapitalandel (Leverage Ratio)</t>
  </si>
  <si>
    <t>Gjennomsn. risikovekt
* / ***</t>
  </si>
  <si>
    <t>31.12.2017*</t>
  </si>
  <si>
    <t>31.12.2016*</t>
  </si>
  <si>
    <t>31.12.2015*</t>
  </si>
  <si>
    <t>*) Tall for individuelle nedskrivninger avviker fra pilar 3-rapporten for 2017. Dette skyldes at det i årets pilar 3-rapport er tatt inn nedskrivninger på kredittinstitusjoner og utenombalansesposter i tabellen.</t>
  </si>
  <si>
    <t>Tapsavsetninger segementer på markeder:</t>
  </si>
  <si>
    <t>Bedriftsmarked</t>
  </si>
  <si>
    <t>12 mnd ECL</t>
  </si>
  <si>
    <t xml:space="preserve">Levetid ECL - ikke objektive bevis på tap </t>
  </si>
  <si>
    <t>Total</t>
  </si>
  <si>
    <t>Svært lav</t>
  </si>
  <si>
    <t>Lav</t>
  </si>
  <si>
    <t>Middels</t>
  </si>
  <si>
    <t>Høy</t>
  </si>
  <si>
    <t>Svært høy</t>
  </si>
  <si>
    <t>Mislighold og nedskrevet</t>
  </si>
  <si>
    <t>Andel avsetning</t>
  </si>
  <si>
    <t>Kredittrisiko - Tapsavsetninger fordelt på risikokategori</t>
  </si>
  <si>
    <t>Engasjementer, mislighold og tapsavsetninger</t>
  </si>
  <si>
    <t>Risikokategori</t>
  </si>
  <si>
    <t xml:space="preserve">Levetid ECL- objektive bevis på tap </t>
  </si>
  <si>
    <t>Tapsav-setninger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</si>
</sst>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dd/mm/yy;@"/>
    <numFmt numFmtId="168" formatCode="#,##0;[Red]\(#,##0\);0"/>
    <numFmt numFmtId="169" formatCode="0.0\ %"/>
    <numFmt numFmtId="170" formatCode="_ * #,##0.00_ ;_ * \-#,##0.00_ ;_ * &quot;-&quot;??_ ;_ @_ "/>
    <numFmt numFmtId="171" formatCode="_(* #,##0.0_);_(* \(#,##0.0\);_(* &quot;-&quot;??_);_(@_)"/>
    <numFmt numFmtId="172" formatCode="0.0000\ %"/>
    <numFmt numFmtId="173" formatCode="0.000\ %"/>
  </numFmts>
  <fonts count="4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3366CC"/>
      <name val="Calibri"/>
      <family val="2"/>
      <scheme val="minor"/>
    </font>
    <font>
      <b/>
      <sz val="10"/>
      <color rgb="FF0066CC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vertAlign val="superscript"/>
      <sz val="10"/>
      <color rgb="FF000000"/>
      <name val="Calibri"/>
      <family val="2"/>
    </font>
    <font>
      <sz val="9"/>
      <name val="Times New Roman"/>
      <family val="1"/>
    </font>
    <font>
      <sz val="9"/>
      <color rgb="FF000000"/>
      <name val="Calibri"/>
      <family val="2"/>
    </font>
    <font>
      <i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8"/>
      <color rgb="FF000000"/>
      <name val="Calibri"/>
      <family val="2"/>
    </font>
    <font>
      <b/>
      <sz val="11"/>
      <color rgb="FF005AA4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5AA4"/>
      <name val="Calibri"/>
      <family val="2"/>
      <scheme val="minor"/>
    </font>
    <font>
      <b/>
      <sz val="10"/>
      <color rgb="FF005AA4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14"/>
      <color rgb="FF005AA4"/>
      <name val="Calibri"/>
      <family val="2"/>
    </font>
    <font>
      <b/>
      <sz val="12"/>
      <color rgb="FF005AA4"/>
      <name val="Calibri"/>
      <family val="2"/>
      <scheme val="minor"/>
    </font>
    <font>
      <sz val="10"/>
      <color rgb="FF005AA4"/>
      <name val="Calibri"/>
      <family val="2"/>
    </font>
    <font>
      <vertAlign val="superscript"/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5AA4"/>
        <bgColor indexed="64"/>
      </patternFill>
    </fill>
    <fill>
      <patternFill patternType="solid">
        <fgColor rgb="FF005AA4"/>
        <bgColor rgb="FF000000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9" fillId="0" borderId="0" applyFill="0" applyBorder="0">
      <alignment horizontal="left" vertical="top"/>
    </xf>
    <xf numFmtId="0" fontId="26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70" fontId="27" fillId="0" borderId="0" applyFont="0" applyFill="0" applyBorder="0" applyAlignment="0" applyProtection="0"/>
  </cellStyleXfs>
  <cellXfs count="582">
    <xf numFmtId="0" fontId="0" fillId="0" borderId="0" xfId="0"/>
    <xf numFmtId="0" fontId="4" fillId="0" borderId="0" xfId="0" applyFont="1"/>
    <xf numFmtId="0" fontId="4" fillId="0" borderId="0" xfId="2" applyFont="1" applyAlignment="1">
      <alignment horizontal="left"/>
    </xf>
    <xf numFmtId="0" fontId="6" fillId="0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165" fontId="0" fillId="0" borderId="0" xfId="3" applyNumberFormat="1" applyFont="1"/>
    <xf numFmtId="4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0" fontId="7" fillId="0" borderId="0" xfId="0" applyFont="1"/>
    <xf numFmtId="0" fontId="1" fillId="0" borderId="0" xfId="0" applyFont="1"/>
    <xf numFmtId="0" fontId="5" fillId="2" borderId="0" xfId="2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0" fillId="0" borderId="0" xfId="0" applyBorder="1"/>
    <xf numFmtId="0" fontId="10" fillId="0" borderId="0" xfId="0" applyFont="1"/>
    <xf numFmtId="0" fontId="2" fillId="0" borderId="0" xfId="0" applyFont="1" applyFill="1"/>
    <xf numFmtId="0" fontId="1" fillId="0" borderId="2" xfId="0" applyFont="1" applyBorder="1"/>
    <xf numFmtId="0" fontId="8" fillId="0" borderId="2" xfId="0" applyFont="1" applyBorder="1"/>
    <xf numFmtId="0" fontId="8" fillId="0" borderId="0" xfId="0" applyFont="1"/>
    <xf numFmtId="0" fontId="1" fillId="0" borderId="2" xfId="0" applyFont="1" applyBorder="1" applyAlignment="1">
      <alignment horizontal="left"/>
    </xf>
    <xf numFmtId="0" fontId="1" fillId="0" borderId="0" xfId="0" applyFont="1" applyBorder="1"/>
    <xf numFmtId="0" fontId="8" fillId="0" borderId="0" xfId="0" applyFont="1" applyBorder="1"/>
    <xf numFmtId="0" fontId="1" fillId="0" borderId="0" xfId="0" applyFont="1" applyBorder="1" applyAlignment="1">
      <alignment horizontal="left"/>
    </xf>
    <xf numFmtId="3" fontId="8" fillId="0" borderId="0" xfId="0" applyNumberFormat="1" applyFont="1" applyBorder="1"/>
    <xf numFmtId="166" fontId="13" fillId="0" borderId="0" xfId="3" applyNumberFormat="1" applyFont="1" applyFill="1" applyBorder="1" applyAlignment="1">
      <alignment horizontal="right"/>
    </xf>
    <xf numFmtId="166" fontId="13" fillId="0" borderId="2" xfId="3" applyNumberFormat="1" applyFont="1" applyFill="1" applyBorder="1" applyAlignment="1">
      <alignment horizontal="right"/>
    </xf>
    <xf numFmtId="166" fontId="12" fillId="0" borderId="2" xfId="3" applyNumberFormat="1" applyFont="1" applyFill="1" applyBorder="1" applyAlignment="1">
      <alignment horizontal="right"/>
    </xf>
    <xf numFmtId="0" fontId="13" fillId="0" borderId="0" xfId="0" applyFont="1" applyFill="1" applyBorder="1"/>
    <xf numFmtId="0" fontId="12" fillId="0" borderId="1" xfId="0" applyFont="1" applyFill="1" applyBorder="1"/>
    <xf numFmtId="166" fontId="13" fillId="0" borderId="0" xfId="0" applyNumberFormat="1" applyFont="1" applyFill="1" applyBorder="1"/>
    <xf numFmtId="166" fontId="12" fillId="0" borderId="2" xfId="3" applyNumberFormat="1" applyFont="1" applyFill="1" applyBorder="1"/>
    <xf numFmtId="166" fontId="13" fillId="0" borderId="0" xfId="3" applyNumberFormat="1" applyFont="1" applyFill="1" applyBorder="1"/>
    <xf numFmtId="166" fontId="13" fillId="0" borderId="1" xfId="3" applyNumberFormat="1" applyFont="1" applyFill="1" applyBorder="1"/>
    <xf numFmtId="166" fontId="12" fillId="0" borderId="1" xfId="3" applyNumberFormat="1" applyFont="1" applyFill="1" applyBorder="1"/>
    <xf numFmtId="10" fontId="13" fillId="0" borderId="0" xfId="1" applyNumberFormat="1" applyFont="1" applyFill="1" applyBorder="1"/>
    <xf numFmtId="10" fontId="12" fillId="0" borderId="2" xfId="1" applyNumberFormat="1" applyFont="1" applyFill="1" applyBorder="1"/>
    <xf numFmtId="0" fontId="0" fillId="0" borderId="2" xfId="0" applyBorder="1"/>
    <xf numFmtId="0" fontId="8" fillId="0" borderId="1" xfId="0" applyFont="1" applyBorder="1"/>
    <xf numFmtId="0" fontId="12" fillId="0" borderId="0" xfId="0" applyFont="1" applyFill="1" applyBorder="1"/>
    <xf numFmtId="0" fontId="0" fillId="0" borderId="1" xfId="0" applyBorder="1"/>
    <xf numFmtId="0" fontId="13" fillId="0" borderId="1" xfId="0" applyFont="1" applyFill="1" applyBorder="1"/>
    <xf numFmtId="0" fontId="13" fillId="0" borderId="2" xfId="0" applyFont="1" applyFill="1" applyBorder="1"/>
    <xf numFmtId="0" fontId="13" fillId="0" borderId="0" xfId="0" applyFont="1" applyFill="1" applyBorder="1" applyAlignment="1">
      <alignment horizontal="left" indent="2"/>
    </xf>
    <xf numFmtId="0" fontId="12" fillId="0" borderId="2" xfId="0" applyFont="1" applyFill="1" applyBorder="1"/>
    <xf numFmtId="0" fontId="16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3" fontId="13" fillId="0" borderId="0" xfId="0" applyNumberFormat="1" applyFont="1" applyFill="1" applyBorder="1"/>
    <xf numFmtId="3" fontId="12" fillId="0" borderId="2" xfId="0" applyNumberFormat="1" applyFont="1" applyFill="1" applyBorder="1"/>
    <xf numFmtId="166" fontId="13" fillId="0" borderId="2" xfId="3" applyNumberFormat="1" applyFont="1" applyFill="1" applyBorder="1"/>
    <xf numFmtId="166" fontId="16" fillId="0" borderId="0" xfId="3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13" fillId="0" borderId="2" xfId="0" applyNumberFormat="1" applyFont="1" applyFill="1" applyBorder="1"/>
    <xf numFmtId="3" fontId="12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0" fontId="0" fillId="0" borderId="0" xfId="0" applyFill="1" applyBorder="1"/>
    <xf numFmtId="166" fontId="12" fillId="0" borderId="0" xfId="3" applyNumberFormat="1" applyFont="1" applyFill="1" applyBorder="1"/>
    <xf numFmtId="10" fontId="12" fillId="0" borderId="0" xfId="1" applyNumberFormat="1" applyFont="1" applyFill="1" applyBorder="1"/>
    <xf numFmtId="167" fontId="12" fillId="0" borderId="0" xfId="0" applyNumberFormat="1" applyFont="1" applyFill="1" applyBorder="1" applyAlignment="1">
      <alignment vertical="top"/>
    </xf>
    <xf numFmtId="0" fontId="17" fillId="0" borderId="0" xfId="0" applyFont="1" applyFill="1" applyBorder="1"/>
    <xf numFmtId="167" fontId="12" fillId="0" borderId="1" xfId="0" applyNumberFormat="1" applyFont="1" applyFill="1" applyBorder="1"/>
    <xf numFmtId="168" fontId="13" fillId="0" borderId="0" xfId="0" applyNumberFormat="1" applyFont="1" applyFill="1" applyBorder="1" applyAlignment="1">
      <alignment horizontal="left" indent="2"/>
    </xf>
    <xf numFmtId="168" fontId="13" fillId="0" borderId="2" xfId="0" applyNumberFormat="1" applyFont="1" applyFill="1" applyBorder="1"/>
    <xf numFmtId="168" fontId="14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vertical="top"/>
    </xf>
    <xf numFmtId="166" fontId="13" fillId="0" borderId="0" xfId="3" applyNumberFormat="1" applyFont="1" applyFill="1" applyBorder="1" applyAlignment="1">
      <alignment vertical="top"/>
    </xf>
    <xf numFmtId="168" fontId="13" fillId="0" borderId="0" xfId="0" applyNumberFormat="1" applyFont="1" applyFill="1" applyBorder="1"/>
    <xf numFmtId="166" fontId="12" fillId="0" borderId="2" xfId="0" applyNumberFormat="1" applyFont="1" applyFill="1" applyBorder="1"/>
    <xf numFmtId="169" fontId="13" fillId="0" borderId="0" xfId="0" applyNumberFormat="1" applyFont="1" applyFill="1" applyBorder="1"/>
    <xf numFmtId="169" fontId="12" fillId="0" borderId="2" xfId="0" applyNumberFormat="1" applyFont="1" applyFill="1" applyBorder="1"/>
    <xf numFmtId="14" fontId="12" fillId="0" borderId="1" xfId="0" applyNumberFormat="1" applyFont="1" applyFill="1" applyBorder="1"/>
    <xf numFmtId="0" fontId="8" fillId="0" borderId="0" xfId="0" applyFont="1" applyBorder="1" applyAlignment="1">
      <alignment vertical="top"/>
    </xf>
    <xf numFmtId="0" fontId="1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4" fontId="12" fillId="0" borderId="0" xfId="0" applyNumberFormat="1" applyFont="1" applyFill="1" applyBorder="1"/>
    <xf numFmtId="166" fontId="1" fillId="0" borderId="0" xfId="3" applyNumberFormat="1" applyFont="1" applyAlignment="1">
      <alignment horizontal="right"/>
    </xf>
    <xf numFmtId="165" fontId="13" fillId="0" borderId="2" xfId="3" applyNumberFormat="1" applyFont="1" applyFill="1" applyBorder="1"/>
    <xf numFmtId="164" fontId="13" fillId="0" borderId="0" xfId="3" applyFont="1" applyFill="1" applyBorder="1"/>
    <xf numFmtId="0" fontId="15" fillId="0" borderId="0" xfId="0" applyFont="1" applyFill="1" applyBorder="1" applyAlignment="1">
      <alignment horizontal="left" indent="2"/>
    </xf>
    <xf numFmtId="164" fontId="13" fillId="0" borderId="0" xfId="3" applyFont="1" applyFill="1" applyBorder="1" applyAlignment="1">
      <alignment horizontal="left" indent="2"/>
    </xf>
    <xf numFmtId="165" fontId="13" fillId="0" borderId="0" xfId="3" applyNumberFormat="1" applyFont="1" applyFill="1" applyBorder="1"/>
    <xf numFmtId="165" fontId="12" fillId="0" borderId="2" xfId="3" applyNumberFormat="1" applyFont="1" applyFill="1" applyBorder="1"/>
    <xf numFmtId="166" fontId="13" fillId="0" borderId="0" xfId="3" applyNumberFormat="1" applyFont="1" applyFill="1" applyBorder="1" applyAlignment="1">
      <alignment horizontal="left" indent="2"/>
    </xf>
    <xf numFmtId="10" fontId="13" fillId="0" borderId="0" xfId="0" applyNumberFormat="1" applyFont="1" applyFill="1" applyBorder="1"/>
    <xf numFmtId="0" fontId="13" fillId="0" borderId="1" xfId="0" applyFont="1" applyFill="1" applyBorder="1" applyAlignment="1">
      <alignment vertical="top"/>
    </xf>
    <xf numFmtId="0" fontId="1" fillId="0" borderId="0" xfId="0" applyFont="1" applyBorder="1" applyAlignment="1"/>
    <xf numFmtId="0" fontId="0" fillId="0" borderId="0" xfId="0" applyAlignment="1">
      <alignment horizontal="left" indent="2"/>
    </xf>
    <xf numFmtId="0" fontId="0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wrapText="1"/>
    </xf>
    <xf numFmtId="3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left" wrapText="1" indent="2"/>
    </xf>
    <xf numFmtId="0" fontId="13" fillId="0" borderId="2" xfId="0" applyFont="1" applyFill="1" applyBorder="1" applyAlignment="1">
      <alignment horizontal="left" wrapText="1"/>
    </xf>
    <xf numFmtId="3" fontId="13" fillId="0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0" fontId="12" fillId="0" borderId="2" xfId="0" applyFont="1" applyFill="1" applyBorder="1" applyAlignment="1">
      <alignment horizontal="left"/>
    </xf>
    <xf numFmtId="164" fontId="0" fillId="0" borderId="0" xfId="3" applyFont="1"/>
    <xf numFmtId="165" fontId="8" fillId="0" borderId="2" xfId="3" applyNumberFormat="1" applyFont="1" applyBorder="1"/>
    <xf numFmtId="0" fontId="13" fillId="0" borderId="0" xfId="0" applyFont="1" applyFill="1" applyBorder="1" applyAlignment="1">
      <alignment wrapText="1"/>
    </xf>
    <xf numFmtId="3" fontId="13" fillId="0" borderId="0" xfId="0" applyNumberFormat="1" applyFont="1" applyFill="1" applyBorder="1" applyAlignment="1">
      <alignment vertical="top"/>
    </xf>
    <xf numFmtId="165" fontId="8" fillId="0" borderId="0" xfId="3" applyNumberFormat="1" applyFont="1" applyBorder="1"/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 indent="3"/>
    </xf>
    <xf numFmtId="0" fontId="0" fillId="0" borderId="0" xfId="0" applyBorder="1" applyAlignment="1">
      <alignment horizontal="left" indent="3"/>
    </xf>
    <xf numFmtId="3" fontId="13" fillId="0" borderId="0" xfId="3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 indent="3"/>
    </xf>
    <xf numFmtId="0" fontId="12" fillId="0" borderId="2" xfId="0" applyFont="1" applyFill="1" applyBorder="1" applyAlignment="1">
      <alignment horizontal="left" wrapText="1"/>
    </xf>
    <xf numFmtId="0" fontId="20" fillId="0" borderId="1" xfId="0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left" indent="1"/>
    </xf>
    <xf numFmtId="0" fontId="20" fillId="0" borderId="2" xfId="0" applyFont="1" applyFill="1" applyBorder="1" applyAlignment="1">
      <alignment horizontal="left"/>
    </xf>
    <xf numFmtId="0" fontId="20" fillId="0" borderId="2" xfId="0" applyFont="1" applyFill="1" applyBorder="1"/>
    <xf numFmtId="0" fontId="0" fillId="0" borderId="0" xfId="0" applyFill="1"/>
    <xf numFmtId="0" fontId="21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169" fontId="21" fillId="0" borderId="1" xfId="1" applyNumberFormat="1" applyFont="1" applyFill="1" applyBorder="1" applyAlignment="1">
      <alignment horizontal="left"/>
    </xf>
    <xf numFmtId="169" fontId="21" fillId="0" borderId="0" xfId="1" applyNumberFormat="1" applyFont="1" applyFill="1" applyBorder="1" applyAlignment="1">
      <alignment horizontal="left"/>
    </xf>
    <xf numFmtId="169" fontId="21" fillId="0" borderId="2" xfId="1" applyNumberFormat="1" applyFont="1" applyFill="1" applyBorder="1" applyAlignment="1">
      <alignment horizontal="left"/>
    </xf>
    <xf numFmtId="3" fontId="20" fillId="0" borderId="1" xfId="3" applyNumberFormat="1" applyFont="1" applyFill="1" applyBorder="1" applyAlignment="1">
      <alignment horizontal="left"/>
    </xf>
    <xf numFmtId="3" fontId="20" fillId="0" borderId="0" xfId="3" applyNumberFormat="1" applyFont="1" applyFill="1" applyBorder="1" applyAlignment="1">
      <alignment horizontal="left"/>
    </xf>
    <xf numFmtId="3" fontId="20" fillId="0" borderId="2" xfId="3" applyNumberFormat="1" applyFont="1" applyFill="1" applyBorder="1" applyAlignment="1">
      <alignment horizontal="left"/>
    </xf>
    <xf numFmtId="3" fontId="20" fillId="0" borderId="0" xfId="3" quotePrefix="1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Font="1" applyBorder="1"/>
    <xf numFmtId="0" fontId="0" fillId="0" borderId="0" xfId="0" applyFont="1" applyFill="1" applyBorder="1"/>
    <xf numFmtId="0" fontId="1" fillId="0" borderId="0" xfId="0" applyFont="1" applyBorder="1" applyAlignment="1">
      <alignment horizontal="left" indent="4"/>
    </xf>
    <xf numFmtId="0" fontId="0" fillId="0" borderId="0" xfId="0" applyFont="1" applyFill="1" applyBorder="1" applyAlignment="1">
      <alignment horizontal="left" indent="4"/>
    </xf>
    <xf numFmtId="0" fontId="4" fillId="0" borderId="0" xfId="0" applyFont="1" applyBorder="1" applyAlignment="1">
      <alignment horizontal="left" indent="4"/>
    </xf>
    <xf numFmtId="0" fontId="0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2" xfId="0" applyFont="1" applyFill="1" applyBorder="1" applyAlignment="1">
      <alignment horizontal="left"/>
    </xf>
    <xf numFmtId="0" fontId="0" fillId="0" borderId="2" xfId="0" applyFont="1" applyBorder="1"/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3" fontId="8" fillId="0" borderId="0" xfId="0" applyNumberFormat="1" applyFont="1"/>
    <xf numFmtId="0" fontId="22" fillId="0" borderId="2" xfId="0" applyFont="1" applyFill="1" applyBorder="1"/>
    <xf numFmtId="3" fontId="22" fillId="0" borderId="2" xfId="3" applyNumberFormat="1" applyFont="1" applyFill="1" applyBorder="1" applyAlignment="1">
      <alignment horizontal="left"/>
    </xf>
    <xf numFmtId="169" fontId="23" fillId="0" borderId="2" xfId="1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8" fillId="0" borderId="0" xfId="0" applyFont="1" applyAlignment="1"/>
    <xf numFmtId="0" fontId="0" fillId="0" borderId="0" xfId="0" applyAlignment="1"/>
    <xf numFmtId="1" fontId="8" fillId="0" borderId="1" xfId="3" applyNumberFormat="1" applyFont="1" applyBorder="1" applyAlignment="1"/>
    <xf numFmtId="1" fontId="13" fillId="0" borderId="1" xfId="3" applyNumberFormat="1" applyFont="1" applyFill="1" applyBorder="1" applyAlignment="1"/>
    <xf numFmtId="165" fontId="8" fillId="0" borderId="0" xfId="3" applyNumberFormat="1" applyFont="1" applyBorder="1" applyAlignment="1"/>
    <xf numFmtId="166" fontId="13" fillId="0" borderId="0" xfId="3" applyNumberFormat="1" applyFont="1" applyFill="1" applyBorder="1" applyAlignment="1"/>
    <xf numFmtId="3" fontId="8" fillId="0" borderId="2" xfId="3" applyNumberFormat="1" applyFont="1" applyBorder="1" applyAlignment="1"/>
    <xf numFmtId="3" fontId="13" fillId="0" borderId="2" xfId="3" applyNumberFormat="1" applyFont="1" applyFill="1" applyBorder="1" applyAlignment="1"/>
    <xf numFmtId="3" fontId="8" fillId="0" borderId="0" xfId="3" applyNumberFormat="1" applyFont="1" applyBorder="1" applyAlignment="1"/>
    <xf numFmtId="3" fontId="13" fillId="0" borderId="0" xfId="3" applyNumberFormat="1" applyFont="1" applyFill="1" applyBorder="1" applyAlignment="1"/>
    <xf numFmtId="165" fontId="8" fillId="0" borderId="2" xfId="3" applyNumberFormat="1" applyFont="1" applyBorder="1" applyAlignment="1"/>
    <xf numFmtId="165" fontId="1" fillId="0" borderId="2" xfId="3" applyNumberFormat="1" applyFont="1" applyBorder="1" applyAlignment="1"/>
    <xf numFmtId="166" fontId="13" fillId="0" borderId="0" xfId="0" applyNumberFormat="1" applyFont="1" applyFill="1" applyBorder="1" applyAlignment="1"/>
    <xf numFmtId="3" fontId="12" fillId="0" borderId="0" xfId="0" applyNumberFormat="1" applyFont="1" applyFill="1" applyBorder="1" applyAlignment="1"/>
    <xf numFmtId="3" fontId="15" fillId="0" borderId="0" xfId="3" applyNumberFormat="1" applyFont="1" applyFill="1" applyBorder="1" applyAlignment="1"/>
    <xf numFmtId="3" fontId="12" fillId="0" borderId="2" xfId="3" applyNumberFormat="1" applyFont="1" applyFill="1" applyBorder="1" applyAlignment="1"/>
    <xf numFmtId="0" fontId="0" fillId="0" borderId="0" xfId="0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left" wrapText="1"/>
    </xf>
    <xf numFmtId="3" fontId="0" fillId="0" borderId="0" xfId="0" applyNumberFormat="1"/>
    <xf numFmtId="1" fontId="0" fillId="0" borderId="0" xfId="0" applyNumberFormat="1"/>
    <xf numFmtId="0" fontId="8" fillId="0" borderId="1" xfId="3" applyNumberFormat="1" applyFont="1" applyBorder="1"/>
    <xf numFmtId="3" fontId="0" fillId="0" borderId="0" xfId="3" applyNumberFormat="1" applyFont="1"/>
    <xf numFmtId="3" fontId="0" fillId="0" borderId="2" xfId="3" applyNumberFormat="1" applyFont="1" applyBorder="1"/>
    <xf numFmtId="3" fontId="0" fillId="0" borderId="0" xfId="3" applyNumberFormat="1" applyFont="1" applyBorder="1"/>
    <xf numFmtId="166" fontId="0" fillId="0" borderId="0" xfId="0" applyNumberFormat="1"/>
    <xf numFmtId="3" fontId="8" fillId="0" borderId="2" xfId="3" applyNumberFormat="1" applyFont="1" applyBorder="1"/>
    <xf numFmtId="10" fontId="0" fillId="0" borderId="2" xfId="1" applyNumberFormat="1" applyFont="1" applyBorder="1"/>
    <xf numFmtId="165" fontId="2" fillId="0" borderId="0" xfId="3" applyNumberFormat="1" applyFont="1" applyFill="1"/>
    <xf numFmtId="0" fontId="5" fillId="0" borderId="0" xfId="0" applyFont="1" applyFill="1"/>
    <xf numFmtId="3" fontId="13" fillId="0" borderId="2" xfId="3" applyNumberFormat="1" applyFont="1" applyFill="1" applyBorder="1" applyAlignment="1">
      <alignment horizontal="right"/>
    </xf>
    <xf numFmtId="3" fontId="12" fillId="0" borderId="2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3" fontId="13" fillId="0" borderId="1" xfId="3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right"/>
    </xf>
    <xf numFmtId="10" fontId="13" fillId="0" borderId="0" xfId="1" applyNumberFormat="1" applyFont="1" applyFill="1" applyBorder="1" applyAlignment="1">
      <alignment horizontal="right"/>
    </xf>
    <xf numFmtId="10" fontId="12" fillId="0" borderId="2" xfId="1" applyNumberFormat="1" applyFont="1" applyFill="1" applyBorder="1" applyAlignment="1">
      <alignment horizontal="right"/>
    </xf>
    <xf numFmtId="1" fontId="13" fillId="0" borderId="2" xfId="0" applyNumberFormat="1" applyFont="1" applyFill="1" applyBorder="1"/>
    <xf numFmtId="1" fontId="13" fillId="0" borderId="0" xfId="0" applyNumberFormat="1" applyFont="1" applyFill="1" applyBorder="1"/>
    <xf numFmtId="0" fontId="12" fillId="0" borderId="1" xfId="3" applyNumberFormat="1" applyFont="1" applyFill="1" applyBorder="1" applyAlignment="1">
      <alignment horizontal="right"/>
    </xf>
    <xf numFmtId="3" fontId="13" fillId="0" borderId="1" xfId="3" applyNumberFormat="1" applyFont="1" applyFill="1" applyBorder="1" applyAlignment="1"/>
    <xf numFmtId="165" fontId="13" fillId="0" borderId="0" xfId="0" applyNumberFormat="1" applyFont="1" applyFill="1" applyBorder="1"/>
    <xf numFmtId="165" fontId="13" fillId="0" borderId="1" xfId="0" applyNumberFormat="1" applyFont="1" applyFill="1" applyBorder="1"/>
    <xf numFmtId="165" fontId="12" fillId="0" borderId="1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Border="1"/>
    <xf numFmtId="165" fontId="0" fillId="0" borderId="0" xfId="3" applyNumberFormat="1" applyFont="1" applyFill="1" applyAlignment="1">
      <alignment horizontal="right"/>
    </xf>
    <xf numFmtId="9" fontId="0" fillId="0" borderId="0" xfId="0" applyNumberFormat="1"/>
    <xf numFmtId="0" fontId="24" fillId="0" borderId="0" xfId="0" applyFont="1"/>
    <xf numFmtId="0" fontId="1" fillId="0" borderId="0" xfId="0" applyFont="1" applyAlignment="1">
      <alignment horizontal="left" indent="2"/>
    </xf>
    <xf numFmtId="0" fontId="1" fillId="0" borderId="2" xfId="0" applyFont="1" applyFill="1" applyBorder="1" applyAlignment="1">
      <alignment horizontal="left" wrapText="1"/>
    </xf>
    <xf numFmtId="3" fontId="1" fillId="0" borderId="0" xfId="0" applyNumberFormat="1" applyFont="1"/>
    <xf numFmtId="3" fontId="1" fillId="0" borderId="2" xfId="0" applyNumberFormat="1" applyFont="1" applyBorder="1"/>
    <xf numFmtId="3" fontId="1" fillId="0" borderId="5" xfId="0" applyNumberFormat="1" applyFont="1" applyBorder="1"/>
    <xf numFmtId="3" fontId="1" fillId="0" borderId="7" xfId="0" applyNumberFormat="1" applyFont="1" applyBorder="1"/>
    <xf numFmtId="3" fontId="8" fillId="0" borderId="7" xfId="0" applyNumberFormat="1" applyFont="1" applyBorder="1"/>
    <xf numFmtId="0" fontId="24" fillId="0" borderId="0" xfId="0" applyFont="1" applyBorder="1" applyAlignment="1"/>
    <xf numFmtId="165" fontId="1" fillId="0" borderId="2" xfId="0" applyNumberFormat="1" applyFont="1" applyBorder="1"/>
    <xf numFmtId="165" fontId="8" fillId="0" borderId="2" xfId="0" applyNumberFormat="1" applyFont="1" applyBorder="1"/>
    <xf numFmtId="165" fontId="1" fillId="0" borderId="1" xfId="0" applyNumberFormat="1" applyFont="1" applyBorder="1"/>
    <xf numFmtId="3" fontId="1" fillId="0" borderId="1" xfId="0" applyNumberFormat="1" applyFont="1" applyBorder="1"/>
    <xf numFmtId="3" fontId="0" fillId="0" borderId="8" xfId="0" applyNumberFormat="1" applyBorder="1"/>
    <xf numFmtId="0" fontId="0" fillId="0" borderId="4" xfId="0" applyBorder="1"/>
    <xf numFmtId="9" fontId="0" fillId="0" borderId="0" xfId="1" applyFont="1"/>
    <xf numFmtId="169" fontId="0" fillId="0" borderId="0" xfId="1" applyNumberFormat="1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9" fontId="0" fillId="0" borderId="6" xfId="1" applyNumberFormat="1" applyFont="1" applyBorder="1"/>
    <xf numFmtId="169" fontId="8" fillId="0" borderId="6" xfId="1" applyNumberFormat="1" applyFont="1" applyBorder="1"/>
    <xf numFmtId="0" fontId="10" fillId="0" borderId="1" xfId="0" applyFont="1" applyBorder="1" applyAlignment="1">
      <alignment wrapText="1"/>
    </xf>
    <xf numFmtId="0" fontId="11" fillId="0" borderId="0" xfId="0" applyFont="1"/>
    <xf numFmtId="171" fontId="0" fillId="0" borderId="0" xfId="3" applyNumberFormat="1" applyFont="1"/>
    <xf numFmtId="171" fontId="0" fillId="0" borderId="0" xfId="0" applyNumberFormat="1"/>
    <xf numFmtId="165" fontId="0" fillId="0" borderId="2" xfId="0" applyNumberFormat="1" applyBorder="1"/>
    <xf numFmtId="165" fontId="0" fillId="0" borderId="0" xfId="0" applyNumberFormat="1"/>
    <xf numFmtId="9" fontId="0" fillId="0" borderId="2" xfId="1" applyFont="1" applyBorder="1"/>
    <xf numFmtId="9" fontId="0" fillId="0" borderId="2" xfId="0" applyNumberFormat="1" applyBorder="1"/>
    <xf numFmtId="0" fontId="28" fillId="4" borderId="0" xfId="0" applyFont="1" applyFill="1" applyBorder="1" applyAlignment="1">
      <alignment vertical="top"/>
    </xf>
    <xf numFmtId="0" fontId="29" fillId="5" borderId="0" xfId="0" applyFont="1" applyFill="1" applyBorder="1" applyAlignment="1">
      <alignment vertical="top"/>
    </xf>
    <xf numFmtId="0" fontId="1" fillId="4" borderId="1" xfId="6" applyFont="1" applyFill="1" applyBorder="1"/>
    <xf numFmtId="14" fontId="1" fillId="4" borderId="1" xfId="6" applyNumberFormat="1" applyFont="1" applyFill="1" applyBorder="1" applyAlignment="1">
      <alignment horizontal="right"/>
    </xf>
    <xf numFmtId="0" fontId="17" fillId="5" borderId="0" xfId="0" applyFont="1" applyFill="1" applyBorder="1"/>
    <xf numFmtId="0" fontId="13" fillId="5" borderId="1" xfId="6" applyFont="1" applyFill="1" applyBorder="1"/>
    <xf numFmtId="14" fontId="13" fillId="5" borderId="1" xfId="6" applyNumberFormat="1" applyFont="1" applyFill="1" applyBorder="1" applyAlignment="1">
      <alignment horizontal="right"/>
    </xf>
    <xf numFmtId="14" fontId="13" fillId="5" borderId="9" xfId="6" applyNumberFormat="1" applyFont="1" applyFill="1" applyBorder="1" applyAlignment="1">
      <alignment horizontal="right" indent="1"/>
    </xf>
    <xf numFmtId="14" fontId="13" fillId="5" borderId="10" xfId="6" applyNumberFormat="1" applyFont="1" applyFill="1" applyBorder="1" applyAlignment="1">
      <alignment horizontal="right"/>
    </xf>
    <xf numFmtId="0" fontId="13" fillId="5" borderId="0" xfId="6" applyFont="1" applyFill="1" applyBorder="1"/>
    <xf numFmtId="166" fontId="13" fillId="5" borderId="0" xfId="8" applyNumberFormat="1" applyFont="1" applyFill="1" applyBorder="1"/>
    <xf numFmtId="166" fontId="13" fillId="5" borderId="5" xfId="8" applyNumberFormat="1" applyFont="1" applyFill="1" applyBorder="1"/>
    <xf numFmtId="0" fontId="0" fillId="0" borderId="9" xfId="0" applyBorder="1"/>
    <xf numFmtId="0" fontId="13" fillId="5" borderId="2" xfId="6" applyFont="1" applyFill="1" applyBorder="1"/>
    <xf numFmtId="9" fontId="0" fillId="0" borderId="6" xfId="0" applyNumberFormat="1" applyBorder="1"/>
    <xf numFmtId="0" fontId="32" fillId="5" borderId="0" xfId="0" applyFont="1" applyFill="1" applyBorder="1"/>
    <xf numFmtId="14" fontId="13" fillId="5" borderId="0" xfId="6" applyNumberFormat="1" applyFont="1" applyFill="1" applyBorder="1" applyAlignment="1"/>
    <xf numFmtId="14" fontId="13" fillId="5" borderId="0" xfId="0" applyNumberFormat="1" applyFont="1" applyFill="1" applyBorder="1" applyAlignment="1"/>
    <xf numFmtId="0" fontId="13" fillId="5" borderId="1" xfId="6" applyFont="1" applyFill="1" applyBorder="1" applyAlignment="1">
      <alignment wrapText="1"/>
    </xf>
    <xf numFmtId="14" fontId="13" fillId="5" borderId="1" xfId="6" applyNumberFormat="1" applyFont="1" applyFill="1" applyBorder="1" applyAlignment="1">
      <alignment horizontal="right" wrapText="1"/>
    </xf>
    <xf numFmtId="0" fontId="0" fillId="4" borderId="0" xfId="0" applyFont="1" applyFill="1"/>
    <xf numFmtId="0" fontId="33" fillId="4" borderId="0" xfId="0" applyFont="1" applyFill="1"/>
    <xf numFmtId="14" fontId="1" fillId="4" borderId="1" xfId="6" applyNumberFormat="1" applyFont="1" applyFill="1" applyBorder="1" applyAlignment="1">
      <alignment horizontal="right" wrapText="1"/>
    </xf>
    <xf numFmtId="0" fontId="1" fillId="4" borderId="0" xfId="6" applyFont="1" applyFill="1"/>
    <xf numFmtId="166" fontId="1" fillId="4" borderId="0" xfId="8" applyNumberFormat="1" applyFont="1" applyFill="1"/>
    <xf numFmtId="166" fontId="1" fillId="4" borderId="1" xfId="8" applyNumberFormat="1" applyFont="1" applyFill="1" applyBorder="1"/>
    <xf numFmtId="0" fontId="1" fillId="4" borderId="2" xfId="6" applyFont="1" applyFill="1" applyBorder="1"/>
    <xf numFmtId="0" fontId="1" fillId="4" borderId="1" xfId="6" applyNumberFormat="1" applyFont="1" applyFill="1" applyBorder="1" applyAlignment="1">
      <alignment horizontal="right" wrapText="1"/>
    </xf>
    <xf numFmtId="0" fontId="13" fillId="0" borderId="1" xfId="6" applyFont="1" applyFill="1" applyBorder="1" applyAlignment="1">
      <alignment wrapText="1"/>
    </xf>
    <xf numFmtId="0" fontId="13" fillId="0" borderId="1" xfId="6" applyFont="1" applyFill="1" applyBorder="1" applyAlignment="1">
      <alignment horizontal="right" vertical="top" wrapText="1"/>
    </xf>
    <xf numFmtId="0" fontId="13" fillId="0" borderId="9" xfId="6" applyFont="1" applyFill="1" applyBorder="1" applyAlignment="1">
      <alignment horizontal="right" vertical="top" wrapText="1"/>
    </xf>
    <xf numFmtId="0" fontId="13" fillId="0" borderId="0" xfId="6" applyFont="1" applyFill="1" applyBorder="1"/>
    <xf numFmtId="166" fontId="13" fillId="0" borderId="0" xfId="8" applyNumberFormat="1" applyFont="1" applyFill="1" applyBorder="1"/>
    <xf numFmtId="166" fontId="13" fillId="0" borderId="4" xfId="8" applyNumberFormat="1" applyFont="1" applyFill="1" applyBorder="1"/>
    <xf numFmtId="0" fontId="13" fillId="0" borderId="2" xfId="6" applyFont="1" applyFill="1" applyBorder="1"/>
    <xf numFmtId="166" fontId="13" fillId="0" borderId="2" xfId="8" applyNumberFormat="1" applyFont="1" applyFill="1" applyBorder="1"/>
    <xf numFmtId="166" fontId="13" fillId="0" borderId="6" xfId="8" applyNumberFormat="1" applyFont="1" applyFill="1" applyBorder="1"/>
    <xf numFmtId="0" fontId="13" fillId="0" borderId="0" xfId="6" applyFont="1" applyFill="1" applyBorder="1" applyAlignment="1">
      <alignment horizontal="left" indent="2"/>
    </xf>
    <xf numFmtId="0" fontId="12" fillId="0" borderId="2" xfId="6" applyFont="1" applyFill="1" applyBorder="1"/>
    <xf numFmtId="166" fontId="12" fillId="0" borderId="6" xfId="8" applyNumberFormat="1" applyFont="1" applyFill="1" applyBorder="1"/>
    <xf numFmtId="0" fontId="13" fillId="0" borderId="10" xfId="6" applyFont="1" applyFill="1" applyBorder="1" applyAlignment="1">
      <alignment horizontal="right" vertical="top" wrapText="1"/>
    </xf>
    <xf numFmtId="166" fontId="13" fillId="0" borderId="5" xfId="8" applyNumberFormat="1" applyFont="1" applyFill="1" applyBorder="1"/>
    <xf numFmtId="166" fontId="13" fillId="0" borderId="7" xfId="8" applyNumberFormat="1" applyFont="1" applyFill="1" applyBorder="1"/>
    <xf numFmtId="166" fontId="12" fillId="0" borderId="7" xfId="8" applyNumberFormat="1" applyFont="1" applyFill="1" applyBorder="1"/>
    <xf numFmtId="0" fontId="34" fillId="0" borderId="0" xfId="0" applyFont="1" applyFill="1" applyBorder="1" applyAlignment="1">
      <alignment wrapText="1"/>
    </xf>
    <xf numFmtId="0" fontId="32" fillId="0" borderId="0" xfId="0" applyFont="1" applyFill="1" applyBorder="1"/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right" wrapText="1"/>
    </xf>
    <xf numFmtId="9" fontId="13" fillId="0" borderId="0" xfId="1" applyFont="1" applyFill="1" applyBorder="1"/>
    <xf numFmtId="9" fontId="13" fillId="0" borderId="2" xfId="1" applyFont="1" applyFill="1" applyBorder="1"/>
    <xf numFmtId="0" fontId="12" fillId="5" borderId="0" xfId="6" applyFont="1" applyFill="1" applyBorder="1"/>
    <xf numFmtId="165" fontId="12" fillId="0" borderId="0" xfId="3" applyNumberFormat="1" applyFont="1" applyFill="1" applyBorder="1" applyAlignment="1">
      <alignment horizontal="right" wrapText="1"/>
    </xf>
    <xf numFmtId="0" fontId="33" fillId="0" borderId="0" xfId="0" applyFont="1" applyFill="1"/>
    <xf numFmtId="0" fontId="8" fillId="0" borderId="0" xfId="6" applyFont="1" applyFill="1" applyAlignment="1"/>
    <xf numFmtId="166" fontId="8" fillId="0" borderId="0" xfId="6" applyNumberFormat="1" applyFont="1" applyFill="1" applyAlignment="1"/>
    <xf numFmtId="9" fontId="17" fillId="0" borderId="0" xfId="1" applyFont="1" applyFill="1" applyBorder="1"/>
    <xf numFmtId="0" fontId="5" fillId="6" borderId="0" xfId="0" applyFont="1" applyFill="1"/>
    <xf numFmtId="0" fontId="2" fillId="6" borderId="0" xfId="0" applyFont="1" applyFill="1"/>
    <xf numFmtId="0" fontId="28" fillId="0" borderId="0" xfId="0" applyFont="1"/>
    <xf numFmtId="169" fontId="0" fillId="0" borderId="0" xfId="0" applyNumberFormat="1"/>
    <xf numFmtId="0" fontId="9" fillId="6" borderId="0" xfId="0" applyFont="1" applyFill="1"/>
    <xf numFmtId="0" fontId="2" fillId="6" borderId="0" xfId="0" applyFont="1" applyFill="1" applyAlignment="1"/>
    <xf numFmtId="166" fontId="13" fillId="0" borderId="1" xfId="0" applyNumberFormat="1" applyFont="1" applyFill="1" applyBorder="1"/>
    <xf numFmtId="165" fontId="2" fillId="6" borderId="0" xfId="3" applyNumberFormat="1" applyFont="1" applyFill="1"/>
    <xf numFmtId="0" fontId="28" fillId="0" borderId="0" xfId="0" applyFont="1" applyFill="1"/>
    <xf numFmtId="0" fontId="29" fillId="0" borderId="0" xfId="0" applyFont="1" applyFill="1" applyBorder="1"/>
    <xf numFmtId="0" fontId="8" fillId="0" borderId="11" xfId="0" applyFont="1" applyBorder="1"/>
    <xf numFmtId="0" fontId="30" fillId="7" borderId="0" xfId="0" applyFont="1" applyFill="1" applyBorder="1"/>
    <xf numFmtId="0" fontId="31" fillId="7" borderId="0" xfId="0" applyFont="1" applyFill="1" applyBorder="1"/>
    <xf numFmtId="166" fontId="25" fillId="6" borderId="0" xfId="8" applyNumberFormat="1" applyFont="1" applyFill="1"/>
    <xf numFmtId="1" fontId="8" fillId="0" borderId="1" xfId="0" applyNumberFormat="1" applyFont="1" applyBorder="1" applyAlignment="1"/>
    <xf numFmtId="1" fontId="0" fillId="0" borderId="1" xfId="0" applyNumberFormat="1" applyBorder="1" applyAlignment="1"/>
    <xf numFmtId="1" fontId="12" fillId="0" borderId="1" xfId="3" applyNumberFormat="1" applyFont="1" applyFill="1" applyBorder="1" applyAlignment="1">
      <alignment horizontal="right"/>
    </xf>
    <xf numFmtId="1" fontId="8" fillId="0" borderId="1" xfId="3" applyNumberFormat="1" applyFont="1" applyBorder="1"/>
    <xf numFmtId="169" fontId="0" fillId="0" borderId="6" xfId="1" applyNumberFormat="1" applyFont="1" applyBorder="1" applyAlignment="1">
      <alignment horizontal="right"/>
    </xf>
    <xf numFmtId="169" fontId="1" fillId="0" borderId="4" xfId="0" applyNumberFormat="1" applyFont="1" applyBorder="1" applyAlignment="1">
      <alignment horizontal="right"/>
    </xf>
    <xf numFmtId="169" fontId="1" fillId="0" borderId="6" xfId="0" applyNumberFormat="1" applyFont="1" applyBorder="1" applyAlignment="1">
      <alignment horizontal="right"/>
    </xf>
    <xf numFmtId="169" fontId="8" fillId="0" borderId="6" xfId="0" applyNumberFormat="1" applyFont="1" applyBorder="1" applyAlignment="1">
      <alignment horizontal="right"/>
    </xf>
    <xf numFmtId="0" fontId="0" fillId="0" borderId="0" xfId="0" applyFont="1"/>
    <xf numFmtId="3" fontId="0" fillId="0" borderId="0" xfId="0" applyNumberFormat="1" applyFill="1"/>
    <xf numFmtId="10" fontId="0" fillId="0" borderId="0" xfId="0" applyNumberFormat="1" applyFill="1"/>
    <xf numFmtId="3" fontId="8" fillId="0" borderId="0" xfId="0" applyNumberFormat="1" applyFont="1" applyFill="1"/>
    <xf numFmtId="0" fontId="28" fillId="0" borderId="0" xfId="0" applyFont="1" applyFill="1" applyBorder="1" applyAlignment="1">
      <alignment vertical="top"/>
    </xf>
    <xf numFmtId="10" fontId="0" fillId="0" borderId="0" xfId="1" applyNumberFormat="1" applyFont="1" applyFill="1"/>
    <xf numFmtId="10" fontId="8" fillId="0" borderId="2" xfId="1" applyNumberFormat="1" applyFont="1" applyFill="1" applyBorder="1"/>
    <xf numFmtId="3" fontId="8" fillId="0" borderId="2" xfId="0" applyNumberFormat="1" applyFont="1" applyFill="1" applyBorder="1"/>
    <xf numFmtId="0" fontId="0" fillId="0" borderId="1" xfId="0" applyFont="1" applyBorder="1" applyAlignment="1">
      <alignment horizontal="right"/>
    </xf>
    <xf numFmtId="0" fontId="0" fillId="4" borderId="2" xfId="6" applyFont="1" applyFill="1" applyBorder="1" applyAlignment="1">
      <alignment wrapText="1"/>
    </xf>
    <xf numFmtId="0" fontId="3" fillId="0" borderId="0" xfId="2"/>
    <xf numFmtId="0" fontId="36" fillId="0" borderId="0" xfId="0" applyFont="1"/>
    <xf numFmtId="165" fontId="0" fillId="0" borderId="0" xfId="3" applyNumberFormat="1" applyFont="1" applyFill="1" applyBorder="1"/>
    <xf numFmtId="9" fontId="0" fillId="0" borderId="4" xfId="1" applyFont="1" applyFill="1" applyBorder="1"/>
    <xf numFmtId="0" fontId="37" fillId="0" borderId="0" xfId="0" applyFont="1"/>
    <xf numFmtId="165" fontId="8" fillId="4" borderId="0" xfId="3" applyNumberFormat="1" applyFont="1" applyFill="1" applyBorder="1" applyAlignment="1"/>
    <xf numFmtId="3" fontId="12" fillId="4" borderId="0" xfId="0" applyNumberFormat="1" applyFont="1" applyFill="1" applyBorder="1" applyAlignment="1"/>
    <xf numFmtId="3" fontId="16" fillId="4" borderId="0" xfId="0" applyNumberFormat="1" applyFont="1" applyFill="1" applyBorder="1" applyAlignment="1"/>
    <xf numFmtId="3" fontId="12" fillId="4" borderId="2" xfId="0" applyNumberFormat="1" applyFont="1" applyFill="1" applyBorder="1" applyAlignment="1"/>
    <xf numFmtId="3" fontId="0" fillId="4" borderId="0" xfId="3" applyNumberFormat="1" applyFont="1" applyFill="1"/>
    <xf numFmtId="165" fontId="13" fillId="0" borderId="0" xfId="3" applyNumberFormat="1" applyFont="1" applyFill="1" applyBorder="1" applyAlignment="1"/>
    <xf numFmtId="165" fontId="13" fillId="0" borderId="2" xfId="3" applyNumberFormat="1" applyFont="1" applyFill="1" applyBorder="1" applyAlignment="1"/>
    <xf numFmtId="165" fontId="14" fillId="0" borderId="0" xfId="3" applyNumberFormat="1" applyFont="1" applyFill="1" applyBorder="1" applyAlignment="1"/>
    <xf numFmtId="165" fontId="13" fillId="4" borderId="0" xfId="3" applyNumberFormat="1" applyFont="1" applyFill="1" applyBorder="1"/>
    <xf numFmtId="3" fontId="15" fillId="0" borderId="0" xfId="3" applyNumberFormat="1" applyFont="1" applyFill="1" applyBorder="1" applyAlignment="1">
      <alignment horizontal="right"/>
    </xf>
    <xf numFmtId="3" fontId="15" fillId="0" borderId="2" xfId="3" applyNumberFormat="1" applyFont="1" applyFill="1" applyBorder="1" applyAlignment="1">
      <alignment horizontal="right"/>
    </xf>
    <xf numFmtId="10" fontId="38" fillId="0" borderId="0" xfId="0" applyNumberFormat="1" applyFont="1"/>
    <xf numFmtId="165" fontId="13" fillId="0" borderId="0" xfId="3" applyNumberFormat="1" applyFont="1" applyFill="1" applyBorder="1" applyAlignment="1">
      <alignment horizontal="right"/>
    </xf>
    <xf numFmtId="164" fontId="13" fillId="0" borderId="0" xfId="3" applyFont="1" applyFill="1" applyBorder="1" applyAlignment="1">
      <alignment horizontal="right"/>
    </xf>
    <xf numFmtId="14" fontId="0" fillId="0" borderId="0" xfId="0" applyNumberFormat="1"/>
    <xf numFmtId="10" fontId="8" fillId="0" borderId="11" xfId="1" applyNumberFormat="1" applyFont="1" applyBorder="1"/>
    <xf numFmtId="1" fontId="0" fillId="4" borderId="0" xfId="0" applyNumberFormat="1" applyFill="1"/>
    <xf numFmtId="0" fontId="0" fillId="4" borderId="0" xfId="0" applyFill="1"/>
    <xf numFmtId="3" fontId="0" fillId="4" borderId="0" xfId="0" applyNumberFormat="1" applyFill="1"/>
    <xf numFmtId="3" fontId="0" fillId="4" borderId="2" xfId="0" applyNumberFormat="1" applyFill="1" applyBorder="1"/>
    <xf numFmtId="3" fontId="1" fillId="4" borderId="0" xfId="0" applyNumberFormat="1" applyFont="1" applyFill="1"/>
    <xf numFmtId="3" fontId="1" fillId="4" borderId="2" xfId="0" applyNumberFormat="1" applyFont="1" applyFill="1" applyBorder="1"/>
    <xf numFmtId="3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165" fontId="0" fillId="0" borderId="0" xfId="3" applyNumberFormat="1" applyFont="1" applyBorder="1"/>
    <xf numFmtId="0" fontId="1" fillId="4" borderId="1" xfId="0" applyFont="1" applyFill="1" applyBorder="1"/>
    <xf numFmtId="0" fontId="1" fillId="4" borderId="0" xfId="0" applyFont="1" applyFill="1"/>
    <xf numFmtId="0" fontId="8" fillId="4" borderId="2" xfId="0" applyFont="1" applyFill="1" applyBorder="1"/>
    <xf numFmtId="3" fontId="8" fillId="4" borderId="2" xfId="0" applyNumberFormat="1" applyFont="1" applyFill="1" applyBorder="1"/>
    <xf numFmtId="10" fontId="36" fillId="0" borderId="0" xfId="1" applyNumberFormat="1" applyFont="1" applyBorder="1"/>
    <xf numFmtId="0" fontId="36" fillId="0" borderId="0" xfId="0" applyFont="1" applyBorder="1"/>
    <xf numFmtId="166" fontId="13" fillId="8" borderId="0" xfId="3" applyNumberFormat="1" applyFont="1" applyFill="1" applyBorder="1"/>
    <xf numFmtId="166" fontId="13" fillId="8" borderId="1" xfId="3" applyNumberFormat="1" applyFont="1" applyFill="1" applyBorder="1"/>
    <xf numFmtId="165" fontId="0" fillId="0" borderId="7" xfId="0" applyNumberFormat="1" applyBorder="1"/>
    <xf numFmtId="10" fontId="13" fillId="0" borderId="2" xfId="1" applyNumberFormat="1" applyFont="1" applyFill="1" applyBorder="1"/>
    <xf numFmtId="165" fontId="0" fillId="0" borderId="0" xfId="0" applyNumberFormat="1" applyBorder="1"/>
    <xf numFmtId="0" fontId="1" fillId="0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66" fontId="1" fillId="4" borderId="0" xfId="8" applyNumberFormat="1" applyFont="1" applyFill="1" applyBorder="1"/>
    <xf numFmtId="0" fontId="0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3" fontId="1" fillId="4" borderId="3" xfId="0" applyNumberFormat="1" applyFont="1" applyFill="1" applyBorder="1"/>
    <xf numFmtId="0" fontId="1" fillId="4" borderId="1" xfId="0" applyFont="1" applyFill="1" applyBorder="1" applyAlignment="1">
      <alignment horizontal="left"/>
    </xf>
    <xf numFmtId="0" fontId="1" fillId="4" borderId="3" xfId="6" applyFont="1" applyFill="1" applyBorder="1"/>
    <xf numFmtId="166" fontId="1" fillId="4" borderId="3" xfId="8" applyNumberFormat="1" applyFont="1" applyFill="1" applyBorder="1"/>
    <xf numFmtId="166" fontId="1" fillId="4" borderId="2" xfId="8" applyNumberFormat="1" applyFont="1" applyFill="1" applyBorder="1"/>
    <xf numFmtId="0" fontId="35" fillId="5" borderId="0" xfId="6" applyFont="1" applyFill="1" applyBorder="1" applyAlignment="1">
      <alignment horizontal="left" wrapText="1"/>
    </xf>
    <xf numFmtId="0" fontId="8" fillId="4" borderId="0" xfId="6" applyFont="1" applyFill="1" applyAlignment="1"/>
    <xf numFmtId="166" fontId="8" fillId="4" borderId="0" xfId="8" applyNumberFormat="1" applyFont="1" applyFill="1"/>
    <xf numFmtId="166" fontId="8" fillId="4" borderId="2" xfId="8" applyNumberFormat="1" applyFont="1" applyFill="1" applyBorder="1"/>
    <xf numFmtId="14" fontId="8" fillId="4" borderId="1" xfId="6" applyNumberFormat="1" applyFont="1" applyFill="1" applyBorder="1" applyAlignment="1">
      <alignment horizontal="right"/>
    </xf>
    <xf numFmtId="166" fontId="8" fillId="4" borderId="3" xfId="8" applyNumberFormat="1" applyFont="1" applyFill="1" applyBorder="1"/>
    <xf numFmtId="0" fontId="8" fillId="4" borderId="1" xfId="6" applyNumberFormat="1" applyFont="1" applyFill="1" applyBorder="1" applyAlignment="1">
      <alignment horizontal="right" wrapText="1"/>
    </xf>
    <xf numFmtId="0" fontId="8" fillId="4" borderId="0" xfId="6" applyFont="1" applyFill="1"/>
    <xf numFmtId="14" fontId="1" fillId="4" borderId="0" xfId="6" applyNumberFormat="1" applyFont="1" applyFill="1" applyBorder="1" applyAlignment="1">
      <alignment horizontal="right" wrapText="1"/>
    </xf>
    <xf numFmtId="0" fontId="1" fillId="4" borderId="0" xfId="6" applyNumberFormat="1" applyFont="1" applyFill="1" applyBorder="1" applyAlignment="1">
      <alignment horizontal="right" wrapText="1"/>
    </xf>
    <xf numFmtId="0" fontId="1" fillId="0" borderId="0" xfId="6" applyFont="1" applyFill="1" applyBorder="1" applyAlignment="1">
      <alignment wrapText="1"/>
    </xf>
    <xf numFmtId="0" fontId="0" fillId="4" borderId="0" xfId="6" applyFont="1" applyFill="1" applyBorder="1" applyAlignment="1">
      <alignment wrapText="1"/>
    </xf>
    <xf numFmtId="0" fontId="35" fillId="5" borderId="0" xfId="6" applyFont="1" applyFill="1" applyBorder="1" applyAlignment="1">
      <alignment horizontal="left" wrapText="1"/>
    </xf>
    <xf numFmtId="0" fontId="0" fillId="4" borderId="0" xfId="6" applyFont="1" applyFill="1"/>
    <xf numFmtId="0" fontId="13" fillId="8" borderId="0" xfId="6" applyFont="1" applyFill="1" applyBorder="1"/>
    <xf numFmtId="165" fontId="0" fillId="4" borderId="0" xfId="3" applyNumberFormat="1" applyFont="1" applyFill="1" applyBorder="1"/>
    <xf numFmtId="3" fontId="0" fillId="4" borderId="0" xfId="3" applyNumberFormat="1" applyFont="1" applyFill="1" applyBorder="1"/>
    <xf numFmtId="0" fontId="0" fillId="4" borderId="0" xfId="0" applyFill="1" applyBorder="1"/>
    <xf numFmtId="0" fontId="13" fillId="5" borderId="3" xfId="6" applyFont="1" applyFill="1" applyBorder="1"/>
    <xf numFmtId="165" fontId="0" fillId="0" borderId="3" xfId="3" applyNumberFormat="1" applyFont="1" applyFill="1" applyBorder="1"/>
    <xf numFmtId="0" fontId="12" fillId="5" borderId="3" xfId="6" applyFont="1" applyFill="1" applyBorder="1"/>
    <xf numFmtId="0" fontId="35" fillId="5" borderId="0" xfId="6" applyFont="1" applyFill="1" applyBorder="1" applyAlignment="1">
      <alignment horizontal="left"/>
    </xf>
    <xf numFmtId="0" fontId="2" fillId="4" borderId="0" xfId="0" applyFont="1" applyFill="1"/>
    <xf numFmtId="0" fontId="0" fillId="4" borderId="1" xfId="6" applyFont="1" applyFill="1" applyBorder="1" applyAlignment="1">
      <alignment wrapText="1"/>
    </xf>
    <xf numFmtId="0" fontId="39" fillId="0" borderId="0" xfId="0" applyFont="1"/>
    <xf numFmtId="0" fontId="1" fillId="4" borderId="0" xfId="6" applyFont="1" applyFill="1" applyBorder="1" applyAlignment="1">
      <alignment wrapText="1"/>
    </xf>
    <xf numFmtId="0" fontId="15" fillId="5" borderId="0" xfId="6" applyFont="1" applyFill="1" applyBorder="1" applyAlignment="1">
      <alignment horizontal="left"/>
    </xf>
    <xf numFmtId="165" fontId="0" fillId="4" borderId="3" xfId="3" applyNumberFormat="1" applyFont="1" applyFill="1" applyBorder="1"/>
    <xf numFmtId="0" fontId="4" fillId="4" borderId="0" xfId="0" applyFont="1" applyFill="1" applyAlignment="1">
      <alignment horizontal="right"/>
    </xf>
    <xf numFmtId="0" fontId="0" fillId="4" borderId="0" xfId="0" applyFont="1" applyFill="1" applyAlignment="1">
      <alignment horizontal="right"/>
    </xf>
    <xf numFmtId="0" fontId="15" fillId="5" borderId="0" xfId="6" applyFont="1" applyFill="1" applyBorder="1" applyAlignment="1">
      <alignment horizontal="left" indent="2"/>
    </xf>
    <xf numFmtId="0" fontId="16" fillId="5" borderId="3" xfId="6" applyFont="1" applyFill="1" applyBorder="1" applyAlignment="1">
      <alignment horizontal="left"/>
    </xf>
    <xf numFmtId="165" fontId="8" fillId="4" borderId="3" xfId="3" applyNumberFormat="1" applyFont="1" applyFill="1" applyBorder="1"/>
    <xf numFmtId="0" fontId="1" fillId="0" borderId="1" xfId="0" applyFont="1" applyBorder="1" applyAlignment="1">
      <alignment horizontal="left"/>
    </xf>
    <xf numFmtId="172" fontId="0" fillId="0" borderId="0" xfId="1" applyNumberFormat="1" applyFont="1"/>
    <xf numFmtId="0" fontId="37" fillId="0" borderId="0" xfId="0" applyFont="1" applyAlignment="1">
      <alignment horizontal="left"/>
    </xf>
    <xf numFmtId="0" fontId="37" fillId="0" borderId="0" xfId="0" quotePrefix="1" applyFont="1"/>
    <xf numFmtId="0" fontId="36" fillId="0" borderId="0" xfId="0" quotePrefix="1" applyFont="1" applyAlignment="1">
      <alignment horizontal="right"/>
    </xf>
    <xf numFmtId="165" fontId="0" fillId="0" borderId="2" xfId="3" applyNumberFormat="1" applyFont="1" applyBorder="1"/>
    <xf numFmtId="10" fontId="1" fillId="0" borderId="0" xfId="0" applyNumberFormat="1" applyFont="1"/>
    <xf numFmtId="9" fontId="4" fillId="4" borderId="2" xfId="1" applyFont="1" applyFill="1" applyBorder="1"/>
    <xf numFmtId="9" fontId="4" fillId="4" borderId="2" xfId="0" applyNumberFormat="1" applyFont="1" applyFill="1" applyBorder="1"/>
    <xf numFmtId="9" fontId="4" fillId="4" borderId="2" xfId="1" applyNumberFormat="1" applyFont="1" applyFill="1" applyBorder="1"/>
    <xf numFmtId="165" fontId="0" fillId="4" borderId="0" xfId="3" applyNumberFormat="1" applyFont="1" applyFill="1"/>
    <xf numFmtId="165" fontId="0" fillId="4" borderId="2" xfId="0" applyNumberFormat="1" applyFill="1" applyBorder="1"/>
    <xf numFmtId="9" fontId="0" fillId="4" borderId="0" xfId="1" applyFont="1" applyFill="1"/>
    <xf numFmtId="9" fontId="0" fillId="4" borderId="2" xfId="1" applyFont="1" applyFill="1" applyBorder="1"/>
    <xf numFmtId="164" fontId="0" fillId="4" borderId="0" xfId="3" applyFont="1" applyFill="1"/>
    <xf numFmtId="0" fontId="36" fillId="0" borderId="0" xfId="0" applyFont="1" applyBorder="1" applyAlignment="1"/>
    <xf numFmtId="0" fontId="36" fillId="0" borderId="0" xfId="0" applyFont="1" applyBorder="1" applyAlignment="1">
      <alignment wrapText="1"/>
    </xf>
    <xf numFmtId="3" fontId="13" fillId="4" borderId="0" xfId="0" applyNumberFormat="1" applyFont="1" applyFill="1" applyBorder="1"/>
    <xf numFmtId="3" fontId="13" fillId="4" borderId="2" xfId="0" applyNumberFormat="1" applyFont="1" applyFill="1" applyBorder="1"/>
    <xf numFmtId="166" fontId="0" fillId="0" borderId="0" xfId="1" applyNumberFormat="1" applyFont="1"/>
    <xf numFmtId="166" fontId="13" fillId="0" borderId="5" xfId="8" applyNumberFormat="1" applyFont="1" applyFill="1" applyBorder="1" applyAlignment="1">
      <alignment horizontal="right"/>
    </xf>
    <xf numFmtId="0" fontId="38" fillId="0" borderId="0" xfId="0" applyFont="1" applyBorder="1"/>
    <xf numFmtId="0" fontId="37" fillId="0" borderId="0" xfId="0" applyFont="1" applyBorder="1"/>
    <xf numFmtId="166" fontId="0" fillId="0" borderId="0" xfId="0" applyNumberFormat="1" applyBorder="1"/>
    <xf numFmtId="0" fontId="37" fillId="4" borderId="0" xfId="0" applyFont="1" applyFill="1"/>
    <xf numFmtId="165" fontId="1" fillId="4" borderId="3" xfId="3" applyNumberFormat="1" applyFont="1" applyFill="1" applyBorder="1"/>
    <xf numFmtId="0" fontId="0" fillId="4" borderId="1" xfId="6" applyFont="1" applyFill="1" applyBorder="1"/>
    <xf numFmtId="0" fontId="4" fillId="4" borderId="0" xfId="6" applyFont="1" applyFill="1"/>
    <xf numFmtId="9" fontId="8" fillId="0" borderId="0" xfId="1" applyNumberFormat="1" applyFont="1" applyFill="1" applyAlignment="1"/>
    <xf numFmtId="0" fontId="0" fillId="4" borderId="2" xfId="6" applyFont="1" applyFill="1" applyBorder="1"/>
    <xf numFmtId="0" fontId="0" fillId="4" borderId="3" xfId="6" applyFont="1" applyFill="1" applyBorder="1" applyAlignment="1">
      <alignment wrapText="1"/>
    </xf>
    <xf numFmtId="0" fontId="1" fillId="4" borderId="3" xfId="6" applyNumberFormat="1" applyFont="1" applyFill="1" applyBorder="1" applyAlignment="1">
      <alignment horizontal="right" wrapText="1"/>
    </xf>
    <xf numFmtId="0" fontId="1" fillId="4" borderId="3" xfId="6" applyFont="1" applyFill="1" applyBorder="1" applyAlignment="1">
      <alignment wrapText="1"/>
    </xf>
    <xf numFmtId="0" fontId="1" fillId="4" borderId="2" xfId="6" applyFont="1" applyFill="1" applyBorder="1" applyAlignment="1">
      <alignment wrapText="1"/>
    </xf>
    <xf numFmtId="14" fontId="8" fillId="4" borderId="0" xfId="6" applyNumberFormat="1" applyFont="1" applyFill="1" applyBorder="1" applyAlignment="1">
      <alignment horizontal="right"/>
    </xf>
    <xf numFmtId="0" fontId="1" fillId="4" borderId="8" xfId="6" applyNumberFormat="1" applyFont="1" applyFill="1" applyBorder="1" applyAlignment="1">
      <alignment horizontal="right" wrapText="1"/>
    </xf>
    <xf numFmtId="0" fontId="0" fillId="4" borderId="7" xfId="6" applyFont="1" applyFill="1" applyBorder="1" applyAlignment="1">
      <alignment wrapText="1"/>
    </xf>
    <xf numFmtId="0" fontId="0" fillId="4" borderId="8" xfId="6" applyFont="1" applyFill="1" applyBorder="1" applyAlignment="1">
      <alignment wrapText="1"/>
    </xf>
    <xf numFmtId="0" fontId="0" fillId="4" borderId="5" xfId="6" applyFont="1" applyFill="1" applyBorder="1" applyAlignment="1">
      <alignment wrapText="1"/>
    </xf>
    <xf numFmtId="0" fontId="8" fillId="4" borderId="7" xfId="6" applyFont="1" applyFill="1" applyBorder="1" applyAlignment="1">
      <alignment wrapText="1"/>
    </xf>
    <xf numFmtId="0" fontId="1" fillId="4" borderId="12" xfId="6" applyNumberFormat="1" applyFont="1" applyFill="1" applyBorder="1" applyAlignment="1">
      <alignment horizontal="right" wrapText="1"/>
    </xf>
    <xf numFmtId="0" fontId="0" fillId="4" borderId="6" xfId="6" applyFont="1" applyFill="1" applyBorder="1" applyAlignment="1">
      <alignment wrapText="1"/>
    </xf>
    <xf numFmtId="9" fontId="1" fillId="0" borderId="0" xfId="1" applyNumberFormat="1" applyFont="1" applyFill="1" applyAlignment="1"/>
    <xf numFmtId="0" fontId="39" fillId="4" borderId="0" xfId="6" applyFont="1" applyFill="1" applyAlignment="1">
      <alignment wrapText="1"/>
    </xf>
    <xf numFmtId="0" fontId="0" fillId="0" borderId="1" xfId="0" applyFont="1" applyBorder="1"/>
    <xf numFmtId="0" fontId="21" fillId="0" borderId="9" xfId="0" applyFont="1" applyFill="1" applyBorder="1" applyAlignment="1">
      <alignment horizontal="left"/>
    </xf>
    <xf numFmtId="169" fontId="21" fillId="0" borderId="9" xfId="1" applyNumberFormat="1" applyFont="1" applyFill="1" applyBorder="1" applyAlignment="1">
      <alignment horizontal="left"/>
    </xf>
    <xf numFmtId="169" fontId="21" fillId="0" borderId="4" xfId="1" applyNumberFormat="1" applyFont="1" applyFill="1" applyBorder="1" applyAlignment="1">
      <alignment horizontal="left"/>
    </xf>
    <xf numFmtId="169" fontId="21" fillId="0" borderId="6" xfId="1" applyNumberFormat="1" applyFont="1" applyFill="1" applyBorder="1" applyAlignment="1">
      <alignment horizontal="left"/>
    </xf>
    <xf numFmtId="169" fontId="23" fillId="0" borderId="6" xfId="1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22" fillId="0" borderId="6" xfId="0" applyFont="1" applyFill="1" applyBorder="1" applyAlignment="1">
      <alignment horizontal="left"/>
    </xf>
    <xf numFmtId="3" fontId="20" fillId="0" borderId="9" xfId="3" applyNumberFormat="1" applyFont="1" applyFill="1" applyBorder="1" applyAlignment="1">
      <alignment horizontal="left"/>
    </xf>
    <xf numFmtId="3" fontId="20" fillId="0" borderId="4" xfId="3" applyNumberFormat="1" applyFont="1" applyFill="1" applyBorder="1" applyAlignment="1">
      <alignment horizontal="left"/>
    </xf>
    <xf numFmtId="3" fontId="20" fillId="0" borderId="4" xfId="3" quotePrefix="1" applyNumberFormat="1" applyFont="1" applyFill="1" applyBorder="1" applyAlignment="1">
      <alignment horizontal="left"/>
    </xf>
    <xf numFmtId="3" fontId="20" fillId="0" borderId="6" xfId="3" applyNumberFormat="1" applyFont="1" applyFill="1" applyBorder="1" applyAlignment="1">
      <alignment horizontal="left"/>
    </xf>
    <xf numFmtId="3" fontId="22" fillId="0" borderId="6" xfId="3" applyNumberFormat="1" applyFont="1" applyFill="1" applyBorder="1" applyAlignment="1">
      <alignment horizontal="left"/>
    </xf>
    <xf numFmtId="0" fontId="21" fillId="0" borderId="7" xfId="0" applyFont="1" applyFill="1" applyBorder="1" applyAlignment="1">
      <alignment horizontal="left"/>
    </xf>
    <xf numFmtId="169" fontId="21" fillId="0" borderId="10" xfId="1" applyNumberFormat="1" applyFont="1" applyFill="1" applyBorder="1" applyAlignment="1">
      <alignment horizontal="left"/>
    </xf>
    <xf numFmtId="169" fontId="21" fillId="0" borderId="5" xfId="1" applyNumberFormat="1" applyFont="1" applyFill="1" applyBorder="1" applyAlignment="1">
      <alignment horizontal="left"/>
    </xf>
    <xf numFmtId="169" fontId="21" fillId="0" borderId="7" xfId="1" applyNumberFormat="1" applyFont="1" applyFill="1" applyBorder="1" applyAlignment="1">
      <alignment horizontal="left"/>
    </xf>
    <xf numFmtId="169" fontId="23" fillId="0" borderId="7" xfId="1" applyNumberFormat="1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33" fillId="0" borderId="0" xfId="0" applyFont="1"/>
    <xf numFmtId="0" fontId="0" fillId="0" borderId="2" xfId="0" applyFont="1" applyFill="1" applyBorder="1" applyAlignment="1">
      <alignment horizontal="center" wrapText="1"/>
    </xf>
    <xf numFmtId="173" fontId="37" fillId="0" borderId="0" xfId="1" applyNumberFormat="1" applyFont="1"/>
    <xf numFmtId="0" fontId="8" fillId="0" borderId="1" xfId="0" applyFont="1" applyBorder="1" applyAlignment="1">
      <alignment wrapText="1"/>
    </xf>
    <xf numFmtId="165" fontId="8" fillId="0" borderId="3" xfId="3" applyNumberFormat="1" applyFont="1" applyBorder="1"/>
    <xf numFmtId="0" fontId="8" fillId="0" borderId="1" xfId="6" applyFont="1" applyFill="1" applyBorder="1"/>
    <xf numFmtId="0" fontId="1" fillId="0" borderId="1" xfId="6" applyFont="1" applyFill="1" applyBorder="1"/>
    <xf numFmtId="0" fontId="1" fillId="0" borderId="0" xfId="6" applyFont="1" applyFill="1"/>
    <xf numFmtId="166" fontId="8" fillId="0" borderId="2" xfId="8" applyNumberFormat="1" applyFont="1" applyFill="1" applyBorder="1"/>
    <xf numFmtId="166" fontId="1" fillId="0" borderId="2" xfId="8" applyNumberFormat="1" applyFont="1" applyFill="1" applyBorder="1"/>
    <xf numFmtId="166" fontId="8" fillId="0" borderId="1" xfId="8" applyNumberFormat="1" applyFont="1" applyFill="1" applyBorder="1"/>
    <xf numFmtId="166" fontId="1" fillId="0" borderId="1" xfId="8" applyNumberFormat="1" applyFont="1" applyFill="1" applyBorder="1"/>
    <xf numFmtId="166" fontId="1" fillId="0" borderId="0" xfId="8" applyNumberFormat="1" applyFont="1" applyFill="1"/>
    <xf numFmtId="166" fontId="1" fillId="0" borderId="0" xfId="8" applyNumberFormat="1" applyFont="1" applyFill="1" applyBorder="1"/>
    <xf numFmtId="0" fontId="16" fillId="5" borderId="0" xfId="6" applyFont="1" applyFill="1" applyBorder="1" applyAlignment="1">
      <alignment horizontal="left"/>
    </xf>
    <xf numFmtId="10" fontId="0" fillId="4" borderId="0" xfId="1" applyNumberFormat="1" applyFont="1" applyFill="1" applyBorder="1"/>
    <xf numFmtId="9" fontId="1" fillId="4" borderId="0" xfId="1" applyNumberFormat="1" applyFont="1" applyFill="1" applyBorder="1"/>
    <xf numFmtId="0" fontId="0" fillId="4" borderId="1" xfId="0" applyFont="1" applyFill="1" applyBorder="1" applyAlignment="1">
      <alignment horizontal="right" wrapText="1"/>
    </xf>
    <xf numFmtId="165" fontId="0" fillId="4" borderId="0" xfId="3" applyNumberFormat="1" applyFont="1" applyFill="1" applyAlignment="1">
      <alignment horizontal="right"/>
    </xf>
    <xf numFmtId="14" fontId="0" fillId="4" borderId="0" xfId="0" applyNumberFormat="1" applyFont="1" applyFill="1"/>
    <xf numFmtId="10" fontId="1" fillId="0" borderId="11" xfId="1" applyNumberFormat="1" applyFont="1" applyBorder="1"/>
    <xf numFmtId="10" fontId="13" fillId="4" borderId="0" xfId="1" applyNumberFormat="1" applyFont="1" applyFill="1" applyBorder="1"/>
    <xf numFmtId="10" fontId="38" fillId="4" borderId="2" xfId="1" applyNumberFormat="1" applyFont="1" applyFill="1" applyBorder="1"/>
    <xf numFmtId="3" fontId="13" fillId="4" borderId="0" xfId="0" applyNumberFormat="1" applyFont="1" applyFill="1" applyBorder="1" applyAlignment="1">
      <alignment horizontal="right"/>
    </xf>
    <xf numFmtId="3" fontId="13" fillId="4" borderId="0" xfId="3" applyNumberFormat="1" applyFont="1" applyFill="1" applyBorder="1" applyAlignment="1">
      <alignment horizontal="right"/>
    </xf>
    <xf numFmtId="3" fontId="0" fillId="4" borderId="0" xfId="0" applyNumberFormat="1" applyFill="1" applyBorder="1" applyAlignment="1">
      <alignment horizontal="right"/>
    </xf>
    <xf numFmtId="3" fontId="0" fillId="4" borderId="0" xfId="0" applyNumberFormat="1" applyFill="1" applyAlignment="1">
      <alignment horizontal="right"/>
    </xf>
    <xf numFmtId="0" fontId="0" fillId="4" borderId="2" xfId="0" applyFill="1" applyBorder="1"/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165" fontId="13" fillId="4" borderId="0" xfId="3" applyNumberFormat="1" applyFont="1" applyFill="1" applyBorder="1" applyAlignment="1">
      <alignment horizontal="right" wrapText="1"/>
    </xf>
    <xf numFmtId="165" fontId="13" fillId="4" borderId="1" xfId="3" applyNumberFormat="1" applyFont="1" applyFill="1" applyBorder="1" applyAlignment="1">
      <alignment horizontal="right" wrapText="1"/>
    </xf>
    <xf numFmtId="0" fontId="15" fillId="8" borderId="0" xfId="6" applyFont="1" applyFill="1" applyBorder="1" applyAlignment="1">
      <alignment horizontal="left"/>
    </xf>
    <xf numFmtId="0" fontId="16" fillId="8" borderId="0" xfId="6" applyFont="1" applyFill="1" applyBorder="1" applyAlignment="1">
      <alignment horizontal="left"/>
    </xf>
    <xf numFmtId="165" fontId="8" fillId="4" borderId="0" xfId="3" applyNumberFormat="1" applyFont="1" applyFill="1" applyBorder="1"/>
    <xf numFmtId="165" fontId="1" fillId="4" borderId="0" xfId="3" applyNumberFormat="1" applyFont="1" applyFill="1" applyBorder="1"/>
    <xf numFmtId="9" fontId="1" fillId="4" borderId="0" xfId="1" applyNumberFormat="1" applyFont="1" applyFill="1" applyAlignment="1"/>
    <xf numFmtId="0" fontId="8" fillId="0" borderId="0" xfId="0" applyFont="1" applyBorder="1" applyAlignment="1">
      <alignment horizontal="right"/>
    </xf>
    <xf numFmtId="14" fontId="1" fillId="4" borderId="9" xfId="6" applyNumberFormat="1" applyFont="1" applyFill="1" applyBorder="1" applyAlignment="1">
      <alignment horizontal="right" wrapText="1"/>
    </xf>
    <xf numFmtId="14" fontId="8" fillId="4" borderId="10" xfId="6" applyNumberFormat="1" applyFont="1" applyFill="1" applyBorder="1" applyAlignment="1">
      <alignment wrapText="1"/>
    </xf>
    <xf numFmtId="14" fontId="0" fillId="4" borderId="1" xfId="6" applyNumberFormat="1" applyFont="1" applyFill="1" applyBorder="1" applyAlignment="1">
      <alignment horizontal="right"/>
    </xf>
    <xf numFmtId="0" fontId="4" fillId="4" borderId="5" xfId="6" applyFont="1" applyFill="1" applyBorder="1" applyAlignment="1">
      <alignment vertical="center" wrapText="1"/>
    </xf>
    <xf numFmtId="166" fontId="0" fillId="4" borderId="0" xfId="6" applyNumberFormat="1" applyFont="1" applyFill="1" applyBorder="1" applyAlignment="1">
      <alignment vertical="center" wrapText="1"/>
    </xf>
    <xf numFmtId="166" fontId="1" fillId="4" borderId="0" xfId="6" applyNumberFormat="1" applyFont="1" applyFill="1" applyBorder="1" applyAlignment="1">
      <alignment vertical="center" wrapText="1"/>
    </xf>
    <xf numFmtId="0" fontId="1" fillId="0" borderId="4" xfId="6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166" fontId="0" fillId="0" borderId="0" xfId="6" applyNumberFormat="1" applyFont="1" applyFill="1" applyBorder="1" applyAlignment="1">
      <alignment vertical="center" wrapText="1"/>
    </xf>
    <xf numFmtId="166" fontId="1" fillId="0" borderId="0" xfId="6" applyNumberFormat="1" applyFont="1" applyFill="1" applyBorder="1" applyAlignment="1">
      <alignment vertical="center" wrapText="1"/>
    </xf>
    <xf numFmtId="165" fontId="1" fillId="4" borderId="0" xfId="3" applyNumberFormat="1" applyFont="1" applyFill="1"/>
    <xf numFmtId="14" fontId="0" fillId="4" borderId="10" xfId="6" applyNumberFormat="1" applyFont="1" applyFill="1" applyBorder="1" applyAlignment="1">
      <alignment horizontal="right" wrapText="1"/>
    </xf>
    <xf numFmtId="14" fontId="0" fillId="4" borderId="1" xfId="6" applyNumberFormat="1" applyFont="1" applyFill="1" applyBorder="1" applyAlignment="1">
      <alignment horizontal="right" wrapText="1"/>
    </xf>
    <xf numFmtId="0" fontId="8" fillId="0" borderId="0" xfId="0" applyFont="1" applyFill="1"/>
    <xf numFmtId="0" fontId="38" fillId="0" borderId="0" xfId="0" applyFont="1" applyFill="1" applyAlignment="1">
      <alignment horizontal="left"/>
    </xf>
    <xf numFmtId="0" fontId="41" fillId="4" borderId="0" xfId="6" applyFont="1" applyFill="1" applyBorder="1" applyAlignment="1">
      <alignment wrapText="1"/>
    </xf>
    <xf numFmtId="1" fontId="0" fillId="0" borderId="0" xfId="3" applyNumberFormat="1" applyFont="1" applyFill="1" applyBorder="1" applyAlignment="1"/>
    <xf numFmtId="1" fontId="0" fillId="0" borderId="0" xfId="3" applyNumberFormat="1" applyFont="1" applyFill="1" applyBorder="1"/>
    <xf numFmtId="1" fontId="1" fillId="4" borderId="0" xfId="8" applyNumberFormat="1" applyFont="1" applyFill="1" applyBorder="1"/>
    <xf numFmtId="0" fontId="15" fillId="5" borderId="2" xfId="6" applyFont="1" applyFill="1" applyBorder="1" applyAlignment="1">
      <alignment horizontal="left"/>
    </xf>
    <xf numFmtId="165" fontId="8" fillId="4" borderId="2" xfId="3" applyNumberFormat="1" applyFont="1" applyFill="1" applyBorder="1"/>
    <xf numFmtId="165" fontId="0" fillId="4" borderId="2" xfId="3" applyNumberFormat="1" applyFont="1" applyFill="1" applyBorder="1"/>
    <xf numFmtId="0" fontId="44" fillId="7" borderId="0" xfId="0" applyFont="1" applyFill="1" applyBorder="1" applyAlignment="1">
      <alignment wrapText="1"/>
    </xf>
    <xf numFmtId="0" fontId="42" fillId="0" borderId="13" xfId="0" applyFont="1" applyFill="1" applyBorder="1"/>
    <xf numFmtId="0" fontId="12" fillId="0" borderId="14" xfId="0" applyFont="1" applyFill="1" applyBorder="1"/>
    <xf numFmtId="0" fontId="42" fillId="0" borderId="14" xfId="0" applyFont="1" applyFill="1" applyBorder="1"/>
    <xf numFmtId="0" fontId="44" fillId="7" borderId="0" xfId="0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42" fillId="0" borderId="13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166" fontId="1" fillId="4" borderId="14" xfId="8" applyNumberFormat="1" applyFont="1" applyFill="1" applyBorder="1"/>
    <xf numFmtId="9" fontId="42" fillId="0" borderId="16" xfId="1" applyFont="1" applyFill="1" applyBorder="1" applyAlignment="1">
      <alignment horizontal="right" vertical="center"/>
    </xf>
    <xf numFmtId="9" fontId="42" fillId="0" borderId="10" xfId="1" applyFont="1" applyFill="1" applyBorder="1" applyAlignment="1">
      <alignment horizontal="right" vertical="center"/>
    </xf>
    <xf numFmtId="9" fontId="42" fillId="0" borderId="1" xfId="1" applyFont="1" applyFill="1" applyBorder="1" applyAlignment="1">
      <alignment horizontal="right" vertical="center"/>
    </xf>
    <xf numFmtId="9" fontId="42" fillId="0" borderId="9" xfId="1" applyFont="1" applyFill="1" applyBorder="1" applyAlignment="1">
      <alignment horizontal="right" vertical="center"/>
    </xf>
    <xf numFmtId="0" fontId="42" fillId="0" borderId="15" xfId="0" applyFont="1" applyFill="1" applyBorder="1"/>
    <xf numFmtId="0" fontId="43" fillId="0" borderId="15" xfId="0" applyFont="1" applyFill="1" applyBorder="1"/>
    <xf numFmtId="166" fontId="8" fillId="4" borderId="7" xfId="8" applyNumberFormat="1" applyFont="1" applyFill="1" applyBorder="1"/>
    <xf numFmtId="166" fontId="8" fillId="4" borderId="6" xfId="8" applyNumberFormat="1" applyFont="1" applyFill="1" applyBorder="1"/>
    <xf numFmtId="166" fontId="8" fillId="4" borderId="15" xfId="8" applyNumberFormat="1" applyFont="1" applyFill="1" applyBorder="1"/>
    <xf numFmtId="0" fontId="0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4" borderId="0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5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wrapText="1"/>
    </xf>
    <xf numFmtId="14" fontId="13" fillId="5" borderId="0" xfId="0" applyNumberFormat="1" applyFont="1" applyFill="1" applyBorder="1" applyAlignment="1">
      <alignment horizontal="center"/>
    </xf>
    <xf numFmtId="14" fontId="13" fillId="5" borderId="4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8" fillId="4" borderId="7" xfId="6" applyNumberFormat="1" applyFont="1" applyFill="1" applyBorder="1" applyAlignment="1">
      <alignment horizontal="center"/>
    </xf>
    <xf numFmtId="14" fontId="8" fillId="4" borderId="6" xfId="6" applyNumberFormat="1" applyFont="1" applyFill="1" applyBorder="1" applyAlignment="1">
      <alignment horizontal="center"/>
    </xf>
    <xf numFmtId="166" fontId="0" fillId="4" borderId="7" xfId="8" applyNumberFormat="1" applyFont="1" applyFill="1" applyBorder="1" applyAlignment="1">
      <alignment horizontal="center"/>
    </xf>
    <xf numFmtId="166" fontId="1" fillId="4" borderId="2" xfId="8" applyNumberFormat="1" applyFont="1" applyFill="1" applyBorder="1" applyAlignment="1">
      <alignment horizontal="center"/>
    </xf>
    <xf numFmtId="166" fontId="1" fillId="4" borderId="6" xfId="8" applyNumberFormat="1" applyFont="1" applyFill="1" applyBorder="1" applyAlignment="1">
      <alignment horizontal="center"/>
    </xf>
  </cellXfs>
  <cellStyles count="9">
    <cellStyle name="EYtext" xfId="4"/>
    <cellStyle name="Hyperkobling" xfId="2" builtinId="8"/>
    <cellStyle name="Hyperkobling 2" xfId="5"/>
    <cellStyle name="Komma" xfId="3" builtinId="3"/>
    <cellStyle name="Komma 2" xfId="8"/>
    <cellStyle name="Normal" xfId="0" builtinId="0"/>
    <cellStyle name="Normal 2" xfId="6"/>
    <cellStyle name="Prosent" xfId="1" builtinId="5"/>
    <cellStyle name="Prosent 2" xfId="7"/>
  </cellStyles>
  <dxfs count="0"/>
  <tableStyles count="0" defaultTableStyle="TableStyleMedium2" defaultPivotStyle="PivotStyleLight16"/>
  <colors>
    <mruColors>
      <color rgb="FF005AA4"/>
      <color rgb="FFF2F2F2"/>
      <color rgb="FF008ED2"/>
      <color rgb="FF3366CC"/>
      <color rgb="FF0066CC"/>
      <color rgb="FF0066FF"/>
      <color rgb="FF0099FF"/>
      <color rgb="FF33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405848</xdr:colOff>
      <xdr:row>43</xdr:row>
      <xdr:rowOff>140805</xdr:rowOff>
    </xdr:to>
    <xdr:pic>
      <xdr:nvPicPr>
        <xdr:cNvPr id="2" name="Bild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196"/>
        <a:stretch/>
      </xdr:blipFill>
      <xdr:spPr>
        <a:xfrm>
          <a:off x="0" y="0"/>
          <a:ext cx="4977848" cy="72638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konomi\Rapportering\Kapitaldekning\Parallellrapportering\&#197;r%202017\4Q%202017\Innsendt%20finanstilsynet\20171229_4702_9999_Konsern_4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nsikt-snn.sb1a.sparebank1.no/Avd/Risk/Delte%20dokumenter/01_Rapportering/9_Pilar%203/2017/Arbeidsfiler/Ansvarlig%20l&#229;n%20og%20fonds/Fundingko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"/>
      <sheetName val="Index"/>
      <sheetName val="Valg"/>
      <sheetName val="C 01.00"/>
      <sheetName val="C 02.00"/>
      <sheetName val="C 03.00"/>
      <sheetName val="C 04.00"/>
      <sheetName val="C 05.01"/>
      <sheetName val="C 05.02"/>
      <sheetName val="C 06.02"/>
      <sheetName val="C 07.00 (mal)"/>
      <sheetName val="C 07.00 (002)"/>
      <sheetName val="C 07.00 (003)"/>
      <sheetName val="C 07.00 (004)"/>
      <sheetName val="C 07.00 (005)"/>
      <sheetName val="C 07.00 (006)"/>
      <sheetName val="C 07.00 (007)"/>
      <sheetName val="C 07.00 (008)"/>
      <sheetName val="C 07.00 (009)"/>
      <sheetName val="C 07.00 (010)"/>
      <sheetName val="C 07.00 (011)"/>
      <sheetName val="C 07.00 (012)"/>
      <sheetName val="C 07.00 (013)"/>
      <sheetName val="C 07.00 (014)"/>
      <sheetName val="C 07.00 (015)"/>
      <sheetName val="C 07.00 (016)"/>
      <sheetName val="C 07.00 (017)"/>
      <sheetName val="C 07.00 (001)"/>
      <sheetName val="C 08.01 (mal)"/>
      <sheetName val="C 08.01 (007)"/>
      <sheetName val="C 08.01 (008)"/>
      <sheetName val="C 08.01 (009)"/>
      <sheetName val="C 08.01 (010)"/>
      <sheetName val="C 08.01 (011)"/>
      <sheetName val="C 08.01 (012)"/>
      <sheetName val="C 08.01 (013)"/>
      <sheetName val="C 08.01 (014)"/>
      <sheetName val="C 08.01 (016)"/>
      <sheetName val="C 08.01 (017)"/>
      <sheetName val="C 08.01 (001)"/>
      <sheetName val="C 08.01 (002)"/>
      <sheetName val="C 08.02 (mal)"/>
      <sheetName val="C 08.02 (007)"/>
      <sheetName val="C 08.02 (008)"/>
      <sheetName val="C 08.02 (009)"/>
      <sheetName val="C 08.02 (010)"/>
      <sheetName val="C 08.02 (011)"/>
      <sheetName val="C 08.02 (012)"/>
      <sheetName val="C 08.02 (013)"/>
      <sheetName val="C 08.02 (014)"/>
      <sheetName val="C 08.02 (016)"/>
      <sheetName val="C 08.02 (017)"/>
      <sheetName val="C 08.02 (001)"/>
      <sheetName val="C 08.02 (002)"/>
      <sheetName val="C 09.01 (mal)"/>
      <sheetName val="C 09.04"/>
      <sheetName val="C 09.02 (mal)"/>
      <sheetName val="C 10.01"/>
      <sheetName val="C 10.02"/>
      <sheetName val="C 11.00"/>
      <sheetName val="C 12.00"/>
      <sheetName val="C 13.00"/>
      <sheetName val="C 14.00"/>
      <sheetName val="C 15.00"/>
      <sheetName val="C 16.00"/>
      <sheetName val="C 17.00"/>
      <sheetName val="C 18.00 (001)"/>
      <sheetName val="C 18.00 (mal)"/>
      <sheetName val="C 19.00"/>
      <sheetName val="C 20.00"/>
      <sheetName val="C 21.00 (001)"/>
      <sheetName val="C 21.00 (mal)"/>
      <sheetName val="C 22.00"/>
      <sheetName val="C 23.00"/>
      <sheetName val="C 24.00"/>
      <sheetName val="C 25.00"/>
      <sheetName val="C 40.00"/>
      <sheetName val="C 41.00"/>
      <sheetName val="C 42.00"/>
      <sheetName val="C 43.00.a"/>
      <sheetName val="C 43.00.bc"/>
      <sheetName val="C 44.00"/>
      <sheetName val="C 47.00"/>
    </sheetNames>
    <sheetDataSet>
      <sheetData sheetId="0">
        <row r="3">
          <cell r="A3">
            <v>1E-3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dsdata"/>
      <sheetName val="Ark1"/>
    </sheetNames>
    <sheetDataSet>
      <sheetData sheetId="0">
        <row r="1">
          <cell r="A1" t="str">
            <v>Start Date</v>
          </cell>
          <cell r="B1">
            <v>42736</v>
          </cell>
        </row>
        <row r="2">
          <cell r="A2" t="str">
            <v>End Date</v>
          </cell>
          <cell r="B2">
            <v>43100</v>
          </cell>
        </row>
        <row r="3">
          <cell r="A3" t="str">
            <v>Volumvektet gjennomsnittlig rentekostnad i 2017</v>
          </cell>
        </row>
        <row r="4">
          <cell r="B4" t="str">
            <v>NIBOR3M Index</v>
          </cell>
        </row>
        <row r="5">
          <cell r="A5" t="str">
            <v>Dates</v>
          </cell>
        </row>
        <row r="6">
          <cell r="A6">
            <v>42737</v>
          </cell>
          <cell r="B6">
            <v>1.1599999999999999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zoomScaleNormal="100" workbookViewId="0"/>
  </sheetViews>
  <sheetFormatPr baseColWidth="10" defaultRowHeight="12.75" x14ac:dyDescent="0.2"/>
  <sheetData>
    <row r="1" spans="1:1" x14ac:dyDescent="0.2">
      <c r="A1" s="313"/>
    </row>
    <row r="18" spans="10:10" x14ac:dyDescent="0.2">
      <c r="J18" s="313"/>
    </row>
  </sheetData>
  <sheetProtection algorithmName="SHA-512" hashValue="o1lfFtr5fUOx40xj9zxbkDnW//FxFMbTIPGe1islX8c7Esi8ExEebFMD0VpDrUlRDQzTS7JqtzH+lxrCVV19tg==" saltValue="OA6wEpRv3omR+dNpWTbR7Q==" spinCount="100000" sheet="1" objects="1" scenarios="1"/>
  <pageMargins left="0.7" right="0.7" top="0.75" bottom="0.75" header="0.3" footer="0.3"/>
  <pageSetup paperSize="9" orientation="portrait" verticalDpi="0" r:id="rId1"/>
  <headerFooter>
    <oddHeader>&amp;R&amp;"Calibri"&amp;12 I N T E R N&amp;1#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B2:P28"/>
  <sheetViews>
    <sheetView showGridLines="0" workbookViewId="0"/>
  </sheetViews>
  <sheetFormatPr baseColWidth="10" defaultRowHeight="12.75" x14ac:dyDescent="0.2"/>
  <cols>
    <col min="2" max="2" width="71.140625" customWidth="1"/>
    <col min="3" max="3" width="17.42578125" customWidth="1"/>
    <col min="6" max="6" width="30.85546875" customWidth="1"/>
  </cols>
  <sheetData>
    <row r="2" spans="2:16" ht="18.75" x14ac:dyDescent="0.3">
      <c r="B2" s="295" t="s">
        <v>411</v>
      </c>
      <c r="C2" s="295"/>
      <c r="D2" s="295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22"/>
    </row>
    <row r="4" spans="2:16" x14ac:dyDescent="0.2">
      <c r="C4" s="36"/>
      <c r="D4" s="18"/>
      <c r="E4" s="18"/>
    </row>
    <row r="5" spans="2:16" x14ac:dyDescent="0.2">
      <c r="B5" s="106" t="s">
        <v>50</v>
      </c>
      <c r="C5" s="23">
        <v>2018</v>
      </c>
      <c r="D5" s="18">
        <v>2017</v>
      </c>
      <c r="E5" s="18"/>
    </row>
    <row r="6" spans="2:16" x14ac:dyDescent="0.2">
      <c r="B6" s="116" t="s">
        <v>140</v>
      </c>
      <c r="C6" s="53">
        <f>+'3'!C29</f>
        <v>11396.432753999999</v>
      </c>
      <c r="D6" s="57">
        <f>+'3'!D29</f>
        <v>10857</v>
      </c>
      <c r="E6" s="18"/>
    </row>
    <row r="7" spans="2:16" x14ac:dyDescent="0.2">
      <c r="E7" s="18"/>
    </row>
    <row r="8" spans="2:16" ht="12.75" customHeight="1" x14ac:dyDescent="0.2">
      <c r="B8" s="109" t="s">
        <v>141</v>
      </c>
      <c r="C8" s="107"/>
      <c r="D8" s="107"/>
      <c r="E8" s="18"/>
    </row>
    <row r="9" spans="2:16" ht="12.75" customHeight="1" x14ac:dyDescent="0.2">
      <c r="B9" s="110" t="s">
        <v>142</v>
      </c>
      <c r="C9" s="493">
        <v>11931.310616999999</v>
      </c>
      <c r="D9" s="59">
        <v>13941</v>
      </c>
      <c r="E9" s="18"/>
    </row>
    <row r="10" spans="2:16" ht="12.75" customHeight="1" x14ac:dyDescent="0.2">
      <c r="B10" s="110" t="s">
        <v>143</v>
      </c>
      <c r="C10" s="493">
        <v>9478.9117686624977</v>
      </c>
      <c r="D10" s="59">
        <v>7711.1059999999998</v>
      </c>
      <c r="E10" s="18"/>
    </row>
    <row r="11" spans="2:16" ht="12.75" customHeight="1" x14ac:dyDescent="0.2">
      <c r="B11" s="110" t="s">
        <v>149</v>
      </c>
      <c r="C11" s="493">
        <v>0</v>
      </c>
      <c r="D11" s="59">
        <v>43.158999999999999</v>
      </c>
      <c r="E11" s="18"/>
      <c r="H11" s="175"/>
    </row>
    <row r="12" spans="2:16" ht="12.75" customHeight="1" x14ac:dyDescent="0.2">
      <c r="B12" s="110" t="s">
        <v>150</v>
      </c>
      <c r="C12" s="493">
        <v>1063.6551509999999</v>
      </c>
      <c r="D12" s="59">
        <v>1990.8409999999999</v>
      </c>
      <c r="E12" s="18"/>
    </row>
    <row r="13" spans="2:16" ht="12.75" customHeight="1" x14ac:dyDescent="0.2">
      <c r="B13" s="110" t="s">
        <v>144</v>
      </c>
      <c r="C13" s="493">
        <v>1631.4635381542</v>
      </c>
      <c r="D13" s="59">
        <v>1701.816</v>
      </c>
      <c r="E13" s="18"/>
    </row>
    <row r="14" spans="2:16" ht="12.75" customHeight="1" x14ac:dyDescent="0.2">
      <c r="B14" s="110" t="s">
        <v>145</v>
      </c>
      <c r="C14" s="493">
        <v>1026.8182568417001</v>
      </c>
      <c r="D14" s="59">
        <v>895.06799999999998</v>
      </c>
      <c r="E14" s="18"/>
    </row>
    <row r="15" spans="2:16" ht="12.75" customHeight="1" x14ac:dyDescent="0.2">
      <c r="B15" s="110" t="s">
        <v>76</v>
      </c>
      <c r="C15" s="493">
        <v>91149.596656883266</v>
      </c>
      <c r="D15" s="59">
        <v>81456.642999999996</v>
      </c>
      <c r="E15" s="18"/>
    </row>
    <row r="16" spans="2:16" ht="12.75" customHeight="1" x14ac:dyDescent="0.2">
      <c r="B16" s="110" t="s">
        <v>146</v>
      </c>
      <c r="C16" s="493">
        <v>30448.670330899997</v>
      </c>
      <c r="D16" s="59">
        <v>31079.697999999997</v>
      </c>
      <c r="E16" s="18"/>
      <c r="H16" s="175"/>
    </row>
    <row r="17" spans="2:8" ht="12.75" customHeight="1" x14ac:dyDescent="0.2">
      <c r="B17" s="110" t="s">
        <v>78</v>
      </c>
      <c r="C17" s="493">
        <v>112.561255855</v>
      </c>
      <c r="D17" s="59">
        <v>89.304000000000002</v>
      </c>
      <c r="E17" s="18"/>
    </row>
    <row r="18" spans="2:8" ht="12.75" customHeight="1" x14ac:dyDescent="0.2">
      <c r="B18" s="110" t="s">
        <v>82</v>
      </c>
      <c r="C18" s="493">
        <v>2915.7333557350003</v>
      </c>
      <c r="D18" s="59">
        <v>4818.2089999999998</v>
      </c>
      <c r="E18" s="391"/>
    </row>
    <row r="19" spans="2:8" ht="12.75" customHeight="1" x14ac:dyDescent="0.2">
      <c r="B19" s="110" t="s">
        <v>329</v>
      </c>
      <c r="C19" s="493">
        <v>3186.0144019999998</v>
      </c>
      <c r="D19" s="59">
        <v>8647.2724359000003</v>
      </c>
      <c r="E19" s="324"/>
    </row>
    <row r="20" spans="2:8" ht="12.75" customHeight="1" x14ac:dyDescent="0.2">
      <c r="B20" s="110" t="s">
        <v>328</v>
      </c>
      <c r="C20" s="494">
        <v>113.50233299999999</v>
      </c>
      <c r="D20" s="112">
        <v>0</v>
      </c>
      <c r="E20" s="324"/>
    </row>
    <row r="21" spans="2:8" ht="12.75" customHeight="1" x14ac:dyDescent="0.2">
      <c r="B21" s="111" t="s">
        <v>147</v>
      </c>
      <c r="C21" s="495">
        <v>4651.6350970000003</v>
      </c>
      <c r="D21" s="113">
        <v>4486.1196073086148</v>
      </c>
    </row>
    <row r="22" spans="2:8" ht="12.75" customHeight="1" x14ac:dyDescent="0.2">
      <c r="B22" s="115" t="s">
        <v>59</v>
      </c>
      <c r="C22" s="496">
        <v>-33.147089543</v>
      </c>
      <c r="D22" s="113">
        <v>-5206.4479527000003</v>
      </c>
    </row>
    <row r="23" spans="2:8" ht="12.75" customHeight="1" x14ac:dyDescent="0.2">
      <c r="B23" t="s">
        <v>151</v>
      </c>
      <c r="C23" s="114">
        <f>SUM(C9:C22)</f>
        <v>157676.72567348866</v>
      </c>
      <c r="D23" s="114">
        <f>SUM(D9:D22)</f>
        <v>151653.78809050863</v>
      </c>
      <c r="H23" s="175"/>
    </row>
    <row r="24" spans="2:8" ht="12.75" customHeight="1" thickBot="1" x14ac:dyDescent="0.25">
      <c r="B24" s="301" t="s">
        <v>148</v>
      </c>
      <c r="C24" s="343">
        <f>C6/C23</f>
        <v>7.2277203279825369E-2</v>
      </c>
      <c r="D24" s="490">
        <f>D6/D23</f>
        <v>7.1590694414572914E-2</v>
      </c>
    </row>
    <row r="25" spans="2:8" ht="12.75" customHeight="1" x14ac:dyDescent="0.2"/>
    <row r="26" spans="2:8" ht="12.75" customHeight="1" x14ac:dyDescent="0.2"/>
    <row r="27" spans="2:8" ht="12.75" customHeight="1" x14ac:dyDescent="0.2"/>
    <row r="28" spans="2:8" x14ac:dyDescent="0.2">
      <c r="B28" s="324"/>
    </row>
  </sheetData>
  <sheetProtection algorithmName="SHA-512" hashValue="B/hbl/asF2r4wEsx2U5qTL1jv2iSOKBMzzrgsETvXl08WeufOVNnE0N0mHds6E4Ex2BfKmOF+8S2cSKpioEHgA==" saltValue="u+nkGydnkx13OJAkIVRBX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B2:S22"/>
  <sheetViews>
    <sheetView showGridLines="0" workbookViewId="0"/>
  </sheetViews>
  <sheetFormatPr baseColWidth="10" defaultRowHeight="12.75" x14ac:dyDescent="0.2"/>
  <cols>
    <col min="2" max="2" width="43.5703125" bestFit="1" customWidth="1"/>
    <col min="5" max="5" width="6.140625" customWidth="1"/>
    <col min="6" max="6" width="1.28515625" customWidth="1"/>
    <col min="8" max="8" width="8.28515625" customWidth="1"/>
  </cols>
  <sheetData>
    <row r="2" spans="2:19" ht="18.75" x14ac:dyDescent="0.3">
      <c r="B2" s="295" t="s">
        <v>412</v>
      </c>
      <c r="C2" s="295"/>
      <c r="D2" s="295"/>
      <c r="E2" s="295"/>
      <c r="F2" s="295"/>
      <c r="G2" s="295"/>
      <c r="H2" s="295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2:19" x14ac:dyDescent="0.2">
      <c r="B4" s="23" t="s">
        <v>425</v>
      </c>
      <c r="C4" s="316">
        <f ca="1">INDIRECT("'3'!C72")</f>
        <v>71167.286895120007</v>
      </c>
    </row>
    <row r="5" spans="2:19" x14ac:dyDescent="0.2">
      <c r="B5" s="23" t="s">
        <v>426</v>
      </c>
      <c r="C5" s="150">
        <f ca="1">INDIRECT("'3'!C27")</f>
        <v>10334.432753999999</v>
      </c>
    </row>
    <row r="7" spans="2:19" x14ac:dyDescent="0.2">
      <c r="C7" s="556" t="s">
        <v>420</v>
      </c>
      <c r="D7" s="557"/>
      <c r="E7" s="558"/>
      <c r="F7" s="556" t="s">
        <v>419</v>
      </c>
      <c r="G7" s="557"/>
      <c r="H7" s="558"/>
    </row>
    <row r="8" spans="2:19" x14ac:dyDescent="0.2">
      <c r="B8" s="117" t="s">
        <v>50</v>
      </c>
      <c r="C8" s="464">
        <v>2016</v>
      </c>
      <c r="D8" s="123">
        <v>2017</v>
      </c>
      <c r="E8" s="452">
        <v>2018</v>
      </c>
      <c r="F8" s="123"/>
      <c r="G8" s="124">
        <v>2018</v>
      </c>
      <c r="H8" s="458">
        <v>2017</v>
      </c>
    </row>
    <row r="9" spans="2:19" x14ac:dyDescent="0.2">
      <c r="B9" s="117" t="s">
        <v>153</v>
      </c>
      <c r="C9" s="465">
        <v>4.4999999999999998E-2</v>
      </c>
      <c r="D9" s="125">
        <v>4.4999999999999998E-2</v>
      </c>
      <c r="E9" s="453">
        <v>4.4999999999999998E-2</v>
      </c>
      <c r="F9" s="125"/>
      <c r="G9" s="128">
        <f ca="1">E9*C4</f>
        <v>3202.5279102804002</v>
      </c>
      <c r="H9" s="459">
        <v>3025.0279799999998</v>
      </c>
    </row>
    <row r="10" spans="2:19" x14ac:dyDescent="0.2">
      <c r="B10" s="118" t="s">
        <v>152</v>
      </c>
      <c r="C10" s="466"/>
      <c r="D10" s="126"/>
      <c r="E10" s="454"/>
      <c r="F10" s="126"/>
      <c r="G10" s="129"/>
      <c r="H10" s="460"/>
    </row>
    <row r="11" spans="2:19" x14ac:dyDescent="0.2">
      <c r="B11" s="119" t="s">
        <v>154</v>
      </c>
      <c r="C11" s="466">
        <v>2.5000000000000001E-2</v>
      </c>
      <c r="D11" s="126">
        <v>2.5000000000000001E-2</v>
      </c>
      <c r="E11" s="454">
        <v>2.5000000000000001E-2</v>
      </c>
      <c r="F11" s="126"/>
      <c r="G11" s="131">
        <f ca="1">E11*$C$4</f>
        <v>1779.1821723780004</v>
      </c>
      <c r="H11" s="461">
        <v>1680.5711000000001</v>
      </c>
    </row>
    <row r="12" spans="2:19" x14ac:dyDescent="0.2">
      <c r="B12" s="119" t="s">
        <v>155</v>
      </c>
      <c r="C12" s="466">
        <v>1.4999999999999999E-2</v>
      </c>
      <c r="D12" s="126">
        <v>0.02</v>
      </c>
      <c r="E12" s="454">
        <v>0.02</v>
      </c>
      <c r="F12" s="126"/>
      <c r="G12" s="131">
        <f ca="1">E12*$C$4</f>
        <v>1423.3457379024001</v>
      </c>
      <c r="H12" s="461">
        <v>1344.45688</v>
      </c>
    </row>
    <row r="13" spans="2:19" x14ac:dyDescent="0.2">
      <c r="B13" s="119" t="s">
        <v>156</v>
      </c>
      <c r="C13" s="466">
        <v>0.03</v>
      </c>
      <c r="D13" s="126">
        <v>0.03</v>
      </c>
      <c r="E13" s="454">
        <v>0.03</v>
      </c>
      <c r="F13" s="126"/>
      <c r="G13" s="131">
        <f ca="1">E13*$C$4</f>
        <v>2135.0186068536</v>
      </c>
      <c r="H13" s="461">
        <v>2016.6853199999998</v>
      </c>
    </row>
    <row r="14" spans="2:19" x14ac:dyDescent="0.2">
      <c r="B14" s="120" t="s">
        <v>157</v>
      </c>
      <c r="C14" s="467">
        <v>7.0000000000000007E-2</v>
      </c>
      <c r="D14" s="127">
        <v>7.4999999999999997E-2</v>
      </c>
      <c r="E14" s="455">
        <f>SUM(E11:E13)</f>
        <v>7.4999999999999997E-2</v>
      </c>
      <c r="F14" s="127"/>
      <c r="G14" s="130">
        <f ca="1">SUM(G11:G13)</f>
        <v>5337.5465171340002</v>
      </c>
      <c r="H14" s="462">
        <v>5041.7132999999994</v>
      </c>
    </row>
    <row r="15" spans="2:19" x14ac:dyDescent="0.2">
      <c r="B15" s="121" t="s">
        <v>421</v>
      </c>
      <c r="C15" s="467">
        <v>0.115</v>
      </c>
      <c r="D15" s="127">
        <v>0.12</v>
      </c>
      <c r="E15" s="455">
        <f>E14+E9</f>
        <v>0.12</v>
      </c>
      <c r="F15" s="127"/>
      <c r="G15" s="130">
        <f ca="1">G14+G9</f>
        <v>8540.0744274143999</v>
      </c>
      <c r="H15" s="462">
        <v>8066.7412799999993</v>
      </c>
    </row>
    <row r="16" spans="2:19" x14ac:dyDescent="0.2">
      <c r="B16" s="118" t="s">
        <v>422</v>
      </c>
      <c r="C16" s="466">
        <v>1.4999999999999999E-2</v>
      </c>
      <c r="D16" s="126">
        <v>1.4999999999999999E-2</v>
      </c>
      <c r="E16" s="454">
        <v>1.4999999999999999E-2</v>
      </c>
      <c r="F16" s="126"/>
      <c r="G16" s="129">
        <f ca="1">C4*E16</f>
        <v>1067.5093034268</v>
      </c>
      <c r="H16" s="460">
        <v>1008.3426599999999</v>
      </c>
    </row>
    <row r="17" spans="2:8" x14ac:dyDescent="0.2">
      <c r="B17" s="151" t="s">
        <v>423</v>
      </c>
      <c r="C17" s="468">
        <v>0.13</v>
      </c>
      <c r="D17" s="153">
        <v>0.13500000000000001</v>
      </c>
      <c r="E17" s="456">
        <f>E16+E15</f>
        <v>0.13500000000000001</v>
      </c>
      <c r="F17" s="153"/>
      <c r="G17" s="152">
        <f ca="1">G16+G15</f>
        <v>9607.5837308411992</v>
      </c>
      <c r="H17" s="463">
        <v>9075.0839399999986</v>
      </c>
    </row>
    <row r="18" spans="2:8" x14ac:dyDescent="0.2">
      <c r="B18" s="121" t="s">
        <v>424</v>
      </c>
      <c r="C18" s="469"/>
      <c r="D18" s="154"/>
      <c r="E18" s="457"/>
      <c r="F18" s="154"/>
      <c r="G18" s="130">
        <f ca="1">C5-G17</f>
        <v>726.84902315880026</v>
      </c>
      <c r="H18" s="462">
        <v>916.91606000000138</v>
      </c>
    </row>
    <row r="22" spans="2:8" x14ac:dyDescent="0.2">
      <c r="B22" s="324"/>
    </row>
  </sheetData>
  <sheetProtection algorithmName="SHA-512" hashValue="svo8wvfLxLXRq+UffJm/LLZKOuoZE+mchQCUY9J4TWunjXzArZ6eMFBiiDyIfk4E0O4AMW5Gqe4RrbeiH8rfww==" saltValue="H/XfoA9CXfTXmTaGwt1izQ==" spinCount="100000" sheet="1" objects="1" scenarios="1"/>
  <mergeCells count="2">
    <mergeCell ref="C7:E7"/>
    <mergeCell ref="F7:H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B2:R67"/>
  <sheetViews>
    <sheetView showGridLines="0" workbookViewId="0"/>
  </sheetViews>
  <sheetFormatPr baseColWidth="10" defaultRowHeight="12.75" x14ac:dyDescent="0.2"/>
  <cols>
    <col min="2" max="2" width="47.85546875" bestFit="1" customWidth="1"/>
    <col min="3" max="3" width="13.42578125" customWidth="1"/>
    <col min="4" max="4" width="13" customWidth="1"/>
    <col min="5" max="5" width="11.42578125" customWidth="1"/>
    <col min="6" max="6" width="11.5703125" customWidth="1"/>
    <col min="11" max="11" width="13.7109375" customWidth="1"/>
    <col min="12" max="14" width="15.85546875" bestFit="1" customWidth="1"/>
    <col min="16" max="16" width="14.42578125" bestFit="1" customWidth="1"/>
    <col min="17" max="17" width="13.28515625" customWidth="1"/>
  </cols>
  <sheetData>
    <row r="2" spans="2:18" ht="18.75" x14ac:dyDescent="0.3">
      <c r="B2" s="295" t="s">
        <v>413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0"/>
      <c r="N2" s="20"/>
      <c r="O2" s="20"/>
      <c r="P2" s="20"/>
      <c r="Q2" s="20"/>
      <c r="R2" s="20"/>
    </row>
    <row r="4" spans="2:18" ht="15" x14ac:dyDescent="0.25">
      <c r="B4" s="204" t="s">
        <v>429</v>
      </c>
    </row>
    <row r="5" spans="2:18" x14ac:dyDescent="0.2">
      <c r="D5" s="23">
        <v>2018</v>
      </c>
      <c r="E5" s="23"/>
      <c r="F5" s="23"/>
      <c r="G5" s="23"/>
      <c r="H5" s="23"/>
      <c r="I5" s="23">
        <v>2017</v>
      </c>
    </row>
    <row r="6" spans="2:18" ht="38.25" x14ac:dyDescent="0.2">
      <c r="B6" s="24" t="s">
        <v>50</v>
      </c>
      <c r="C6" s="221" t="s">
        <v>209</v>
      </c>
      <c r="D6" s="222" t="s">
        <v>210</v>
      </c>
      <c r="E6" s="221" t="s">
        <v>211</v>
      </c>
      <c r="F6" s="471" t="s">
        <v>7</v>
      </c>
      <c r="G6" s="223" t="s">
        <v>212</v>
      </c>
      <c r="H6" s="206" t="s">
        <v>209</v>
      </c>
      <c r="I6" s="364" t="s">
        <v>210</v>
      </c>
      <c r="J6" s="206" t="s">
        <v>211</v>
      </c>
      <c r="K6" s="471" t="s">
        <v>7</v>
      </c>
      <c r="L6" s="365" t="s">
        <v>212</v>
      </c>
    </row>
    <row r="7" spans="2:18" x14ac:dyDescent="0.2">
      <c r="B7" s="12" t="s">
        <v>198</v>
      </c>
      <c r="C7" s="345"/>
      <c r="D7" s="345"/>
      <c r="E7" s="345"/>
      <c r="H7" s="217"/>
      <c r="I7" s="175"/>
      <c r="J7" s="175"/>
      <c r="K7" s="175"/>
      <c r="L7" s="218"/>
    </row>
    <row r="8" spans="2:18" x14ac:dyDescent="0.2">
      <c r="B8" s="205" t="s">
        <v>199</v>
      </c>
      <c r="C8" s="346">
        <f>6572.535071+0.161915</f>
        <v>6572.6969859999999</v>
      </c>
      <c r="D8" s="346">
        <f>6059.39296+0.161915</f>
        <v>6059.5548749999998</v>
      </c>
      <c r="E8" s="346">
        <f>+'3'!C54</f>
        <v>4034.3352149600009</v>
      </c>
      <c r="F8" s="175">
        <f>E8*0.08</f>
        <v>322.74681719680007</v>
      </c>
      <c r="G8" s="220">
        <f>E8/D8</f>
        <v>0.66578078723315481</v>
      </c>
      <c r="H8" s="209">
        <v>6506.0619999999999</v>
      </c>
      <c r="I8" s="207">
        <v>5916.0529999999999</v>
      </c>
      <c r="J8" s="207">
        <v>3825.12</v>
      </c>
      <c r="K8" s="207">
        <v>306.00959999999998</v>
      </c>
      <c r="L8" s="310">
        <v>0.64656621568468031</v>
      </c>
    </row>
    <row r="9" spans="2:18" x14ac:dyDescent="0.2">
      <c r="B9" s="205" t="s">
        <v>200</v>
      </c>
      <c r="C9" s="346">
        <v>22496.586934999999</v>
      </c>
      <c r="D9" s="346">
        <v>22086.447926000001</v>
      </c>
      <c r="E9" s="346">
        <f>+'3'!C55</f>
        <v>13024.32531575</v>
      </c>
      <c r="F9" s="175">
        <f>E9*0.08</f>
        <v>1041.9460252599999</v>
      </c>
      <c r="G9" s="220">
        <f>E9/D9</f>
        <v>0.58969759915164366</v>
      </c>
      <c r="H9" s="209">
        <v>21151.884999999998</v>
      </c>
      <c r="I9" s="207">
        <v>20714.952000000001</v>
      </c>
      <c r="J9" s="207">
        <v>12824.763000000001</v>
      </c>
      <c r="K9" s="207">
        <v>1025.9810400000001</v>
      </c>
      <c r="L9" s="310">
        <v>0.61910657577193517</v>
      </c>
    </row>
    <row r="10" spans="2:18" x14ac:dyDescent="0.2">
      <c r="B10" s="205" t="s">
        <v>201</v>
      </c>
      <c r="C10" s="346">
        <v>1488.428332</v>
      </c>
      <c r="D10" s="346">
        <v>1353.271988</v>
      </c>
      <c r="E10" s="346">
        <f>+'3'!C56</f>
        <v>960.06655603000002</v>
      </c>
      <c r="F10" s="175">
        <f>0.08*E10</f>
        <v>76.805324482399996</v>
      </c>
      <c r="G10" s="219">
        <f>E10/D10</f>
        <v>0.70944094353780418</v>
      </c>
      <c r="H10" s="209">
        <v>1410.6959999999999</v>
      </c>
      <c r="I10" s="207">
        <v>1305.9970000000001</v>
      </c>
      <c r="J10" s="207">
        <v>1928.7170000000001</v>
      </c>
      <c r="K10" s="207">
        <v>154.29736</v>
      </c>
      <c r="L10" s="310">
        <v>1.4768157966672206</v>
      </c>
    </row>
    <row r="11" spans="2:18" x14ac:dyDescent="0.2">
      <c r="B11" s="21" t="s">
        <v>297</v>
      </c>
      <c r="C11" s="200">
        <f>SUM(C8:C10)</f>
        <v>30557.712252999998</v>
      </c>
      <c r="D11" s="200">
        <f>SUM(D8:D10)</f>
        <v>29499.274789000003</v>
      </c>
      <c r="E11" s="347">
        <f>SUM(E8:E10)</f>
        <v>18018.72708674</v>
      </c>
      <c r="F11" s="200">
        <f>SUM(F8:F10)</f>
        <v>1441.4981669392</v>
      </c>
      <c r="G11" s="224">
        <f>E11/D11</f>
        <v>0.61081932405534967</v>
      </c>
      <c r="H11" s="210">
        <v>29068.643</v>
      </c>
      <c r="I11" s="208">
        <v>27937.002</v>
      </c>
      <c r="J11" s="208">
        <v>18578.600000000002</v>
      </c>
      <c r="K11" s="208">
        <v>1486.288</v>
      </c>
      <c r="L11" s="311">
        <v>0.66501767082953289</v>
      </c>
    </row>
    <row r="12" spans="2:18" x14ac:dyDescent="0.2">
      <c r="B12" s="12" t="s">
        <v>203</v>
      </c>
      <c r="C12" s="175"/>
      <c r="D12" s="175"/>
      <c r="E12" s="346"/>
      <c r="F12" s="175"/>
      <c r="G12" s="175"/>
      <c r="H12" s="209"/>
      <c r="I12" s="56"/>
      <c r="J12" s="56"/>
      <c r="K12" s="56"/>
      <c r="L12" s="310"/>
    </row>
    <row r="13" spans="2:18" x14ac:dyDescent="0.2">
      <c r="B13" s="205" t="s">
        <v>204</v>
      </c>
      <c r="C13" s="346">
        <v>2340.8638089999999</v>
      </c>
      <c r="D13" s="346">
        <v>2331.5869339999999</v>
      </c>
      <c r="E13" s="346">
        <f>+'3'!C57</f>
        <v>652.60605515999998</v>
      </c>
      <c r="F13" s="175">
        <f>0.08*E13</f>
        <v>52.208484412799997</v>
      </c>
      <c r="G13" s="220">
        <f>E13/D13</f>
        <v>0.27989780078258064</v>
      </c>
      <c r="H13" s="209">
        <v>2120.9987096782352</v>
      </c>
      <c r="I13" s="207">
        <v>2111.7786011782355</v>
      </c>
      <c r="J13" s="207">
        <v>632.34473907856773</v>
      </c>
      <c r="K13" s="207">
        <v>50.587579126285419</v>
      </c>
      <c r="L13" s="310">
        <v>0.29943704265483151</v>
      </c>
    </row>
    <row r="14" spans="2:18" x14ac:dyDescent="0.2">
      <c r="B14" s="205" t="s">
        <v>205</v>
      </c>
      <c r="C14" s="346">
        <v>87500.285571999993</v>
      </c>
      <c r="D14" s="346">
        <v>87496.684485999998</v>
      </c>
      <c r="E14" s="346">
        <f>+'3'!C58</f>
        <v>18694.359366680001</v>
      </c>
      <c r="F14" s="175">
        <f>0.08*E14</f>
        <v>1495.5487493344001</v>
      </c>
      <c r="G14" s="220">
        <f t="shared" ref="G14:G16" si="0">E14/D14</f>
        <v>0.21365791717137822</v>
      </c>
      <c r="H14" s="209">
        <v>80418.045216157436</v>
      </c>
      <c r="I14" s="207">
        <v>80413.947099657453</v>
      </c>
      <c r="J14" s="207">
        <v>16701.217886430393</v>
      </c>
      <c r="K14" s="207">
        <v>1336.0974309144315</v>
      </c>
      <c r="L14" s="310">
        <v>0.20769056225697366</v>
      </c>
    </row>
    <row r="15" spans="2:18" x14ac:dyDescent="0.2">
      <c r="B15" s="205" t="s">
        <v>206</v>
      </c>
      <c r="C15" s="346">
        <v>192.04009500000001</v>
      </c>
      <c r="D15" s="346">
        <v>185.977487</v>
      </c>
      <c r="E15" s="346">
        <f>+'3'!C59</f>
        <v>62.509542409999995</v>
      </c>
      <c r="F15" s="175">
        <f>0.08*E15</f>
        <v>5.0007633927999997</v>
      </c>
      <c r="G15" s="220">
        <f>E15/D15</f>
        <v>0.336113491037762</v>
      </c>
      <c r="H15" s="209">
        <v>202.61785585632504</v>
      </c>
      <c r="I15" s="207">
        <v>197.079247856325</v>
      </c>
      <c r="J15" s="207">
        <v>61.421611065371856</v>
      </c>
      <c r="K15" s="207">
        <v>4.9137288852297489</v>
      </c>
      <c r="L15" s="310">
        <v>0.31165945543972001</v>
      </c>
    </row>
    <row r="16" spans="2:18" x14ac:dyDescent="0.2">
      <c r="B16" s="205" t="s">
        <v>207</v>
      </c>
      <c r="C16" s="346">
        <v>1847.577108</v>
      </c>
      <c r="D16" s="346">
        <v>1843.5868</v>
      </c>
      <c r="E16" s="346">
        <f>+'3'!C60</f>
        <v>786.64470042999994</v>
      </c>
      <c r="F16" s="175">
        <f>0.08*E16</f>
        <v>62.931576034399995</v>
      </c>
      <c r="G16" s="220">
        <f t="shared" si="0"/>
        <v>0.42669252157262133</v>
      </c>
      <c r="H16" s="209">
        <v>1938.9612295881948</v>
      </c>
      <c r="I16" s="207">
        <v>1934.7566080881945</v>
      </c>
      <c r="J16" s="207">
        <v>828.82923621829525</v>
      </c>
      <c r="K16" s="207">
        <v>66.306338897463618</v>
      </c>
      <c r="L16" s="310">
        <v>0.4283894070982357</v>
      </c>
    </row>
    <row r="17" spans="2:17" x14ac:dyDescent="0.2">
      <c r="B17" s="21" t="s">
        <v>208</v>
      </c>
      <c r="C17" s="200">
        <f>SUM(C13:C16)</f>
        <v>91880.766583999997</v>
      </c>
      <c r="D17" s="200">
        <f t="shared" ref="D17:F17" si="1">SUM(D13:D16)</f>
        <v>91857.835707000006</v>
      </c>
      <c r="E17" s="200">
        <f t="shared" si="1"/>
        <v>20196.119664679998</v>
      </c>
      <c r="F17" s="200">
        <f t="shared" si="1"/>
        <v>1615.6895731744003</v>
      </c>
      <c r="G17" s="224">
        <f>E17/D17</f>
        <v>0.21986278589340807</v>
      </c>
      <c r="H17" s="208">
        <v>84680.623011280186</v>
      </c>
      <c r="I17" s="208">
        <v>84657.561556780201</v>
      </c>
      <c r="J17" s="208">
        <v>18223.813472792626</v>
      </c>
      <c r="K17" s="208">
        <v>1457.9050778234102</v>
      </c>
      <c r="L17" s="311">
        <v>0.21526504115724895</v>
      </c>
    </row>
    <row r="18" spans="2:17" x14ac:dyDescent="0.2">
      <c r="B18" t="s">
        <v>41</v>
      </c>
      <c r="C18" s="344">
        <v>6.3081420000000001</v>
      </c>
      <c r="D18" s="344">
        <f>+C18</f>
        <v>6.3081420000000001</v>
      </c>
      <c r="E18" s="344">
        <f>+'3'!C61</f>
        <v>23.340126000000001</v>
      </c>
      <c r="F18" s="344">
        <f>0.08*E18</f>
        <v>1.8672100800000002</v>
      </c>
      <c r="G18" s="224">
        <f>E18/D18</f>
        <v>3.7000000951151701</v>
      </c>
      <c r="H18" s="176">
        <v>83.528999999999996</v>
      </c>
      <c r="I18" s="176">
        <v>83.528999999999996</v>
      </c>
      <c r="J18" s="176">
        <v>167.14599999999999</v>
      </c>
      <c r="K18" s="176">
        <v>13.37168</v>
      </c>
      <c r="L18" s="309">
        <v>2.0010535263202001</v>
      </c>
    </row>
    <row r="19" spans="2:17" x14ac:dyDescent="0.2">
      <c r="B19" s="22" t="s">
        <v>298</v>
      </c>
      <c r="C19" s="201">
        <f>C17+C11+C18</f>
        <v>122444.786979</v>
      </c>
      <c r="D19" s="201">
        <f t="shared" ref="D19:E19" si="2">D17+D11+D18</f>
        <v>121363.418638</v>
      </c>
      <c r="E19" s="201">
        <f t="shared" si="2"/>
        <v>38238.186877420005</v>
      </c>
      <c r="F19" s="201">
        <f>F17+F11+F18</f>
        <v>3059.0549501936002</v>
      </c>
      <c r="G19" s="225">
        <f>E19/D19</f>
        <v>0.31507176797215958</v>
      </c>
      <c r="H19" s="211">
        <v>113832.79501128018</v>
      </c>
      <c r="I19" s="201">
        <v>112678.09255678019</v>
      </c>
      <c r="J19" s="201">
        <v>36969.559472792629</v>
      </c>
      <c r="K19" s="201">
        <v>2957.5647578234102</v>
      </c>
      <c r="L19" s="312">
        <v>0.32809891110078127</v>
      </c>
    </row>
    <row r="20" spans="2:17" x14ac:dyDescent="0.2">
      <c r="B20" s="22" t="s">
        <v>34</v>
      </c>
      <c r="C20" s="201">
        <v>52123.952743000002</v>
      </c>
      <c r="D20" s="201">
        <v>52012.368999999999</v>
      </c>
      <c r="E20" s="201">
        <f>+'3'!C52</f>
        <v>15997.100017699999</v>
      </c>
      <c r="F20" s="201">
        <f>0.08*E20</f>
        <v>1279.7680014159998</v>
      </c>
      <c r="G20" s="225">
        <f>E20/D20</f>
        <v>0.30756338012021717</v>
      </c>
      <c r="H20" s="211">
        <v>54126.667202709999</v>
      </c>
      <c r="I20" s="201">
        <v>54035.408000000003</v>
      </c>
      <c r="J20" s="201">
        <v>14375.308999999999</v>
      </c>
      <c r="K20" s="201">
        <v>1150.0247199999999</v>
      </c>
      <c r="L20" s="312">
        <v>0.26603498580042179</v>
      </c>
    </row>
    <row r="22" spans="2:17" x14ac:dyDescent="0.2">
      <c r="E22" s="176"/>
      <c r="J22" s="18"/>
      <c r="K22" s="18"/>
      <c r="L22" s="18"/>
      <c r="M22" s="18"/>
      <c r="N22" s="18"/>
      <c r="O22" s="18"/>
      <c r="P22" s="18"/>
      <c r="Q22" s="18"/>
    </row>
    <row r="23" spans="2:17" ht="15" x14ac:dyDescent="0.25">
      <c r="B23" s="212" t="s">
        <v>428</v>
      </c>
      <c r="J23" s="18"/>
      <c r="K23" s="18"/>
      <c r="L23" s="18"/>
      <c r="M23" s="18"/>
      <c r="N23" s="18"/>
      <c r="O23" s="18"/>
      <c r="P23" s="18"/>
      <c r="Q23" s="18"/>
    </row>
    <row r="24" spans="2:17" x14ac:dyDescent="0.2">
      <c r="H24" s="175"/>
      <c r="J24" s="358"/>
      <c r="K24" s="357"/>
      <c r="L24" s="358"/>
      <c r="M24" s="358"/>
      <c r="N24" s="358"/>
      <c r="O24" s="358"/>
      <c r="P24" s="358"/>
      <c r="Q24" s="18"/>
    </row>
    <row r="25" spans="2:17" x14ac:dyDescent="0.2">
      <c r="B25" s="4" t="s">
        <v>213</v>
      </c>
      <c r="C25" s="42">
        <v>2018</v>
      </c>
      <c r="D25" s="42">
        <v>2017</v>
      </c>
      <c r="E25" s="42">
        <v>2016</v>
      </c>
      <c r="H25" s="175"/>
      <c r="J25" s="18"/>
      <c r="K25" s="563"/>
      <c r="L25" s="563"/>
      <c r="M25" s="563"/>
      <c r="N25" s="18"/>
      <c r="O25" s="18"/>
      <c r="P25" s="18"/>
      <c r="Q25" s="18"/>
    </row>
    <row r="26" spans="2:17" x14ac:dyDescent="0.2">
      <c r="B26" s="25" t="s">
        <v>46</v>
      </c>
      <c r="J26" s="18"/>
      <c r="K26" s="351"/>
      <c r="L26" s="351"/>
      <c r="M26" s="351"/>
      <c r="N26" s="351"/>
      <c r="O26" s="351"/>
      <c r="P26" s="18"/>
      <c r="Q26" s="351"/>
    </row>
    <row r="27" spans="2:17" x14ac:dyDescent="0.2">
      <c r="B27" s="205" t="s">
        <v>214</v>
      </c>
      <c r="C27" s="348">
        <v>0</v>
      </c>
      <c r="D27" s="207">
        <v>0</v>
      </c>
      <c r="E27" s="207">
        <v>0</v>
      </c>
      <c r="J27" s="18"/>
      <c r="K27" s="18"/>
      <c r="L27" s="18"/>
      <c r="M27" s="18"/>
      <c r="N27" s="18"/>
      <c r="O27" s="18"/>
      <c r="P27" s="352"/>
      <c r="Q27" s="352"/>
    </row>
    <row r="28" spans="2:17" x14ac:dyDescent="0.2">
      <c r="B28" s="205" t="s">
        <v>215</v>
      </c>
      <c r="C28" s="348">
        <v>46911.315250800006</v>
      </c>
      <c r="D28" s="207">
        <v>21323.7</v>
      </c>
      <c r="E28" s="207">
        <v>-6416.7599999999993</v>
      </c>
      <c r="J28" s="18"/>
      <c r="K28" s="352"/>
      <c r="L28" s="352"/>
      <c r="M28" s="352"/>
      <c r="N28" s="352"/>
      <c r="O28" s="18"/>
      <c r="P28" s="352"/>
      <c r="Q28" s="352"/>
    </row>
    <row r="29" spans="2:17" x14ac:dyDescent="0.2">
      <c r="B29" s="205" t="s">
        <v>216</v>
      </c>
      <c r="C29" s="348">
        <v>3688.3671800000002</v>
      </c>
      <c r="D29" s="207">
        <v>3335.68</v>
      </c>
      <c r="E29" s="207">
        <v>3428.32</v>
      </c>
      <c r="J29" s="18"/>
      <c r="K29" s="352"/>
      <c r="L29" s="352"/>
      <c r="M29" s="352"/>
      <c r="N29" s="352"/>
      <c r="O29" s="18"/>
      <c r="P29" s="352"/>
      <c r="Q29" s="352"/>
    </row>
    <row r="30" spans="2:17" x14ac:dyDescent="0.2">
      <c r="B30" s="205" t="s">
        <v>217</v>
      </c>
      <c r="C30" s="348">
        <v>110554.73948050001</v>
      </c>
      <c r="D30" s="207">
        <v>190550.88</v>
      </c>
      <c r="E30" s="207">
        <v>78893.849999999991</v>
      </c>
      <c r="J30" s="18"/>
      <c r="K30" s="352"/>
      <c r="L30" s="352"/>
      <c r="M30" s="352"/>
      <c r="N30" s="352"/>
      <c r="O30" s="18"/>
      <c r="P30" s="352"/>
      <c r="Q30" s="352"/>
    </row>
    <row r="31" spans="2:17" x14ac:dyDescent="0.2">
      <c r="B31" s="205" t="s">
        <v>218</v>
      </c>
      <c r="C31" s="348">
        <v>167636.45667359998</v>
      </c>
      <c r="D31" s="207">
        <v>76316.45</v>
      </c>
      <c r="E31" s="207">
        <v>182546.52</v>
      </c>
      <c r="J31" s="18"/>
      <c r="K31" s="352"/>
      <c r="L31" s="352"/>
      <c r="M31" s="352"/>
      <c r="N31" s="352"/>
      <c r="O31" s="18"/>
      <c r="P31" s="352"/>
      <c r="Q31" s="352"/>
    </row>
    <row r="32" spans="2:17" x14ac:dyDescent="0.2">
      <c r="B32" s="205" t="s">
        <v>219</v>
      </c>
      <c r="C32" s="348">
        <v>38613.177477600002</v>
      </c>
      <c r="D32" s="207">
        <v>36550.14</v>
      </c>
      <c r="E32" s="207">
        <v>34413</v>
      </c>
      <c r="J32" s="18"/>
      <c r="K32" s="352"/>
      <c r="L32" s="352"/>
      <c r="M32" s="352"/>
      <c r="N32" s="352"/>
      <c r="O32" s="18"/>
      <c r="P32" s="352"/>
      <c r="Q32" s="352"/>
    </row>
    <row r="33" spans="2:17" x14ac:dyDescent="0.2">
      <c r="B33" s="205" t="s">
        <v>220</v>
      </c>
      <c r="C33" s="348">
        <v>48651.154275000001</v>
      </c>
      <c r="D33" s="207">
        <v>-6639</v>
      </c>
      <c r="E33" s="207">
        <v>339.24999999999994</v>
      </c>
      <c r="I33" s="7"/>
      <c r="J33" s="18"/>
      <c r="K33" s="352"/>
      <c r="L33" s="352"/>
      <c r="M33" s="352"/>
      <c r="N33" s="352"/>
      <c r="O33" s="18"/>
      <c r="P33" s="352"/>
      <c r="Q33" s="352"/>
    </row>
    <row r="34" spans="2:17" x14ac:dyDescent="0.2">
      <c r="B34" s="205" t="s">
        <v>221</v>
      </c>
      <c r="C34" s="348">
        <v>721.02578840000012</v>
      </c>
      <c r="D34" s="207">
        <v>627.91999999999996</v>
      </c>
      <c r="E34" s="207">
        <v>399.55999999999995</v>
      </c>
      <c r="J34" s="18"/>
      <c r="K34" s="352"/>
      <c r="L34" s="352"/>
      <c r="M34" s="352"/>
      <c r="N34" s="352"/>
      <c r="O34" s="18"/>
      <c r="P34" s="352"/>
      <c r="Q34" s="352"/>
    </row>
    <row r="35" spans="2:17" x14ac:dyDescent="0.2">
      <c r="B35" s="213" t="s">
        <v>222</v>
      </c>
      <c r="C35" s="349">
        <f>SUM(C27:C34)</f>
        <v>416776.23612589994</v>
      </c>
      <c r="D35" s="208">
        <v>322065.77</v>
      </c>
      <c r="E35" s="208">
        <v>293603.74</v>
      </c>
      <c r="J35" s="18"/>
      <c r="K35" s="18"/>
      <c r="L35" s="18"/>
      <c r="M35" s="18"/>
      <c r="N35" s="18"/>
      <c r="O35" s="18"/>
      <c r="P35" s="18"/>
      <c r="Q35" s="18"/>
    </row>
    <row r="36" spans="2:17" x14ac:dyDescent="0.2">
      <c r="B36" s="215" t="s">
        <v>223</v>
      </c>
      <c r="C36" s="350">
        <v>0</v>
      </c>
      <c r="D36" s="216">
        <v>0</v>
      </c>
      <c r="E36" s="216">
        <v>2887.65</v>
      </c>
      <c r="J36" s="18"/>
      <c r="K36" s="18"/>
      <c r="L36" s="18"/>
      <c r="M36" s="352"/>
      <c r="N36" s="18"/>
      <c r="O36" s="18"/>
      <c r="P36" s="18"/>
      <c r="Q36" s="18"/>
    </row>
    <row r="37" spans="2:17" x14ac:dyDescent="0.2">
      <c r="B37" s="214" t="s">
        <v>224</v>
      </c>
      <c r="C37" s="201">
        <f>C35+C36</f>
        <v>416776.23612589994</v>
      </c>
      <c r="D37" s="201">
        <v>322065.77</v>
      </c>
      <c r="E37" s="201">
        <v>296491.39</v>
      </c>
      <c r="J37" s="18"/>
      <c r="K37" s="18"/>
      <c r="L37" s="18"/>
      <c r="M37" s="18"/>
      <c r="N37" s="18"/>
      <c r="O37" s="18"/>
      <c r="P37" s="18"/>
      <c r="Q37" s="18"/>
    </row>
    <row r="38" spans="2:17" x14ac:dyDescent="0.2">
      <c r="J38" s="18"/>
      <c r="K38" s="18"/>
      <c r="L38" s="18"/>
      <c r="M38" s="18"/>
      <c r="N38" s="352"/>
      <c r="O38" s="18"/>
      <c r="P38" s="18"/>
      <c r="Q38" s="18"/>
    </row>
    <row r="39" spans="2:17" x14ac:dyDescent="0.2">
      <c r="J39" s="18"/>
      <c r="K39" s="18"/>
      <c r="L39" s="18"/>
      <c r="M39" s="18"/>
      <c r="N39" s="352"/>
      <c r="O39" s="18"/>
      <c r="P39" s="18"/>
      <c r="Q39" s="18"/>
    </row>
    <row r="40" spans="2:17" ht="15" x14ac:dyDescent="0.25">
      <c r="B40" s="212" t="s">
        <v>430</v>
      </c>
      <c r="J40" s="18"/>
      <c r="K40" s="18"/>
      <c r="L40" s="18"/>
      <c r="M40" s="18"/>
      <c r="N40" s="352"/>
      <c r="O40" s="18"/>
      <c r="P40" s="18"/>
      <c r="Q40" s="18"/>
    </row>
    <row r="41" spans="2:17" ht="15" x14ac:dyDescent="0.25">
      <c r="B41" s="212"/>
      <c r="C41" s="559" t="s">
        <v>332</v>
      </c>
      <c r="D41" s="559" t="s">
        <v>336</v>
      </c>
      <c r="E41" s="566" t="s">
        <v>210</v>
      </c>
      <c r="F41" s="564" t="s">
        <v>227</v>
      </c>
      <c r="G41" s="564" t="s">
        <v>7</v>
      </c>
      <c r="J41" s="18"/>
      <c r="K41" s="18"/>
      <c r="L41" s="18"/>
      <c r="M41" s="352"/>
      <c r="N41" s="18"/>
      <c r="O41" s="18"/>
      <c r="P41" s="18"/>
      <c r="Q41" s="18"/>
    </row>
    <row r="42" spans="2:17" ht="12.75" customHeight="1" x14ac:dyDescent="0.2">
      <c r="B42" s="522" t="s">
        <v>29</v>
      </c>
      <c r="C42" s="559"/>
      <c r="D42" s="559"/>
      <c r="E42" s="566"/>
      <c r="F42" s="564"/>
      <c r="G42" s="564"/>
      <c r="J42" s="18"/>
      <c r="K42" s="18"/>
      <c r="L42" s="18"/>
      <c r="M42" s="18"/>
      <c r="N42" s="352"/>
      <c r="O42" s="18"/>
      <c r="P42" s="18"/>
      <c r="Q42" s="18"/>
    </row>
    <row r="43" spans="2:17" ht="24.75" customHeight="1" x14ac:dyDescent="0.2">
      <c r="B43" s="370" t="s">
        <v>213</v>
      </c>
      <c r="C43" s="560"/>
      <c r="D43" s="560"/>
      <c r="E43" s="567"/>
      <c r="F43" s="565"/>
      <c r="G43" s="565"/>
      <c r="J43" s="18"/>
      <c r="K43" s="18"/>
      <c r="L43" s="18"/>
      <c r="M43" s="18"/>
      <c r="N43" s="18"/>
      <c r="O43" s="352"/>
      <c r="P43" s="18"/>
      <c r="Q43" s="18"/>
    </row>
    <row r="44" spans="2:17" x14ac:dyDescent="0.2">
      <c r="B44" s="254" t="s">
        <v>330</v>
      </c>
      <c r="C44" s="348">
        <f>1466958410.78/1000</f>
        <v>1466958.41078</v>
      </c>
      <c r="D44" s="348">
        <f>754794.417+422029.87</f>
        <v>1176824.287</v>
      </c>
      <c r="E44" s="348">
        <f>1444815763.57432/1000</f>
        <v>1444815.7635743201</v>
      </c>
      <c r="F44" s="348">
        <f>836029974.726708/1000</f>
        <v>836029.97472670802</v>
      </c>
      <c r="G44" s="348">
        <f t="shared" ref="G44" si="3">F44*0.08</f>
        <v>66882.397978136636</v>
      </c>
      <c r="H44" s="472"/>
      <c r="I44" s="18"/>
      <c r="J44" s="18"/>
      <c r="K44" s="18"/>
      <c r="L44" s="18"/>
      <c r="M44" s="18"/>
      <c r="N44" s="18"/>
      <c r="O44" s="352"/>
      <c r="P44" s="18"/>
      <c r="Q44" s="18"/>
    </row>
    <row r="45" spans="2:17" x14ac:dyDescent="0.2">
      <c r="B45" s="354" t="s">
        <v>225</v>
      </c>
      <c r="C45" s="348">
        <f>39555942.12/1000</f>
        <v>39555.94212</v>
      </c>
      <c r="D45" s="348">
        <v>33272.014999999999</v>
      </c>
      <c r="E45" s="348">
        <f>71065786.58092/1000</f>
        <v>71065.786580920001</v>
      </c>
      <c r="F45" s="348">
        <f>62481125.229304/1000</f>
        <v>62481.125229304002</v>
      </c>
      <c r="G45" s="348">
        <f>F45*0.08</f>
        <v>4998.4900183443206</v>
      </c>
      <c r="H45" s="472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355" t="s">
        <v>226</v>
      </c>
      <c r="C46" s="356">
        <f>SUM(C44:C45)</f>
        <v>1506514.3529000001</v>
      </c>
      <c r="D46" s="356">
        <f>SUM(D44:D45)</f>
        <v>1210096.3019999999</v>
      </c>
      <c r="E46" s="356">
        <f>SUM(E44:E45)</f>
        <v>1515881.5501552401</v>
      </c>
      <c r="F46" s="356">
        <f>SUM(F44:F45)</f>
        <v>898511.09995601198</v>
      </c>
      <c r="G46" s="356">
        <f>SUM(G44:G45)</f>
        <v>71880.88799648096</v>
      </c>
      <c r="H46" s="327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23"/>
      <c r="I47" s="428"/>
      <c r="J47" s="18"/>
      <c r="K47" s="18"/>
      <c r="L47" s="18"/>
      <c r="M47" s="18"/>
      <c r="N47" s="18"/>
      <c r="O47" s="18"/>
      <c r="P47" s="18"/>
      <c r="Q47" s="18"/>
    </row>
    <row r="48" spans="2:17" ht="27" customHeight="1" x14ac:dyDescent="0.2">
      <c r="B48" s="521" t="s">
        <v>427</v>
      </c>
      <c r="C48" s="561"/>
      <c r="D48" s="561"/>
      <c r="E48" s="367"/>
      <c r="F48" s="368"/>
      <c r="G48" s="368"/>
      <c r="I48" s="327"/>
      <c r="J48" s="18"/>
      <c r="K48" s="18"/>
      <c r="L48" s="18"/>
      <c r="M48" s="18"/>
      <c r="N48" s="18"/>
      <c r="O48" s="18"/>
      <c r="P48" s="18"/>
      <c r="Q48" s="18"/>
    </row>
    <row r="49" spans="2:17" ht="10.5" customHeight="1" x14ac:dyDescent="0.2">
      <c r="B49" s="23"/>
      <c r="C49" s="561"/>
      <c r="D49" s="561"/>
      <c r="E49" s="367"/>
      <c r="F49" s="368"/>
      <c r="G49" s="368"/>
      <c r="I49" s="327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353" t="s">
        <v>213</v>
      </c>
      <c r="C50" s="562"/>
      <c r="D50" s="562"/>
      <c r="E50" s="367" t="s">
        <v>210</v>
      </c>
      <c r="F50" s="368" t="s">
        <v>227</v>
      </c>
      <c r="G50" s="368" t="s">
        <v>7</v>
      </c>
      <c r="I50" s="327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254" t="s">
        <v>330</v>
      </c>
      <c r="C51" s="348"/>
      <c r="D51" s="348"/>
      <c r="E51" s="369">
        <v>3079142.10941908</v>
      </c>
      <c r="F51" s="369">
        <v>1231529.527770696</v>
      </c>
      <c r="G51" s="369">
        <f t="shared" ref="G51" si="4">F51*0.08</f>
        <v>98522.362221655683</v>
      </c>
      <c r="I51" s="327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354" t="s">
        <v>225</v>
      </c>
      <c r="C52" s="348"/>
      <c r="D52" s="348"/>
      <c r="E52" s="348">
        <f>71065786.58092/1000</f>
        <v>71065.786580920001</v>
      </c>
      <c r="F52" s="348">
        <f>62481125.229304/1000</f>
        <v>62481.125229304002</v>
      </c>
      <c r="G52" s="348">
        <f>F52*0.08</f>
        <v>4998.4900183443206</v>
      </c>
      <c r="I52" s="327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355" t="s">
        <v>226</v>
      </c>
      <c r="C53" s="356"/>
      <c r="D53" s="356"/>
      <c r="E53" s="356">
        <f>SUM(E51:E52)</f>
        <v>3150207.8960000002</v>
      </c>
      <c r="F53" s="356">
        <f>SUM(F51:F52)</f>
        <v>1294010.6529999999</v>
      </c>
      <c r="G53" s="356">
        <f>SUM(G51:G52)</f>
        <v>103520.85224000001</v>
      </c>
      <c r="I53" s="327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I54" s="327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I55" s="327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I56" s="327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345"/>
      <c r="C57" s="345"/>
      <c r="D57" s="345"/>
      <c r="E57" s="345"/>
      <c r="F57" s="345"/>
      <c r="G57" s="345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345"/>
      <c r="C58" s="345"/>
      <c r="D58" s="345"/>
      <c r="E58" s="345"/>
      <c r="F58" s="345"/>
      <c r="G58" s="345"/>
      <c r="H58" s="327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345"/>
      <c r="D59" s="345"/>
      <c r="E59" s="345"/>
      <c r="F59" s="345"/>
      <c r="G59" s="345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429"/>
      <c r="C60" s="345"/>
      <c r="D60" s="345"/>
      <c r="E60" s="345"/>
      <c r="F60" s="345"/>
      <c r="G60" s="345"/>
    </row>
    <row r="61" spans="2:17" x14ac:dyDescent="0.2">
      <c r="B61" s="391"/>
      <c r="C61" s="345"/>
      <c r="D61" s="345"/>
      <c r="E61" s="345"/>
      <c r="F61" s="345"/>
      <c r="G61" s="345"/>
    </row>
    <row r="62" spans="2:17" x14ac:dyDescent="0.2">
      <c r="B62" s="345"/>
      <c r="C62" s="345"/>
      <c r="D62" s="345"/>
      <c r="E62" s="345"/>
      <c r="F62" s="345"/>
      <c r="G62" s="345"/>
    </row>
    <row r="63" spans="2:17" x14ac:dyDescent="0.2">
      <c r="B63" s="345"/>
      <c r="C63" s="345"/>
      <c r="D63" s="345"/>
      <c r="E63" s="345"/>
      <c r="F63" s="345"/>
      <c r="G63" s="345"/>
    </row>
    <row r="64" spans="2:17" x14ac:dyDescent="0.2">
      <c r="B64" s="345"/>
      <c r="C64" s="345"/>
      <c r="D64" s="345"/>
      <c r="E64" s="345"/>
      <c r="F64" s="345"/>
      <c r="G64" s="345"/>
    </row>
    <row r="65" spans="2:7" x14ac:dyDescent="0.2">
      <c r="B65" s="345"/>
      <c r="C65" s="345"/>
      <c r="D65" s="345"/>
      <c r="E65" s="345"/>
      <c r="F65" s="345"/>
      <c r="G65" s="345"/>
    </row>
    <row r="66" spans="2:7" x14ac:dyDescent="0.2">
      <c r="B66" s="345"/>
      <c r="C66" s="345"/>
      <c r="D66" s="345"/>
      <c r="E66" s="345"/>
      <c r="F66" s="345"/>
      <c r="G66" s="345"/>
    </row>
    <row r="67" spans="2:7" x14ac:dyDescent="0.2">
      <c r="B67" s="345"/>
      <c r="C67" s="345"/>
      <c r="D67" s="345"/>
      <c r="E67" s="345"/>
      <c r="F67" s="345"/>
      <c r="G67" s="345"/>
    </row>
  </sheetData>
  <sheetProtection algorithmName="SHA-512" hashValue="E8SiXgJJsuCzaOMCRQ+COhqw75sRP9nj5lu2B1oLQCxOIvHfxG0HFmeIy1b/u+rj+8+NI0zVqeWOc7U1zGZcnA==" saltValue="nH5vJQNuxhJGAoVs6qXFGA==" spinCount="100000" sheet="1" objects="1" scenarios="1"/>
  <mergeCells count="8">
    <mergeCell ref="C41:C43"/>
    <mergeCell ref="C48:C50"/>
    <mergeCell ref="D48:D50"/>
    <mergeCell ref="K25:M25"/>
    <mergeCell ref="G41:G43"/>
    <mergeCell ref="F41:F43"/>
    <mergeCell ref="E41:E43"/>
    <mergeCell ref="D41:D43"/>
  </mergeCells>
  <pageMargins left="0.7" right="0.7" top="0.75" bottom="0.75" header="0.3" footer="0.3"/>
  <pageSetup paperSize="9" orientation="portrait" verticalDpi="0" r:id="rId1"/>
  <ignoredErrors>
    <ignoredError sqref="F19:G19 F17:G1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B2:R22"/>
  <sheetViews>
    <sheetView showGridLines="0" zoomScaleNormal="100" workbookViewId="0"/>
  </sheetViews>
  <sheetFormatPr baseColWidth="10" defaultRowHeight="12.75" x14ac:dyDescent="0.2"/>
  <cols>
    <col min="2" max="2" width="40.28515625" bestFit="1" customWidth="1"/>
    <col min="3" max="3" width="46.85546875" customWidth="1"/>
    <col min="4" max="4" width="17.140625" customWidth="1"/>
    <col min="5" max="5" width="93.28515625" bestFit="1" customWidth="1"/>
  </cols>
  <sheetData>
    <row r="2" spans="2:18" ht="18.75" x14ac:dyDescent="0.3">
      <c r="B2" s="295" t="s">
        <v>431</v>
      </c>
      <c r="C2" s="292"/>
      <c r="D2" s="292"/>
      <c r="E2" s="292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4" spans="2:18" x14ac:dyDescent="0.2">
      <c r="B4" s="3"/>
    </row>
    <row r="6" spans="2:18" ht="15.75" x14ac:dyDescent="0.25">
      <c r="B6" s="470" t="s">
        <v>159</v>
      </c>
    </row>
    <row r="7" spans="2:18" ht="25.5" x14ac:dyDescent="0.2">
      <c r="B7" s="44"/>
      <c r="C7" s="473" t="s">
        <v>160</v>
      </c>
      <c r="D7" s="473" t="s">
        <v>161</v>
      </c>
      <c r="E7" s="42" t="s">
        <v>162</v>
      </c>
    </row>
    <row r="8" spans="2:18" ht="76.5" x14ac:dyDescent="0.2">
      <c r="B8" s="172" t="s">
        <v>163</v>
      </c>
      <c r="C8" s="134" t="s">
        <v>164</v>
      </c>
      <c r="D8" s="41" t="s">
        <v>165</v>
      </c>
      <c r="E8" s="497" t="s">
        <v>438</v>
      </c>
    </row>
    <row r="9" spans="2:18" ht="51" x14ac:dyDescent="0.2">
      <c r="B9" s="172" t="s">
        <v>167</v>
      </c>
      <c r="C9" s="134" t="s">
        <v>168</v>
      </c>
      <c r="D9" s="41" t="s">
        <v>165</v>
      </c>
      <c r="E9" s="41" t="s">
        <v>169</v>
      </c>
    </row>
    <row r="10" spans="2:18" ht="51" x14ac:dyDescent="0.2">
      <c r="B10" s="172" t="s">
        <v>170</v>
      </c>
      <c r="C10" s="134" t="s">
        <v>171</v>
      </c>
      <c r="D10" s="41" t="s">
        <v>165</v>
      </c>
      <c r="E10" s="41" t="s">
        <v>166</v>
      </c>
    </row>
    <row r="11" spans="2:18" x14ac:dyDescent="0.2">
      <c r="C11" s="132"/>
    </row>
    <row r="12" spans="2:18" x14ac:dyDescent="0.2">
      <c r="C12" s="132"/>
    </row>
    <row r="13" spans="2:18" ht="15.75" x14ac:dyDescent="0.25">
      <c r="B13" s="470" t="s">
        <v>172</v>
      </c>
      <c r="C13" s="132"/>
    </row>
    <row r="14" spans="2:18" ht="25.5" x14ac:dyDescent="0.2">
      <c r="B14" s="44"/>
      <c r="C14" s="473" t="s">
        <v>160</v>
      </c>
      <c r="D14" s="473" t="s">
        <v>161</v>
      </c>
      <c r="E14" s="42" t="s">
        <v>162</v>
      </c>
    </row>
    <row r="15" spans="2:18" ht="51" x14ac:dyDescent="0.2">
      <c r="B15" s="172" t="s">
        <v>173</v>
      </c>
      <c r="C15" s="134" t="s">
        <v>174</v>
      </c>
      <c r="D15" s="41" t="s">
        <v>165</v>
      </c>
      <c r="E15" s="41" t="s">
        <v>175</v>
      </c>
    </row>
    <row r="16" spans="2:18" ht="51" x14ac:dyDescent="0.2">
      <c r="B16" s="173" t="s">
        <v>176</v>
      </c>
      <c r="C16" s="136" t="s">
        <v>174</v>
      </c>
      <c r="D16" s="135" t="s">
        <v>165</v>
      </c>
      <c r="E16" s="135" t="s">
        <v>177</v>
      </c>
    </row>
    <row r="17" spans="2:5" x14ac:dyDescent="0.2">
      <c r="B17" s="44"/>
      <c r="C17" s="133"/>
      <c r="D17" s="44"/>
      <c r="E17" s="44"/>
    </row>
    <row r="18" spans="2:5" x14ac:dyDescent="0.2">
      <c r="C18" s="132"/>
    </row>
    <row r="19" spans="2:5" ht="15.75" x14ac:dyDescent="0.25">
      <c r="B19" s="470" t="s">
        <v>178</v>
      </c>
      <c r="C19" s="132"/>
    </row>
    <row r="20" spans="2:5" ht="25.5" x14ac:dyDescent="0.2">
      <c r="B20" s="44"/>
      <c r="C20" s="473" t="s">
        <v>160</v>
      </c>
      <c r="D20" s="473" t="s">
        <v>161</v>
      </c>
      <c r="E20" s="42" t="s">
        <v>162</v>
      </c>
    </row>
    <row r="21" spans="2:5" ht="51" x14ac:dyDescent="0.2">
      <c r="B21" s="172" t="s">
        <v>179</v>
      </c>
      <c r="C21" s="134" t="s">
        <v>180</v>
      </c>
      <c r="D21" s="41" t="s">
        <v>165</v>
      </c>
      <c r="E21" s="134" t="s">
        <v>440</v>
      </c>
    </row>
    <row r="22" spans="2:5" ht="51" x14ac:dyDescent="0.2">
      <c r="B22" s="172" t="s">
        <v>181</v>
      </c>
      <c r="C22" s="134" t="s">
        <v>182</v>
      </c>
      <c r="D22" s="41" t="s">
        <v>165</v>
      </c>
      <c r="E22" s="134" t="s">
        <v>439</v>
      </c>
    </row>
  </sheetData>
  <sheetProtection algorithmName="SHA-512" hashValue="UgKe+M4+ywLi7QsM47gMAj3917HXk/k3Po7JS3XQQImmE9aTsO48SBUuOm8X4sUZBxsFNyrEbUUILW/MNtVY5g==" saltValue="A3pu1o32Jhw5nl0HGx8pu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B2:U76"/>
  <sheetViews>
    <sheetView showGridLines="0" zoomScale="85" zoomScaleNormal="85" workbookViewId="0"/>
  </sheetViews>
  <sheetFormatPr baseColWidth="10" defaultRowHeight="12.75" x14ac:dyDescent="0.2"/>
  <cols>
    <col min="2" max="2" width="62.5703125" bestFit="1" customWidth="1"/>
    <col min="4" max="4" width="12.42578125" bestFit="1" customWidth="1"/>
    <col min="5" max="5" width="13.140625" customWidth="1"/>
    <col min="10" max="10" width="11.7109375" bestFit="1" customWidth="1"/>
    <col min="11" max="12" width="12.42578125" bestFit="1" customWidth="1"/>
    <col min="18" max="18" width="12.42578125" bestFit="1" customWidth="1"/>
  </cols>
  <sheetData>
    <row r="2" spans="2:21" ht="18.75" x14ac:dyDescent="0.3">
      <c r="B2" s="295" t="s">
        <v>445</v>
      </c>
      <c r="C2" s="292"/>
      <c r="D2" s="292"/>
      <c r="E2" s="292"/>
      <c r="F2" s="292"/>
      <c r="G2" s="292"/>
      <c r="H2" s="292"/>
      <c r="I2" s="20"/>
      <c r="K2" s="409"/>
      <c r="L2" s="20"/>
      <c r="M2" s="20"/>
      <c r="N2" s="20"/>
      <c r="O2" s="20"/>
      <c r="P2" s="20"/>
      <c r="Q2" s="20"/>
      <c r="R2" s="20"/>
    </row>
    <row r="3" spans="2:21" x14ac:dyDescent="0.2">
      <c r="K3" s="327"/>
    </row>
    <row r="4" spans="2:21" x14ac:dyDescent="0.2">
      <c r="B4" s="3"/>
      <c r="D4" s="422"/>
      <c r="E4" s="422"/>
      <c r="F4" s="422"/>
      <c r="G4" s="423"/>
      <c r="H4" s="423"/>
      <c r="K4" s="324"/>
    </row>
    <row r="5" spans="2:21" ht="38.25" x14ac:dyDescent="0.2">
      <c r="B5" s="226" t="s">
        <v>50</v>
      </c>
      <c r="C5" s="498" t="s">
        <v>232</v>
      </c>
      <c r="D5" s="499" t="s">
        <v>442</v>
      </c>
      <c r="E5" s="499" t="s">
        <v>459</v>
      </c>
      <c r="F5" s="499" t="s">
        <v>446</v>
      </c>
      <c r="G5" s="499" t="s">
        <v>441</v>
      </c>
      <c r="H5" s="499" t="s">
        <v>447</v>
      </c>
    </row>
    <row r="6" spans="2:21" x14ac:dyDescent="0.2">
      <c r="B6" s="12" t="s">
        <v>32</v>
      </c>
      <c r="G6" s="345"/>
      <c r="H6" s="345"/>
    </row>
    <row r="7" spans="2:21" x14ac:dyDescent="0.2">
      <c r="B7" s="12"/>
      <c r="C7" s="12" t="s">
        <v>233</v>
      </c>
      <c r="D7" s="7">
        <v>82.446256150000011</v>
      </c>
      <c r="E7" s="203">
        <v>0.16801531236054798</v>
      </c>
      <c r="F7" s="203">
        <v>0.22150230711355354</v>
      </c>
      <c r="G7" s="417">
        <v>5</v>
      </c>
      <c r="H7" s="419">
        <v>0.75</v>
      </c>
    </row>
    <row r="8" spans="2:21" x14ac:dyDescent="0.2">
      <c r="B8" s="12"/>
      <c r="C8" s="12" t="s">
        <v>234</v>
      </c>
      <c r="D8" s="7">
        <v>939.42268963000004</v>
      </c>
      <c r="E8" s="203">
        <v>0.30687033674217723</v>
      </c>
      <c r="F8" s="203">
        <v>0.29049105080658605</v>
      </c>
      <c r="G8" s="417">
        <v>63.034424680000001</v>
      </c>
      <c r="H8" s="419">
        <v>0.82145327149196701</v>
      </c>
    </row>
    <row r="9" spans="2:21" x14ac:dyDescent="0.2">
      <c r="B9" s="12"/>
      <c r="C9" s="12" t="s">
        <v>235</v>
      </c>
      <c r="D9" s="7">
        <v>5889.9138094300006</v>
      </c>
      <c r="E9" s="203">
        <v>0.36700335539870854</v>
      </c>
      <c r="F9" s="203">
        <v>0.2716792298176669</v>
      </c>
      <c r="G9" s="417">
        <v>829.43269544000009</v>
      </c>
      <c r="H9" s="419">
        <v>0.76723457572698806</v>
      </c>
    </row>
    <row r="10" spans="2:21" x14ac:dyDescent="0.2">
      <c r="B10" s="12"/>
      <c r="C10" s="12" t="s">
        <v>236</v>
      </c>
      <c r="D10" s="7">
        <v>4720.7950676800001</v>
      </c>
      <c r="E10" s="203">
        <v>0.45141630658991644</v>
      </c>
      <c r="F10" s="203">
        <v>0.2715685916087493</v>
      </c>
      <c r="G10" s="417">
        <v>438.28284350999996</v>
      </c>
      <c r="H10" s="419">
        <v>0.79298279731104804</v>
      </c>
    </row>
    <row r="11" spans="2:21" x14ac:dyDescent="0.2">
      <c r="B11" s="12"/>
      <c r="C11" s="12" t="s">
        <v>237</v>
      </c>
      <c r="D11" s="7">
        <v>5213.9102192399996</v>
      </c>
      <c r="E11" s="203">
        <v>0.52701274345313331</v>
      </c>
      <c r="F11" s="203">
        <v>0.26802258011752417</v>
      </c>
      <c r="G11" s="417">
        <v>802.09785033000003</v>
      </c>
      <c r="H11" s="419">
        <v>0.819124007637832</v>
      </c>
    </row>
    <row r="12" spans="2:21" x14ac:dyDescent="0.2">
      <c r="B12" s="12"/>
      <c r="C12" s="12" t="s">
        <v>238</v>
      </c>
      <c r="D12" s="7">
        <v>6490.6648550800001</v>
      </c>
      <c r="E12" s="203">
        <v>0.71847506932978467</v>
      </c>
      <c r="F12" s="203">
        <v>0.31451570825940883</v>
      </c>
      <c r="G12" s="417">
        <v>552.38006312999994</v>
      </c>
      <c r="H12" s="419">
        <v>0.86375570804718105</v>
      </c>
    </row>
    <row r="13" spans="2:21" x14ac:dyDescent="0.2">
      <c r="B13" s="12"/>
      <c r="C13" s="12" t="s">
        <v>239</v>
      </c>
      <c r="D13" s="7">
        <v>4096.7743813300003</v>
      </c>
      <c r="E13" s="203">
        <v>0.90366164155423412</v>
      </c>
      <c r="F13" s="203">
        <v>0.33153612907975716</v>
      </c>
      <c r="G13" s="417">
        <v>229.72438525999999</v>
      </c>
      <c r="H13" s="419">
        <v>0.93564980816786703</v>
      </c>
      <c r="I13" s="156"/>
      <c r="K13" s="156"/>
      <c r="L13" s="156"/>
      <c r="M13" s="156"/>
      <c r="N13" s="156"/>
      <c r="P13" s="568"/>
      <c r="Q13" s="568"/>
      <c r="R13" s="568"/>
      <c r="S13" s="568"/>
      <c r="T13" s="568"/>
      <c r="U13" s="568"/>
    </row>
    <row r="14" spans="2:21" x14ac:dyDescent="0.2">
      <c r="B14" s="12"/>
      <c r="C14" s="12" t="s">
        <v>240</v>
      </c>
      <c r="D14" s="7">
        <v>1532.82354498</v>
      </c>
      <c r="E14" s="203">
        <v>1.0350295589703382</v>
      </c>
      <c r="F14" s="203">
        <v>0.33493648992150543</v>
      </c>
      <c r="G14" s="417">
        <v>113.68942462000001</v>
      </c>
      <c r="H14" s="419">
        <v>0.904773302387745</v>
      </c>
    </row>
    <row r="15" spans="2:21" x14ac:dyDescent="0.2">
      <c r="B15" s="12"/>
      <c r="C15" s="12" t="s">
        <v>241</v>
      </c>
      <c r="D15" s="7">
        <v>315.91540209000004</v>
      </c>
      <c r="E15" s="203">
        <v>1.3598856240241501</v>
      </c>
      <c r="F15" s="203">
        <v>0.32632134130379964</v>
      </c>
      <c r="G15" s="417">
        <v>24.546697500000001</v>
      </c>
      <c r="H15" s="419">
        <v>0.90605744907232399</v>
      </c>
      <c r="I15" s="12"/>
      <c r="K15" s="228"/>
      <c r="L15" s="228"/>
      <c r="M15" s="219"/>
      <c r="N15" s="219"/>
      <c r="P15" s="12"/>
      <c r="Q15" s="219"/>
      <c r="R15" s="7"/>
      <c r="S15" s="7"/>
      <c r="T15" s="219"/>
      <c r="U15" s="219"/>
    </row>
    <row r="16" spans="2:21" x14ac:dyDescent="0.2">
      <c r="B16" s="12"/>
      <c r="C16" s="12" t="s">
        <v>242</v>
      </c>
      <c r="D16" s="7">
        <v>18.98355621</v>
      </c>
      <c r="E16" s="203">
        <v>0.30653918610542569</v>
      </c>
      <c r="F16" s="203">
        <v>0.54756576534508006</v>
      </c>
      <c r="G16" s="417">
        <v>1.9999999999999999E-6</v>
      </c>
      <c r="H16" s="419">
        <v>1</v>
      </c>
      <c r="I16" s="12"/>
      <c r="K16" s="228"/>
      <c r="L16" s="228"/>
      <c r="M16" s="219"/>
      <c r="N16" s="219"/>
      <c r="P16" s="12"/>
      <c r="Q16" s="219"/>
      <c r="R16" s="7"/>
      <c r="S16" s="7"/>
      <c r="T16" s="219"/>
      <c r="U16" s="219"/>
    </row>
    <row r="17" spans="2:21" x14ac:dyDescent="0.2">
      <c r="B17" s="12"/>
      <c r="C17" s="12" t="s">
        <v>243</v>
      </c>
      <c r="D17" s="7">
        <v>197.62500734</v>
      </c>
      <c r="E17" s="203">
        <v>1.4616471113042895</v>
      </c>
      <c r="F17" s="203">
        <v>0.10595018697973246</v>
      </c>
      <c r="G17" s="417">
        <v>4.3292048400000001</v>
      </c>
      <c r="H17" s="419">
        <v>1</v>
      </c>
      <c r="I17" s="12"/>
      <c r="K17" s="228"/>
      <c r="L17" s="228"/>
      <c r="M17" s="219"/>
      <c r="N17" s="219"/>
      <c r="P17" s="12"/>
      <c r="Q17" s="219"/>
      <c r="R17" s="7"/>
      <c r="S17" s="7"/>
      <c r="T17" s="219"/>
      <c r="U17" s="219"/>
    </row>
    <row r="18" spans="2:21" x14ac:dyDescent="0.2">
      <c r="B18" s="21" t="s">
        <v>202</v>
      </c>
      <c r="C18" s="41"/>
      <c r="D18" s="230">
        <f>SUM(D7:D17)</f>
        <v>29499.274789160001</v>
      </c>
      <c r="E18" s="232">
        <f>+'10'!G11</f>
        <v>0.61081932405534967</v>
      </c>
      <c r="F18" s="416">
        <v>0.29199999999999998</v>
      </c>
      <c r="G18" s="418">
        <f>SUM(G7:G17)</f>
        <v>3062.5175913100002</v>
      </c>
      <c r="H18" s="420">
        <v>0.82</v>
      </c>
      <c r="I18" s="12"/>
      <c r="J18" s="219"/>
      <c r="K18" s="228"/>
      <c r="L18" s="228"/>
      <c r="M18" s="219"/>
      <c r="N18" s="219"/>
      <c r="P18" s="12"/>
      <c r="Q18" s="219"/>
      <c r="R18" s="7"/>
      <c r="S18" s="7"/>
      <c r="T18" s="219"/>
      <c r="U18" s="219"/>
    </row>
    <row r="19" spans="2:21" x14ac:dyDescent="0.2">
      <c r="B19" s="12" t="s">
        <v>228</v>
      </c>
      <c r="G19" s="345"/>
      <c r="H19" s="345"/>
      <c r="I19" s="12"/>
      <c r="J19" s="219"/>
      <c r="K19" s="228"/>
      <c r="L19" s="228"/>
      <c r="M19" s="219"/>
      <c r="N19" s="219"/>
      <c r="P19" s="12"/>
      <c r="Q19" s="219"/>
      <c r="R19" s="7"/>
      <c r="S19" s="7"/>
      <c r="T19" s="219"/>
      <c r="U19" s="219"/>
    </row>
    <row r="20" spans="2:21" x14ac:dyDescent="0.2">
      <c r="B20" s="12"/>
      <c r="C20" s="12" t="s">
        <v>233</v>
      </c>
      <c r="D20" s="104">
        <v>0</v>
      </c>
      <c r="E20" s="104">
        <v>0</v>
      </c>
      <c r="F20" s="104">
        <v>0</v>
      </c>
      <c r="G20" s="417">
        <v>0</v>
      </c>
      <c r="H20" s="345"/>
      <c r="I20" s="12"/>
      <c r="J20" s="219"/>
      <c r="K20" s="228"/>
      <c r="L20" s="228"/>
      <c r="M20" s="219"/>
      <c r="N20" s="219"/>
      <c r="P20" s="12"/>
      <c r="Q20" s="219"/>
      <c r="R20" s="7"/>
      <c r="S20" s="7"/>
      <c r="T20" s="219"/>
      <c r="U20" s="219"/>
    </row>
    <row r="21" spans="2:21" x14ac:dyDescent="0.2">
      <c r="B21" s="12"/>
      <c r="C21" s="12" t="s">
        <v>234</v>
      </c>
      <c r="D21" s="7">
        <v>24026.79210889</v>
      </c>
      <c r="E21" s="203">
        <v>6.8449080149633773E-2</v>
      </c>
      <c r="F21" s="203">
        <v>0.15660792997024367</v>
      </c>
      <c r="G21" s="417">
        <v>1570.22498365</v>
      </c>
      <c r="H21" s="419">
        <v>1</v>
      </c>
      <c r="I21" s="12"/>
      <c r="J21" s="219"/>
      <c r="P21" s="12"/>
      <c r="Q21" s="219"/>
      <c r="R21" s="7"/>
      <c r="S21" s="7"/>
      <c r="T21" s="219"/>
      <c r="U21" s="219"/>
    </row>
    <row r="22" spans="2:21" x14ac:dyDescent="0.2">
      <c r="B22" s="12"/>
      <c r="C22" s="12" t="s">
        <v>235</v>
      </c>
      <c r="D22" s="7">
        <v>24892.309831300001</v>
      </c>
      <c r="E22" s="203">
        <v>0.13532637060158575</v>
      </c>
      <c r="F22" s="203">
        <v>0.20363239720055989</v>
      </c>
      <c r="G22" s="417">
        <v>310.05737015</v>
      </c>
      <c r="H22" s="419">
        <v>1</v>
      </c>
      <c r="I22" s="12"/>
      <c r="J22" s="219"/>
      <c r="K22" s="228"/>
      <c r="L22" s="228"/>
      <c r="M22" s="219"/>
      <c r="N22" s="219"/>
      <c r="P22" s="12"/>
      <c r="Q22" s="219"/>
      <c r="R22" s="7"/>
      <c r="S22" s="7"/>
      <c r="T22" s="219"/>
      <c r="U22" s="219"/>
    </row>
    <row r="23" spans="2:21" x14ac:dyDescent="0.2">
      <c r="B23" s="12"/>
      <c r="C23" s="12" t="s">
        <v>236</v>
      </c>
      <c r="D23" s="7">
        <v>16768.130276169999</v>
      </c>
      <c r="E23" s="203">
        <v>0.22083097635950513</v>
      </c>
      <c r="F23" s="203">
        <v>0.23149661035030894</v>
      </c>
      <c r="G23" s="417">
        <v>43.359686659999994</v>
      </c>
      <c r="H23" s="419">
        <v>1</v>
      </c>
      <c r="I23" s="12"/>
      <c r="J23" s="219"/>
      <c r="K23" s="228"/>
      <c r="L23" s="228"/>
      <c r="M23" s="219"/>
      <c r="N23" s="219"/>
      <c r="P23" s="12"/>
      <c r="Q23" s="219"/>
      <c r="R23" s="7"/>
      <c r="S23" s="7"/>
      <c r="T23" s="219"/>
      <c r="U23" s="219"/>
    </row>
    <row r="24" spans="2:21" x14ac:dyDescent="0.2">
      <c r="B24" s="12"/>
      <c r="C24" s="12" t="s">
        <v>237</v>
      </c>
      <c r="D24" s="7">
        <v>14711.400067160001</v>
      </c>
      <c r="E24" s="203">
        <v>0.32006121187342401</v>
      </c>
      <c r="F24" s="203">
        <v>0.24996296882116445</v>
      </c>
      <c r="G24" s="417">
        <v>13.67848249</v>
      </c>
      <c r="H24" s="419">
        <v>1</v>
      </c>
      <c r="I24" s="12"/>
      <c r="J24" s="219"/>
      <c r="K24" s="228"/>
      <c r="L24" s="228"/>
      <c r="M24" s="219"/>
      <c r="N24" s="219"/>
      <c r="P24" s="12"/>
      <c r="Q24" s="219"/>
      <c r="R24" s="7"/>
      <c r="S24" s="7"/>
      <c r="T24" s="219"/>
      <c r="U24" s="219"/>
    </row>
    <row r="25" spans="2:21" x14ac:dyDescent="0.2">
      <c r="B25" s="12"/>
      <c r="C25" s="12" t="s">
        <v>238</v>
      </c>
      <c r="D25" s="7">
        <v>5809.2104487300003</v>
      </c>
      <c r="E25" s="203">
        <v>0.43070104451578106</v>
      </c>
      <c r="F25" s="203">
        <v>0.23966034383252385</v>
      </c>
      <c r="G25" s="417">
        <v>5.5987193600000005</v>
      </c>
      <c r="H25" s="419">
        <v>1</v>
      </c>
      <c r="I25" s="12"/>
      <c r="J25" s="219"/>
      <c r="K25" s="228"/>
      <c r="L25" s="228"/>
      <c r="M25" s="219"/>
      <c r="N25" s="219"/>
      <c r="P25" s="12"/>
      <c r="Q25" s="219"/>
      <c r="R25" s="7"/>
      <c r="S25" s="7"/>
      <c r="T25" s="219"/>
      <c r="U25" s="219"/>
    </row>
    <row r="26" spans="2:21" x14ac:dyDescent="0.2">
      <c r="B26" s="12"/>
      <c r="C26" s="12" t="s">
        <v>239</v>
      </c>
      <c r="D26" s="7">
        <v>1290.7422850500002</v>
      </c>
      <c r="E26" s="203">
        <v>0.65664990587735128</v>
      </c>
      <c r="F26" s="203">
        <v>0.22875766978956305</v>
      </c>
      <c r="G26" s="417">
        <v>1.5666914199999999</v>
      </c>
      <c r="H26" s="419">
        <v>1</v>
      </c>
      <c r="J26" s="219"/>
      <c r="K26" s="228"/>
      <c r="L26" s="228"/>
    </row>
    <row r="27" spans="2:21" x14ac:dyDescent="0.2">
      <c r="B27" s="12"/>
      <c r="C27" s="12" t="s">
        <v>240</v>
      </c>
      <c r="D27" s="7">
        <v>918.44129541999996</v>
      </c>
      <c r="E27" s="203">
        <v>0.94231145021003149</v>
      </c>
      <c r="F27" s="203">
        <v>0.22949859366249489</v>
      </c>
      <c r="G27" s="417">
        <v>0.97331769999999995</v>
      </c>
      <c r="H27" s="419">
        <v>1</v>
      </c>
      <c r="I27" s="568"/>
      <c r="J27" s="568"/>
      <c r="K27" s="568"/>
      <c r="L27" s="568"/>
      <c r="M27" s="568"/>
      <c r="N27" s="568"/>
      <c r="P27" s="568"/>
      <c r="Q27" s="568"/>
      <c r="R27" s="568"/>
      <c r="S27" s="568"/>
      <c r="T27" s="568"/>
      <c r="U27" s="568"/>
    </row>
    <row r="28" spans="2:21" x14ac:dyDescent="0.2">
      <c r="B28" s="12"/>
      <c r="C28" s="12" t="s">
        <v>241</v>
      </c>
      <c r="D28" s="7">
        <v>1239.5810928000001</v>
      </c>
      <c r="E28" s="203">
        <v>1.2916771091057091</v>
      </c>
      <c r="F28" s="203">
        <v>0.22557762158915445</v>
      </c>
      <c r="G28" s="417">
        <v>2.31344116</v>
      </c>
      <c r="H28" s="419">
        <v>1</v>
      </c>
      <c r="I28" s="12"/>
      <c r="J28" s="220"/>
      <c r="K28" s="228"/>
      <c r="L28" s="228"/>
      <c r="M28" s="219"/>
      <c r="N28" s="219"/>
      <c r="P28" s="12"/>
      <c r="Q28" s="220"/>
      <c r="R28" s="7"/>
      <c r="S28" s="7"/>
      <c r="T28" s="219"/>
      <c r="U28" s="219"/>
    </row>
    <row r="29" spans="2:21" x14ac:dyDescent="0.2">
      <c r="B29" s="12"/>
      <c r="C29" s="12" t="s">
        <v>242</v>
      </c>
      <c r="D29" s="7">
        <v>138.59711737999999</v>
      </c>
      <c r="E29" s="203">
        <v>0.22475324984280709</v>
      </c>
      <c r="F29" s="203">
        <v>0.2491274473643818</v>
      </c>
      <c r="G29" s="417">
        <v>2.8541380000000002E-2</v>
      </c>
      <c r="H29" s="419">
        <v>1</v>
      </c>
      <c r="I29" s="12"/>
      <c r="J29" s="220"/>
      <c r="K29" s="228"/>
      <c r="L29" s="228"/>
      <c r="M29" s="219"/>
      <c r="N29" s="219"/>
      <c r="P29" s="12"/>
      <c r="Q29" s="220"/>
      <c r="R29" s="7"/>
      <c r="S29" s="7"/>
      <c r="T29" s="219"/>
      <c r="U29" s="219"/>
    </row>
    <row r="30" spans="2:21" x14ac:dyDescent="0.2">
      <c r="B30" s="12"/>
      <c r="C30" s="12" t="s">
        <v>243</v>
      </c>
      <c r="D30" s="7">
        <v>33.066867250000001</v>
      </c>
      <c r="E30" s="203">
        <v>2.2666589545158682</v>
      </c>
      <c r="F30" s="203">
        <v>0.25070908434502515</v>
      </c>
      <c r="G30" s="417">
        <v>0.20780950000000001</v>
      </c>
      <c r="H30" s="419">
        <v>1</v>
      </c>
      <c r="I30" s="12"/>
      <c r="J30" s="220"/>
      <c r="K30" s="228"/>
      <c r="L30" s="228"/>
      <c r="M30" s="219"/>
      <c r="N30" s="219"/>
      <c r="P30" s="12"/>
      <c r="Q30" s="220"/>
      <c r="R30" s="7"/>
      <c r="S30" s="7"/>
      <c r="T30" s="219"/>
      <c r="U30" s="219"/>
    </row>
    <row r="31" spans="2:21" x14ac:dyDescent="0.2">
      <c r="B31" s="145" t="s">
        <v>304</v>
      </c>
      <c r="C31" s="41"/>
      <c r="D31" s="412">
        <f>SUM(D20:D30)</f>
        <v>89828.271390149981</v>
      </c>
      <c r="E31" s="415">
        <v>0.21537724284407708</v>
      </c>
      <c r="F31" s="415">
        <v>0.20699999999999999</v>
      </c>
      <c r="G31" s="418">
        <f>SUM(G20:G30)</f>
        <v>1948.0090434700001</v>
      </c>
      <c r="H31" s="420">
        <v>1</v>
      </c>
      <c r="I31" s="413"/>
      <c r="J31" s="220"/>
      <c r="K31" s="228"/>
      <c r="L31" s="228"/>
      <c r="M31" s="219"/>
      <c r="N31" s="219"/>
      <c r="P31" s="12"/>
      <c r="Q31" s="220"/>
      <c r="R31" s="7"/>
      <c r="S31" s="7"/>
      <c r="T31" s="219"/>
      <c r="U31" s="219"/>
    </row>
    <row r="32" spans="2:21" x14ac:dyDescent="0.2">
      <c r="B32" s="12" t="s">
        <v>229</v>
      </c>
      <c r="D32" s="7"/>
      <c r="G32" s="345"/>
      <c r="H32" s="345"/>
      <c r="I32" s="12"/>
      <c r="J32" s="220"/>
      <c r="K32" s="228"/>
      <c r="L32" s="228"/>
      <c r="M32" s="219"/>
      <c r="N32" s="219"/>
      <c r="P32" s="12"/>
      <c r="Q32" s="220"/>
      <c r="R32" s="7"/>
      <c r="S32" s="7"/>
      <c r="T32" s="219"/>
      <c r="U32" s="219"/>
    </row>
    <row r="33" spans="2:21" x14ac:dyDescent="0.2">
      <c r="B33" s="12"/>
      <c r="C33" s="12" t="s">
        <v>233</v>
      </c>
      <c r="D33" s="7">
        <v>0</v>
      </c>
      <c r="E33" s="104">
        <v>0</v>
      </c>
      <c r="F33" s="104">
        <v>0</v>
      </c>
      <c r="G33" s="421">
        <v>0</v>
      </c>
      <c r="H33" s="345"/>
      <c r="I33" s="12"/>
      <c r="J33" s="220"/>
      <c r="K33" s="228"/>
      <c r="L33" s="228"/>
      <c r="M33" s="219"/>
      <c r="N33" s="219"/>
      <c r="P33" s="12"/>
      <c r="Q33" s="220"/>
      <c r="R33" s="7"/>
      <c r="S33" s="7"/>
      <c r="T33" s="219"/>
      <c r="U33" s="219"/>
    </row>
    <row r="34" spans="2:21" x14ac:dyDescent="0.2">
      <c r="B34" s="12"/>
      <c r="C34" s="12" t="s">
        <v>234</v>
      </c>
      <c r="D34" s="7">
        <v>408.04744184999998</v>
      </c>
      <c r="E34" s="203">
        <v>0.21879197258346933</v>
      </c>
      <c r="F34" s="219">
        <v>0.49772130391368363</v>
      </c>
      <c r="G34" s="417">
        <v>136.89667141999999</v>
      </c>
      <c r="H34" s="419">
        <v>1</v>
      </c>
      <c r="I34" s="12"/>
      <c r="J34" s="220"/>
      <c r="K34" s="228"/>
      <c r="L34" s="228"/>
      <c r="M34" s="219"/>
      <c r="N34" s="219"/>
      <c r="P34" s="12"/>
      <c r="Q34" s="220"/>
      <c r="R34" s="7"/>
      <c r="S34" s="7"/>
      <c r="T34" s="219"/>
      <c r="U34" s="219"/>
    </row>
    <row r="35" spans="2:21" x14ac:dyDescent="0.2">
      <c r="B35" s="12"/>
      <c r="C35" s="12" t="s">
        <v>235</v>
      </c>
      <c r="D35" s="7">
        <v>546.00200947000008</v>
      </c>
      <c r="E35" s="203">
        <v>0.3119726692312827</v>
      </c>
      <c r="F35" s="219">
        <v>0.49420328320632867</v>
      </c>
      <c r="G35" s="417">
        <v>64.443101280000008</v>
      </c>
      <c r="H35" s="419">
        <v>1</v>
      </c>
      <c r="I35" s="12"/>
      <c r="J35" s="220"/>
      <c r="K35" s="228"/>
      <c r="L35" s="228"/>
      <c r="M35" s="219"/>
      <c r="N35" s="219"/>
      <c r="P35" s="12"/>
      <c r="Q35" s="220"/>
      <c r="R35" s="7"/>
      <c r="S35" s="7"/>
      <c r="T35" s="219"/>
      <c r="U35" s="219"/>
    </row>
    <row r="36" spans="2:21" x14ac:dyDescent="0.2">
      <c r="B36" s="12"/>
      <c r="C36" s="12" t="s">
        <v>236</v>
      </c>
      <c r="D36" s="7">
        <v>391.07354384000001</v>
      </c>
      <c r="E36" s="203">
        <v>0.42355164142161517</v>
      </c>
      <c r="F36" s="219">
        <v>0.4979697672623622</v>
      </c>
      <c r="G36" s="417">
        <v>21.17236136</v>
      </c>
      <c r="H36" s="419">
        <v>1</v>
      </c>
      <c r="I36" s="12"/>
      <c r="J36" s="220"/>
      <c r="K36" s="228"/>
      <c r="L36" s="228"/>
      <c r="M36" s="219"/>
      <c r="N36" s="219"/>
      <c r="P36" s="12"/>
      <c r="Q36" s="220"/>
      <c r="R36" s="7"/>
      <c r="S36" s="7"/>
      <c r="T36" s="219"/>
      <c r="U36" s="219"/>
    </row>
    <row r="37" spans="2:21" x14ac:dyDescent="0.2">
      <c r="B37" s="12"/>
      <c r="C37" s="12" t="s">
        <v>237</v>
      </c>
      <c r="D37" s="7">
        <v>369.27308359999995</v>
      </c>
      <c r="E37" s="203">
        <v>0.51909297813224109</v>
      </c>
      <c r="F37" s="219">
        <v>0.49606849877325321</v>
      </c>
      <c r="G37" s="417">
        <v>15.23055761</v>
      </c>
      <c r="H37" s="419">
        <v>1</v>
      </c>
      <c r="I37" s="12"/>
      <c r="J37" s="220"/>
      <c r="K37" s="228"/>
      <c r="L37" s="228"/>
      <c r="M37" s="219"/>
      <c r="N37" s="219"/>
      <c r="P37" s="12"/>
      <c r="Q37" s="220"/>
      <c r="R37" s="7"/>
      <c r="S37" s="7"/>
      <c r="T37" s="219"/>
      <c r="U37" s="219"/>
    </row>
    <row r="38" spans="2:21" x14ac:dyDescent="0.2">
      <c r="B38" s="12"/>
      <c r="C38" s="12" t="s">
        <v>238</v>
      </c>
      <c r="D38" s="7">
        <v>138.04434926999997</v>
      </c>
      <c r="E38" s="203">
        <v>0.62468537485250442</v>
      </c>
      <c r="F38" s="219">
        <v>0.48495756084238162</v>
      </c>
      <c r="G38" s="417">
        <v>6.5428247099999997</v>
      </c>
      <c r="H38" s="419">
        <v>1</v>
      </c>
      <c r="I38" s="12"/>
      <c r="J38" s="220"/>
      <c r="K38" s="228"/>
      <c r="L38" s="228"/>
      <c r="M38" s="219"/>
      <c r="N38" s="219"/>
      <c r="P38" s="12"/>
      <c r="Q38" s="220"/>
      <c r="R38" s="7"/>
      <c r="S38" s="7"/>
      <c r="T38" s="219"/>
      <c r="U38" s="219"/>
    </row>
    <row r="39" spans="2:21" x14ac:dyDescent="0.2">
      <c r="B39" s="12"/>
      <c r="C39" s="12" t="s">
        <v>239</v>
      </c>
      <c r="D39" s="7">
        <v>70.673391549999991</v>
      </c>
      <c r="E39" s="203">
        <v>0.70677917607309171</v>
      </c>
      <c r="F39" s="219">
        <v>0.46951791516215979</v>
      </c>
      <c r="G39" s="417">
        <v>1.7759903100000001</v>
      </c>
      <c r="H39" s="419">
        <v>1</v>
      </c>
      <c r="J39" s="219"/>
      <c r="K39" s="229"/>
      <c r="L39" s="229"/>
    </row>
    <row r="40" spans="2:21" x14ac:dyDescent="0.2">
      <c r="B40" s="12"/>
      <c r="C40" s="12" t="s">
        <v>240</v>
      </c>
      <c r="D40" s="7">
        <v>51.166149309999994</v>
      </c>
      <c r="E40" s="203">
        <v>0.83344814149743962</v>
      </c>
      <c r="F40" s="219">
        <v>0.51105258666114772</v>
      </c>
      <c r="G40" s="417">
        <v>1.2062799499999999</v>
      </c>
      <c r="H40" s="419">
        <v>1</v>
      </c>
      <c r="I40" s="568"/>
      <c r="J40" s="568"/>
      <c r="K40" s="568"/>
      <c r="L40" s="568"/>
      <c r="M40" s="568"/>
      <c r="N40" s="568"/>
    </row>
    <row r="41" spans="2:21" x14ac:dyDescent="0.2">
      <c r="B41" s="12"/>
      <c r="C41" s="12" t="s">
        <v>241</v>
      </c>
      <c r="D41" s="7">
        <v>45.679854840000004</v>
      </c>
      <c r="E41" s="203">
        <v>1.1427070093115033</v>
      </c>
      <c r="F41" s="219">
        <v>0.48642660223637441</v>
      </c>
      <c r="G41" s="417">
        <v>0.74192806999999994</v>
      </c>
      <c r="H41" s="419">
        <v>1</v>
      </c>
      <c r="I41" s="12"/>
      <c r="J41" s="219"/>
      <c r="K41" s="228"/>
      <c r="L41" s="228"/>
    </row>
    <row r="42" spans="2:21" x14ac:dyDescent="0.2">
      <c r="B42" s="12"/>
      <c r="C42" s="12" t="s">
        <v>242</v>
      </c>
      <c r="D42" s="7">
        <v>4.8658386600000005</v>
      </c>
      <c r="E42" s="203">
        <v>0.10147121894090914</v>
      </c>
      <c r="F42" s="219">
        <v>0.50372920452237102</v>
      </c>
      <c r="G42" s="417">
        <v>2.5190319999999999E-2</v>
      </c>
      <c r="H42" s="419">
        <v>1</v>
      </c>
      <c r="I42" s="12"/>
      <c r="J42" s="219"/>
      <c r="K42" s="228"/>
      <c r="L42" s="228"/>
      <c r="M42" s="219"/>
      <c r="N42" s="219"/>
    </row>
    <row r="43" spans="2:21" x14ac:dyDescent="0.2">
      <c r="B43" s="12"/>
      <c r="C43" s="12" t="s">
        <v>243</v>
      </c>
      <c r="D43" s="7">
        <v>4.7386248699999998</v>
      </c>
      <c r="E43" s="203">
        <v>0.14573739617417744</v>
      </c>
      <c r="F43" s="219">
        <v>0.60464715827062299</v>
      </c>
      <c r="G43" s="417">
        <v>2.44006E-3</v>
      </c>
      <c r="H43" s="419">
        <v>1</v>
      </c>
      <c r="I43" s="12"/>
      <c r="J43" s="219"/>
      <c r="K43" s="228"/>
      <c r="L43" s="228"/>
      <c r="M43" s="219"/>
      <c r="N43" s="219"/>
    </row>
    <row r="44" spans="2:21" x14ac:dyDescent="0.2">
      <c r="B44" s="21" t="s">
        <v>230</v>
      </c>
      <c r="C44" s="41"/>
      <c r="D44" s="412">
        <f>SUM(D33:D43)</f>
        <v>2029.5642872599997</v>
      </c>
      <c r="E44" s="414">
        <v>0.41839238489281627</v>
      </c>
      <c r="F44" s="414">
        <v>0.495</v>
      </c>
      <c r="G44" s="418">
        <f>SUM(G33:G43)</f>
        <v>248.03734509</v>
      </c>
      <c r="H44" s="420">
        <v>1</v>
      </c>
      <c r="I44" s="12"/>
      <c r="J44" s="219"/>
      <c r="K44" s="228"/>
      <c r="L44" s="228"/>
      <c r="M44" s="219"/>
      <c r="N44" s="219"/>
    </row>
    <row r="45" spans="2:21" x14ac:dyDescent="0.2">
      <c r="B45" s="21" t="s">
        <v>231</v>
      </c>
      <c r="C45" s="41"/>
      <c r="D45" s="412">
        <f>+D44+D31</f>
        <v>91857.835677409981</v>
      </c>
      <c r="E45" s="233">
        <f>+'10'!G17</f>
        <v>0.21986278589340807</v>
      </c>
      <c r="F45" s="415">
        <v>0.2135</v>
      </c>
      <c r="G45" s="418">
        <f>G31+G44</f>
        <v>2196.0463885600002</v>
      </c>
      <c r="H45" s="420">
        <v>1</v>
      </c>
      <c r="I45" s="12"/>
      <c r="J45" s="219"/>
      <c r="K45" s="228"/>
      <c r="L45" s="228"/>
      <c r="M45" s="219"/>
      <c r="N45" s="219"/>
    </row>
    <row r="46" spans="2:21" x14ac:dyDescent="0.2">
      <c r="I46" s="12"/>
      <c r="J46" s="219"/>
      <c r="K46" s="228"/>
      <c r="L46" s="228"/>
      <c r="M46" s="219"/>
      <c r="N46" s="219"/>
    </row>
    <row r="47" spans="2:21" x14ac:dyDescent="0.2">
      <c r="B47" s="227" t="s">
        <v>444</v>
      </c>
      <c r="I47" s="12"/>
      <c r="J47" s="219"/>
      <c r="K47" s="228"/>
      <c r="L47" s="228"/>
      <c r="M47" s="219"/>
      <c r="N47" s="219"/>
    </row>
    <row r="48" spans="2:21" x14ac:dyDescent="0.2">
      <c r="B48" s="227" t="s">
        <v>443</v>
      </c>
      <c r="I48" s="12"/>
      <c r="J48" s="219"/>
      <c r="K48" s="228"/>
      <c r="L48" s="228"/>
      <c r="M48" s="219"/>
      <c r="N48" s="219"/>
    </row>
    <row r="49" spans="2:14" x14ac:dyDescent="0.2">
      <c r="B49" s="227" t="s">
        <v>448</v>
      </c>
      <c r="I49" s="12"/>
      <c r="J49" s="219"/>
      <c r="K49" s="228"/>
      <c r="L49" s="228"/>
      <c r="M49" s="219"/>
      <c r="N49" s="219"/>
    </row>
    <row r="50" spans="2:14" x14ac:dyDescent="0.2">
      <c r="D50" s="219"/>
      <c r="E50" s="7"/>
      <c r="F50" s="7"/>
      <c r="I50" s="12"/>
      <c r="J50" s="219"/>
      <c r="K50" s="228"/>
      <c r="L50" s="228"/>
      <c r="M50" s="219"/>
    </row>
    <row r="51" spans="2:14" x14ac:dyDescent="0.2">
      <c r="D51" s="219"/>
      <c r="E51" s="7"/>
      <c r="F51" s="7"/>
      <c r="I51" s="12"/>
      <c r="J51" s="219"/>
      <c r="K51" s="228"/>
      <c r="L51" s="228"/>
      <c r="M51" s="219"/>
      <c r="N51" s="219"/>
    </row>
    <row r="52" spans="2:14" x14ac:dyDescent="0.2">
      <c r="D52" s="219"/>
      <c r="E52" s="7"/>
      <c r="F52" s="7"/>
    </row>
    <row r="53" spans="2:14" x14ac:dyDescent="0.2">
      <c r="D53" s="219"/>
      <c r="E53" s="7"/>
      <c r="F53" s="7"/>
    </row>
    <row r="54" spans="2:14" x14ac:dyDescent="0.2">
      <c r="D54" s="219"/>
      <c r="E54" s="7"/>
      <c r="F54" s="7"/>
    </row>
    <row r="55" spans="2:14" x14ac:dyDescent="0.2">
      <c r="D55" s="219"/>
      <c r="E55" s="7"/>
      <c r="F55" s="7"/>
    </row>
    <row r="56" spans="2:14" x14ac:dyDescent="0.2">
      <c r="D56" s="219"/>
      <c r="E56" s="7"/>
      <c r="F56" s="7"/>
    </row>
    <row r="57" spans="2:14" x14ac:dyDescent="0.2">
      <c r="D57" s="219"/>
      <c r="E57" s="7"/>
      <c r="F57" s="7"/>
    </row>
    <row r="58" spans="2:14" x14ac:dyDescent="0.2">
      <c r="D58" s="219"/>
      <c r="E58" s="7"/>
      <c r="F58" s="7"/>
    </row>
    <row r="59" spans="2:14" x14ac:dyDescent="0.2">
      <c r="D59" s="219"/>
      <c r="E59" s="7"/>
      <c r="F59" s="7"/>
    </row>
    <row r="60" spans="2:14" x14ac:dyDescent="0.2">
      <c r="D60" s="219"/>
      <c r="E60" s="7"/>
      <c r="F60" s="7"/>
    </row>
    <row r="61" spans="2:14" x14ac:dyDescent="0.2">
      <c r="D61" s="219"/>
    </row>
    <row r="65" spans="4:6" x14ac:dyDescent="0.2">
      <c r="D65" s="219"/>
      <c r="E65" s="7"/>
      <c r="F65" s="7"/>
    </row>
    <row r="66" spans="4:6" x14ac:dyDescent="0.2">
      <c r="D66" s="219"/>
      <c r="E66" s="7"/>
      <c r="F66" s="7"/>
    </row>
    <row r="67" spans="4:6" x14ac:dyDescent="0.2">
      <c r="D67" s="219"/>
      <c r="E67" s="7"/>
      <c r="F67" s="7"/>
    </row>
    <row r="68" spans="4:6" x14ac:dyDescent="0.2">
      <c r="D68" s="219"/>
      <c r="E68" s="7"/>
      <c r="F68" s="7"/>
    </row>
    <row r="69" spans="4:6" x14ac:dyDescent="0.2">
      <c r="D69" s="219"/>
      <c r="E69" s="7"/>
      <c r="F69" s="7"/>
    </row>
    <row r="70" spans="4:6" x14ac:dyDescent="0.2">
      <c r="D70" s="219"/>
      <c r="E70" s="7"/>
      <c r="F70" s="7"/>
    </row>
    <row r="71" spans="4:6" x14ac:dyDescent="0.2">
      <c r="D71" s="219"/>
      <c r="E71" s="7"/>
      <c r="F71" s="7"/>
    </row>
    <row r="72" spans="4:6" x14ac:dyDescent="0.2">
      <c r="D72" s="219"/>
      <c r="E72" s="7"/>
      <c r="F72" s="7"/>
    </row>
    <row r="73" spans="4:6" x14ac:dyDescent="0.2">
      <c r="D73" s="219"/>
      <c r="E73" s="7"/>
      <c r="F73" s="7"/>
    </row>
    <row r="74" spans="4:6" x14ac:dyDescent="0.2">
      <c r="D74" s="219"/>
      <c r="E74" s="7"/>
      <c r="F74" s="7"/>
    </row>
    <row r="75" spans="4:6" x14ac:dyDescent="0.2">
      <c r="D75" s="219"/>
      <c r="E75" s="7"/>
      <c r="F75" s="7"/>
    </row>
    <row r="76" spans="4:6" x14ac:dyDescent="0.2">
      <c r="D76" s="219"/>
      <c r="E76" s="231"/>
      <c r="F76" s="231"/>
    </row>
  </sheetData>
  <sheetProtection algorithmName="SHA-512" hashValue="VgH5gerlTUPxmrX8DcnDTM9mvsIzf+hwpWyRY1rVZ/Wk2xHrR0CRO+tCB3cxHb7yTEI8gW9CKzLTQp+ijcD0QA==" saltValue="wLCZV+BnOebj5atK7jlWdQ==" spinCount="100000" sheet="1" objects="1" scenarios="1"/>
  <mergeCells count="4">
    <mergeCell ref="I27:N27"/>
    <mergeCell ref="I40:N40"/>
    <mergeCell ref="P13:U13"/>
    <mergeCell ref="P27:U27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B2:R26"/>
  <sheetViews>
    <sheetView showGridLines="0" workbookViewId="0"/>
  </sheetViews>
  <sheetFormatPr baseColWidth="10" defaultRowHeight="12.75" x14ac:dyDescent="0.2"/>
  <cols>
    <col min="2" max="2" width="32.42578125" customWidth="1"/>
    <col min="4" max="4" width="13.85546875" customWidth="1"/>
    <col min="5" max="5" width="15.5703125" customWidth="1"/>
    <col min="7" max="7" width="24.28515625" customWidth="1"/>
  </cols>
  <sheetData>
    <row r="2" spans="2:18" ht="15.75" x14ac:dyDescent="0.25">
      <c r="B2" s="291" t="s">
        <v>449</v>
      </c>
      <c r="C2" s="292"/>
      <c r="D2" s="292"/>
      <c r="E2" s="292"/>
      <c r="F2" s="29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4" spans="2:18" ht="39.75" x14ac:dyDescent="0.3">
      <c r="B4" s="278" t="s">
        <v>282</v>
      </c>
      <c r="C4" s="279"/>
      <c r="D4" s="279"/>
      <c r="E4" s="279"/>
      <c r="F4" s="279"/>
      <c r="G4" s="279"/>
    </row>
    <row r="5" spans="2:18" ht="15" x14ac:dyDescent="0.25">
      <c r="B5" s="66"/>
      <c r="C5" s="66"/>
      <c r="D5" s="66"/>
      <c r="E5" s="66"/>
      <c r="F5" s="66"/>
      <c r="G5" s="66"/>
    </row>
    <row r="6" spans="2:18" ht="41.25" x14ac:dyDescent="0.25">
      <c r="B6" s="280" t="s">
        <v>50</v>
      </c>
      <c r="C6" s="281" t="s">
        <v>267</v>
      </c>
      <c r="D6" s="282" t="s">
        <v>284</v>
      </c>
      <c r="E6" s="282" t="s">
        <v>306</v>
      </c>
      <c r="F6" s="282" t="s">
        <v>285</v>
      </c>
      <c r="G6" s="66"/>
    </row>
    <row r="7" spans="2:18" ht="15" x14ac:dyDescent="0.25">
      <c r="B7" s="32" t="s">
        <v>198</v>
      </c>
      <c r="C7" s="32"/>
      <c r="D7" s="66"/>
      <c r="E7" s="66"/>
      <c r="F7" s="66"/>
      <c r="G7" s="66"/>
    </row>
    <row r="8" spans="2:18" ht="15" x14ac:dyDescent="0.25">
      <c r="B8" s="47" t="s">
        <v>199</v>
      </c>
      <c r="C8" s="424">
        <f>+'10'!C8</f>
        <v>6572.6969859999999</v>
      </c>
      <c r="D8" s="283">
        <v>0.65105172376544096</v>
      </c>
      <c r="E8" s="283">
        <v>0.33900939826406201</v>
      </c>
      <c r="F8" s="283">
        <v>9.9388779704972299E-3</v>
      </c>
      <c r="G8" s="290"/>
      <c r="H8" s="409"/>
    </row>
    <row r="9" spans="2:18" ht="15" x14ac:dyDescent="0.25">
      <c r="B9" s="47" t="s">
        <v>200</v>
      </c>
      <c r="C9" s="424">
        <f>+'10'!C9</f>
        <v>22496.586934999999</v>
      </c>
      <c r="D9" s="283">
        <v>0.72234320259325402</v>
      </c>
      <c r="E9" s="283">
        <v>0.27009451028834602</v>
      </c>
      <c r="F9" s="283">
        <v>7.5622871183999001E-3</v>
      </c>
      <c r="G9" s="290"/>
      <c r="H9" s="327"/>
    </row>
    <row r="10" spans="2:18" ht="15" x14ac:dyDescent="0.25">
      <c r="B10" s="47" t="s">
        <v>201</v>
      </c>
      <c r="C10" s="424">
        <f>+'10'!C10</f>
        <v>1488.428332</v>
      </c>
      <c r="D10" s="283">
        <v>0.64765200397683398</v>
      </c>
      <c r="E10" s="283">
        <v>0.25817727704896298</v>
      </c>
      <c r="F10" s="283">
        <v>9.4170718974202594E-2</v>
      </c>
      <c r="G10" s="290"/>
      <c r="H10" s="324"/>
    </row>
    <row r="11" spans="2:18" ht="15" x14ac:dyDescent="0.25">
      <c r="B11" s="46" t="s">
        <v>375</v>
      </c>
      <c r="C11" s="425">
        <f>SUM(C8:C10)</f>
        <v>30557.712252999998</v>
      </c>
      <c r="D11" s="284">
        <v>0.70323006255584997</v>
      </c>
      <c r="E11" s="284">
        <v>0.28488375450002001</v>
      </c>
      <c r="F11" s="284">
        <v>1.18861829441302E-2</v>
      </c>
      <c r="G11" s="290"/>
    </row>
    <row r="12" spans="2:18" ht="15" x14ac:dyDescent="0.25">
      <c r="B12" s="32" t="s">
        <v>203</v>
      </c>
      <c r="C12" s="424"/>
      <c r="D12" s="283"/>
      <c r="E12" s="283"/>
      <c r="F12" s="283"/>
      <c r="G12" s="290"/>
    </row>
    <row r="13" spans="2:18" ht="15" x14ac:dyDescent="0.25">
      <c r="B13" s="47" t="s">
        <v>204</v>
      </c>
      <c r="C13" s="336">
        <f>+'10'!C13</f>
        <v>2340.8638089999999</v>
      </c>
      <c r="D13" s="283">
        <v>1</v>
      </c>
      <c r="E13" s="283">
        <v>0</v>
      </c>
      <c r="F13" s="283">
        <v>0</v>
      </c>
      <c r="G13" s="290"/>
      <c r="H13" s="219"/>
    </row>
    <row r="14" spans="2:18" ht="15" x14ac:dyDescent="0.25">
      <c r="B14" s="47" t="s">
        <v>205</v>
      </c>
      <c r="C14" s="336">
        <f>+'10'!C14</f>
        <v>87500.285571999993</v>
      </c>
      <c r="D14" s="283">
        <v>1</v>
      </c>
      <c r="E14" s="283">
        <v>0</v>
      </c>
      <c r="F14" s="283">
        <v>0</v>
      </c>
      <c r="G14" s="290"/>
      <c r="H14" s="219"/>
    </row>
    <row r="15" spans="2:18" x14ac:dyDescent="0.2">
      <c r="B15" s="47" t="s">
        <v>206</v>
      </c>
      <c r="C15" s="336">
        <f>+'10'!C15</f>
        <v>192.04009500000001</v>
      </c>
      <c r="D15" s="283">
        <v>0.28315987529252201</v>
      </c>
      <c r="E15" s="283">
        <v>0.54874624996618004</v>
      </c>
      <c r="F15" s="283">
        <v>0.168093874741298</v>
      </c>
      <c r="H15" s="219"/>
    </row>
    <row r="16" spans="2:18" x14ac:dyDescent="0.2">
      <c r="B16" s="47" t="s">
        <v>207</v>
      </c>
      <c r="C16" s="336">
        <f>+'10'!C16</f>
        <v>1847.577108</v>
      </c>
      <c r="D16" s="283">
        <v>0.27076587533727797</v>
      </c>
      <c r="E16" s="283">
        <v>0.24636273604772799</v>
      </c>
      <c r="F16" s="283">
        <v>0.48287138861499401</v>
      </c>
      <c r="H16" s="219"/>
    </row>
    <row r="17" spans="2:7" ht="15" x14ac:dyDescent="0.25">
      <c r="B17" s="46" t="s">
        <v>208</v>
      </c>
      <c r="C17" s="57">
        <f>SUM(C13:C16)</f>
        <v>91880.766583999997</v>
      </c>
      <c r="D17" s="284">
        <v>0.97159505321391404</v>
      </c>
      <c r="E17" s="284">
        <v>1.07129199114828E-2</v>
      </c>
      <c r="F17" s="284">
        <v>1.76920268746029E-2</v>
      </c>
      <c r="G17" s="66"/>
    </row>
    <row r="18" spans="2:7" ht="15" x14ac:dyDescent="0.25">
      <c r="B18" s="46" t="s">
        <v>283</v>
      </c>
      <c r="C18" s="57">
        <f>C17+C11</f>
        <v>122438.478837</v>
      </c>
      <c r="D18" s="284">
        <v>0.87784583680557604</v>
      </c>
      <c r="E18" s="284">
        <v>0.106490319346736</v>
      </c>
      <c r="F18" s="284">
        <v>1.5663843847687799E-2</v>
      </c>
      <c r="G18" s="66"/>
    </row>
    <row r="19" spans="2:7" ht="15" x14ac:dyDescent="0.25">
      <c r="B19" s="66"/>
      <c r="C19" s="66"/>
      <c r="D19" s="66"/>
      <c r="E19" s="66"/>
      <c r="F19" s="66"/>
      <c r="G19" s="66"/>
    </row>
    <row r="20" spans="2:7" ht="15" x14ac:dyDescent="0.2">
      <c r="B20" s="569" t="s">
        <v>305</v>
      </c>
      <c r="C20" s="569"/>
      <c r="D20" s="569"/>
      <c r="E20" s="569"/>
      <c r="F20" s="569"/>
      <c r="G20" s="569"/>
    </row>
    <row r="21" spans="2:7" ht="31.5" customHeight="1" x14ac:dyDescent="0.2">
      <c r="B21" s="570" t="s">
        <v>432</v>
      </c>
      <c r="C21" s="570"/>
      <c r="D21" s="570"/>
      <c r="E21" s="570"/>
      <c r="F21" s="570"/>
      <c r="G21" s="570"/>
    </row>
    <row r="22" spans="2:7" ht="15" x14ac:dyDescent="0.25">
      <c r="B22" s="66"/>
      <c r="C22" s="66"/>
      <c r="D22" s="66"/>
      <c r="E22" s="66"/>
      <c r="F22" s="66"/>
      <c r="G22" s="66"/>
    </row>
    <row r="26" spans="2:7" x14ac:dyDescent="0.2">
      <c r="C26" s="175"/>
    </row>
  </sheetData>
  <sheetProtection algorithmName="SHA-512" hashValue="3bQ47fSKzaypAX1h+rTd/ySWyo5Tj3Yb1Ij/uaY83b/ioxM9JZrkojQzN6fidIf5x0Hzq9AZEGeeH4a993mdUw==" saltValue="Daoy3XxcHxU6d9OXaddinQ==" spinCount="100000" sheet="1" objects="1" scenarios="1"/>
  <mergeCells count="2">
    <mergeCell ref="B20:G20"/>
    <mergeCell ref="B21:G2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B2:T28"/>
  <sheetViews>
    <sheetView showGridLines="0" workbookViewId="0">
      <selection activeCell="C30" sqref="C30"/>
    </sheetView>
  </sheetViews>
  <sheetFormatPr baseColWidth="10" defaultRowHeight="12.75" x14ac:dyDescent="0.2"/>
  <cols>
    <col min="2" max="2" width="41" customWidth="1"/>
    <col min="3" max="3" width="22.85546875" customWidth="1"/>
    <col min="4" max="4" width="17.5703125" customWidth="1"/>
    <col min="5" max="5" width="12.140625" bestFit="1" customWidth="1"/>
    <col min="6" max="6" width="19.85546875" customWidth="1"/>
    <col min="8" max="8" width="25.42578125" customWidth="1"/>
  </cols>
  <sheetData>
    <row r="2" spans="2:20" ht="18.75" x14ac:dyDescent="0.3">
      <c r="B2" s="295" t="s">
        <v>245</v>
      </c>
      <c r="C2" s="295"/>
      <c r="D2" s="295"/>
      <c r="E2" s="295"/>
      <c r="F2" s="295"/>
      <c r="G2" s="295"/>
      <c r="H2" s="295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2:20" x14ac:dyDescent="0.2">
      <c r="B3" s="317" t="s">
        <v>247</v>
      </c>
    </row>
    <row r="4" spans="2:20" x14ac:dyDescent="0.2">
      <c r="B4" s="3"/>
      <c r="C4" s="3"/>
      <c r="D4" s="3"/>
    </row>
    <row r="5" spans="2:20" ht="38.25" x14ac:dyDescent="0.2">
      <c r="B5" s="262" t="s">
        <v>50</v>
      </c>
      <c r="C5" s="274" t="s">
        <v>433</v>
      </c>
      <c r="D5" s="263" t="s">
        <v>374</v>
      </c>
      <c r="E5" s="274" t="s">
        <v>434</v>
      </c>
      <c r="F5" s="264" t="s">
        <v>281</v>
      </c>
      <c r="G5" s="263" t="s">
        <v>435</v>
      </c>
      <c r="H5" s="264" t="s">
        <v>270</v>
      </c>
    </row>
    <row r="6" spans="2:20" x14ac:dyDescent="0.2">
      <c r="B6" s="265" t="s">
        <v>271</v>
      </c>
      <c r="C6" s="275">
        <f>88508-C7-C8</f>
        <v>35958</v>
      </c>
      <c r="D6" s="275">
        <f>+(C6+E6)/2</f>
        <v>34524</v>
      </c>
      <c r="E6" s="275">
        <v>33090</v>
      </c>
      <c r="F6" s="267">
        <v>31554</v>
      </c>
      <c r="G6" s="266">
        <v>30018</v>
      </c>
      <c r="H6" s="267">
        <v>29231.5</v>
      </c>
    </row>
    <row r="7" spans="2:20" x14ac:dyDescent="0.2">
      <c r="B7" s="265" t="s">
        <v>272</v>
      </c>
      <c r="C7" s="275">
        <v>52015</v>
      </c>
      <c r="D7" s="275">
        <f t="shared" ref="D7:D9" si="0">+(C7+E7)/2</f>
        <v>49797</v>
      </c>
      <c r="E7" s="275">
        <v>47579</v>
      </c>
      <c r="F7" s="267">
        <v>46865.5</v>
      </c>
      <c r="G7" s="266">
        <v>46152</v>
      </c>
      <c r="H7" s="267">
        <v>43510</v>
      </c>
    </row>
    <row r="8" spans="2:20" x14ac:dyDescent="0.2">
      <c r="B8" s="265" t="s">
        <v>273</v>
      </c>
      <c r="C8" s="275">
        <v>535</v>
      </c>
      <c r="D8" s="275">
        <f t="shared" si="0"/>
        <v>575.5</v>
      </c>
      <c r="E8" s="275">
        <v>616</v>
      </c>
      <c r="F8" s="267">
        <v>715.5</v>
      </c>
      <c r="G8" s="266">
        <v>815</v>
      </c>
      <c r="H8" s="267">
        <v>1012</v>
      </c>
    </row>
    <row r="9" spans="2:20" x14ac:dyDescent="0.2">
      <c r="B9" s="268" t="s">
        <v>274</v>
      </c>
      <c r="C9" s="276">
        <f>SUM(C6:C8)</f>
        <v>88508</v>
      </c>
      <c r="D9" s="276">
        <f t="shared" si="0"/>
        <v>84896.5</v>
      </c>
      <c r="E9" s="276">
        <v>81285</v>
      </c>
      <c r="F9" s="270">
        <v>79135</v>
      </c>
      <c r="G9" s="269">
        <v>76985</v>
      </c>
      <c r="H9" s="270">
        <v>73753.5</v>
      </c>
    </row>
    <row r="10" spans="2:20" x14ac:dyDescent="0.2">
      <c r="B10" s="265" t="s">
        <v>275</v>
      </c>
      <c r="C10" s="275"/>
      <c r="D10" s="275"/>
      <c r="E10" s="275"/>
      <c r="F10" s="267"/>
      <c r="G10" s="266"/>
      <c r="H10" s="267"/>
    </row>
    <row r="11" spans="2:20" x14ac:dyDescent="0.2">
      <c r="B11" s="271" t="s">
        <v>276</v>
      </c>
      <c r="C11" s="275"/>
      <c r="D11" s="275"/>
      <c r="E11" s="275">
        <f>216</f>
        <v>216</v>
      </c>
      <c r="F11" s="267"/>
      <c r="G11" s="266">
        <v>154</v>
      </c>
      <c r="H11" s="267"/>
    </row>
    <row r="12" spans="2:20" x14ac:dyDescent="0.2">
      <c r="B12" s="271" t="s">
        <v>295</v>
      </c>
      <c r="C12" s="275"/>
      <c r="D12" s="275"/>
      <c r="E12" s="275">
        <v>300</v>
      </c>
      <c r="F12" s="267"/>
      <c r="G12" s="266">
        <v>373.02</v>
      </c>
      <c r="H12" s="267"/>
    </row>
    <row r="13" spans="2:20" ht="15" x14ac:dyDescent="0.2">
      <c r="B13" s="271" t="s">
        <v>378</v>
      </c>
      <c r="C13" s="275">
        <v>546</v>
      </c>
      <c r="D13" s="275"/>
      <c r="E13" s="275"/>
      <c r="F13" s="267"/>
      <c r="G13" s="266"/>
      <c r="H13" s="267"/>
    </row>
    <row r="14" spans="2:20" x14ac:dyDescent="0.2">
      <c r="B14" s="268" t="s">
        <v>277</v>
      </c>
      <c r="C14" s="276">
        <f>C9-C11-C12-C13</f>
        <v>87962</v>
      </c>
      <c r="D14" s="276">
        <f>+(C14+E14)/2</f>
        <v>84365.5</v>
      </c>
      <c r="E14" s="276">
        <f>E9-E11-E12-E13</f>
        <v>80769</v>
      </c>
      <c r="F14" s="270">
        <v>78613.399999999994</v>
      </c>
      <c r="G14" s="269">
        <v>76457.8</v>
      </c>
      <c r="H14" s="270">
        <v>73281.8</v>
      </c>
    </row>
    <row r="15" spans="2:20" x14ac:dyDescent="0.2">
      <c r="B15" s="265" t="s">
        <v>278</v>
      </c>
      <c r="C15" s="275">
        <v>3786</v>
      </c>
      <c r="D15" s="275">
        <f>+(C15+E15)/2</f>
        <v>2280.5</v>
      </c>
      <c r="E15" s="275">
        <v>775</v>
      </c>
      <c r="F15" s="267">
        <v>775</v>
      </c>
      <c r="G15" s="266">
        <v>775</v>
      </c>
      <c r="H15" s="267">
        <v>524.5</v>
      </c>
    </row>
    <row r="16" spans="2:20" ht="15" x14ac:dyDescent="0.2">
      <c r="B16" s="265" t="s">
        <v>376</v>
      </c>
      <c r="C16" s="275">
        <v>0</v>
      </c>
      <c r="D16" s="427" t="s">
        <v>380</v>
      </c>
      <c r="E16" s="275">
        <v>2748</v>
      </c>
      <c r="F16" s="267">
        <v>2301</v>
      </c>
      <c r="G16" s="266">
        <v>2008</v>
      </c>
      <c r="H16" s="267">
        <v>2035</v>
      </c>
    </row>
    <row r="17" spans="2:8" x14ac:dyDescent="0.2">
      <c r="B17" s="265" t="s">
        <v>279</v>
      </c>
      <c r="C17" s="275">
        <v>0</v>
      </c>
      <c r="D17" s="427" t="s">
        <v>380</v>
      </c>
      <c r="E17" s="275">
        <v>92</v>
      </c>
      <c r="F17" s="267"/>
      <c r="G17" s="266">
        <v>62</v>
      </c>
      <c r="H17" s="267"/>
    </row>
    <row r="18" spans="2:8" x14ac:dyDescent="0.2">
      <c r="B18" s="272" t="s">
        <v>280</v>
      </c>
      <c r="C18" s="277">
        <f>+C14+C15+C16-C17</f>
        <v>91748</v>
      </c>
      <c r="D18" s="277">
        <f>+(C18+E18)/2</f>
        <v>87974</v>
      </c>
      <c r="E18" s="277">
        <f>+E14+E15+E16-E17</f>
        <v>84200</v>
      </c>
      <c r="F18" s="273">
        <v>81689.399999999994</v>
      </c>
      <c r="G18" s="277">
        <f>+G14+G15+G16-G17</f>
        <v>79178.8</v>
      </c>
      <c r="H18" s="273">
        <v>75841.3</v>
      </c>
    </row>
    <row r="19" spans="2:8" x14ac:dyDescent="0.2">
      <c r="E19" s="181"/>
    </row>
    <row r="20" spans="2:8" x14ac:dyDescent="0.2">
      <c r="C20" s="181"/>
      <c r="E20" s="181"/>
      <c r="G20" s="181"/>
    </row>
    <row r="21" spans="2:8" ht="15" x14ac:dyDescent="0.2">
      <c r="B21" s="398" t="s">
        <v>377</v>
      </c>
      <c r="C21" s="181"/>
      <c r="F21" s="327"/>
    </row>
    <row r="22" spans="2:8" ht="15" x14ac:dyDescent="0.2">
      <c r="B22" s="398" t="s">
        <v>379</v>
      </c>
    </row>
    <row r="23" spans="2:8" x14ac:dyDescent="0.2">
      <c r="B23" s="410"/>
      <c r="C23" s="181"/>
      <c r="E23" s="181"/>
    </row>
    <row r="24" spans="2:8" x14ac:dyDescent="0.2">
      <c r="B24" s="410"/>
      <c r="C24" s="181"/>
      <c r="E24" s="9"/>
    </row>
    <row r="25" spans="2:8" x14ac:dyDescent="0.2">
      <c r="B25" s="324"/>
      <c r="E25" s="426"/>
    </row>
    <row r="26" spans="2:8" x14ac:dyDescent="0.2">
      <c r="B26" s="324"/>
      <c r="E26" s="7"/>
    </row>
    <row r="27" spans="2:8" x14ac:dyDescent="0.2">
      <c r="B27" s="411"/>
      <c r="E27" s="7"/>
    </row>
    <row r="28" spans="2:8" x14ac:dyDescent="0.2">
      <c r="E28" s="9"/>
    </row>
  </sheetData>
  <sheetProtection algorithmName="SHA-512" hashValue="GZ27yYKOWoH0EQS+OqFkrBkWfWKpruDOndwDb+IkVlR/Kq8FVf9m9Vbv7+v49jcDHB5UV3DSMkE3MRw5E38XMg==" saltValue="rmdx4rSfoL8jjXrvPykFLg==" spinCount="100000" sheet="1" objects="1" scenarios="1"/>
  <pageMargins left="0.7" right="0.7" top="0.75" bottom="0.75" header="0.3" footer="0.3"/>
  <pageSetup paperSize="9" orientation="portrait" verticalDpi="0" r:id="rId1"/>
  <ignoredErrors>
    <ignoredError sqref="D14 D18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2:X59"/>
  <sheetViews>
    <sheetView showGridLines="0" zoomScaleNormal="100" workbookViewId="0"/>
  </sheetViews>
  <sheetFormatPr baseColWidth="10" defaultRowHeight="12.75" x14ac:dyDescent="0.2"/>
  <cols>
    <col min="2" max="2" width="39.140625" customWidth="1"/>
  </cols>
  <sheetData>
    <row r="2" spans="2:16" ht="18.75" x14ac:dyDescent="0.3">
      <c r="B2" s="295" t="s">
        <v>331</v>
      </c>
      <c r="C2" s="292"/>
      <c r="D2" s="292"/>
      <c r="E2" s="292"/>
      <c r="F2" s="292"/>
      <c r="G2" s="292"/>
      <c r="H2" s="292"/>
      <c r="I2" s="20"/>
      <c r="J2" s="20"/>
      <c r="K2" s="20"/>
      <c r="L2" s="20"/>
      <c r="M2" s="20"/>
      <c r="N2" s="20"/>
      <c r="O2" s="20"/>
      <c r="P2" s="20"/>
    </row>
    <row r="3" spans="2:16" x14ac:dyDescent="0.2">
      <c r="B3" s="235" t="s">
        <v>247</v>
      </c>
      <c r="L3" s="327"/>
    </row>
    <row r="4" spans="2:16" x14ac:dyDescent="0.2">
      <c r="B4" s="3"/>
      <c r="G4" s="571">
        <v>42735</v>
      </c>
      <c r="H4" s="571"/>
    </row>
    <row r="5" spans="2:16" ht="15" x14ac:dyDescent="0.25">
      <c r="B5" s="238"/>
      <c r="C5" s="573">
        <v>43465</v>
      </c>
      <c r="D5" s="574"/>
      <c r="E5" s="571">
        <v>43100</v>
      </c>
      <c r="F5" s="572"/>
      <c r="G5" s="571"/>
      <c r="H5" s="571"/>
    </row>
    <row r="6" spans="2:16" x14ac:dyDescent="0.2">
      <c r="B6" s="239" t="s">
        <v>50</v>
      </c>
      <c r="C6" s="44" t="s">
        <v>254</v>
      </c>
      <c r="D6" s="246" t="s">
        <v>244</v>
      </c>
      <c r="E6" s="240" t="s">
        <v>254</v>
      </c>
      <c r="F6" s="241" t="s">
        <v>244</v>
      </c>
      <c r="G6" s="242" t="s">
        <v>254</v>
      </c>
      <c r="H6" s="241" t="s">
        <v>244</v>
      </c>
    </row>
    <row r="7" spans="2:16" x14ac:dyDescent="0.2">
      <c r="B7" s="243" t="s">
        <v>248</v>
      </c>
      <c r="C7" s="325">
        <v>13630</v>
      </c>
      <c r="D7" s="326">
        <f>+C7/$C$12</f>
        <v>0.16592610627548846</v>
      </c>
      <c r="E7" s="244">
        <v>12313.896757479999</v>
      </c>
      <c r="F7" s="326">
        <f>+E7/$E$12</f>
        <v>0.15837691354770075</v>
      </c>
      <c r="G7" s="245">
        <v>12128</v>
      </c>
      <c r="H7" s="326">
        <f>+G7/$G$12</f>
        <v>0.16665979579777659</v>
      </c>
    </row>
    <row r="8" spans="2:16" x14ac:dyDescent="0.2">
      <c r="B8" s="243" t="s">
        <v>249</v>
      </c>
      <c r="C8" s="325">
        <v>28947</v>
      </c>
      <c r="D8" s="326">
        <f>+C8/$C$12</f>
        <v>0.35238906811126669</v>
      </c>
      <c r="E8" s="244">
        <v>31461.217372150099</v>
      </c>
      <c r="F8" s="326">
        <f t="shared" ref="F8:F11" si="0">+E8/$E$12</f>
        <v>0.40464286829656165</v>
      </c>
      <c r="G8" s="245">
        <v>22133</v>
      </c>
      <c r="H8" s="326">
        <f t="shared" ref="H8:H11" si="1">+G8/$G$12</f>
        <v>0.30414588228827416</v>
      </c>
    </row>
    <row r="9" spans="2:16" x14ac:dyDescent="0.2">
      <c r="B9" s="243" t="s">
        <v>250</v>
      </c>
      <c r="C9" s="325">
        <v>31021</v>
      </c>
      <c r="D9" s="326">
        <f t="shared" ref="D9:D11" si="2">+C9/$C$12</f>
        <v>0.3776371051189969</v>
      </c>
      <c r="E9" s="244">
        <v>25601.759851590101</v>
      </c>
      <c r="F9" s="326">
        <f t="shared" si="0"/>
        <v>0.3292806319998795</v>
      </c>
      <c r="G9" s="245">
        <v>27651</v>
      </c>
      <c r="H9" s="326">
        <f t="shared" si="1"/>
        <v>0.37997279135919526</v>
      </c>
    </row>
    <row r="10" spans="2:16" x14ac:dyDescent="0.2">
      <c r="B10" s="243" t="s">
        <v>251</v>
      </c>
      <c r="C10" s="325">
        <v>8444</v>
      </c>
      <c r="D10" s="326">
        <f t="shared" si="2"/>
        <v>0.10279384016069146</v>
      </c>
      <c r="E10" s="244">
        <v>8270.7593557600012</v>
      </c>
      <c r="F10" s="326">
        <f t="shared" si="0"/>
        <v>0.10637553369654086</v>
      </c>
      <c r="G10" s="245">
        <v>10809</v>
      </c>
      <c r="H10" s="326">
        <f t="shared" si="1"/>
        <v>0.14853444366574597</v>
      </c>
    </row>
    <row r="11" spans="2:16" x14ac:dyDescent="0.2">
      <c r="B11" s="243" t="s">
        <v>252</v>
      </c>
      <c r="C11" s="325">
        <v>103</v>
      </c>
      <c r="D11" s="326">
        <f t="shared" si="2"/>
        <v>1.2538803335565159E-3</v>
      </c>
      <c r="E11" s="244">
        <v>102.94584558000001</v>
      </c>
      <c r="F11" s="326">
        <f t="shared" si="0"/>
        <v>1.3240524593171289E-3</v>
      </c>
      <c r="G11" s="245">
        <v>50</v>
      </c>
      <c r="H11" s="326">
        <f t="shared" si="1"/>
        <v>6.8708688900798393E-4</v>
      </c>
    </row>
    <row r="12" spans="2:16" x14ac:dyDescent="0.2">
      <c r="B12" s="247" t="s">
        <v>253</v>
      </c>
      <c r="C12" s="214">
        <f>SUM(C7:C11)</f>
        <v>82145</v>
      </c>
      <c r="D12" s="248">
        <f>SUM(D7:D11)</f>
        <v>1</v>
      </c>
      <c r="E12" s="230">
        <f t="shared" ref="E12:H12" si="3">SUM(E7:E11)</f>
        <v>77750.579182560206</v>
      </c>
      <c r="F12" s="248">
        <f t="shared" si="3"/>
        <v>0.99999999999999989</v>
      </c>
      <c r="G12" s="361">
        <f t="shared" si="3"/>
        <v>72771</v>
      </c>
      <c r="H12" s="248">
        <f t="shared" si="3"/>
        <v>1</v>
      </c>
    </row>
    <row r="13" spans="2:16" x14ac:dyDescent="0.2">
      <c r="G13" s="244"/>
      <c r="H13" s="231"/>
      <c r="K13" s="231"/>
    </row>
    <row r="14" spans="2:16" x14ac:dyDescent="0.2">
      <c r="G14" s="324"/>
    </row>
    <row r="16" spans="2:16" ht="18.75" x14ac:dyDescent="0.3">
      <c r="B16" s="302" t="s">
        <v>255</v>
      </c>
      <c r="C16" s="302"/>
      <c r="D16" s="302"/>
      <c r="E16" s="303"/>
      <c r="F16" s="303"/>
      <c r="G16" s="303"/>
      <c r="H16" s="303"/>
    </row>
    <row r="17" spans="1:24" ht="18.75" x14ac:dyDescent="0.3">
      <c r="B17" s="235" t="s">
        <v>247</v>
      </c>
      <c r="C17" s="249"/>
      <c r="D17" s="249"/>
      <c r="E17" s="238"/>
      <c r="F17" s="238"/>
      <c r="G17" s="238"/>
      <c r="H17" s="238"/>
    </row>
    <row r="18" spans="1:24" x14ac:dyDescent="0.2">
      <c r="B18" s="243"/>
      <c r="C18" s="250"/>
      <c r="D18" s="250"/>
      <c r="E18" s="251"/>
      <c r="F18" s="251"/>
      <c r="G18" s="571"/>
      <c r="H18" s="571"/>
    </row>
    <row r="19" spans="1:24" ht="25.5" x14ac:dyDescent="0.2">
      <c r="B19" s="252" t="s">
        <v>50</v>
      </c>
      <c r="C19" s="253" t="s">
        <v>256</v>
      </c>
      <c r="D19" s="253" t="s">
        <v>257</v>
      </c>
      <c r="E19" s="253" t="s">
        <v>258</v>
      </c>
      <c r="F19" s="253" t="s">
        <v>259</v>
      </c>
      <c r="G19" s="253" t="s">
        <v>260</v>
      </c>
      <c r="H19" s="253" t="s">
        <v>261</v>
      </c>
      <c r="K19" s="231"/>
    </row>
    <row r="20" spans="1:24" x14ac:dyDescent="0.2">
      <c r="B20" s="285" t="s">
        <v>333</v>
      </c>
      <c r="C20" s="286">
        <v>8835</v>
      </c>
      <c r="D20" s="286">
        <v>1027</v>
      </c>
      <c r="E20" s="286">
        <v>1608</v>
      </c>
      <c r="F20" s="286">
        <v>6559</v>
      </c>
      <c r="G20" s="286">
        <v>64116</v>
      </c>
      <c r="H20" s="286">
        <f>SUM(C20:G20)</f>
        <v>82145</v>
      </c>
    </row>
    <row r="21" spans="1:24" x14ac:dyDescent="0.2">
      <c r="B21" s="243" t="s">
        <v>335</v>
      </c>
      <c r="C21" s="359">
        <v>8132</v>
      </c>
      <c r="D21" s="359">
        <v>2582</v>
      </c>
      <c r="E21" s="359">
        <v>2727</v>
      </c>
      <c r="F21" s="359">
        <v>13514</v>
      </c>
      <c r="G21" s="359">
        <v>50796</v>
      </c>
      <c r="H21" s="500">
        <f t="shared" ref="H21:H22" si="4">SUM(C21:G21)</f>
        <v>77751</v>
      </c>
      <c r="I21" s="324"/>
    </row>
    <row r="22" spans="1:24" x14ac:dyDescent="0.2">
      <c r="B22" s="239" t="s">
        <v>334</v>
      </c>
      <c r="C22" s="360">
        <v>9082</v>
      </c>
      <c r="D22" s="360">
        <v>3631</v>
      </c>
      <c r="E22" s="360">
        <v>3414</v>
      </c>
      <c r="F22" s="360">
        <v>9987</v>
      </c>
      <c r="G22" s="360">
        <v>46657</v>
      </c>
      <c r="H22" s="501">
        <f t="shared" si="4"/>
        <v>72771</v>
      </c>
      <c r="I22" s="324"/>
      <c r="X22">
        <v>2656</v>
      </c>
    </row>
    <row r="23" spans="1:24" x14ac:dyDescent="0.2">
      <c r="C23" s="345"/>
      <c r="D23" s="345"/>
      <c r="E23" s="345"/>
      <c r="F23" s="345"/>
      <c r="G23" s="345"/>
      <c r="H23" s="345"/>
      <c r="X23">
        <v>74487</v>
      </c>
    </row>
    <row r="24" spans="1:24" x14ac:dyDescent="0.2">
      <c r="C24" s="345"/>
      <c r="D24" s="345"/>
      <c r="E24" s="345"/>
      <c r="F24" s="345"/>
      <c r="G24" s="345"/>
      <c r="H24" s="345"/>
      <c r="X24">
        <v>62</v>
      </c>
    </row>
    <row r="25" spans="1:24" x14ac:dyDescent="0.2">
      <c r="X25">
        <f>216+300</f>
        <v>516</v>
      </c>
    </row>
    <row r="26" spans="1:24" x14ac:dyDescent="0.2">
      <c r="L26" s="327"/>
    </row>
    <row r="27" spans="1:24" x14ac:dyDescent="0.2">
      <c r="A27" s="327"/>
    </row>
    <row r="59" spans="10:10" x14ac:dyDescent="0.2">
      <c r="J59" s="231">
        <f>+J58-G12</f>
        <v>-72771</v>
      </c>
    </row>
  </sheetData>
  <sheetProtection algorithmName="SHA-512" hashValue="E55kFCufXQdN956QupPSb/7yl2mZ/AFgNtT++Qi4LRfYX1g2Gd+yAWYAeC26z2xBQxVknuwRn52jujeVjZ3gqg==" saltValue="x6i7M+wZZEN3eqvdiSidig==" spinCount="100000" sheet="1" objects="1" scenarios="1"/>
  <mergeCells count="4">
    <mergeCell ref="G18:H18"/>
    <mergeCell ref="E5:F5"/>
    <mergeCell ref="G4:H5"/>
    <mergeCell ref="C5:D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2:S38"/>
  <sheetViews>
    <sheetView showGridLines="0" zoomScaleNormal="100" workbookViewId="0">
      <selection activeCell="F29" sqref="F29"/>
    </sheetView>
  </sheetViews>
  <sheetFormatPr baseColWidth="10" defaultRowHeight="12.75" x14ac:dyDescent="0.2"/>
  <cols>
    <col min="2" max="2" width="44.42578125" customWidth="1"/>
    <col min="3" max="3" width="21.5703125" customWidth="1"/>
    <col min="4" max="4" width="18.28515625" customWidth="1"/>
    <col min="5" max="5" width="16.7109375" customWidth="1"/>
    <col min="6" max="6" width="17.5703125" customWidth="1"/>
    <col min="7" max="7" width="14.140625" customWidth="1"/>
    <col min="8" max="8" width="18.42578125" customWidth="1"/>
    <col min="11" max="11" width="27.42578125" customWidth="1"/>
  </cols>
  <sheetData>
    <row r="2" spans="1:19" ht="18.75" x14ac:dyDescent="0.3">
      <c r="B2" s="295" t="s">
        <v>363</v>
      </c>
      <c r="C2" s="291"/>
      <c r="D2" s="292"/>
      <c r="E2" s="292"/>
      <c r="F2" s="292"/>
      <c r="G2" s="292"/>
      <c r="H2" s="396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x14ac:dyDescent="0.2">
      <c r="B3" s="234" t="s">
        <v>247</v>
      </c>
      <c r="C3" s="234"/>
      <c r="D3" s="254"/>
      <c r="E3" s="254"/>
      <c r="F3" s="254"/>
      <c r="G3" s="254"/>
    </row>
    <row r="4" spans="1:19" ht="18.75" customHeight="1" x14ac:dyDescent="0.2">
      <c r="B4" s="18"/>
      <c r="C4" s="18"/>
      <c r="D4" s="18"/>
      <c r="E4" s="575" t="s">
        <v>355</v>
      </c>
      <c r="F4" s="575" t="s">
        <v>359</v>
      </c>
    </row>
    <row r="5" spans="1:19" ht="13.5" customHeight="1" x14ac:dyDescent="0.2">
      <c r="A5" s="391"/>
      <c r="B5" s="18" t="s">
        <v>360</v>
      </c>
      <c r="C5" s="18" t="s">
        <v>358</v>
      </c>
      <c r="D5" s="18" t="s">
        <v>254</v>
      </c>
      <c r="E5" s="576"/>
      <c r="F5" s="576"/>
      <c r="G5" s="62" t="s">
        <v>361</v>
      </c>
    </row>
    <row r="6" spans="1:19" x14ac:dyDescent="0.2">
      <c r="A6" s="391"/>
      <c r="B6" s="392" t="s">
        <v>286</v>
      </c>
      <c r="C6" s="393">
        <v>12253</v>
      </c>
      <c r="D6" s="393">
        <v>11452</v>
      </c>
      <c r="E6" s="393">
        <v>-124</v>
      </c>
      <c r="F6" s="393">
        <v>-14</v>
      </c>
      <c r="G6" s="135">
        <v>5</v>
      </c>
      <c r="I6" s="358"/>
      <c r="J6" s="18"/>
      <c r="K6" s="352"/>
    </row>
    <row r="7" spans="1:19" x14ac:dyDescent="0.2">
      <c r="A7" s="391"/>
      <c r="B7" s="243" t="s">
        <v>287</v>
      </c>
      <c r="C7" s="325">
        <v>3214</v>
      </c>
      <c r="D7" s="325">
        <v>2962</v>
      </c>
      <c r="E7" s="325">
        <v>-40</v>
      </c>
      <c r="F7" s="325">
        <v>-2</v>
      </c>
      <c r="G7">
        <v>15</v>
      </c>
      <c r="I7" s="18"/>
      <c r="J7" s="352"/>
      <c r="K7" s="352"/>
    </row>
    <row r="8" spans="1:19" x14ac:dyDescent="0.2">
      <c r="A8" s="391"/>
      <c r="B8" s="243" t="s">
        <v>288</v>
      </c>
      <c r="C8" s="325">
        <v>4742</v>
      </c>
      <c r="D8" s="325">
        <v>4228</v>
      </c>
      <c r="E8" s="325">
        <f>-17-1-2</f>
        <v>-20</v>
      </c>
      <c r="F8" s="325">
        <v>-1</v>
      </c>
      <c r="G8">
        <v>6</v>
      </c>
      <c r="I8" s="18"/>
      <c r="J8" s="352"/>
      <c r="K8" s="18"/>
    </row>
    <row r="9" spans="1:19" x14ac:dyDescent="0.2">
      <c r="A9" s="391"/>
      <c r="B9" s="243" t="s">
        <v>268</v>
      </c>
      <c r="C9" s="325">
        <v>2880</v>
      </c>
      <c r="D9" s="325">
        <v>2283</v>
      </c>
      <c r="E9" s="325">
        <f>-53-5</f>
        <v>-58</v>
      </c>
      <c r="F9" s="325">
        <v>-5</v>
      </c>
      <c r="G9">
        <v>-76</v>
      </c>
      <c r="I9" s="18"/>
      <c r="J9" s="352"/>
    </row>
    <row r="10" spans="1:19" x14ac:dyDescent="0.2">
      <c r="A10" s="391"/>
      <c r="B10" s="243" t="s">
        <v>289</v>
      </c>
      <c r="C10" s="325">
        <v>1355</v>
      </c>
      <c r="D10" s="325">
        <v>1287</v>
      </c>
      <c r="E10" s="325">
        <f>-20-1</f>
        <v>-21</v>
      </c>
      <c r="F10" s="525">
        <v>0</v>
      </c>
      <c r="G10">
        <v>3</v>
      </c>
      <c r="I10" s="18"/>
      <c r="J10" s="352"/>
    </row>
    <row r="11" spans="1:19" x14ac:dyDescent="0.2">
      <c r="A11" s="391"/>
      <c r="B11" s="243" t="s">
        <v>290</v>
      </c>
      <c r="C11" s="325">
        <v>2992</v>
      </c>
      <c r="D11" s="325">
        <v>2621</v>
      </c>
      <c r="E11" s="325">
        <f>-32-7-8</f>
        <v>-47</v>
      </c>
      <c r="F11" s="325">
        <v>-6</v>
      </c>
      <c r="G11" s="1">
        <v>11</v>
      </c>
      <c r="I11" s="18"/>
      <c r="J11" s="352"/>
    </row>
    <row r="12" spans="1:19" x14ac:dyDescent="0.2">
      <c r="A12" s="391"/>
      <c r="B12" s="243" t="s">
        <v>291</v>
      </c>
      <c r="C12" s="325">
        <v>535</v>
      </c>
      <c r="D12" s="325">
        <v>134</v>
      </c>
      <c r="E12" s="524">
        <v>0</v>
      </c>
      <c r="F12" s="524">
        <v>0</v>
      </c>
      <c r="G12" s="524">
        <v>0</v>
      </c>
      <c r="H12" s="324"/>
      <c r="I12" s="243"/>
    </row>
    <row r="13" spans="1:19" x14ac:dyDescent="0.2">
      <c r="A13" s="391"/>
      <c r="B13" s="243" t="s">
        <v>269</v>
      </c>
      <c r="C13" s="325">
        <v>52015</v>
      </c>
      <c r="D13" s="325">
        <v>49553</v>
      </c>
      <c r="E13" s="325">
        <v>-118</v>
      </c>
      <c r="F13" s="524">
        <v>0</v>
      </c>
      <c r="G13">
        <v>25</v>
      </c>
      <c r="I13" s="18"/>
      <c r="J13" s="352"/>
    </row>
    <row r="14" spans="1:19" x14ac:dyDescent="0.2">
      <c r="A14" s="391"/>
      <c r="B14" s="243" t="s">
        <v>292</v>
      </c>
      <c r="C14" s="325">
        <v>2496</v>
      </c>
      <c r="D14" s="325">
        <v>2101</v>
      </c>
      <c r="E14" s="325">
        <f>-24-2-8</f>
        <v>-34</v>
      </c>
      <c r="F14" s="325">
        <v>-3</v>
      </c>
      <c r="G14">
        <v>-5</v>
      </c>
      <c r="I14" s="18"/>
      <c r="J14" s="352"/>
    </row>
    <row r="15" spans="1:19" x14ac:dyDescent="0.2">
      <c r="A15" s="391"/>
      <c r="B15" s="243" t="s">
        <v>293</v>
      </c>
      <c r="C15" s="325">
        <v>3578</v>
      </c>
      <c r="D15" s="325">
        <v>3514</v>
      </c>
      <c r="E15" s="325">
        <f>-17-4</f>
        <v>-21</v>
      </c>
      <c r="F15" s="325">
        <v>-2</v>
      </c>
      <c r="G15">
        <v>3</v>
      </c>
      <c r="I15" s="18"/>
      <c r="J15" s="352"/>
    </row>
    <row r="16" spans="1:19" x14ac:dyDescent="0.2">
      <c r="A16" s="391"/>
      <c r="B16" s="243" t="s">
        <v>294</v>
      </c>
      <c r="C16" s="325">
        <v>2448</v>
      </c>
      <c r="D16" s="325">
        <v>2010</v>
      </c>
      <c r="E16" s="325">
        <f>-25-2-1</f>
        <v>-28</v>
      </c>
      <c r="F16" s="325">
        <v>-2</v>
      </c>
      <c r="G16">
        <v>16</v>
      </c>
      <c r="I16" s="18"/>
      <c r="J16" s="352"/>
    </row>
    <row r="17" spans="1:12" x14ac:dyDescent="0.2">
      <c r="A17" s="391"/>
      <c r="B17" s="243" t="s">
        <v>265</v>
      </c>
      <c r="C17" s="325"/>
      <c r="D17" s="325"/>
      <c r="E17" s="325"/>
      <c r="F17" s="325"/>
      <c r="G17">
        <v>19</v>
      </c>
      <c r="I17" s="18"/>
      <c r="J17" s="352"/>
    </row>
    <row r="18" spans="1:12" x14ac:dyDescent="0.2">
      <c r="A18" s="391"/>
      <c r="B18" s="394" t="s">
        <v>226</v>
      </c>
      <c r="C18" s="474">
        <f t="shared" ref="C18:E18" si="0">SUM(C6:C17)</f>
        <v>88508</v>
      </c>
      <c r="D18" s="474">
        <f t="shared" si="0"/>
        <v>82145</v>
      </c>
      <c r="E18" s="474">
        <f t="shared" si="0"/>
        <v>-511</v>
      </c>
      <c r="F18" s="474">
        <f>SUM(F6:F17)</f>
        <v>-35</v>
      </c>
      <c r="G18" s="474">
        <f>SUM(G6:G17)</f>
        <v>22</v>
      </c>
    </row>
    <row r="19" spans="1:12" x14ac:dyDescent="0.2">
      <c r="A19" s="391"/>
      <c r="B19" s="388"/>
      <c r="C19" s="389"/>
      <c r="D19" s="389"/>
      <c r="E19" s="389"/>
      <c r="F19" s="389"/>
      <c r="G19" s="389"/>
      <c r="H19" s="390"/>
      <c r="I19" s="18"/>
      <c r="J19" s="352"/>
      <c r="K19" s="18"/>
      <c r="L19" s="352"/>
    </row>
    <row r="20" spans="1:12" x14ac:dyDescent="0.2">
      <c r="D20" s="18"/>
      <c r="E20" s="18"/>
      <c r="F20" s="18"/>
      <c r="G20" s="18"/>
      <c r="H20" s="18"/>
      <c r="K20" s="18"/>
      <c r="L20" s="352"/>
    </row>
    <row r="21" spans="1:12" ht="15" x14ac:dyDescent="0.2">
      <c r="B21" s="395" t="s">
        <v>362</v>
      </c>
      <c r="D21" s="18"/>
      <c r="E21" s="18"/>
      <c r="F21" s="18"/>
      <c r="G21" s="18"/>
      <c r="H21" s="18"/>
      <c r="K21" s="18"/>
      <c r="L21" s="18"/>
    </row>
    <row r="22" spans="1:12" x14ac:dyDescent="0.2">
      <c r="D22" s="18"/>
      <c r="E22" s="18"/>
      <c r="F22" s="18"/>
      <c r="G22" s="18"/>
      <c r="H22" s="18"/>
    </row>
    <row r="23" spans="1:12" x14ac:dyDescent="0.2">
      <c r="D23" s="18"/>
      <c r="E23" s="363"/>
      <c r="F23" s="363"/>
      <c r="G23" s="363"/>
      <c r="H23" s="18"/>
    </row>
    <row r="24" spans="1:12" x14ac:dyDescent="0.2">
      <c r="D24" s="18"/>
      <c r="E24" s="18"/>
      <c r="F24" s="18"/>
      <c r="G24" s="18"/>
      <c r="H24" s="18"/>
    </row>
    <row r="31" spans="1:12" x14ac:dyDescent="0.2">
      <c r="I31" s="324"/>
    </row>
    <row r="38" spans="13:13" x14ac:dyDescent="0.2">
      <c r="M38" s="345"/>
    </row>
  </sheetData>
  <sheetProtection algorithmName="SHA-512" hashValue="6biuh0nCQWaFe3HMRXQTxeCPnUm9PESQJDS0tJy+BY3oagCq4PzET40ggRWWJ1nDT4Zuo/QaHR63YJHETRr/HA==" saltValue="zNWo66an27m7j1mCrecg4w==" spinCount="100000" sheet="1" objects="1" scenarios="1"/>
  <mergeCells count="2">
    <mergeCell ref="F4:F5"/>
    <mergeCell ref="E4:E5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B2:R133"/>
  <sheetViews>
    <sheetView showGridLines="0" zoomScaleNormal="100" workbookViewId="0">
      <selection activeCell="D22" sqref="D22"/>
    </sheetView>
  </sheetViews>
  <sheetFormatPr baseColWidth="10" defaultRowHeight="12.75" x14ac:dyDescent="0.2"/>
  <cols>
    <col min="2" max="2" width="54.28515625" customWidth="1"/>
    <col min="3" max="3" width="11.85546875" bestFit="1" customWidth="1"/>
    <col min="6" max="6" width="11.85546875" customWidth="1"/>
    <col min="13" max="13" width="17" bestFit="1" customWidth="1"/>
  </cols>
  <sheetData>
    <row r="2" spans="2:18" ht="18.75" x14ac:dyDescent="0.3">
      <c r="B2" s="295" t="s">
        <v>477</v>
      </c>
      <c r="C2" s="292"/>
      <c r="D2" s="292"/>
      <c r="E2" s="292"/>
      <c r="F2" s="292"/>
      <c r="G2" s="292"/>
      <c r="H2" s="292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2:18" x14ac:dyDescent="0.2">
      <c r="B3" s="234" t="s">
        <v>247</v>
      </c>
      <c r="C3" s="20"/>
      <c r="D3" s="20"/>
      <c r="E3" s="20"/>
      <c r="F3" s="20"/>
      <c r="G3" s="20"/>
      <c r="H3" s="20"/>
    </row>
    <row r="4" spans="2:18" ht="15.75" x14ac:dyDescent="0.25">
      <c r="B4" s="185"/>
      <c r="C4" s="20"/>
      <c r="D4" s="20"/>
      <c r="E4" s="20"/>
      <c r="F4" s="20"/>
      <c r="G4" s="20"/>
      <c r="H4" s="20"/>
    </row>
    <row r="5" spans="2:18" ht="15.75" x14ac:dyDescent="0.25">
      <c r="B5" s="185"/>
      <c r="C5" s="20"/>
      <c r="D5" s="20"/>
      <c r="E5" s="20"/>
      <c r="F5" s="20"/>
      <c r="G5" s="20"/>
      <c r="H5" s="20"/>
    </row>
    <row r="6" spans="2:18" ht="15.75" x14ac:dyDescent="0.25">
      <c r="B6" s="255" t="s">
        <v>452</v>
      </c>
      <c r="C6" s="255"/>
      <c r="D6" s="254"/>
      <c r="E6" s="254"/>
      <c r="F6" s="254"/>
      <c r="G6" s="254"/>
      <c r="H6" s="254"/>
    </row>
    <row r="7" spans="2:18" ht="15.75" x14ac:dyDescent="0.25">
      <c r="B7" s="374"/>
      <c r="C7" s="255"/>
      <c r="D7" s="254"/>
      <c r="E7" s="254"/>
      <c r="F7" s="254"/>
      <c r="G7" s="254"/>
    </row>
    <row r="8" spans="2:18" x14ac:dyDescent="0.2">
      <c r="B8" s="397" t="s">
        <v>50</v>
      </c>
      <c r="C8" s="402" t="s">
        <v>226</v>
      </c>
      <c r="D8" s="403" t="s">
        <v>340</v>
      </c>
      <c r="E8" s="403" t="s">
        <v>341</v>
      </c>
      <c r="F8" s="403" t="s">
        <v>364</v>
      </c>
      <c r="G8" s="254"/>
    </row>
    <row r="9" spans="2:18" x14ac:dyDescent="0.2">
      <c r="B9" s="502" t="s">
        <v>450</v>
      </c>
      <c r="C9" s="406">
        <f>+SUM(D9:F9)</f>
        <v>77283</v>
      </c>
      <c r="D9" s="401">
        <v>909</v>
      </c>
      <c r="E9" s="401">
        <v>4979</v>
      </c>
      <c r="F9" s="401">
        <v>71395</v>
      </c>
      <c r="G9" s="431"/>
    </row>
    <row r="10" spans="2:18" x14ac:dyDescent="0.2">
      <c r="B10" s="400"/>
      <c r="C10" s="254"/>
      <c r="D10" s="254"/>
      <c r="E10" s="254"/>
      <c r="F10" s="254"/>
      <c r="G10" s="254"/>
    </row>
    <row r="11" spans="2:18" x14ac:dyDescent="0.2">
      <c r="B11" s="400" t="s">
        <v>365</v>
      </c>
      <c r="C11" s="254"/>
      <c r="D11" s="254"/>
      <c r="E11" s="254"/>
      <c r="F11" s="254"/>
      <c r="G11" s="254"/>
    </row>
    <row r="12" spans="2:18" x14ac:dyDescent="0.2">
      <c r="B12" s="404" t="s">
        <v>366</v>
      </c>
      <c r="C12" s="526">
        <f>+D12+E12+F12</f>
        <v>0</v>
      </c>
      <c r="D12" s="366">
        <v>-27</v>
      </c>
      <c r="E12" s="366">
        <v>-1821</v>
      </c>
      <c r="F12" s="366">
        <v>1848</v>
      </c>
      <c r="G12" s="254"/>
    </row>
    <row r="13" spans="2:18" x14ac:dyDescent="0.2">
      <c r="B13" s="404" t="s">
        <v>367</v>
      </c>
      <c r="C13" s="526">
        <f>+D13+E13+F13</f>
        <v>0</v>
      </c>
      <c r="D13" s="366">
        <v>-369</v>
      </c>
      <c r="E13" s="366">
        <v>2893</v>
      </c>
      <c r="F13" s="366">
        <v>-2524</v>
      </c>
      <c r="G13" s="254"/>
    </row>
    <row r="14" spans="2:18" x14ac:dyDescent="0.2">
      <c r="B14" s="404" t="s">
        <v>368</v>
      </c>
      <c r="C14" s="526">
        <f>+D14+E14+F14</f>
        <v>0</v>
      </c>
      <c r="D14" s="366">
        <v>167</v>
      </c>
      <c r="E14" s="366">
        <v>-75</v>
      </c>
      <c r="F14" s="366">
        <v>-92</v>
      </c>
      <c r="G14" s="254"/>
    </row>
    <row r="15" spans="2:18" x14ac:dyDescent="0.2">
      <c r="B15" s="404"/>
      <c r="C15" s="366"/>
      <c r="D15" s="366"/>
      <c r="E15" s="366"/>
      <c r="F15" s="366"/>
      <c r="G15" s="254"/>
    </row>
    <row r="16" spans="2:18" x14ac:dyDescent="0.2">
      <c r="B16" s="400" t="s">
        <v>383</v>
      </c>
      <c r="C16" s="366">
        <f>+D16+E16+F16</f>
        <v>-6629</v>
      </c>
      <c r="D16" s="366">
        <v>-25</v>
      </c>
      <c r="E16" s="366">
        <v>-428</v>
      </c>
      <c r="F16" s="366">
        <v>-6176</v>
      </c>
      <c r="G16" s="254"/>
    </row>
    <row r="17" spans="2:7" x14ac:dyDescent="0.2">
      <c r="B17" s="400" t="s">
        <v>382</v>
      </c>
      <c r="C17" s="366">
        <f>+D17+E17+F17</f>
        <v>8198</v>
      </c>
      <c r="D17" s="366">
        <v>-143</v>
      </c>
      <c r="E17" s="366">
        <v>194</v>
      </c>
      <c r="F17" s="366">
        <v>8147</v>
      </c>
      <c r="G17" s="254"/>
    </row>
    <row r="18" spans="2:7" x14ac:dyDescent="0.2">
      <c r="B18" s="527" t="s">
        <v>384</v>
      </c>
      <c r="C18" s="528">
        <f>+SUM(D18:F18)</f>
        <v>78852</v>
      </c>
      <c r="D18" s="373">
        <f>SUM(D9:D17)</f>
        <v>512</v>
      </c>
      <c r="E18" s="373">
        <f t="shared" ref="E18:F18" si="0">SUM(E9:E17)</f>
        <v>5742</v>
      </c>
      <c r="F18" s="373">
        <f t="shared" si="0"/>
        <v>72598</v>
      </c>
      <c r="G18" s="254"/>
    </row>
    <row r="19" spans="2:7" x14ac:dyDescent="0.2">
      <c r="B19" s="400" t="s">
        <v>381</v>
      </c>
      <c r="C19" s="366">
        <v>9656</v>
      </c>
      <c r="D19" s="366"/>
      <c r="E19" s="366"/>
      <c r="F19" s="366"/>
      <c r="G19" s="254"/>
    </row>
    <row r="20" spans="2:7" x14ac:dyDescent="0.2">
      <c r="B20" s="527" t="s">
        <v>451</v>
      </c>
      <c r="C20" s="528">
        <f>SUM(C18:C19)</f>
        <v>88508</v>
      </c>
      <c r="D20" s="529">
        <f t="shared" ref="D20:F20" si="1">SUM(D18:D19)</f>
        <v>512</v>
      </c>
      <c r="E20" s="529">
        <f t="shared" si="1"/>
        <v>5742</v>
      </c>
      <c r="F20" s="529">
        <f t="shared" si="1"/>
        <v>72598</v>
      </c>
      <c r="G20" s="254"/>
    </row>
    <row r="21" spans="2:7" x14ac:dyDescent="0.2">
      <c r="B21" s="400"/>
      <c r="C21" s="504"/>
      <c r="D21" s="389"/>
      <c r="E21" s="389"/>
      <c r="F21" s="389"/>
      <c r="G21" s="254"/>
    </row>
    <row r="22" spans="2:7" x14ac:dyDescent="0.2">
      <c r="B22" s="400" t="s">
        <v>385</v>
      </c>
      <c r="C22" s="366">
        <v>-6363</v>
      </c>
      <c r="D22" s="366">
        <v>-16</v>
      </c>
      <c r="E22" s="366">
        <v>-814</v>
      </c>
      <c r="F22" s="366">
        <v>-5533</v>
      </c>
      <c r="G22" s="254"/>
    </row>
    <row r="23" spans="2:7" x14ac:dyDescent="0.2">
      <c r="B23" s="405" t="s">
        <v>386</v>
      </c>
      <c r="C23" s="406">
        <f>+C20+C22</f>
        <v>82145</v>
      </c>
      <c r="D23" s="432">
        <f t="shared" ref="D23:F23" si="2">+D20+D22</f>
        <v>496</v>
      </c>
      <c r="E23" s="432">
        <f t="shared" si="2"/>
        <v>4928</v>
      </c>
      <c r="F23" s="432">
        <f t="shared" si="2"/>
        <v>67065</v>
      </c>
      <c r="G23" s="254"/>
    </row>
    <row r="24" spans="2:7" x14ac:dyDescent="0.2">
      <c r="B24" s="484"/>
      <c r="C24" s="504"/>
      <c r="D24" s="505"/>
      <c r="E24" s="505"/>
      <c r="F24" s="505"/>
      <c r="G24" s="254"/>
    </row>
    <row r="25" spans="2:7" x14ac:dyDescent="0.2">
      <c r="B25" s="503" t="s">
        <v>453</v>
      </c>
      <c r="C25" s="486">
        <f>SUM(D25:F25)</f>
        <v>1</v>
      </c>
      <c r="D25" s="485">
        <f>D9/$C$9</f>
        <v>1.1761965762198673E-2</v>
      </c>
      <c r="E25" s="485">
        <f t="shared" ref="E25" si="3">E9/$C$9</f>
        <v>6.4425552838269742E-2</v>
      </c>
      <c r="F25" s="485">
        <f>F9/$C$9</f>
        <v>0.92381248139953154</v>
      </c>
      <c r="G25" s="254"/>
    </row>
    <row r="26" spans="2:7" x14ac:dyDescent="0.2">
      <c r="B26" s="484" t="s">
        <v>436</v>
      </c>
      <c r="C26" s="486">
        <f>SUM(D26:F26)</f>
        <v>1</v>
      </c>
      <c r="D26" s="485">
        <f>D20/$C$18</f>
        <v>6.4931770912595747E-3</v>
      </c>
      <c r="E26" s="485">
        <f t="shared" ref="E26:F26" si="4">E20/$C$18</f>
        <v>7.2819966519555621E-2</v>
      </c>
      <c r="F26" s="485">
        <f t="shared" si="4"/>
        <v>0.92068685638918479</v>
      </c>
      <c r="G26" s="254"/>
    </row>
    <row r="27" spans="2:7" ht="15" x14ac:dyDescent="0.2">
      <c r="B27" s="386"/>
      <c r="C27" s="386"/>
      <c r="D27" s="386"/>
      <c r="E27" s="386"/>
      <c r="F27" s="254"/>
      <c r="G27" s="254"/>
    </row>
    <row r="28" spans="2:7" ht="15" x14ac:dyDescent="0.2">
      <c r="B28" s="386"/>
      <c r="C28" s="386"/>
      <c r="D28" s="386"/>
      <c r="E28" s="386"/>
      <c r="F28" s="254"/>
      <c r="G28" s="254"/>
    </row>
    <row r="29" spans="2:7" ht="15.75" x14ac:dyDescent="0.25">
      <c r="B29" s="255" t="s">
        <v>476</v>
      </c>
      <c r="C29" s="386"/>
      <c r="D29" s="386"/>
      <c r="E29" s="386"/>
      <c r="F29" s="254"/>
      <c r="G29" s="254"/>
    </row>
    <row r="30" spans="2:7" ht="15.75" x14ac:dyDescent="0.25">
      <c r="B30" s="255"/>
      <c r="C30" s="386"/>
      <c r="D30" s="386"/>
      <c r="E30" s="386"/>
      <c r="F30" s="254"/>
      <c r="G30" s="254"/>
    </row>
    <row r="31" spans="2:7" ht="51" x14ac:dyDescent="0.2">
      <c r="B31" s="530" t="s">
        <v>478</v>
      </c>
      <c r="C31" s="534" t="s">
        <v>466</v>
      </c>
      <c r="D31" s="534" t="s">
        <v>467</v>
      </c>
      <c r="E31" s="534" t="s">
        <v>479</v>
      </c>
      <c r="F31" s="534" t="s">
        <v>480</v>
      </c>
      <c r="G31" s="254"/>
    </row>
    <row r="32" spans="2:7" x14ac:dyDescent="0.2">
      <c r="B32" s="531"/>
      <c r="C32" s="535"/>
      <c r="D32" s="535"/>
      <c r="E32" s="535"/>
      <c r="F32" s="537"/>
      <c r="G32" s="254"/>
    </row>
    <row r="33" spans="2:11" x14ac:dyDescent="0.2">
      <c r="B33" s="532"/>
      <c r="C33" s="536" t="s">
        <v>364</v>
      </c>
      <c r="D33" s="536" t="s">
        <v>341</v>
      </c>
      <c r="E33" s="536" t="s">
        <v>340</v>
      </c>
      <c r="F33" s="538" t="s">
        <v>468</v>
      </c>
      <c r="G33" s="254"/>
    </row>
    <row r="34" spans="2:11" x14ac:dyDescent="0.2">
      <c r="B34" s="533" t="s">
        <v>469</v>
      </c>
      <c r="C34" s="366">
        <f>9+2</f>
        <v>11</v>
      </c>
      <c r="D34" s="366">
        <v>0</v>
      </c>
      <c r="E34" s="366"/>
      <c r="F34" s="539">
        <f t="shared" ref="F34:F39" si="5">SUM(C34:E34)</f>
        <v>11</v>
      </c>
      <c r="G34" s="254"/>
    </row>
    <row r="35" spans="2:11" x14ac:dyDescent="0.2">
      <c r="B35" s="533" t="s">
        <v>470</v>
      </c>
      <c r="C35" s="366">
        <f>22+4</f>
        <v>26</v>
      </c>
      <c r="D35" s="366">
        <v>2</v>
      </c>
      <c r="E35" s="366"/>
      <c r="F35" s="539">
        <f t="shared" si="5"/>
        <v>28</v>
      </c>
      <c r="G35" s="254"/>
    </row>
    <row r="36" spans="2:11" x14ac:dyDescent="0.2">
      <c r="B36" s="533" t="s">
        <v>471</v>
      </c>
      <c r="C36" s="366">
        <f>87+8</f>
        <v>95</v>
      </c>
      <c r="D36" s="366">
        <f>53+5</f>
        <v>58</v>
      </c>
      <c r="E36" s="366"/>
      <c r="F36" s="539">
        <f t="shared" si="5"/>
        <v>153</v>
      </c>
      <c r="G36" s="254"/>
    </row>
    <row r="37" spans="2:11" x14ac:dyDescent="0.2">
      <c r="B37" s="533" t="s">
        <v>472</v>
      </c>
      <c r="C37" s="366">
        <f>35+3</f>
        <v>38</v>
      </c>
      <c r="D37" s="366">
        <f>38+2</f>
        <v>40</v>
      </c>
      <c r="E37" s="366"/>
      <c r="F37" s="539">
        <f t="shared" si="5"/>
        <v>78</v>
      </c>
      <c r="G37" s="254"/>
    </row>
    <row r="38" spans="2:11" x14ac:dyDescent="0.2">
      <c r="B38" s="533" t="s">
        <v>473</v>
      </c>
      <c r="C38" s="366">
        <f>35+3</f>
        <v>38</v>
      </c>
      <c r="D38" s="366">
        <f>56+16</f>
        <v>72</v>
      </c>
      <c r="E38" s="366"/>
      <c r="F38" s="539">
        <f t="shared" si="5"/>
        <v>110</v>
      </c>
      <c r="G38" s="254"/>
    </row>
    <row r="39" spans="2:11" x14ac:dyDescent="0.2">
      <c r="B39" s="533" t="s">
        <v>474</v>
      </c>
      <c r="C39" s="366"/>
      <c r="D39" s="366"/>
      <c r="E39" s="366">
        <v>166</v>
      </c>
      <c r="F39" s="539">
        <f t="shared" si="5"/>
        <v>166</v>
      </c>
      <c r="G39" s="254"/>
    </row>
    <row r="40" spans="2:11" x14ac:dyDescent="0.2">
      <c r="B40" s="545" t="s">
        <v>226</v>
      </c>
      <c r="C40" s="546">
        <f>SUM(C34:C38)</f>
        <v>208</v>
      </c>
      <c r="D40" s="377">
        <f>SUM(D34:D38)</f>
        <v>172</v>
      </c>
      <c r="E40" s="547">
        <f>SUM(E34:E39)</f>
        <v>166</v>
      </c>
      <c r="F40" s="548">
        <f>SUM(F34:F39)</f>
        <v>546</v>
      </c>
      <c r="G40" s="254"/>
    </row>
    <row r="41" spans="2:11" x14ac:dyDescent="0.2">
      <c r="B41" s="544" t="s">
        <v>475</v>
      </c>
      <c r="C41" s="541">
        <f>C40/F40</f>
        <v>0.38095238095238093</v>
      </c>
      <c r="D41" s="542">
        <f>D40/F40</f>
        <v>0.31501831501831501</v>
      </c>
      <c r="E41" s="543">
        <f>E40/F40</f>
        <v>0.304029304029304</v>
      </c>
      <c r="F41" s="540">
        <f>SUM(C41:E41)</f>
        <v>1</v>
      </c>
      <c r="G41" s="254"/>
    </row>
    <row r="42" spans="2:11" ht="15" x14ac:dyDescent="0.2">
      <c r="B42" s="386"/>
      <c r="C42" s="386"/>
      <c r="D42" s="386"/>
      <c r="E42" s="386"/>
      <c r="F42" s="254"/>
      <c r="G42" s="254"/>
    </row>
    <row r="43" spans="2:11" ht="15" x14ac:dyDescent="0.2">
      <c r="B43" s="386"/>
      <c r="C43" s="386"/>
      <c r="D43" s="386"/>
      <c r="E43" s="386"/>
      <c r="F43" s="254"/>
      <c r="G43" s="254"/>
    </row>
    <row r="44" spans="2:11" ht="15" x14ac:dyDescent="0.2">
      <c r="B44" s="386"/>
      <c r="C44" s="386"/>
      <c r="D44" s="386"/>
      <c r="E44" s="386"/>
      <c r="F44" s="254"/>
      <c r="G44" s="254"/>
    </row>
    <row r="45" spans="2:11" ht="15" x14ac:dyDescent="0.2">
      <c r="B45" s="386"/>
      <c r="C45" s="386"/>
      <c r="D45" s="386"/>
      <c r="E45" s="386"/>
      <c r="F45" s="254"/>
      <c r="G45" s="254"/>
    </row>
    <row r="46" spans="2:11" ht="15.75" x14ac:dyDescent="0.25">
      <c r="B46" s="255" t="s">
        <v>262</v>
      </c>
      <c r="C46" s="255"/>
      <c r="D46" s="254"/>
      <c r="E46" s="254"/>
      <c r="F46" s="254"/>
      <c r="G46" s="254"/>
    </row>
    <row r="47" spans="2:11" ht="15.75" x14ac:dyDescent="0.25">
      <c r="B47" s="255"/>
      <c r="C47" s="255"/>
      <c r="D47" s="254"/>
      <c r="E47" s="254"/>
      <c r="F47" s="254"/>
      <c r="G47" s="254"/>
    </row>
    <row r="48" spans="2:11" ht="15.75" x14ac:dyDescent="0.25">
      <c r="B48" s="255"/>
      <c r="C48" s="255"/>
      <c r="D48" s="254"/>
      <c r="E48" s="254"/>
      <c r="F48" s="254"/>
      <c r="G48" s="254"/>
      <c r="H48" s="254"/>
      <c r="K48" s="327"/>
    </row>
    <row r="49" spans="2:16" x14ac:dyDescent="0.2">
      <c r="B49" s="397" t="s">
        <v>50</v>
      </c>
      <c r="C49" s="378">
        <v>43465</v>
      </c>
      <c r="D49" s="237">
        <v>43101</v>
      </c>
      <c r="E49" s="237">
        <v>43100</v>
      </c>
      <c r="F49" s="237">
        <v>42735</v>
      </c>
      <c r="G49" s="256">
        <v>42369</v>
      </c>
      <c r="H49" s="256">
        <v>42004</v>
      </c>
      <c r="I49" s="382"/>
      <c r="J49" s="254"/>
      <c r="M49" s="327"/>
    </row>
    <row r="50" spans="2:16" x14ac:dyDescent="0.2">
      <c r="B50" s="434" t="s">
        <v>262</v>
      </c>
      <c r="C50" s="257">
        <v>259</v>
      </c>
      <c r="D50" s="257">
        <v>265</v>
      </c>
      <c r="E50" s="258">
        <v>265</v>
      </c>
      <c r="F50" s="258">
        <v>301</v>
      </c>
      <c r="G50" s="258">
        <v>270</v>
      </c>
      <c r="H50" s="258">
        <v>457</v>
      </c>
      <c r="I50" s="366"/>
    </row>
    <row r="51" spans="2:16" x14ac:dyDescent="0.2">
      <c r="B51" s="236" t="s">
        <v>263</v>
      </c>
      <c r="C51" s="236">
        <v>190</v>
      </c>
      <c r="D51" s="236">
        <v>644</v>
      </c>
      <c r="E51" s="259">
        <v>644</v>
      </c>
      <c r="F51" s="259">
        <v>211</v>
      </c>
      <c r="G51" s="259">
        <v>245</v>
      </c>
      <c r="H51" s="259">
        <v>90</v>
      </c>
      <c r="I51" s="366"/>
      <c r="K51" s="18"/>
      <c r="L51" s="18"/>
      <c r="M51" s="358"/>
      <c r="N51" s="18"/>
      <c r="O51" s="18"/>
      <c r="P51" s="18"/>
    </row>
    <row r="52" spans="2:16" ht="15" x14ac:dyDescent="0.2">
      <c r="B52" s="436" t="s">
        <v>401</v>
      </c>
      <c r="C52" s="475">
        <f>+C50+C51</f>
        <v>449</v>
      </c>
      <c r="D52" s="476">
        <f>+D50+D51</f>
        <v>909</v>
      </c>
      <c r="E52" s="481">
        <f>SUM(E50:E51)</f>
        <v>909</v>
      </c>
      <c r="F52" s="481">
        <f t="shared" ref="F52:H52" si="6">SUM(F50:F51)</f>
        <v>512</v>
      </c>
      <c r="G52" s="481">
        <f t="shared" si="6"/>
        <v>515</v>
      </c>
      <c r="H52" s="481">
        <f t="shared" si="6"/>
        <v>547</v>
      </c>
      <c r="I52" s="483"/>
      <c r="K52" s="18"/>
      <c r="L52" s="18"/>
      <c r="M52" s="18"/>
      <c r="N52" s="18"/>
      <c r="O52" s="18"/>
      <c r="P52" s="18"/>
    </row>
    <row r="53" spans="2:16" x14ac:dyDescent="0.2">
      <c r="B53" s="257"/>
      <c r="C53" s="477"/>
      <c r="D53" s="477"/>
      <c r="E53" s="482"/>
      <c r="F53" s="482"/>
      <c r="G53" s="482"/>
      <c r="H53" s="482"/>
      <c r="I53" s="483"/>
      <c r="K53" s="18"/>
      <c r="L53" s="18"/>
      <c r="M53" s="18"/>
      <c r="N53" s="18"/>
      <c r="O53" s="18"/>
      <c r="P53" s="18"/>
    </row>
    <row r="54" spans="2:16" x14ac:dyDescent="0.2">
      <c r="B54" s="387" t="s">
        <v>387</v>
      </c>
      <c r="C54" s="477">
        <v>166</v>
      </c>
      <c r="D54" s="477">
        <v>368</v>
      </c>
      <c r="E54" s="482"/>
      <c r="F54" s="482"/>
      <c r="G54" s="482"/>
      <c r="H54" s="482"/>
      <c r="I54" s="483"/>
      <c r="K54" s="18"/>
      <c r="L54" s="18"/>
      <c r="M54" s="18"/>
      <c r="N54" s="18"/>
      <c r="O54" s="18"/>
      <c r="P54" s="18"/>
    </row>
    <row r="55" spans="2:16" x14ac:dyDescent="0.2">
      <c r="B55" s="387" t="s">
        <v>388</v>
      </c>
      <c r="C55" s="477"/>
      <c r="D55" s="477"/>
      <c r="E55" s="482">
        <v>57</v>
      </c>
      <c r="F55" s="482">
        <v>93</v>
      </c>
      <c r="G55" s="482">
        <v>69</v>
      </c>
      <c r="H55" s="482">
        <v>218</v>
      </c>
      <c r="I55" s="483"/>
      <c r="K55" s="18"/>
      <c r="L55" s="18"/>
      <c r="M55" s="507"/>
      <c r="N55" s="507"/>
      <c r="O55" s="26"/>
      <c r="P55" s="18"/>
    </row>
    <row r="56" spans="2:16" x14ac:dyDescent="0.2">
      <c r="B56" s="433" t="s">
        <v>389</v>
      </c>
      <c r="C56" s="476"/>
      <c r="D56" s="476"/>
      <c r="E56" s="259">
        <v>254</v>
      </c>
      <c r="F56" s="481">
        <v>123</v>
      </c>
      <c r="G56" s="481">
        <v>162</v>
      </c>
      <c r="H56" s="481">
        <v>-47</v>
      </c>
      <c r="I56" s="483"/>
      <c r="K56" s="18"/>
      <c r="L56" s="18"/>
      <c r="M56" s="18"/>
      <c r="N56" s="18"/>
      <c r="O56" s="18"/>
      <c r="P56" s="18"/>
    </row>
    <row r="57" spans="2:16" x14ac:dyDescent="0.2">
      <c r="B57" s="436" t="s">
        <v>456</v>
      </c>
      <c r="C57" s="478">
        <f>SUM(C54:C56)</f>
        <v>166</v>
      </c>
      <c r="D57" s="479">
        <f t="shared" ref="D57:H57" si="7">SUM(D54:D56)</f>
        <v>368</v>
      </c>
      <c r="E57" s="373">
        <f>SUM(E54:E56)</f>
        <v>311</v>
      </c>
      <c r="F57" s="479">
        <f t="shared" si="7"/>
        <v>216</v>
      </c>
      <c r="G57" s="479">
        <f t="shared" si="7"/>
        <v>231</v>
      </c>
      <c r="H57" s="479">
        <f t="shared" si="7"/>
        <v>171</v>
      </c>
      <c r="I57" s="483"/>
      <c r="K57" s="18"/>
      <c r="L57" s="18"/>
      <c r="M57" s="18"/>
      <c r="N57" s="18"/>
      <c r="O57" s="18"/>
      <c r="P57" s="18"/>
    </row>
    <row r="58" spans="2:16" x14ac:dyDescent="0.2">
      <c r="B58" s="257"/>
      <c r="C58" s="477"/>
      <c r="D58" s="477"/>
      <c r="E58" s="258"/>
      <c r="F58" s="482"/>
      <c r="G58" s="482"/>
      <c r="H58" s="482"/>
      <c r="I58" s="483"/>
      <c r="K58" s="18"/>
      <c r="L58" s="18"/>
      <c r="M58" s="18"/>
      <c r="N58" s="18"/>
      <c r="O58" s="18"/>
      <c r="P58" s="18"/>
    </row>
    <row r="59" spans="2:16" x14ac:dyDescent="0.2">
      <c r="B59" s="433" t="s">
        <v>455</v>
      </c>
      <c r="C59" s="480">
        <f t="shared" ref="C59:D59" si="8">C52-C57</f>
        <v>283</v>
      </c>
      <c r="D59" s="481">
        <f t="shared" si="8"/>
        <v>541</v>
      </c>
      <c r="E59" s="259">
        <f>E52-E57</f>
        <v>598</v>
      </c>
      <c r="F59" s="481">
        <f>F52-F57</f>
        <v>296</v>
      </c>
      <c r="G59" s="481">
        <f>G52-G57</f>
        <v>284</v>
      </c>
      <c r="H59" s="481">
        <f>H52-H57</f>
        <v>376</v>
      </c>
      <c r="I59" s="483"/>
      <c r="K59" s="18"/>
      <c r="L59" s="18"/>
      <c r="M59" s="18"/>
      <c r="N59" s="18"/>
      <c r="O59" s="18"/>
      <c r="P59" s="18"/>
    </row>
    <row r="60" spans="2:16" x14ac:dyDescent="0.2">
      <c r="B60" s="257"/>
      <c r="C60" s="288"/>
      <c r="D60" s="482"/>
      <c r="E60" s="258"/>
      <c r="F60" s="482"/>
      <c r="G60" s="482"/>
      <c r="H60" s="122"/>
      <c r="I60" s="122"/>
      <c r="K60" s="18"/>
      <c r="L60" s="18"/>
      <c r="M60" s="18"/>
      <c r="N60" s="18"/>
      <c r="O60" s="18"/>
      <c r="P60" s="18"/>
    </row>
    <row r="61" spans="2:16" x14ac:dyDescent="0.2">
      <c r="B61" s="387" t="s">
        <v>390</v>
      </c>
      <c r="C61" s="435">
        <f>+C57/C52</f>
        <v>0.36971046770601335</v>
      </c>
      <c r="D61" s="449">
        <f t="shared" ref="D61:H61" si="9">+D57/D52</f>
        <v>0.40484048404840484</v>
      </c>
      <c r="E61" s="506">
        <f t="shared" si="9"/>
        <v>0.34213421342134215</v>
      </c>
      <c r="F61" s="449">
        <f t="shared" si="9"/>
        <v>0.421875</v>
      </c>
      <c r="G61" s="449">
        <f t="shared" si="9"/>
        <v>0.44854368932038835</v>
      </c>
      <c r="H61" s="449">
        <f t="shared" si="9"/>
        <v>0.3126142595978062</v>
      </c>
      <c r="I61" s="122"/>
      <c r="K61" s="18"/>
      <c r="L61" s="18"/>
      <c r="M61" s="18"/>
      <c r="N61" s="18"/>
      <c r="O61" s="18"/>
      <c r="P61" s="18"/>
    </row>
    <row r="62" spans="2:16" ht="15" x14ac:dyDescent="0.2">
      <c r="B62" s="398"/>
      <c r="C62" s="288"/>
      <c r="D62" s="258"/>
      <c r="E62" s="258"/>
      <c r="F62" s="258"/>
      <c r="G62" s="258"/>
      <c r="H62" s="258"/>
      <c r="J62" s="327"/>
      <c r="K62" s="18"/>
      <c r="L62" s="18"/>
      <c r="M62" s="18"/>
      <c r="N62" s="18"/>
      <c r="O62" s="18"/>
      <c r="P62" s="18"/>
    </row>
    <row r="63" spans="2:16" ht="48.75" x14ac:dyDescent="0.2">
      <c r="B63" s="450" t="s">
        <v>402</v>
      </c>
      <c r="C63" s="288"/>
      <c r="D63" s="258"/>
      <c r="E63" s="258"/>
      <c r="F63" s="518"/>
      <c r="G63" s="258"/>
      <c r="H63" s="258"/>
      <c r="K63" s="18"/>
      <c r="L63" s="18"/>
      <c r="M63" s="18"/>
      <c r="N63" s="18"/>
      <c r="O63" s="18"/>
      <c r="P63" s="18"/>
    </row>
    <row r="64" spans="2:16" x14ac:dyDescent="0.2">
      <c r="B64" s="257"/>
      <c r="C64" s="288"/>
      <c r="D64" s="258"/>
      <c r="E64" s="258"/>
      <c r="F64" s="258"/>
      <c r="G64" s="258"/>
      <c r="H64" s="258"/>
      <c r="K64" s="18"/>
      <c r="L64" s="18"/>
      <c r="M64" s="18"/>
      <c r="N64" s="18"/>
      <c r="O64" s="18"/>
      <c r="P64" s="18"/>
    </row>
    <row r="65" spans="2:16" x14ac:dyDescent="0.2">
      <c r="B65" s="257"/>
      <c r="C65" s="288"/>
      <c r="D65" s="258"/>
      <c r="E65" s="258"/>
      <c r="F65" s="258"/>
      <c r="G65" s="258"/>
      <c r="H65" s="258"/>
      <c r="K65" s="18"/>
      <c r="L65" s="18"/>
      <c r="M65" s="18"/>
      <c r="N65" s="18"/>
      <c r="O65" s="18"/>
      <c r="P65" s="18"/>
    </row>
    <row r="66" spans="2:16" x14ac:dyDescent="0.2">
      <c r="B66" s="257"/>
      <c r="C66" s="288"/>
      <c r="D66" s="258"/>
      <c r="E66" s="258"/>
      <c r="F66" s="258"/>
      <c r="G66" s="258"/>
      <c r="H66" s="258"/>
      <c r="K66" s="18"/>
      <c r="L66" s="18"/>
      <c r="M66" s="18"/>
      <c r="N66" s="18"/>
      <c r="O66" s="18"/>
      <c r="P66" s="18"/>
    </row>
    <row r="67" spans="2:16" ht="15" customHeight="1" x14ac:dyDescent="0.3">
      <c r="B67" s="295" t="s">
        <v>264</v>
      </c>
      <c r="C67" s="295"/>
      <c r="D67" s="304"/>
      <c r="E67" s="304"/>
      <c r="F67" s="304"/>
      <c r="G67" s="304"/>
      <c r="H67" s="304"/>
      <c r="K67" s="18"/>
      <c r="L67" s="18"/>
      <c r="M67" s="18"/>
      <c r="N67" s="18"/>
      <c r="O67" s="18"/>
      <c r="P67" s="18"/>
    </row>
    <row r="68" spans="2:16" x14ac:dyDescent="0.2">
      <c r="B68" s="234" t="s">
        <v>247</v>
      </c>
      <c r="C68" s="288"/>
      <c r="D68" s="258"/>
      <c r="E68" s="258"/>
      <c r="F68" s="258"/>
      <c r="G68" s="258"/>
      <c r="H68" s="258"/>
      <c r="K68" s="18"/>
      <c r="L68" s="18"/>
      <c r="M68" s="18"/>
      <c r="N68" s="18"/>
      <c r="O68" s="18"/>
      <c r="P68" s="18"/>
    </row>
    <row r="69" spans="2:16" ht="13.5" customHeight="1" x14ac:dyDescent="0.2">
      <c r="B69" s="257"/>
      <c r="C69" s="288"/>
      <c r="D69" s="258"/>
      <c r="E69" s="258"/>
      <c r="F69" s="258"/>
      <c r="G69" s="258"/>
      <c r="H69" s="258"/>
      <c r="K69" s="18"/>
      <c r="L69" s="18"/>
      <c r="M69" s="18"/>
      <c r="N69" s="18"/>
      <c r="O69" s="18"/>
      <c r="P69" s="18"/>
    </row>
    <row r="70" spans="2:16" ht="12" customHeight="1" x14ac:dyDescent="0.2">
      <c r="B70" s="257"/>
      <c r="C70" s="288"/>
      <c r="D70" s="258"/>
      <c r="E70" s="258"/>
      <c r="F70" s="258"/>
      <c r="G70" s="258"/>
      <c r="H70" s="258"/>
      <c r="K70" s="18"/>
      <c r="L70" s="18"/>
      <c r="M70" s="18"/>
      <c r="N70" s="18"/>
      <c r="O70" s="18"/>
      <c r="P70" s="18"/>
    </row>
    <row r="71" spans="2:16" ht="10.5" customHeight="1" x14ac:dyDescent="0.2">
      <c r="B71" s="257"/>
      <c r="C71" s="380">
        <v>2018</v>
      </c>
      <c r="D71" s="261">
        <v>2017</v>
      </c>
      <c r="E71" s="261">
        <v>2016</v>
      </c>
      <c r="F71" s="261">
        <v>2015</v>
      </c>
      <c r="G71" s="261">
        <v>2014</v>
      </c>
      <c r="H71" s="258"/>
      <c r="K71" s="18"/>
      <c r="L71" s="18"/>
      <c r="M71" s="18"/>
      <c r="N71" s="18"/>
      <c r="O71" s="18"/>
      <c r="P71" s="18"/>
    </row>
    <row r="72" spans="2:16" x14ac:dyDescent="0.2">
      <c r="B72" s="371" t="s">
        <v>337</v>
      </c>
      <c r="C72" s="258">
        <v>-116</v>
      </c>
      <c r="D72" s="258">
        <v>103</v>
      </c>
      <c r="E72" s="258">
        <v>110</v>
      </c>
      <c r="F72" s="258">
        <v>51</v>
      </c>
      <c r="G72" s="258">
        <v>60</v>
      </c>
      <c r="H72" s="258"/>
    </row>
    <row r="73" spans="2:16" x14ac:dyDescent="0.2">
      <c r="B73" s="257" t="s">
        <v>338</v>
      </c>
      <c r="C73" s="258">
        <v>162</v>
      </c>
      <c r="D73" s="258">
        <v>91</v>
      </c>
      <c r="E73" s="258">
        <v>93</v>
      </c>
      <c r="F73" s="258">
        <f>64+92</f>
        <v>156</v>
      </c>
      <c r="G73" s="258">
        <v>114</v>
      </c>
      <c r="H73" s="258"/>
    </row>
    <row r="74" spans="2:16" x14ac:dyDescent="0.2">
      <c r="B74" s="257" t="s">
        <v>339</v>
      </c>
      <c r="C74" s="258">
        <v>-24</v>
      </c>
      <c r="D74" s="258">
        <v>-10</v>
      </c>
      <c r="E74" s="258">
        <v>-11</v>
      </c>
      <c r="F74" s="258">
        <v>-7</v>
      </c>
      <c r="G74" s="258">
        <v>-10</v>
      </c>
      <c r="H74" s="258"/>
    </row>
    <row r="75" spans="2:16" x14ac:dyDescent="0.2">
      <c r="B75" s="260" t="s">
        <v>266</v>
      </c>
      <c r="C75" s="377">
        <f>SUM(C72:C74)</f>
        <v>22</v>
      </c>
      <c r="D75" s="373">
        <f>SUM(D72:D74)</f>
        <v>184</v>
      </c>
      <c r="E75" s="373">
        <f t="shared" ref="E75:G75" si="10">SUM(E72:E74)</f>
        <v>192</v>
      </c>
      <c r="F75" s="373">
        <f t="shared" si="10"/>
        <v>200</v>
      </c>
      <c r="G75" s="373">
        <f t="shared" si="10"/>
        <v>164</v>
      </c>
      <c r="H75" s="258"/>
    </row>
    <row r="76" spans="2:16" x14ac:dyDescent="0.2">
      <c r="B76" s="371" t="s">
        <v>265</v>
      </c>
      <c r="C76" s="258">
        <v>0</v>
      </c>
      <c r="D76" s="258">
        <v>0</v>
      </c>
      <c r="E76" s="258">
        <v>21</v>
      </c>
      <c r="F76" s="258">
        <v>0</v>
      </c>
      <c r="G76" s="258">
        <v>157</v>
      </c>
      <c r="H76" s="258"/>
    </row>
    <row r="77" spans="2:16" x14ac:dyDescent="0.2">
      <c r="B77" s="260" t="s">
        <v>266</v>
      </c>
      <c r="C77" s="377">
        <f>+C75+C76</f>
        <v>22</v>
      </c>
      <c r="D77" s="373">
        <f>+D75+D76</f>
        <v>184</v>
      </c>
      <c r="E77" s="373">
        <f t="shared" ref="E77:G77" si="11">+E75+E76</f>
        <v>213</v>
      </c>
      <c r="F77" s="373">
        <f t="shared" si="11"/>
        <v>200</v>
      </c>
      <c r="G77" s="373">
        <f t="shared" si="11"/>
        <v>321</v>
      </c>
      <c r="H77" s="258"/>
    </row>
    <row r="78" spans="2:16" x14ac:dyDescent="0.2">
      <c r="B78" s="257"/>
      <c r="C78" s="375"/>
      <c r="D78" s="258"/>
      <c r="E78" s="258"/>
      <c r="F78" s="258"/>
      <c r="G78" s="258"/>
      <c r="H78" s="258"/>
    </row>
    <row r="79" spans="2:16" x14ac:dyDescent="0.2">
      <c r="B79" s="257"/>
      <c r="C79" s="289"/>
      <c r="D79" s="258"/>
      <c r="E79" s="258"/>
      <c r="F79" s="258"/>
      <c r="G79" s="258"/>
      <c r="H79" s="258"/>
    </row>
    <row r="80" spans="2:16" x14ac:dyDescent="0.2">
      <c r="B80" s="254"/>
      <c r="C80" s="254"/>
      <c r="D80" s="258"/>
      <c r="E80" s="258"/>
      <c r="F80" s="258"/>
      <c r="G80" s="258"/>
      <c r="H80" s="258"/>
    </row>
    <row r="81" spans="2:9" x14ac:dyDescent="0.2">
      <c r="B81" s="257"/>
      <c r="C81" s="257"/>
      <c r="D81" s="258"/>
      <c r="E81" s="258"/>
      <c r="F81" s="258"/>
      <c r="G81" s="258"/>
      <c r="H81" s="258"/>
    </row>
    <row r="82" spans="2:9" ht="18.75" x14ac:dyDescent="0.3">
      <c r="B82" s="295" t="s">
        <v>397</v>
      </c>
      <c r="C82" s="295"/>
      <c r="D82" s="304"/>
      <c r="E82" s="304"/>
      <c r="F82" s="304"/>
      <c r="G82" s="304"/>
      <c r="H82" s="304"/>
    </row>
    <row r="83" spans="2:9" ht="15.75" x14ac:dyDescent="0.25">
      <c r="B83" s="234" t="s">
        <v>247</v>
      </c>
      <c r="C83" s="255"/>
      <c r="D83" s="258"/>
      <c r="E83" s="258"/>
      <c r="F83" s="258"/>
      <c r="G83" s="258"/>
      <c r="H83" s="258"/>
    </row>
    <row r="84" spans="2:9" ht="15.75" x14ac:dyDescent="0.25">
      <c r="B84" s="234"/>
      <c r="C84" s="255"/>
      <c r="D84" s="258"/>
      <c r="E84" s="258"/>
      <c r="F84" s="258"/>
      <c r="G84" s="258"/>
      <c r="H84" s="258"/>
    </row>
    <row r="85" spans="2:9" ht="15.75" x14ac:dyDescent="0.25">
      <c r="B85" s="255" t="s">
        <v>400</v>
      </c>
      <c r="C85" s="255"/>
      <c r="D85" s="258"/>
      <c r="E85" s="258"/>
      <c r="F85" s="258"/>
      <c r="G85" s="258"/>
      <c r="H85" s="258"/>
    </row>
    <row r="86" spans="2:9" ht="15.75" x14ac:dyDescent="0.25">
      <c r="B86" s="255"/>
      <c r="C86" s="287"/>
      <c r="D86" s="258"/>
      <c r="E86" s="258"/>
      <c r="F86" s="258"/>
      <c r="G86" s="258"/>
      <c r="H86" s="258"/>
    </row>
    <row r="87" spans="2:9" x14ac:dyDescent="0.2">
      <c r="B87" s="387" t="s">
        <v>396</v>
      </c>
      <c r="C87" s="378" t="s">
        <v>226</v>
      </c>
      <c r="D87" s="237" t="s">
        <v>454</v>
      </c>
      <c r="E87" s="510" t="s">
        <v>340</v>
      </c>
      <c r="F87" s="256" t="s">
        <v>341</v>
      </c>
      <c r="G87" s="256" t="s">
        <v>342</v>
      </c>
      <c r="H87" s="258"/>
      <c r="I87" s="258"/>
    </row>
    <row r="88" spans="2:9" x14ac:dyDescent="0.2">
      <c r="B88" s="371" t="s">
        <v>343</v>
      </c>
      <c r="C88" s="376">
        <v>-611</v>
      </c>
      <c r="D88" s="258">
        <v>-611</v>
      </c>
      <c r="E88" s="258"/>
      <c r="F88" s="258"/>
      <c r="G88" s="258"/>
      <c r="H88" s="258"/>
      <c r="I88" s="258"/>
    </row>
    <row r="89" spans="2:9" x14ac:dyDescent="0.2">
      <c r="B89" s="257" t="s">
        <v>344</v>
      </c>
      <c r="C89" s="376">
        <v>-608</v>
      </c>
      <c r="D89" s="258"/>
      <c r="E89" s="258"/>
      <c r="F89" s="258"/>
      <c r="G89" s="258"/>
      <c r="H89" s="258"/>
      <c r="I89" s="258"/>
    </row>
    <row r="90" spans="2:9" x14ac:dyDescent="0.2">
      <c r="B90" s="257" t="s">
        <v>345</v>
      </c>
      <c r="C90" s="376">
        <v>-3</v>
      </c>
      <c r="D90" s="258"/>
      <c r="E90" s="258"/>
      <c r="F90" s="258"/>
      <c r="G90" s="258"/>
      <c r="H90" s="258"/>
      <c r="I90" s="258"/>
    </row>
    <row r="91" spans="2:9" x14ac:dyDescent="0.2">
      <c r="B91" s="257"/>
      <c r="C91" s="376"/>
      <c r="D91" s="258"/>
      <c r="E91" s="258"/>
      <c r="F91" s="258"/>
      <c r="G91" s="258"/>
      <c r="H91" s="258"/>
      <c r="I91" s="258"/>
    </row>
    <row r="92" spans="2:9" x14ac:dyDescent="0.2">
      <c r="B92" s="257" t="s">
        <v>346</v>
      </c>
      <c r="C92" s="376">
        <f>SUM(D92:G92)</f>
        <v>-51</v>
      </c>
      <c r="D92" s="258">
        <v>611</v>
      </c>
      <c r="E92" s="258">
        <v>-368</v>
      </c>
      <c r="F92" s="258">
        <f>171-271-27</f>
        <v>-127</v>
      </c>
      <c r="G92" s="258">
        <f>-149-18</f>
        <v>-167</v>
      </c>
      <c r="H92" s="258"/>
      <c r="I92" s="258"/>
    </row>
    <row r="93" spans="2:9" x14ac:dyDescent="0.2">
      <c r="B93" s="371" t="s">
        <v>347</v>
      </c>
      <c r="C93" s="379">
        <f>SUM(E93:G93)</f>
        <v>-662</v>
      </c>
      <c r="D93" s="372">
        <f t="shared" ref="D93:F93" si="12">+D88+D92</f>
        <v>0</v>
      </c>
      <c r="E93" s="372">
        <f t="shared" si="12"/>
        <v>-368</v>
      </c>
      <c r="F93" s="372">
        <f t="shared" si="12"/>
        <v>-127</v>
      </c>
      <c r="G93" s="372">
        <f>+G88+G92</f>
        <v>-167</v>
      </c>
      <c r="H93" s="258"/>
      <c r="I93" s="258"/>
    </row>
    <row r="94" spans="2:9" x14ac:dyDescent="0.2">
      <c r="B94" s="371" t="s">
        <v>344</v>
      </c>
      <c r="C94" s="379">
        <v>-628</v>
      </c>
      <c r="D94" s="379"/>
      <c r="E94" s="372"/>
      <c r="F94" s="372"/>
      <c r="G94" s="372"/>
      <c r="H94" s="258"/>
      <c r="I94" s="258"/>
    </row>
    <row r="95" spans="2:9" x14ac:dyDescent="0.2">
      <c r="B95" s="257" t="s">
        <v>345</v>
      </c>
      <c r="C95" s="376">
        <v>-34</v>
      </c>
      <c r="D95" s="376"/>
      <c r="E95" s="258"/>
      <c r="F95" s="258"/>
      <c r="G95" s="258"/>
      <c r="H95" s="258"/>
      <c r="I95" s="258"/>
    </row>
    <row r="96" spans="2:9" x14ac:dyDescent="0.2">
      <c r="B96" s="257"/>
      <c r="C96" s="376"/>
      <c r="D96" s="376"/>
      <c r="E96" s="258"/>
      <c r="F96" s="258"/>
      <c r="G96" s="258"/>
      <c r="H96" s="258"/>
      <c r="I96" s="258"/>
    </row>
    <row r="97" spans="2:9" x14ac:dyDescent="0.2">
      <c r="B97" s="257" t="s">
        <v>348</v>
      </c>
      <c r="C97" s="376"/>
      <c r="D97" s="376"/>
      <c r="E97" s="258"/>
      <c r="F97" s="258"/>
      <c r="G97" s="258"/>
      <c r="H97" s="258"/>
      <c r="I97" s="258"/>
    </row>
    <row r="98" spans="2:9" x14ac:dyDescent="0.2">
      <c r="B98" s="257" t="s">
        <v>349</v>
      </c>
      <c r="C98" s="376"/>
      <c r="D98" s="376"/>
      <c r="E98" s="258"/>
      <c r="F98" s="258"/>
      <c r="G98" s="258"/>
      <c r="H98" s="258"/>
      <c r="I98" s="258"/>
    </row>
    <row r="99" spans="2:9" x14ac:dyDescent="0.2">
      <c r="B99" s="257" t="s">
        <v>350</v>
      </c>
      <c r="C99" s="376">
        <f>SUM(E99:G99)</f>
        <v>0</v>
      </c>
      <c r="D99" s="376"/>
      <c r="E99" s="258">
        <v>3</v>
      </c>
      <c r="F99" s="258">
        <v>42</v>
      </c>
      <c r="G99" s="258">
        <v>-45</v>
      </c>
      <c r="H99" s="258"/>
      <c r="I99" s="258"/>
    </row>
    <row r="100" spans="2:9" x14ac:dyDescent="0.2">
      <c r="B100" s="257" t="s">
        <v>351</v>
      </c>
      <c r="C100" s="376">
        <f>SUM(E100:G100)</f>
        <v>0</v>
      </c>
      <c r="D100" s="376"/>
      <c r="E100" s="258">
        <v>1</v>
      </c>
      <c r="F100" s="258">
        <v>-8</v>
      </c>
      <c r="G100" s="258">
        <v>7</v>
      </c>
      <c r="H100" s="258"/>
      <c r="I100" s="258"/>
    </row>
    <row r="101" spans="2:9" x14ac:dyDescent="0.2">
      <c r="B101" s="257" t="s">
        <v>352</v>
      </c>
      <c r="C101" s="376">
        <f>SUM(E101:G101)</f>
        <v>0</v>
      </c>
      <c r="D101" s="376"/>
      <c r="E101" s="258">
        <v>-2</v>
      </c>
      <c r="F101" s="258">
        <v>2</v>
      </c>
      <c r="G101" s="258">
        <v>0</v>
      </c>
      <c r="H101" s="258"/>
      <c r="I101" s="258"/>
    </row>
    <row r="102" spans="2:9" x14ac:dyDescent="0.2">
      <c r="B102" s="257" t="s">
        <v>353</v>
      </c>
      <c r="C102" s="379">
        <f>SUM(E102:G102)</f>
        <v>116</v>
      </c>
      <c r="D102" s="379"/>
      <c r="E102" s="372">
        <v>200</v>
      </c>
      <c r="F102" s="372">
        <v>-81</v>
      </c>
      <c r="G102" s="372">
        <v>-3</v>
      </c>
      <c r="H102" s="258"/>
      <c r="I102" s="258"/>
    </row>
    <row r="103" spans="2:9" x14ac:dyDescent="0.2">
      <c r="B103" s="381" t="s">
        <v>354</v>
      </c>
      <c r="C103" s="377">
        <f>SUM(E103:G103)</f>
        <v>-546</v>
      </c>
      <c r="D103" s="377"/>
      <c r="E103" s="373">
        <f>SUM(E93:E102)</f>
        <v>-166</v>
      </c>
      <c r="F103" s="373">
        <f>SUM(F93:F102)</f>
        <v>-172</v>
      </c>
      <c r="G103" s="373">
        <f>SUM(G93:G102)</f>
        <v>-208</v>
      </c>
      <c r="H103" s="258"/>
      <c r="I103" s="258"/>
    </row>
    <row r="104" spans="2:9" ht="15.75" x14ac:dyDescent="0.25">
      <c r="B104" s="255"/>
      <c r="C104" s="287"/>
      <c r="D104" s="258"/>
      <c r="E104" s="258"/>
      <c r="F104" s="258"/>
      <c r="G104" s="258"/>
      <c r="H104" s="258"/>
      <c r="I104" s="258"/>
    </row>
    <row r="105" spans="2:9" ht="15.75" x14ac:dyDescent="0.25">
      <c r="B105" s="381" t="s">
        <v>464</v>
      </c>
      <c r="C105" s="287"/>
      <c r="D105" s="258"/>
      <c r="E105" s="258"/>
      <c r="F105" s="258"/>
      <c r="G105" s="258"/>
      <c r="H105" s="258"/>
    </row>
    <row r="106" spans="2:9" x14ac:dyDescent="0.2">
      <c r="B106" s="257" t="s">
        <v>269</v>
      </c>
      <c r="C106" s="376">
        <f>+SUM(D106:G106)</f>
        <v>-118</v>
      </c>
      <c r="D106" s="258"/>
      <c r="E106" s="258">
        <v>-52</v>
      </c>
      <c r="F106" s="258">
        <v>-38</v>
      </c>
      <c r="G106" s="258">
        <v>-28</v>
      </c>
      <c r="H106" s="258"/>
    </row>
    <row r="107" spans="2:9" x14ac:dyDescent="0.2">
      <c r="B107" s="257" t="s">
        <v>465</v>
      </c>
      <c r="C107" s="376">
        <f t="shared" ref="C107:C108" si="13">+SUM(D107:G107)</f>
        <v>-428</v>
      </c>
      <c r="D107" s="258"/>
      <c r="E107" s="258">
        <v>-114</v>
      </c>
      <c r="F107" s="258">
        <v>-134</v>
      </c>
      <c r="G107" s="258">
        <v>-180</v>
      </c>
      <c r="H107" s="258"/>
    </row>
    <row r="108" spans="2:9" x14ac:dyDescent="0.2">
      <c r="B108" s="381" t="s">
        <v>354</v>
      </c>
      <c r="C108" s="377">
        <f t="shared" si="13"/>
        <v>-546</v>
      </c>
      <c r="D108" s="373"/>
      <c r="E108" s="373">
        <f>SUM(E106:E107)</f>
        <v>-166</v>
      </c>
      <c r="F108" s="373">
        <f t="shared" ref="F108:G108" si="14">SUM(F106:F107)</f>
        <v>-172</v>
      </c>
      <c r="G108" s="373">
        <f t="shared" si="14"/>
        <v>-208</v>
      </c>
      <c r="H108" s="258"/>
    </row>
    <row r="109" spans="2:9" ht="15.75" x14ac:dyDescent="0.25">
      <c r="B109" s="257"/>
      <c r="C109" s="287"/>
      <c r="D109" s="258"/>
      <c r="E109" s="258"/>
      <c r="F109" s="258"/>
      <c r="G109" s="258"/>
      <c r="H109" s="258"/>
    </row>
    <row r="110" spans="2:9" x14ac:dyDescent="0.2">
      <c r="B110" s="387" t="s">
        <v>356</v>
      </c>
      <c r="C110" s="376">
        <v>-511</v>
      </c>
      <c r="D110" s="258"/>
      <c r="E110" s="258"/>
      <c r="F110" s="258"/>
      <c r="G110" s="258"/>
      <c r="H110" s="258"/>
    </row>
    <row r="111" spans="2:9" x14ac:dyDescent="0.2">
      <c r="B111" s="387" t="s">
        <v>357</v>
      </c>
      <c r="C111" s="376">
        <v>-35</v>
      </c>
      <c r="D111" s="258"/>
      <c r="E111" s="258"/>
      <c r="F111" s="258"/>
      <c r="G111" s="258"/>
      <c r="H111" s="258"/>
    </row>
    <row r="112" spans="2:9" ht="15.75" x14ac:dyDescent="0.25">
      <c r="B112" s="255"/>
      <c r="C112" s="287"/>
      <c r="D112" s="258"/>
      <c r="E112" s="258"/>
      <c r="F112" s="258"/>
      <c r="G112" s="258"/>
      <c r="H112" s="258"/>
    </row>
    <row r="113" spans="2:18" ht="15.75" x14ac:dyDescent="0.25">
      <c r="B113" s="255"/>
      <c r="C113" s="287"/>
      <c r="D113" s="258"/>
      <c r="E113" s="258"/>
      <c r="F113" s="258"/>
      <c r="G113" s="258"/>
      <c r="H113" s="258"/>
    </row>
    <row r="114" spans="2:18" ht="15.75" x14ac:dyDescent="0.25">
      <c r="B114" s="255"/>
      <c r="C114" s="287"/>
      <c r="D114" s="258"/>
      <c r="E114" s="258"/>
      <c r="F114" s="258"/>
      <c r="G114" s="258"/>
      <c r="H114" s="258"/>
      <c r="I114" s="258"/>
      <c r="J114" s="258"/>
      <c r="K114" s="18"/>
      <c r="L114" s="18"/>
      <c r="M114" s="18"/>
      <c r="N114" s="18"/>
      <c r="O114" s="18"/>
      <c r="P114" s="18"/>
      <c r="Q114" s="18"/>
      <c r="R114" s="18"/>
    </row>
    <row r="115" spans="2:18" ht="15.75" x14ac:dyDescent="0.25">
      <c r="B115" s="255" t="s">
        <v>399</v>
      </c>
      <c r="C115" s="441"/>
      <c r="D115" s="258"/>
      <c r="E115" s="258"/>
      <c r="F115" s="258"/>
      <c r="G115" s="258"/>
      <c r="H115" s="258"/>
      <c r="I115" s="258"/>
      <c r="J115" s="258"/>
      <c r="K115" s="18"/>
      <c r="L115" s="18"/>
      <c r="M115" s="18"/>
      <c r="N115" s="18"/>
      <c r="O115" s="18"/>
      <c r="P115" s="18"/>
      <c r="Q115" s="18"/>
      <c r="R115" s="18"/>
    </row>
    <row r="116" spans="2:18" ht="15.75" x14ac:dyDescent="0.25">
      <c r="B116" s="255"/>
      <c r="C116" s="577" t="s">
        <v>394</v>
      </c>
      <c r="D116" s="578"/>
      <c r="E116" s="579" t="s">
        <v>395</v>
      </c>
      <c r="F116" s="580"/>
      <c r="G116" s="580"/>
      <c r="H116" s="581"/>
      <c r="I116" s="258"/>
      <c r="J116" s="258"/>
      <c r="K116" s="18"/>
      <c r="L116" s="18"/>
      <c r="M116" s="18"/>
      <c r="N116" s="18"/>
      <c r="O116" s="18"/>
      <c r="P116" s="18"/>
      <c r="Q116" s="18"/>
      <c r="R116" s="18"/>
    </row>
    <row r="117" spans="2:18" x14ac:dyDescent="0.2">
      <c r="B117" s="385" t="s">
        <v>50</v>
      </c>
      <c r="C117" s="509">
        <v>43465</v>
      </c>
      <c r="D117" s="508">
        <v>43101</v>
      </c>
      <c r="E117" s="519" t="s">
        <v>460</v>
      </c>
      <c r="F117" s="520" t="s">
        <v>461</v>
      </c>
      <c r="G117" s="520" t="s">
        <v>462</v>
      </c>
      <c r="H117" s="508">
        <v>42004</v>
      </c>
      <c r="I117" s="258"/>
      <c r="J117" s="258"/>
      <c r="K117" s="18"/>
      <c r="L117" s="18"/>
      <c r="M117" s="18"/>
      <c r="N117" s="18"/>
      <c r="O117" s="18"/>
      <c r="P117" s="18"/>
      <c r="Q117" s="18"/>
      <c r="R117" s="18"/>
    </row>
    <row r="118" spans="2:18" ht="19.5" customHeight="1" x14ac:dyDescent="0.2">
      <c r="B118" s="437" t="s">
        <v>391</v>
      </c>
      <c r="C118" s="444">
        <v>546</v>
      </c>
      <c r="D118" s="439">
        <v>662</v>
      </c>
      <c r="E118" s="442"/>
      <c r="F118" s="438"/>
      <c r="G118" s="438"/>
      <c r="H118" s="447"/>
      <c r="I118" s="258"/>
      <c r="J118" s="258"/>
      <c r="K118" s="18"/>
      <c r="L118" s="18"/>
      <c r="M118" s="18"/>
      <c r="N118" s="18"/>
      <c r="O118" s="18"/>
      <c r="P118" s="18"/>
      <c r="Q118" s="18"/>
      <c r="R118" s="18"/>
    </row>
    <row r="119" spans="2:18" ht="25.5" x14ac:dyDescent="0.2">
      <c r="B119" s="385" t="s">
        <v>392</v>
      </c>
      <c r="C119" s="445"/>
      <c r="D119" s="399"/>
      <c r="E119" s="511">
        <v>311</v>
      </c>
      <c r="F119" s="512">
        <v>216</v>
      </c>
      <c r="G119" s="513">
        <v>231</v>
      </c>
      <c r="H119" s="514">
        <v>171</v>
      </c>
      <c r="I119" s="258"/>
      <c r="J119" s="258"/>
      <c r="K119" s="18"/>
      <c r="L119" s="430"/>
      <c r="M119" s="62"/>
      <c r="N119" s="18"/>
      <c r="O119" s="18"/>
      <c r="P119" s="18"/>
      <c r="Q119" s="18"/>
      <c r="R119" s="18"/>
    </row>
    <row r="120" spans="2:18" ht="25.5" x14ac:dyDescent="0.2">
      <c r="B120" s="385" t="s">
        <v>393</v>
      </c>
      <c r="C120" s="445"/>
      <c r="D120" s="399"/>
      <c r="E120" s="515">
        <v>300</v>
      </c>
      <c r="F120" s="516">
        <v>373</v>
      </c>
      <c r="G120" s="517">
        <v>247</v>
      </c>
      <c r="H120" s="514">
        <v>236</v>
      </c>
      <c r="I120" s="383"/>
      <c r="K120" s="18"/>
      <c r="L120" s="18"/>
      <c r="M120" s="18"/>
      <c r="N120" s="18"/>
      <c r="O120" s="18"/>
      <c r="P120" s="18"/>
      <c r="Q120" s="18"/>
      <c r="R120" s="18"/>
    </row>
    <row r="121" spans="2:18" x14ac:dyDescent="0.2">
      <c r="B121" s="322" t="s">
        <v>398</v>
      </c>
      <c r="C121" s="446">
        <f>SUM(C118:C120)</f>
        <v>546</v>
      </c>
      <c r="D121" s="440">
        <f>SUM(D118:D120)</f>
        <v>662</v>
      </c>
      <c r="E121" s="443">
        <f t="shared" ref="E121:H121" si="15">SUM(E118:E120)</f>
        <v>611</v>
      </c>
      <c r="F121" s="322">
        <f t="shared" si="15"/>
        <v>589</v>
      </c>
      <c r="G121" s="322">
        <f t="shared" si="15"/>
        <v>478</v>
      </c>
      <c r="H121" s="448">
        <f t="shared" si="15"/>
        <v>407</v>
      </c>
      <c r="I121" s="384"/>
    </row>
    <row r="122" spans="2:18" x14ac:dyDescent="0.2">
      <c r="B122" s="385"/>
      <c r="C122" s="18"/>
      <c r="D122" s="18"/>
      <c r="E122" s="18"/>
      <c r="F122" s="18"/>
      <c r="G122" s="384"/>
    </row>
    <row r="123" spans="2:18" ht="51" x14ac:dyDescent="0.2">
      <c r="B123" s="523" t="s">
        <v>463</v>
      </c>
      <c r="C123" s="18"/>
      <c r="D123" s="18"/>
      <c r="E123" s="18"/>
      <c r="F123" s="18"/>
      <c r="G123" s="430"/>
      <c r="H123" s="18"/>
    </row>
    <row r="124" spans="2:18" x14ac:dyDescent="0.2">
      <c r="B124" s="18"/>
      <c r="C124" s="18"/>
      <c r="D124" s="18"/>
      <c r="E124" s="18"/>
      <c r="F124" s="18"/>
      <c r="G124" s="18"/>
      <c r="H124" s="62"/>
      <c r="I124" s="18"/>
      <c r="J124" s="18"/>
      <c r="K124" s="18"/>
    </row>
    <row r="125" spans="2:18" x14ac:dyDescent="0.2">
      <c r="B125" s="18"/>
      <c r="C125" s="18"/>
      <c r="D125" s="18"/>
      <c r="E125" s="18"/>
      <c r="F125" s="18"/>
      <c r="G125" s="18"/>
      <c r="H125" s="18"/>
      <c r="I125" s="18"/>
      <c r="J125" s="18"/>
      <c r="K125" s="18"/>
    </row>
    <row r="126" spans="2:18" x14ac:dyDescent="0.2">
      <c r="B126" s="18"/>
      <c r="C126" s="18"/>
      <c r="D126" s="18"/>
      <c r="E126" s="18"/>
      <c r="F126" s="18"/>
      <c r="G126" s="18"/>
      <c r="H126" s="18"/>
      <c r="I126" s="18"/>
      <c r="J126" s="18"/>
      <c r="K126" s="18"/>
    </row>
    <row r="127" spans="2:18" x14ac:dyDescent="0.2">
      <c r="B127" s="430"/>
      <c r="C127" s="18"/>
      <c r="D127" s="18"/>
      <c r="E127" s="430"/>
      <c r="F127" s="430"/>
      <c r="G127" s="430"/>
      <c r="H127" s="26"/>
      <c r="I127" s="18"/>
      <c r="J127" s="18"/>
      <c r="K127" s="18"/>
    </row>
    <row r="128" spans="2:18" x14ac:dyDescent="0.2">
      <c r="B128" s="430"/>
      <c r="C128" s="18"/>
      <c r="D128" s="430"/>
      <c r="E128" s="18"/>
      <c r="F128" s="430"/>
      <c r="G128" s="430"/>
      <c r="H128" s="430"/>
      <c r="I128" s="18"/>
      <c r="J128" s="18"/>
      <c r="K128" s="18"/>
    </row>
    <row r="129" spans="2:11" x14ac:dyDescent="0.2">
      <c r="B129" s="18"/>
      <c r="C129" s="18"/>
      <c r="D129" s="430"/>
      <c r="E129" s="18"/>
      <c r="F129" s="430"/>
      <c r="G129" s="430"/>
      <c r="H129" s="18"/>
      <c r="I129" s="18"/>
      <c r="J129" s="18"/>
      <c r="K129" s="18"/>
    </row>
    <row r="130" spans="2:11" x14ac:dyDescent="0.2">
      <c r="B130" s="18"/>
      <c r="C130" s="18"/>
      <c r="D130" s="18"/>
      <c r="E130" s="18"/>
      <c r="F130" s="18"/>
      <c r="G130" s="18"/>
      <c r="H130" s="430"/>
      <c r="I130" s="18"/>
      <c r="J130" s="18"/>
      <c r="K130" s="18"/>
    </row>
    <row r="131" spans="2:11" x14ac:dyDescent="0.2">
      <c r="B131" s="18"/>
      <c r="C131" s="18"/>
      <c r="D131" s="18"/>
      <c r="E131" s="430"/>
      <c r="F131" s="430"/>
      <c r="G131" s="430"/>
      <c r="H131" s="18"/>
      <c r="I131" s="18"/>
      <c r="J131" s="18"/>
      <c r="K131" s="18"/>
    </row>
    <row r="132" spans="2:11" x14ac:dyDescent="0.2">
      <c r="D132" s="18"/>
      <c r="E132" s="18"/>
      <c r="F132" s="18"/>
      <c r="G132" s="18"/>
      <c r="H132" s="18"/>
      <c r="I132" s="18"/>
      <c r="J132" s="18"/>
      <c r="K132" s="18"/>
    </row>
    <row r="133" spans="2:11" x14ac:dyDescent="0.2">
      <c r="D133" s="18"/>
      <c r="E133" s="18"/>
      <c r="F133" s="18"/>
      <c r="G133" s="18"/>
      <c r="H133" s="18"/>
      <c r="I133" s="18"/>
      <c r="J133" s="18"/>
      <c r="K133" s="18"/>
    </row>
  </sheetData>
  <sheetProtection algorithmName="SHA-512" hashValue="GO4KhZj0HUoR42sCTEoVnXMD1TWW3rf4lAPt6kxHYrdK9nXW3LTwt/9EFhTUKUfJ10rfg2yPgcDVMB8ieODgvw==" saltValue="2WoW1Y+xuiwLSqxpVHkFAQ==" spinCount="100000" sheet="1" objects="1" scenarios="1"/>
  <mergeCells count="2">
    <mergeCell ref="C116:D116"/>
    <mergeCell ref="E116:H116"/>
  </mergeCells>
  <pageMargins left="0.7" right="0.7" top="0.75" bottom="0.75" header="0.3" footer="0.3"/>
  <pageSetup paperSize="9" orientation="portrait" verticalDpi="0" r:id="rId1"/>
  <ignoredErrors>
    <ignoredError sqref="E52:H52 C75 D75:G75 C121:D121 E121:H121" formulaRange="1"/>
    <ignoredError sqref="F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B2:C39"/>
  <sheetViews>
    <sheetView zoomScale="115" zoomScaleNormal="115" workbookViewId="0"/>
  </sheetViews>
  <sheetFormatPr baseColWidth="10" defaultRowHeight="12.75" x14ac:dyDescent="0.2"/>
  <cols>
    <col min="3" max="3" width="62.7109375" bestFit="1" customWidth="1"/>
    <col min="9" max="9" width="15.28515625" customWidth="1"/>
  </cols>
  <sheetData>
    <row r="2" spans="2:3" ht="15.75" x14ac:dyDescent="0.25">
      <c r="B2" s="13" t="s">
        <v>0</v>
      </c>
      <c r="C2" s="14" t="s">
        <v>1</v>
      </c>
    </row>
    <row r="3" spans="2:3" x14ac:dyDescent="0.2">
      <c r="B3" s="2">
        <v>1</v>
      </c>
      <c r="C3" s="323" t="s">
        <v>2</v>
      </c>
    </row>
    <row r="4" spans="2:3" x14ac:dyDescent="0.2">
      <c r="B4" s="2">
        <v>2</v>
      </c>
      <c r="C4" s="323" t="s">
        <v>311</v>
      </c>
    </row>
    <row r="5" spans="2:3" x14ac:dyDescent="0.2">
      <c r="B5" s="2">
        <v>3</v>
      </c>
      <c r="C5" s="323" t="s">
        <v>48</v>
      </c>
    </row>
    <row r="6" spans="2:3" x14ac:dyDescent="0.2">
      <c r="B6" s="2">
        <v>4</v>
      </c>
      <c r="C6" s="323" t="s">
        <v>312</v>
      </c>
    </row>
    <row r="7" spans="2:3" x14ac:dyDescent="0.2">
      <c r="B7" s="2">
        <v>5</v>
      </c>
      <c r="C7" s="323" t="s">
        <v>313</v>
      </c>
    </row>
    <row r="8" spans="2:3" x14ac:dyDescent="0.2">
      <c r="B8" s="2">
        <v>6</v>
      </c>
      <c r="C8" s="323" t="s">
        <v>120</v>
      </c>
    </row>
    <row r="9" spans="2:3" x14ac:dyDescent="0.2">
      <c r="B9" s="2">
        <v>7</v>
      </c>
      <c r="C9" s="323" t="s">
        <v>314</v>
      </c>
    </row>
    <row r="10" spans="2:3" x14ac:dyDescent="0.2">
      <c r="B10" s="2">
        <v>8</v>
      </c>
      <c r="C10" s="323" t="s">
        <v>315</v>
      </c>
    </row>
    <row r="11" spans="2:3" x14ac:dyDescent="0.2">
      <c r="B11" s="2">
        <v>9</v>
      </c>
      <c r="C11" s="323" t="s">
        <v>152</v>
      </c>
    </row>
    <row r="12" spans="2:3" x14ac:dyDescent="0.2">
      <c r="B12" s="2">
        <v>10</v>
      </c>
      <c r="C12" s="323" t="s">
        <v>316</v>
      </c>
    </row>
    <row r="13" spans="2:3" x14ac:dyDescent="0.2">
      <c r="B13" s="2">
        <v>11</v>
      </c>
      <c r="C13" s="323" t="s">
        <v>158</v>
      </c>
    </row>
    <row r="14" spans="2:3" x14ac:dyDescent="0.2">
      <c r="B14" s="2">
        <v>12</v>
      </c>
      <c r="C14" s="323" t="s">
        <v>317</v>
      </c>
    </row>
    <row r="15" spans="2:3" x14ac:dyDescent="0.2">
      <c r="B15" s="2">
        <v>13</v>
      </c>
      <c r="C15" s="323" t="s">
        <v>318</v>
      </c>
    </row>
    <row r="16" spans="2:3" x14ac:dyDescent="0.2">
      <c r="B16" s="2">
        <v>14</v>
      </c>
      <c r="C16" s="323" t="s">
        <v>245</v>
      </c>
    </row>
    <row r="17" spans="2:3" x14ac:dyDescent="0.2">
      <c r="B17" s="2">
        <v>15</v>
      </c>
      <c r="C17" s="323" t="s">
        <v>246</v>
      </c>
    </row>
    <row r="18" spans="2:3" x14ac:dyDescent="0.2">
      <c r="B18" s="2">
        <v>16</v>
      </c>
      <c r="C18" s="323" t="s">
        <v>373</v>
      </c>
    </row>
    <row r="19" spans="2:3" x14ac:dyDescent="0.2">
      <c r="B19" s="2">
        <v>17</v>
      </c>
      <c r="C19" s="323" t="s">
        <v>319</v>
      </c>
    </row>
    <row r="20" spans="2:3" x14ac:dyDescent="0.2">
      <c r="B20" s="1"/>
      <c r="C20" s="1"/>
    </row>
    <row r="21" spans="2:3" x14ac:dyDescent="0.2">
      <c r="B21" s="1"/>
      <c r="C21" s="1"/>
    </row>
    <row r="22" spans="2:3" x14ac:dyDescent="0.2">
      <c r="B22" s="1"/>
      <c r="C22" s="1"/>
    </row>
    <row r="23" spans="2:3" x14ac:dyDescent="0.2">
      <c r="B23" s="1"/>
      <c r="C23" s="1"/>
    </row>
    <row r="24" spans="2:3" x14ac:dyDescent="0.2">
      <c r="B24" s="1"/>
      <c r="C24" s="1"/>
    </row>
    <row r="25" spans="2:3" x14ac:dyDescent="0.2">
      <c r="B25" s="1"/>
      <c r="C25" s="1"/>
    </row>
    <row r="26" spans="2:3" x14ac:dyDescent="0.2">
      <c r="B26" s="1"/>
      <c r="C26" s="1"/>
    </row>
    <row r="27" spans="2:3" x14ac:dyDescent="0.2">
      <c r="B27" s="1"/>
      <c r="C27" s="1"/>
    </row>
    <row r="28" spans="2:3" x14ac:dyDescent="0.2">
      <c r="B28" s="1"/>
      <c r="C28" s="1"/>
    </row>
    <row r="29" spans="2:3" x14ac:dyDescent="0.2">
      <c r="B29" s="1"/>
      <c r="C29" s="1"/>
    </row>
    <row r="30" spans="2:3" x14ac:dyDescent="0.2">
      <c r="B30" s="1"/>
      <c r="C30" s="1"/>
    </row>
    <row r="31" spans="2:3" x14ac:dyDescent="0.2">
      <c r="B31" s="1"/>
      <c r="C31" s="1"/>
    </row>
    <row r="32" spans="2:3" x14ac:dyDescent="0.2">
      <c r="B32" s="1"/>
      <c r="C32" s="1"/>
    </row>
    <row r="33" spans="2:3" x14ac:dyDescent="0.2">
      <c r="B33" s="1"/>
      <c r="C33" s="1"/>
    </row>
    <row r="34" spans="2:3" x14ac:dyDescent="0.2">
      <c r="B34" s="1"/>
      <c r="C34" s="1"/>
    </row>
    <row r="35" spans="2:3" x14ac:dyDescent="0.2">
      <c r="B35" s="1"/>
      <c r="C35" s="1"/>
    </row>
    <row r="36" spans="2:3" x14ac:dyDescent="0.2">
      <c r="B36" s="1"/>
      <c r="C36" s="1"/>
    </row>
    <row r="37" spans="2:3" x14ac:dyDescent="0.2">
      <c r="B37" s="1"/>
      <c r="C37" s="1"/>
    </row>
    <row r="38" spans="2:3" x14ac:dyDescent="0.2">
      <c r="B38" s="1"/>
      <c r="C38" s="1"/>
    </row>
    <row r="39" spans="2:3" x14ac:dyDescent="0.2">
      <c r="B39" s="1"/>
      <c r="C39" s="1"/>
    </row>
  </sheetData>
  <sheetProtection algorithmName="SHA-512" hashValue="ynFvOhnivwAICKgDS52EyvdD2YtGm37xQUXjYhG+Qx5jVFlT4KDh437FARsL2QoS0osmaxoIY39uhMMV0SQv+A==" saltValue="jdrIVDKLAOKfX0hxwwzogw==" spinCount="100000" sheet="1" objects="1" scenarios="1"/>
  <hyperlinks>
    <hyperlink ref="C3" location="'1'!A1" display="Konsolidering"/>
    <hyperlink ref="C4" location="'2'!A1" display="Metoder for beregning av kapitalkravet"/>
    <hyperlink ref="C5" location="'3'!A1" display="Kapitaldekning, konsern"/>
    <hyperlink ref="C6" location="'4'!A1" display="Kapitaldekning, datterselskaper"/>
    <hyperlink ref="C7" location="'5'!A1" display="Kapitaldekning, tilknyttede selskaper"/>
    <hyperlink ref="C8" location="'6'!A1" display="Utvikling kapitaldekning, konsern"/>
    <hyperlink ref="C9" location="'7'!A1" display="Ansvarlig lånekapital"/>
    <hyperlink ref="C10:C19" location="'7'!A1" display="Ansvarlig lånekapital"/>
    <hyperlink ref="C10" location="'8'!A1" display="Uvektet kjernekapitalandel"/>
    <hyperlink ref="C11" location="'9'!A1" display="Bufferkrav"/>
    <hyperlink ref="C12" location="'10'!A1" display="Kapitalkrav pr. risikotype"/>
    <hyperlink ref="C13" location="'11'!A1" display="Modeller godkjent for IRB-rapportering"/>
    <hyperlink ref="C14" location="'12'!A1" display="Kreditteksponeringer IRB pr. engasmentskategori og risikoklasse"/>
    <hyperlink ref="C15" location="'13'!A1" display="Sikkerhetsstillelser pr. IRB-kategori"/>
    <hyperlink ref="C16" location="'14'!A1" display="Konsernets samlede engasjementer fordelt på engasjementstype"/>
    <hyperlink ref="C17" location="'15'!A1" display="Utlån fordelt på geografisk område og gjenstående løpetid"/>
    <hyperlink ref="C18" location="'16'!A1" display="Konsernets engasjementer, mislighold og tap pr. bransje"/>
    <hyperlink ref="C19" location="'17'!A1" display="Utvikling i mislighold, tap og tapsavsetninger"/>
  </hyperlinks>
  <pageMargins left="0.7" right="0.7" top="0.75" bottom="0.75" header="0.3" footer="0.3"/>
  <pageSetup paperSize="9" orientation="portrait" verticalDpi="0" r:id="rId1"/>
  <headerFooter>
    <oddHeader>&amp;R&amp;"Calibri"&amp;12 I N T E R N&amp;1#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B2:R44"/>
  <sheetViews>
    <sheetView showGridLines="0" zoomScaleNormal="100" workbookViewId="0">
      <selection activeCell="B44" sqref="B44"/>
    </sheetView>
  </sheetViews>
  <sheetFormatPr baseColWidth="10" defaultRowHeight="12.75" x14ac:dyDescent="0.2"/>
  <cols>
    <col min="2" max="2" width="62.7109375" bestFit="1" customWidth="1"/>
    <col min="3" max="4" width="14.42578125" bestFit="1" customWidth="1"/>
    <col min="5" max="5" width="27" bestFit="1" customWidth="1"/>
    <col min="6" max="6" width="31.7109375" customWidth="1"/>
    <col min="7" max="7" width="27.7109375" bestFit="1" customWidth="1"/>
    <col min="8" max="8" width="19.140625" customWidth="1"/>
    <col min="9" max="9" width="15.85546875" bestFit="1" customWidth="1"/>
    <col min="10" max="10" width="12.42578125" customWidth="1"/>
  </cols>
  <sheetData>
    <row r="2" spans="2:18" ht="18.75" x14ac:dyDescent="0.3">
      <c r="B2" s="295" t="s">
        <v>2</v>
      </c>
      <c r="C2" s="292"/>
      <c r="D2" s="292"/>
      <c r="E2" s="292"/>
      <c r="F2" s="292"/>
      <c r="G2" s="292"/>
      <c r="H2" s="292"/>
      <c r="I2" s="292"/>
      <c r="J2" s="292"/>
      <c r="K2" s="20"/>
      <c r="L2" s="20"/>
      <c r="M2" s="20"/>
      <c r="N2" s="20"/>
      <c r="O2" s="20"/>
      <c r="P2" s="20"/>
      <c r="Q2" s="20"/>
      <c r="R2" s="20"/>
    </row>
    <row r="4" spans="2:18" x14ac:dyDescent="0.2">
      <c r="B4" s="293" t="s">
        <v>3</v>
      </c>
    </row>
    <row r="6" spans="2:18" x14ac:dyDescent="0.2">
      <c r="B6" s="1" t="s">
        <v>50</v>
      </c>
    </row>
    <row r="7" spans="2:18" x14ac:dyDescent="0.2">
      <c r="H7" s="549" t="s">
        <v>371</v>
      </c>
      <c r="J7" s="549" t="s">
        <v>372</v>
      </c>
    </row>
    <row r="8" spans="2:18" ht="15" x14ac:dyDescent="0.2">
      <c r="B8" s="451" t="s">
        <v>302</v>
      </c>
      <c r="C8" s="4" t="s">
        <v>4</v>
      </c>
      <c r="D8" s="5" t="s">
        <v>5</v>
      </c>
      <c r="E8" s="487" t="s">
        <v>437</v>
      </c>
      <c r="F8" s="6" t="s">
        <v>195</v>
      </c>
      <c r="G8" s="407" t="s">
        <v>6</v>
      </c>
      <c r="H8" s="550"/>
      <c r="I8" s="321" t="s">
        <v>49</v>
      </c>
      <c r="J8" s="551"/>
    </row>
    <row r="9" spans="2:18" x14ac:dyDescent="0.2">
      <c r="B9" s="313" t="s">
        <v>8</v>
      </c>
      <c r="C9" s="7">
        <v>156200</v>
      </c>
      <c r="D9" s="7">
        <v>840</v>
      </c>
      <c r="E9" s="202">
        <v>840</v>
      </c>
      <c r="F9" s="9">
        <v>1</v>
      </c>
      <c r="G9" t="s">
        <v>17</v>
      </c>
      <c r="H9" s="175">
        <f>+'4'!C44/1000</f>
        <v>474.71304845599991</v>
      </c>
      <c r="I9" s="314">
        <f>+'4'!C22/1000</f>
        <v>1073.5650360000002</v>
      </c>
      <c r="J9" s="315">
        <f>'4'!C47</f>
        <v>0.18092024889423386</v>
      </c>
    </row>
    <row r="10" spans="2:18" x14ac:dyDescent="0.2">
      <c r="B10" s="313" t="s">
        <v>12</v>
      </c>
      <c r="C10" s="7">
        <v>3317338</v>
      </c>
      <c r="D10" s="7">
        <v>208.892</v>
      </c>
      <c r="E10" s="417">
        <v>883</v>
      </c>
      <c r="F10" s="9">
        <v>0.23499999999999999</v>
      </c>
      <c r="G10" t="s">
        <v>18</v>
      </c>
      <c r="H10" s="175">
        <f>'5'!C169</f>
        <v>1510.97020496</v>
      </c>
      <c r="I10" s="175">
        <f>+'5'!C129</f>
        <v>4184.175671</v>
      </c>
      <c r="J10" s="294">
        <f>'5'!C172</f>
        <v>0.22153584007228086</v>
      </c>
    </row>
    <row r="11" spans="2:18" x14ac:dyDescent="0.2">
      <c r="B11" s="313" t="s">
        <v>13</v>
      </c>
      <c r="C11" s="417">
        <v>12810567</v>
      </c>
      <c r="D11" s="7">
        <v>1923</v>
      </c>
      <c r="E11" s="417">
        <v>1869</v>
      </c>
      <c r="F11" s="9">
        <v>0.1782</v>
      </c>
      <c r="G11" t="s">
        <v>18</v>
      </c>
      <c r="H11" s="175">
        <f>'5'!C53</f>
        <v>6111.20139088</v>
      </c>
      <c r="I11" s="175">
        <f>+'5'!C21</f>
        <v>12804.048652999998</v>
      </c>
      <c r="J11" s="294">
        <f>'5'!C56</f>
        <v>0.1676141607391046</v>
      </c>
    </row>
    <row r="12" spans="2:18" x14ac:dyDescent="0.2">
      <c r="B12" s="313" t="s">
        <v>14</v>
      </c>
      <c r="C12" s="417">
        <v>2268103</v>
      </c>
      <c r="D12" s="7">
        <v>284</v>
      </c>
      <c r="E12" s="417">
        <v>284</v>
      </c>
      <c r="F12" s="9">
        <v>0.13969999999999999</v>
      </c>
      <c r="G12" t="s">
        <v>18</v>
      </c>
      <c r="H12" s="175">
        <f>+'5'!C100</f>
        <v>883.8650382400001</v>
      </c>
      <c r="I12" s="175">
        <f>+'5'!C79</f>
        <v>2030.006834</v>
      </c>
      <c r="J12" s="294">
        <f>'5'!C103</f>
        <v>0.18373907745392981</v>
      </c>
    </row>
    <row r="13" spans="2:18" x14ac:dyDescent="0.2">
      <c r="B13" s="313" t="s">
        <v>21</v>
      </c>
      <c r="C13" s="7">
        <v>490978</v>
      </c>
      <c r="D13" s="7">
        <v>152</v>
      </c>
      <c r="E13" s="417">
        <v>193</v>
      </c>
      <c r="F13" s="9">
        <v>0.17</v>
      </c>
      <c r="G13" t="s">
        <v>18</v>
      </c>
      <c r="H13" s="175">
        <f>+'5'!C218</f>
        <v>414.34208000000001</v>
      </c>
      <c r="I13" s="175">
        <f>+'5'!C199</f>
        <v>1140.1029999999998</v>
      </c>
      <c r="J13" s="294">
        <f>'5'!C221</f>
        <v>0.22012787115419219</v>
      </c>
    </row>
    <row r="14" spans="2:18" x14ac:dyDescent="0.2">
      <c r="B14" s="313" t="s">
        <v>15</v>
      </c>
      <c r="C14" s="7">
        <v>21100</v>
      </c>
      <c r="D14" s="7">
        <v>30</v>
      </c>
      <c r="E14" s="202">
        <v>30</v>
      </c>
      <c r="F14" s="9">
        <v>1</v>
      </c>
      <c r="G14" t="s">
        <v>17</v>
      </c>
    </row>
    <row r="15" spans="2:18" x14ac:dyDescent="0.2">
      <c r="B15" s="313" t="s">
        <v>10</v>
      </c>
      <c r="C15" s="7">
        <v>2350</v>
      </c>
      <c r="D15" s="7">
        <v>44</v>
      </c>
      <c r="E15" s="7">
        <v>43.61</v>
      </c>
      <c r="F15" s="10">
        <v>1</v>
      </c>
      <c r="G15" t="s">
        <v>17</v>
      </c>
    </row>
    <row r="16" spans="2:18" x14ac:dyDescent="0.2">
      <c r="B16" s="313" t="s">
        <v>9</v>
      </c>
      <c r="C16" s="7">
        <v>1000</v>
      </c>
      <c r="D16" s="7">
        <v>25</v>
      </c>
      <c r="E16" s="202">
        <v>25</v>
      </c>
      <c r="F16" s="9">
        <v>1</v>
      </c>
      <c r="G16" t="s">
        <v>17</v>
      </c>
      <c r="I16" s="7"/>
    </row>
    <row r="17" spans="2:9" x14ac:dyDescent="0.2">
      <c r="B17" s="313" t="s">
        <v>16</v>
      </c>
      <c r="C17" s="7">
        <v>242</v>
      </c>
      <c r="D17" s="7">
        <v>50.392000000000003</v>
      </c>
      <c r="E17" s="7">
        <v>50.392000000000003</v>
      </c>
      <c r="F17" s="10">
        <v>1</v>
      </c>
      <c r="G17" t="s">
        <v>17</v>
      </c>
    </row>
    <row r="18" spans="2:9" x14ac:dyDescent="0.2">
      <c r="C18" s="7"/>
      <c r="D18" s="7"/>
      <c r="E18" s="7"/>
      <c r="F18" s="9"/>
    </row>
    <row r="19" spans="2:9" x14ac:dyDescent="0.2">
      <c r="C19" s="7"/>
      <c r="D19" s="7"/>
      <c r="E19" s="7"/>
      <c r="F19" s="10"/>
    </row>
    <row r="22" spans="2:9" x14ac:dyDescent="0.2">
      <c r="H22" s="7"/>
    </row>
    <row r="23" spans="2:9" x14ac:dyDescent="0.2">
      <c r="B23" s="293" t="s">
        <v>417</v>
      </c>
      <c r="C23" s="11"/>
      <c r="D23" s="11"/>
      <c r="E23" s="11"/>
      <c r="F23" s="11"/>
      <c r="G23" s="11"/>
      <c r="H23" s="11"/>
      <c r="I23" s="11"/>
    </row>
    <row r="25" spans="2:9" ht="15" x14ac:dyDescent="0.2">
      <c r="B25" s="451" t="s">
        <v>416</v>
      </c>
      <c r="C25" s="5" t="s">
        <v>4</v>
      </c>
      <c r="D25" s="5" t="s">
        <v>5</v>
      </c>
      <c r="E25" s="487" t="s">
        <v>437</v>
      </c>
      <c r="F25" s="174" t="s">
        <v>195</v>
      </c>
      <c r="G25" s="407" t="s">
        <v>6</v>
      </c>
    </row>
    <row r="26" spans="2:9" x14ac:dyDescent="0.2">
      <c r="B26" s="313" t="s">
        <v>20</v>
      </c>
      <c r="C26" s="7">
        <v>381498</v>
      </c>
      <c r="D26" s="7">
        <v>714.58138499999995</v>
      </c>
      <c r="E26" s="417">
        <v>1595</v>
      </c>
      <c r="F26" s="9">
        <v>0.19500000000000001</v>
      </c>
      <c r="G26" t="s">
        <v>18</v>
      </c>
    </row>
    <row r="27" spans="2:9" x14ac:dyDescent="0.2">
      <c r="B27" s="122" t="s">
        <v>299</v>
      </c>
      <c r="C27" s="202">
        <v>3092532</v>
      </c>
      <c r="D27" s="202">
        <v>67</v>
      </c>
      <c r="E27" s="488">
        <v>123</v>
      </c>
      <c r="F27" s="9">
        <v>0.1857</v>
      </c>
      <c r="G27" s="122" t="s">
        <v>18</v>
      </c>
    </row>
    <row r="28" spans="2:9" x14ac:dyDescent="0.2">
      <c r="E28" s="8"/>
    </row>
    <row r="29" spans="2:9" x14ac:dyDescent="0.2">
      <c r="D29" s="8"/>
    </row>
    <row r="30" spans="2:9" x14ac:dyDescent="0.2">
      <c r="B30" s="293" t="s">
        <v>22</v>
      </c>
      <c r="E30" s="8"/>
    </row>
    <row r="32" spans="2:9" ht="15" x14ac:dyDescent="0.2">
      <c r="B32" s="451" t="s">
        <v>302</v>
      </c>
      <c r="C32" s="5" t="s">
        <v>4</v>
      </c>
      <c r="D32" s="321" t="s">
        <v>5</v>
      </c>
      <c r="E32" s="487" t="s">
        <v>437</v>
      </c>
      <c r="F32" s="174" t="s">
        <v>195</v>
      </c>
      <c r="G32" s="407" t="s">
        <v>6</v>
      </c>
    </row>
    <row r="33" spans="2:13" x14ac:dyDescent="0.2">
      <c r="B33" s="313" t="s">
        <v>300</v>
      </c>
      <c r="C33" s="202">
        <v>2</v>
      </c>
      <c r="D33" s="202">
        <v>18.369</v>
      </c>
      <c r="E33" s="488">
        <v>23</v>
      </c>
      <c r="F33" s="9">
        <v>0.1774</v>
      </c>
      <c r="G33" s="122" t="s">
        <v>18</v>
      </c>
    </row>
    <row r="34" spans="2:13" x14ac:dyDescent="0.2">
      <c r="B34" s="313" t="s">
        <v>23</v>
      </c>
      <c r="C34" s="202">
        <v>386516</v>
      </c>
      <c r="D34" s="202">
        <v>110</v>
      </c>
      <c r="E34" s="488">
        <v>84</v>
      </c>
      <c r="F34" s="9">
        <v>0.122</v>
      </c>
      <c r="G34" s="122" t="s">
        <v>370</v>
      </c>
    </row>
    <row r="35" spans="2:13" x14ac:dyDescent="0.2">
      <c r="B35" s="313" t="s">
        <v>197</v>
      </c>
      <c r="C35" s="202">
        <v>20000</v>
      </c>
      <c r="D35" s="202">
        <v>20</v>
      </c>
      <c r="E35" s="488">
        <v>17</v>
      </c>
      <c r="F35" s="9">
        <v>0.2</v>
      </c>
      <c r="G35" s="122" t="s">
        <v>18</v>
      </c>
      <c r="H35" s="8"/>
    </row>
    <row r="36" spans="2:13" x14ac:dyDescent="0.2">
      <c r="B36" s="489" t="s">
        <v>414</v>
      </c>
      <c r="C36" s="202">
        <v>83133</v>
      </c>
      <c r="D36" s="202">
        <v>3.0092660000000002</v>
      </c>
      <c r="E36" s="488">
        <v>2</v>
      </c>
      <c r="F36" s="9">
        <v>0.2</v>
      </c>
      <c r="G36" s="122" t="s">
        <v>18</v>
      </c>
      <c r="H36" s="175"/>
      <c r="I36" s="8"/>
      <c r="J36" s="8"/>
      <c r="K36" s="8"/>
      <c r="L36" s="8"/>
      <c r="M36" s="8"/>
    </row>
    <row r="37" spans="2:13" x14ac:dyDescent="0.2">
      <c r="B37" t="s">
        <v>369</v>
      </c>
      <c r="C37" s="202">
        <v>30</v>
      </c>
      <c r="D37" s="202">
        <v>30</v>
      </c>
      <c r="E37" s="202">
        <v>30</v>
      </c>
      <c r="F37" s="9">
        <v>1</v>
      </c>
      <c r="G37" t="s">
        <v>17</v>
      </c>
    </row>
    <row r="40" spans="2:13" ht="15" x14ac:dyDescent="0.2">
      <c r="B40" s="398" t="s">
        <v>457</v>
      </c>
      <c r="E40" s="231"/>
    </row>
    <row r="41" spans="2:13" x14ac:dyDescent="0.2">
      <c r="E41" s="231"/>
    </row>
    <row r="42" spans="2:13" x14ac:dyDescent="0.2">
      <c r="E42" s="231"/>
    </row>
    <row r="44" spans="2:13" x14ac:dyDescent="0.2">
      <c r="E44" s="231"/>
    </row>
  </sheetData>
  <sheetProtection algorithmName="SHA-512" hashValue="+w6oWWmFwy7rp+pvZj+Z8H5wvlrnKTQmhtHmqsJeyrO+PzC9Jtc+S+aIBuCiJDDaELcC5FeKjWuqInD112au5Q==" saltValue="OmtDCraWYejywySZbjisHg==" spinCount="100000" sheet="1" objects="1" scenarios="1"/>
  <sortState ref="B10:J21">
    <sortCondition ref="G10:G21"/>
    <sortCondition ref="B10:B21"/>
  </sortState>
  <mergeCells count="2">
    <mergeCell ref="H7:H8"/>
    <mergeCell ref="J7:J8"/>
  </mergeCells>
  <pageMargins left="0.7" right="0.7" top="0.75" bottom="0.75" header="0.3" footer="0.3"/>
  <pageSetup paperSize="9" orientation="portrait" verticalDpi="0" r:id="rId1"/>
  <headerFooter>
    <oddHeader>&amp;R&amp;"Calibri"&amp;12 I N T E R N&amp;1#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B2:R24"/>
  <sheetViews>
    <sheetView showGridLines="0" workbookViewId="0"/>
  </sheetViews>
  <sheetFormatPr baseColWidth="10" defaultRowHeight="12.75" x14ac:dyDescent="0.2"/>
  <cols>
    <col min="2" max="2" width="19.140625" customWidth="1"/>
    <col min="3" max="3" width="33.42578125" bestFit="1" customWidth="1"/>
    <col min="4" max="4" width="22.7109375" bestFit="1" customWidth="1"/>
    <col min="5" max="5" width="15" bestFit="1" customWidth="1"/>
  </cols>
  <sheetData>
    <row r="2" spans="2:18" ht="18.75" x14ac:dyDescent="0.3">
      <c r="B2" s="295" t="s">
        <v>24</v>
      </c>
      <c r="C2" s="292"/>
      <c r="D2" s="292"/>
      <c r="E2" s="292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2:18" x14ac:dyDescent="0.2">
      <c r="B3" s="17"/>
      <c r="C3" s="17"/>
      <c r="D3" s="17"/>
      <c r="E3" s="17"/>
    </row>
    <row r="4" spans="2:18" x14ac:dyDescent="0.2">
      <c r="B4" s="15" t="s">
        <v>25</v>
      </c>
      <c r="C4" s="15"/>
      <c r="D4" s="15" t="s">
        <v>26</v>
      </c>
      <c r="E4" s="15" t="s">
        <v>27</v>
      </c>
    </row>
    <row r="5" spans="2:18" x14ac:dyDescent="0.2">
      <c r="B5" s="16" t="s">
        <v>28</v>
      </c>
      <c r="C5" s="16"/>
      <c r="D5" s="16"/>
      <c r="E5" s="16"/>
    </row>
    <row r="6" spans="2:18" x14ac:dyDescent="0.2">
      <c r="B6" s="19"/>
      <c r="C6" s="19" t="s">
        <v>29</v>
      </c>
      <c r="D6" s="19" t="s">
        <v>30</v>
      </c>
      <c r="E6" s="19" t="s">
        <v>31</v>
      </c>
    </row>
    <row r="7" spans="2:18" x14ac:dyDescent="0.2">
      <c r="B7" s="19"/>
      <c r="C7" s="19" t="s">
        <v>29</v>
      </c>
      <c r="D7" s="19" t="s">
        <v>32</v>
      </c>
      <c r="E7" s="19" t="s">
        <v>31</v>
      </c>
    </row>
    <row r="8" spans="2:18" x14ac:dyDescent="0.2">
      <c r="B8" s="19"/>
      <c r="C8" s="19" t="s">
        <v>29</v>
      </c>
      <c r="D8" s="19" t="s">
        <v>33</v>
      </c>
      <c r="E8" s="19" t="s">
        <v>34</v>
      </c>
    </row>
    <row r="9" spans="2:18" x14ac:dyDescent="0.2">
      <c r="B9" s="19"/>
      <c r="C9" s="19" t="s">
        <v>29</v>
      </c>
      <c r="D9" s="19" t="s">
        <v>35</v>
      </c>
      <c r="E9" s="19" t="s">
        <v>34</v>
      </c>
    </row>
    <row r="10" spans="2:18" x14ac:dyDescent="0.2">
      <c r="B10" s="19"/>
      <c r="C10" s="19" t="s">
        <v>29</v>
      </c>
      <c r="D10" s="19" t="s">
        <v>36</v>
      </c>
      <c r="E10" s="19" t="s">
        <v>34</v>
      </c>
    </row>
    <row r="11" spans="2:18" x14ac:dyDescent="0.2">
      <c r="B11" s="19"/>
      <c r="C11" s="19" t="s">
        <v>12</v>
      </c>
      <c r="D11" s="19" t="s">
        <v>30</v>
      </c>
      <c r="E11" s="19" t="s">
        <v>31</v>
      </c>
    </row>
    <row r="12" spans="2:18" x14ac:dyDescent="0.2">
      <c r="B12" s="19"/>
      <c r="C12" s="19" t="s">
        <v>12</v>
      </c>
      <c r="D12" s="19" t="s">
        <v>32</v>
      </c>
      <c r="E12" s="19" t="s">
        <v>31</v>
      </c>
    </row>
    <row r="13" spans="2:18" x14ac:dyDescent="0.2">
      <c r="B13" s="19"/>
      <c r="C13" s="19" t="s">
        <v>13</v>
      </c>
      <c r="D13" s="19" t="s">
        <v>37</v>
      </c>
      <c r="E13" s="19" t="s">
        <v>31</v>
      </c>
    </row>
    <row r="14" spans="2:18" x14ac:dyDescent="0.2">
      <c r="B14" s="19"/>
      <c r="C14" s="12" t="s">
        <v>38</v>
      </c>
      <c r="D14" s="19" t="s">
        <v>32</v>
      </c>
      <c r="E14" s="19" t="s">
        <v>34</v>
      </c>
    </row>
    <row r="15" spans="2:18" x14ac:dyDescent="0.2">
      <c r="B15" s="19"/>
      <c r="C15" s="12" t="s">
        <v>39</v>
      </c>
      <c r="D15" s="19" t="s">
        <v>301</v>
      </c>
      <c r="E15" s="19" t="s">
        <v>34</v>
      </c>
    </row>
    <row r="16" spans="2:18" x14ac:dyDescent="0.2">
      <c r="B16" s="15" t="s">
        <v>40</v>
      </c>
      <c r="C16" s="15"/>
      <c r="D16" s="15"/>
      <c r="E16" s="15"/>
    </row>
    <row r="17" spans="2:5" x14ac:dyDescent="0.2">
      <c r="B17" s="19"/>
      <c r="C17" s="19" t="s">
        <v>29</v>
      </c>
      <c r="D17" s="19" t="s">
        <v>41</v>
      </c>
      <c r="E17" s="19" t="s">
        <v>34</v>
      </c>
    </row>
    <row r="18" spans="2:5" x14ac:dyDescent="0.2">
      <c r="B18" s="19"/>
      <c r="C18" s="19" t="s">
        <v>29</v>
      </c>
      <c r="D18" s="19" t="s">
        <v>42</v>
      </c>
      <c r="E18" s="19" t="s">
        <v>34</v>
      </c>
    </row>
    <row r="19" spans="2:5" x14ac:dyDescent="0.2">
      <c r="B19" s="19"/>
      <c r="C19" s="19" t="s">
        <v>29</v>
      </c>
      <c r="D19" s="19" t="s">
        <v>43</v>
      </c>
      <c r="E19" s="19" t="s">
        <v>34</v>
      </c>
    </row>
    <row r="20" spans="2:5" x14ac:dyDescent="0.2">
      <c r="B20" s="19"/>
      <c r="C20" s="19" t="s">
        <v>29</v>
      </c>
      <c r="D20" s="19" t="s">
        <v>44</v>
      </c>
      <c r="E20" s="19" t="s">
        <v>34</v>
      </c>
    </row>
    <row r="21" spans="2:5" x14ac:dyDescent="0.2">
      <c r="B21" s="19"/>
      <c r="C21" s="19" t="s">
        <v>302</v>
      </c>
      <c r="D21" s="19"/>
      <c r="E21" s="19" t="s">
        <v>34</v>
      </c>
    </row>
    <row r="22" spans="2:5" x14ac:dyDescent="0.2">
      <c r="B22" s="15" t="s">
        <v>45</v>
      </c>
      <c r="C22" s="15"/>
      <c r="D22" s="15"/>
      <c r="E22" s="15"/>
    </row>
    <row r="23" spans="2:5" x14ac:dyDescent="0.2">
      <c r="B23" s="19"/>
      <c r="C23" s="19" t="s">
        <v>29</v>
      </c>
      <c r="D23" s="19"/>
      <c r="E23" s="19" t="s">
        <v>46</v>
      </c>
    </row>
    <row r="24" spans="2:5" x14ac:dyDescent="0.2">
      <c r="C24" s="19" t="s">
        <v>302</v>
      </c>
      <c r="D24" s="19"/>
      <c r="E24" s="19" t="s">
        <v>47</v>
      </c>
    </row>
  </sheetData>
  <sheetProtection algorithmName="SHA-512" hashValue="e4OCVPho/2zDfQC91UlhpXv+bV3hzPkAkPhlK1Hrj+X5Tp9/SnQGISQchZ+B0IcCnciUinM5io+cxDzZD4Icvw==" saltValue="F7mBP7LGCXEF8MGDX7PSl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R200"/>
  <sheetViews>
    <sheetView showGridLines="0" zoomScaleNormal="100" workbookViewId="0">
      <selection activeCell="B18" sqref="B18:B26"/>
    </sheetView>
  </sheetViews>
  <sheetFormatPr baseColWidth="10" defaultRowHeight="15" customHeight="1" x14ac:dyDescent="0.2"/>
  <cols>
    <col min="2" max="2" width="109.140625" style="18" bestFit="1" customWidth="1"/>
    <col min="3" max="3" width="11.85546875" style="159" bestFit="1" customWidth="1"/>
    <col min="4" max="4" width="11.42578125" style="171"/>
    <col min="7" max="7" width="26.5703125" customWidth="1"/>
  </cols>
  <sheetData>
    <row r="1" spans="2:18" ht="15" customHeight="1" x14ac:dyDescent="0.2">
      <c r="B1"/>
      <c r="C1" s="155"/>
      <c r="D1" s="156"/>
    </row>
    <row r="2" spans="2:18" ht="18.75" x14ac:dyDescent="0.3">
      <c r="B2" s="295" t="s">
        <v>403</v>
      </c>
      <c r="C2" s="296"/>
      <c r="D2" s="296"/>
      <c r="E2" s="20"/>
      <c r="F2" s="3"/>
      <c r="G2" s="20" t="s">
        <v>48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2:18" ht="15" customHeight="1" x14ac:dyDescent="0.2">
      <c r="B3"/>
      <c r="C3" s="155"/>
      <c r="D3" s="156"/>
    </row>
    <row r="4" spans="2:18" ht="15" customHeight="1" x14ac:dyDescent="0.2">
      <c r="B4" s="552" t="s">
        <v>49</v>
      </c>
      <c r="C4" s="552"/>
      <c r="D4" s="552"/>
    </row>
    <row r="5" spans="2:18" ht="15" customHeight="1" x14ac:dyDescent="0.2">
      <c r="B5" s="4" t="s">
        <v>50</v>
      </c>
      <c r="C5" s="157">
        <v>2018</v>
      </c>
      <c r="D5" s="158">
        <v>2017</v>
      </c>
    </row>
    <row r="6" spans="2:18" ht="15" customHeight="1" x14ac:dyDescent="0.2">
      <c r="B6" s="25"/>
      <c r="D6" s="160"/>
    </row>
    <row r="7" spans="2:18" ht="15" customHeight="1" x14ac:dyDescent="0.2">
      <c r="B7" s="137" t="s">
        <v>185</v>
      </c>
      <c r="C7" s="328">
        <v>1807.1642879999999</v>
      </c>
      <c r="D7" s="333">
        <v>1807</v>
      </c>
    </row>
    <row r="8" spans="2:18" ht="15" customHeight="1" x14ac:dyDescent="0.2">
      <c r="B8" s="138" t="s">
        <v>52</v>
      </c>
      <c r="C8" s="328">
        <v>843.26846599999999</v>
      </c>
      <c r="D8" s="333">
        <v>843</v>
      </c>
    </row>
    <row r="9" spans="2:18" ht="15" customHeight="1" x14ac:dyDescent="0.2">
      <c r="B9" s="138" t="s">
        <v>54</v>
      </c>
      <c r="C9" s="328">
        <v>2200</v>
      </c>
      <c r="D9" s="333">
        <v>1980</v>
      </c>
    </row>
    <row r="10" spans="2:18" ht="15" customHeight="1" x14ac:dyDescent="0.2">
      <c r="B10" s="138" t="s">
        <v>186</v>
      </c>
      <c r="C10" s="328">
        <v>5024</v>
      </c>
      <c r="D10" s="333">
        <v>4770</v>
      </c>
      <c r="F10" s="181"/>
    </row>
    <row r="11" spans="2:18" ht="15" customHeight="1" x14ac:dyDescent="0.2">
      <c r="B11" s="138" t="s">
        <v>55</v>
      </c>
      <c r="C11" s="328">
        <v>585</v>
      </c>
      <c r="D11" s="333">
        <v>585</v>
      </c>
      <c r="F11" s="181"/>
    </row>
    <row r="12" spans="2:18" ht="15" customHeight="1" x14ac:dyDescent="0.2">
      <c r="B12" s="138" t="s">
        <v>187</v>
      </c>
      <c r="C12" s="328">
        <v>42</v>
      </c>
      <c r="D12" s="333">
        <v>35</v>
      </c>
    </row>
    <row r="13" spans="2:18" ht="15" customHeight="1" x14ac:dyDescent="0.2">
      <c r="B13" s="138" t="s">
        <v>57</v>
      </c>
      <c r="C13" s="328">
        <v>1777</v>
      </c>
      <c r="D13" s="333">
        <v>1749</v>
      </c>
    </row>
    <row r="14" spans="2:18" ht="15" customHeight="1" x14ac:dyDescent="0.2">
      <c r="B14" s="138" t="s">
        <v>184</v>
      </c>
      <c r="C14" s="328">
        <v>780</v>
      </c>
      <c r="D14" s="333">
        <v>530</v>
      </c>
    </row>
    <row r="15" spans="2:18" ht="15" customHeight="1" x14ac:dyDescent="0.2">
      <c r="B15" s="24" t="s">
        <v>58</v>
      </c>
      <c r="C15" s="161">
        <f>SUM(C7:C14)</f>
        <v>13058.432753999999</v>
      </c>
      <c r="D15" s="162">
        <f>SUM(D7:D14)</f>
        <v>12299</v>
      </c>
    </row>
    <row r="16" spans="2:18" ht="15" customHeight="1" x14ac:dyDescent="0.2">
      <c r="B16" s="79"/>
      <c r="C16" s="163"/>
      <c r="D16" s="164"/>
    </row>
    <row r="17" spans="2:4" ht="15" customHeight="1" x14ac:dyDescent="0.2">
      <c r="B17" s="27" t="s">
        <v>59</v>
      </c>
      <c r="C17" s="163"/>
      <c r="D17" s="164"/>
    </row>
    <row r="18" spans="2:4" ht="15" customHeight="1" x14ac:dyDescent="0.2">
      <c r="B18" s="143" t="s">
        <v>184</v>
      </c>
      <c r="C18" s="328">
        <v>-780</v>
      </c>
      <c r="D18" s="333">
        <v>-530</v>
      </c>
    </row>
    <row r="19" spans="2:4" ht="15" customHeight="1" x14ac:dyDescent="0.2">
      <c r="B19" s="139" t="s">
        <v>109</v>
      </c>
      <c r="C19" s="328">
        <v>-866</v>
      </c>
      <c r="D19" s="333">
        <v>-866</v>
      </c>
    </row>
    <row r="20" spans="2:4" ht="15" customHeight="1" x14ac:dyDescent="0.2">
      <c r="B20" s="139" t="s">
        <v>188</v>
      </c>
      <c r="C20" s="328">
        <v>-100</v>
      </c>
      <c r="D20" s="333">
        <v>-36</v>
      </c>
    </row>
    <row r="21" spans="2:4" ht="15" customHeight="1" x14ac:dyDescent="0.2">
      <c r="B21" s="139" t="s">
        <v>189</v>
      </c>
      <c r="C21" s="328">
        <v>-113</v>
      </c>
      <c r="D21" s="333">
        <v>-87</v>
      </c>
    </row>
    <row r="22" spans="2:4" ht="15" customHeight="1" x14ac:dyDescent="0.2">
      <c r="B22" s="139" t="s">
        <v>62</v>
      </c>
      <c r="C22" s="328">
        <v>-28</v>
      </c>
      <c r="D22" s="333">
        <v>-27</v>
      </c>
    </row>
    <row r="23" spans="2:4" ht="15" customHeight="1" x14ac:dyDescent="0.2">
      <c r="B23" s="141" t="s">
        <v>190</v>
      </c>
      <c r="C23" s="328">
        <v>-154</v>
      </c>
      <c r="D23" s="333">
        <v>-136</v>
      </c>
    </row>
    <row r="24" spans="2:4" ht="15" customHeight="1" x14ac:dyDescent="0.2">
      <c r="B24" s="140" t="s">
        <v>191</v>
      </c>
      <c r="C24" s="328">
        <v>-49</v>
      </c>
      <c r="D24" s="333">
        <v>-36</v>
      </c>
    </row>
    <row r="25" spans="2:4" ht="15" customHeight="1" x14ac:dyDescent="0.2">
      <c r="B25" s="139" t="s">
        <v>192</v>
      </c>
      <c r="C25" s="328">
        <v>-511</v>
      </c>
      <c r="D25" s="333">
        <v>-589</v>
      </c>
    </row>
    <row r="26" spans="2:4" ht="15" customHeight="1" x14ac:dyDescent="0.2">
      <c r="B26" s="139" t="s">
        <v>193</v>
      </c>
      <c r="C26" s="328">
        <v>-123</v>
      </c>
      <c r="D26" s="333">
        <v>0</v>
      </c>
    </row>
    <row r="27" spans="2:4" ht="15" customHeight="1" x14ac:dyDescent="0.2">
      <c r="B27" s="144" t="s">
        <v>67</v>
      </c>
      <c r="C27" s="165">
        <f>C15+SUM(C18:C26)</f>
        <v>10334.432753999999</v>
      </c>
      <c r="D27" s="334">
        <f>D15+SUM(D18:D26)</f>
        <v>9992</v>
      </c>
    </row>
    <row r="28" spans="2:4" ht="15" customHeight="1" x14ac:dyDescent="0.2">
      <c r="B28" s="142" t="s">
        <v>183</v>
      </c>
      <c r="C28" s="328">
        <v>1062</v>
      </c>
      <c r="D28" s="333">
        <v>865</v>
      </c>
    </row>
    <row r="29" spans="2:4" ht="15" customHeight="1" x14ac:dyDescent="0.2">
      <c r="B29" s="145" t="s">
        <v>68</v>
      </c>
      <c r="C29" s="165">
        <f>C27+C28</f>
        <v>11396.432753999999</v>
      </c>
      <c r="D29" s="166">
        <f>D27+D28</f>
        <v>10857</v>
      </c>
    </row>
    <row r="30" spans="2:4" ht="15" customHeight="1" x14ac:dyDescent="0.2">
      <c r="B30" s="146" t="s">
        <v>110</v>
      </c>
      <c r="D30" s="335"/>
    </row>
    <row r="31" spans="2:4" ht="15" customHeight="1" x14ac:dyDescent="0.2">
      <c r="B31" s="147" t="s">
        <v>69</v>
      </c>
      <c r="C31" s="328">
        <v>1644</v>
      </c>
      <c r="D31" s="333">
        <v>1328</v>
      </c>
    </row>
    <row r="32" spans="2:4" ht="15" customHeight="1" x14ac:dyDescent="0.2">
      <c r="B32" s="148" t="s">
        <v>194</v>
      </c>
      <c r="C32" s="328">
        <v>-136</v>
      </c>
      <c r="D32" s="333">
        <v>-44</v>
      </c>
    </row>
    <row r="33" spans="1:4" ht="15" customHeight="1" x14ac:dyDescent="0.2">
      <c r="B33" s="21" t="s">
        <v>71</v>
      </c>
      <c r="C33" s="165">
        <f>C31+C32</f>
        <v>1508</v>
      </c>
      <c r="D33" s="166">
        <f>D31+D32</f>
        <v>1284</v>
      </c>
    </row>
    <row r="34" spans="1:4" ht="15" customHeight="1" x14ac:dyDescent="0.2">
      <c r="B34" s="25"/>
      <c r="D34" s="333"/>
    </row>
    <row r="35" spans="1:4" ht="15" customHeight="1" x14ac:dyDescent="0.2">
      <c r="B35" s="149" t="s">
        <v>49</v>
      </c>
      <c r="C35" s="165">
        <f>C33+C29</f>
        <v>12904.432753999999</v>
      </c>
      <c r="D35" s="166">
        <f>D33+D29</f>
        <v>12141</v>
      </c>
    </row>
    <row r="36" spans="1:4" ht="15" customHeight="1" x14ac:dyDescent="0.2">
      <c r="B36" s="79"/>
      <c r="D36" s="167"/>
    </row>
    <row r="37" spans="1:4" ht="15" customHeight="1" x14ac:dyDescent="0.2">
      <c r="B37" s="553" t="s">
        <v>72</v>
      </c>
      <c r="C37" s="553"/>
      <c r="D37" s="553"/>
    </row>
    <row r="38" spans="1:4" ht="15" customHeight="1" x14ac:dyDescent="0.2">
      <c r="A38" s="108"/>
      <c r="B38" s="297" t="s">
        <v>50</v>
      </c>
      <c r="C38" s="305">
        <v>2018</v>
      </c>
      <c r="D38" s="306">
        <v>2017</v>
      </c>
    </row>
    <row r="39" spans="1:4" ht="15" customHeight="1" x14ac:dyDescent="0.2">
      <c r="A39" s="108"/>
      <c r="B39" s="32" t="s">
        <v>73</v>
      </c>
      <c r="C39" s="168"/>
      <c r="D39" s="164"/>
    </row>
    <row r="40" spans="1:4" ht="15" customHeight="1" x14ac:dyDescent="0.2">
      <c r="A40" s="108"/>
      <c r="B40" s="47" t="s">
        <v>33</v>
      </c>
      <c r="C40" s="329">
        <v>48.891726749999997</v>
      </c>
      <c r="D40" s="98">
        <v>59.371000000000002</v>
      </c>
    </row>
    <row r="41" spans="1:4" ht="15" customHeight="1" x14ac:dyDescent="0.2">
      <c r="A41" s="108"/>
      <c r="B41" s="47" t="s">
        <v>74</v>
      </c>
      <c r="C41" s="329">
        <v>203.6837472</v>
      </c>
      <c r="D41" s="98">
        <v>294.55900000000003</v>
      </c>
    </row>
    <row r="42" spans="1:4" ht="15" customHeight="1" x14ac:dyDescent="0.2">
      <c r="A42" s="108"/>
      <c r="B42" s="47" t="s">
        <v>75</v>
      </c>
      <c r="C42" s="329">
        <v>9.0472830000000002</v>
      </c>
      <c r="D42" s="98">
        <v>43.158999999999999</v>
      </c>
    </row>
    <row r="43" spans="1:4" ht="15" customHeight="1" x14ac:dyDescent="0.2">
      <c r="A43" s="108"/>
      <c r="B43" s="47" t="s">
        <v>35</v>
      </c>
      <c r="C43" s="329">
        <v>1667.6377629900003</v>
      </c>
      <c r="D43" s="98">
        <v>785.904</v>
      </c>
    </row>
    <row r="44" spans="1:4" ht="15" customHeight="1" x14ac:dyDescent="0.2">
      <c r="A44" s="108"/>
      <c r="B44" s="47" t="s">
        <v>32</v>
      </c>
      <c r="C44" s="329">
        <v>4390.7710788399991</v>
      </c>
      <c r="D44" s="98">
        <v>5213.9799999999996</v>
      </c>
    </row>
    <row r="45" spans="1:4" ht="15" customHeight="1" x14ac:dyDescent="0.2">
      <c r="A45" s="108"/>
      <c r="B45" s="47" t="s">
        <v>76</v>
      </c>
      <c r="C45" s="329">
        <v>3055.4624667800003</v>
      </c>
      <c r="D45" s="98">
        <v>2554.5929999999998</v>
      </c>
    </row>
    <row r="46" spans="1:4" ht="15" customHeight="1" x14ac:dyDescent="0.2">
      <c r="A46" s="108"/>
      <c r="B46" s="47" t="s">
        <v>77</v>
      </c>
      <c r="C46" s="329">
        <v>1225.2480934699997</v>
      </c>
      <c r="D46" s="98">
        <v>1107.8630000000001</v>
      </c>
    </row>
    <row r="47" spans="1:4" ht="15" customHeight="1" x14ac:dyDescent="0.2">
      <c r="A47" s="108"/>
      <c r="B47" s="47" t="s">
        <v>78</v>
      </c>
      <c r="C47" s="329">
        <v>127.21739636</v>
      </c>
      <c r="D47" s="98">
        <v>88.834999999999994</v>
      </c>
    </row>
    <row r="48" spans="1:4" ht="15" customHeight="1" x14ac:dyDescent="0.2">
      <c r="A48" s="108"/>
      <c r="B48" s="47" t="s">
        <v>79</v>
      </c>
      <c r="C48" s="329">
        <v>1248.30173094</v>
      </c>
      <c r="D48" s="98">
        <v>1394.0619999999999</v>
      </c>
    </row>
    <row r="49" spans="1:4" ht="15" customHeight="1" x14ac:dyDescent="0.2">
      <c r="A49" s="108"/>
      <c r="B49" s="47" t="s">
        <v>80</v>
      </c>
      <c r="C49" s="329">
        <v>0</v>
      </c>
      <c r="D49" s="98">
        <v>26.297000000000001</v>
      </c>
    </row>
    <row r="50" spans="1:4" ht="15" customHeight="1" x14ac:dyDescent="0.2">
      <c r="A50" s="108"/>
      <c r="B50" s="87" t="s">
        <v>81</v>
      </c>
      <c r="C50" s="330">
        <v>2976.3444420000001</v>
      </c>
      <c r="D50" s="98">
        <v>1271.7750000000001</v>
      </c>
    </row>
    <row r="51" spans="1:4" ht="15" customHeight="1" x14ac:dyDescent="0.2">
      <c r="A51" s="108"/>
      <c r="B51" s="47" t="s">
        <v>82</v>
      </c>
      <c r="C51" s="329">
        <v>1044.4942893699999</v>
      </c>
      <c r="D51" s="98">
        <v>1534.91</v>
      </c>
    </row>
    <row r="52" spans="1:4" ht="15" customHeight="1" x14ac:dyDescent="0.2">
      <c r="A52" s="108"/>
      <c r="B52" s="51" t="s">
        <v>83</v>
      </c>
      <c r="C52" s="102">
        <f>SUM(C40:C51)</f>
        <v>15997.100017699999</v>
      </c>
      <c r="D52" s="101">
        <f>SUM(D40:D51)</f>
        <v>14375.307999999997</v>
      </c>
    </row>
    <row r="53" spans="1:4" ht="15" customHeight="1" x14ac:dyDescent="0.2">
      <c r="A53" s="108"/>
      <c r="B53" s="50" t="s">
        <v>84</v>
      </c>
      <c r="C53" s="168"/>
      <c r="D53" s="98"/>
    </row>
    <row r="54" spans="1:4" ht="15" customHeight="1" x14ac:dyDescent="0.2">
      <c r="A54" s="108"/>
      <c r="B54" s="47" t="s">
        <v>85</v>
      </c>
      <c r="C54" s="329">
        <v>4034.3352149600009</v>
      </c>
      <c r="D54" s="98">
        <v>3825.12</v>
      </c>
    </row>
    <row r="55" spans="1:4" ht="15" customHeight="1" x14ac:dyDescent="0.2">
      <c r="A55" s="108"/>
      <c r="B55" s="47" t="s">
        <v>86</v>
      </c>
      <c r="C55" s="329">
        <v>13024.32531575</v>
      </c>
      <c r="D55" s="98">
        <v>12824.763000000001</v>
      </c>
    </row>
    <row r="56" spans="1:4" ht="15" customHeight="1" x14ac:dyDescent="0.2">
      <c r="A56" s="108"/>
      <c r="B56" s="47" t="s">
        <v>87</v>
      </c>
      <c r="C56" s="329">
        <v>960.06655603000002</v>
      </c>
      <c r="D56" s="98">
        <v>1928.7170000000001</v>
      </c>
    </row>
    <row r="57" spans="1:4" ht="15" customHeight="1" x14ac:dyDescent="0.2">
      <c r="A57" s="108"/>
      <c r="B57" s="47" t="s">
        <v>88</v>
      </c>
      <c r="C57" s="329">
        <v>652.60605515999998</v>
      </c>
      <c r="D57" s="98">
        <v>632.34500000000003</v>
      </c>
    </row>
    <row r="58" spans="1:4" ht="15" customHeight="1" x14ac:dyDescent="0.2">
      <c r="A58" s="108"/>
      <c r="B58" s="47" t="s">
        <v>89</v>
      </c>
      <c r="C58" s="329">
        <v>18694.359366680001</v>
      </c>
      <c r="D58" s="98">
        <v>16701.218000000001</v>
      </c>
    </row>
    <row r="59" spans="1:4" ht="15" customHeight="1" x14ac:dyDescent="0.2">
      <c r="A59" s="108"/>
      <c r="B59" s="47" t="s">
        <v>90</v>
      </c>
      <c r="C59" s="329">
        <v>62.509542409999995</v>
      </c>
      <c r="D59" s="98">
        <v>61.421999999999997</v>
      </c>
    </row>
    <row r="60" spans="1:4" ht="15" customHeight="1" x14ac:dyDescent="0.2">
      <c r="A60" s="108"/>
      <c r="B60" s="47" t="s">
        <v>91</v>
      </c>
      <c r="C60" s="329">
        <v>786.64470042999994</v>
      </c>
      <c r="D60" s="98">
        <v>828.82899999999995</v>
      </c>
    </row>
    <row r="61" spans="1:4" ht="15" customHeight="1" x14ac:dyDescent="0.2">
      <c r="A61" s="108"/>
      <c r="B61" s="47" t="s">
        <v>92</v>
      </c>
      <c r="C61" s="329">
        <v>23.340126000000001</v>
      </c>
      <c r="D61" s="98">
        <v>167.14599999999999</v>
      </c>
    </row>
    <row r="62" spans="1:4" ht="15" customHeight="1" x14ac:dyDescent="0.2">
      <c r="A62" s="108"/>
      <c r="B62" s="51" t="s">
        <v>93</v>
      </c>
      <c r="C62" s="102">
        <f>SUM(C54:C61)</f>
        <v>38238.186877420005</v>
      </c>
      <c r="D62" s="101">
        <f>SUM(D54:D61)</f>
        <v>36969.56</v>
      </c>
    </row>
    <row r="63" spans="1:4" ht="15" customHeight="1" x14ac:dyDescent="0.2">
      <c r="A63" s="108"/>
      <c r="B63" s="51" t="s">
        <v>94</v>
      </c>
      <c r="C63" s="102">
        <f>C62+C52</f>
        <v>54235.286895120007</v>
      </c>
      <c r="D63" s="101">
        <f>D62+D52</f>
        <v>51344.867999999995</v>
      </c>
    </row>
    <row r="64" spans="1:4" ht="15" customHeight="1" x14ac:dyDescent="0.2">
      <c r="A64" s="108"/>
      <c r="B64" s="50" t="s">
        <v>40</v>
      </c>
      <c r="C64" s="168"/>
      <c r="D64" s="98"/>
    </row>
    <row r="65" spans="1:4" ht="15" customHeight="1" x14ac:dyDescent="0.2">
      <c r="A65" s="108"/>
      <c r="B65" s="47" t="s">
        <v>95</v>
      </c>
      <c r="C65" s="329">
        <v>66</v>
      </c>
      <c r="D65" s="98">
        <v>93.783000000000001</v>
      </c>
    </row>
    <row r="66" spans="1:4" ht="15" customHeight="1" x14ac:dyDescent="0.2">
      <c r="A66" s="108"/>
      <c r="B66" s="47" t="s">
        <v>96</v>
      </c>
      <c r="C66" s="329">
        <v>99</v>
      </c>
      <c r="D66" s="98">
        <v>67.534000000000006</v>
      </c>
    </row>
    <row r="67" spans="1:4" ht="15" customHeight="1" x14ac:dyDescent="0.2">
      <c r="A67" s="108"/>
      <c r="B67" s="47" t="s">
        <v>97</v>
      </c>
      <c r="C67" s="329">
        <v>0</v>
      </c>
      <c r="D67" s="98">
        <v>0</v>
      </c>
    </row>
    <row r="68" spans="1:4" ht="15" customHeight="1" x14ac:dyDescent="0.2">
      <c r="A68" s="108"/>
      <c r="B68" s="51" t="s">
        <v>98</v>
      </c>
      <c r="C68" s="102">
        <f>SUM(C65:C67)</f>
        <v>165</v>
      </c>
      <c r="D68" s="101">
        <f>SUM(D65:D67)</f>
        <v>161.31700000000001</v>
      </c>
    </row>
    <row r="69" spans="1:4" ht="15" customHeight="1" x14ac:dyDescent="0.2">
      <c r="A69" s="108"/>
      <c r="B69" s="46" t="s">
        <v>45</v>
      </c>
      <c r="C69" s="331">
        <v>5210</v>
      </c>
      <c r="D69" s="101">
        <v>4025.8249999999998</v>
      </c>
    </row>
    <row r="70" spans="1:4" ht="15" customHeight="1" x14ac:dyDescent="0.2">
      <c r="A70" s="108"/>
      <c r="B70" s="32" t="s">
        <v>99</v>
      </c>
      <c r="C70" s="329">
        <v>1081</v>
      </c>
      <c r="D70" s="98">
        <v>1035.9649999999999</v>
      </c>
    </row>
    <row r="71" spans="1:4" ht="15" customHeight="1" x14ac:dyDescent="0.2">
      <c r="A71" s="108"/>
      <c r="B71" s="32" t="s">
        <v>100</v>
      </c>
      <c r="C71" s="329">
        <v>10476</v>
      </c>
      <c r="D71" s="169">
        <v>10654.869000000001</v>
      </c>
    </row>
    <row r="72" spans="1:4" ht="15" customHeight="1" x14ac:dyDescent="0.2">
      <c r="A72" s="108"/>
      <c r="B72" s="48" t="s">
        <v>101</v>
      </c>
      <c r="C72" s="102">
        <f>C71+C70+C69+C68+C63</f>
        <v>71167.286895120007</v>
      </c>
      <c r="D72" s="101">
        <f>D71+D70+D69+D68+D63</f>
        <v>67222.843999999997</v>
      </c>
    </row>
    <row r="73" spans="1:4" ht="15" customHeight="1" x14ac:dyDescent="0.2">
      <c r="A73" s="108"/>
      <c r="B73" s="36"/>
      <c r="C73" s="156"/>
      <c r="D73" s="156"/>
    </row>
    <row r="74" spans="1:4" ht="15" customHeight="1" x14ac:dyDescent="0.2">
      <c r="A74" s="108"/>
      <c r="B74" s="553" t="s">
        <v>303</v>
      </c>
      <c r="C74" s="553"/>
      <c r="D74" s="553"/>
    </row>
    <row r="75" spans="1:4" ht="15" customHeight="1" x14ac:dyDescent="0.2">
      <c r="A75" s="108"/>
      <c r="B75" s="45" t="s">
        <v>50</v>
      </c>
      <c r="C75" s="33">
        <v>2018</v>
      </c>
      <c r="D75" s="33">
        <v>2017</v>
      </c>
    </row>
    <row r="76" spans="1:4" ht="15" customHeight="1" x14ac:dyDescent="0.2">
      <c r="A76" s="108"/>
      <c r="B76" s="32" t="s">
        <v>28</v>
      </c>
      <c r="C76" s="36">
        <f>C63*0.08</f>
        <v>4338.8229516096008</v>
      </c>
      <c r="D76" s="36">
        <v>4107.5894399999997</v>
      </c>
    </row>
    <row r="77" spans="1:4" ht="15" customHeight="1" x14ac:dyDescent="0.2">
      <c r="A77" s="108"/>
      <c r="B77" s="32" t="s">
        <v>40</v>
      </c>
      <c r="C77" s="36">
        <f>C68*0.08</f>
        <v>13.200000000000001</v>
      </c>
      <c r="D77" s="36">
        <v>12.905360000000002</v>
      </c>
    </row>
    <row r="78" spans="1:4" ht="15" customHeight="1" x14ac:dyDescent="0.2">
      <c r="A78" s="108"/>
      <c r="B78" s="32" t="s">
        <v>45</v>
      </c>
      <c r="C78" s="36">
        <f>C69*0.08</f>
        <v>416.8</v>
      </c>
      <c r="D78" s="36">
        <v>322.06599999999997</v>
      </c>
    </row>
    <row r="79" spans="1:4" ht="15" customHeight="1" x14ac:dyDescent="0.2">
      <c r="A79" s="108"/>
      <c r="B79" s="32" t="s">
        <v>99</v>
      </c>
      <c r="C79" s="36">
        <f>C70*0.08</f>
        <v>86.48</v>
      </c>
      <c r="D79" s="36">
        <v>82.877200000000002</v>
      </c>
    </row>
    <row r="80" spans="1:4" ht="15" customHeight="1" x14ac:dyDescent="0.2">
      <c r="A80" s="108"/>
      <c r="B80" s="45" t="s">
        <v>103</v>
      </c>
      <c r="C80" s="37">
        <f>C71*0.08</f>
        <v>838.08</v>
      </c>
      <c r="D80" s="37">
        <v>852.38952000000006</v>
      </c>
    </row>
    <row r="81" spans="1:5" ht="15" customHeight="1" x14ac:dyDescent="0.2">
      <c r="A81" s="108"/>
      <c r="B81" s="48" t="s">
        <v>104</v>
      </c>
      <c r="C81" s="38">
        <f>SUM(C76:C80)</f>
        <v>5693.3829516096002</v>
      </c>
      <c r="D81" s="37">
        <f>SUM(D76:D80)</f>
        <v>5377.8275199999989</v>
      </c>
      <c r="E81" s="181"/>
    </row>
    <row r="82" spans="1:5" ht="15" customHeight="1" x14ac:dyDescent="0.2">
      <c r="A82" s="108"/>
      <c r="B82" s="32" t="s">
        <v>105</v>
      </c>
      <c r="C82" s="39">
        <f>C27/C72</f>
        <v>0.1452132462100173</v>
      </c>
      <c r="D82" s="39">
        <f>D27/D72</f>
        <v>0.1486399474559571</v>
      </c>
    </row>
    <row r="83" spans="1:5" ht="15" customHeight="1" x14ac:dyDescent="0.2">
      <c r="A83" s="108"/>
      <c r="B83" s="52" t="s">
        <v>106</v>
      </c>
      <c r="C83" s="39">
        <f>C29/C72</f>
        <v>0.1601358327850132</v>
      </c>
      <c r="D83" s="39">
        <f>D29/D72</f>
        <v>0.16150759703055706</v>
      </c>
    </row>
    <row r="84" spans="1:5" ht="15" customHeight="1" x14ac:dyDescent="0.2">
      <c r="A84" s="108"/>
      <c r="B84" s="53" t="s">
        <v>372</v>
      </c>
      <c r="C84" s="40">
        <f>C35/C72</f>
        <v>0.18132534366551586</v>
      </c>
      <c r="D84" s="362">
        <f>D35/D72</f>
        <v>0.18060824680372048</v>
      </c>
    </row>
    <row r="85" spans="1:5" ht="15" customHeight="1" x14ac:dyDescent="0.2">
      <c r="A85" s="108"/>
      <c r="C85" s="156"/>
      <c r="D85" s="156"/>
    </row>
    <row r="86" spans="1:5" ht="15" customHeight="1" x14ac:dyDescent="0.2">
      <c r="A86" s="108"/>
      <c r="C86" s="156"/>
      <c r="D86" s="156"/>
    </row>
    <row r="87" spans="1:5" ht="15" customHeight="1" x14ac:dyDescent="0.2">
      <c r="A87" s="108"/>
      <c r="C87" s="156"/>
      <c r="D87" s="156"/>
    </row>
    <row r="88" spans="1:5" ht="15" customHeight="1" x14ac:dyDescent="0.2">
      <c r="A88" s="108"/>
      <c r="C88" s="156"/>
      <c r="D88" s="156"/>
    </row>
    <row r="89" spans="1:5" ht="15" customHeight="1" x14ac:dyDescent="0.2">
      <c r="A89" s="108"/>
      <c r="C89" s="156"/>
      <c r="D89" s="156"/>
    </row>
    <row r="90" spans="1:5" ht="15" customHeight="1" x14ac:dyDescent="0.2">
      <c r="A90" s="108"/>
      <c r="C90" s="156"/>
      <c r="D90" s="156"/>
    </row>
    <row r="91" spans="1:5" ht="15" customHeight="1" x14ac:dyDescent="0.2">
      <c r="A91" s="108"/>
      <c r="C91" s="156"/>
      <c r="D91" s="156"/>
    </row>
    <row r="92" spans="1:5" ht="15" customHeight="1" x14ac:dyDescent="0.2">
      <c r="A92" s="108"/>
      <c r="C92" s="156"/>
      <c r="D92" s="156"/>
    </row>
    <row r="93" spans="1:5" ht="15" customHeight="1" x14ac:dyDescent="0.2">
      <c r="A93" s="108"/>
      <c r="C93" s="156"/>
      <c r="D93" s="156"/>
    </row>
    <row r="94" spans="1:5" ht="15" customHeight="1" x14ac:dyDescent="0.2">
      <c r="A94" s="108"/>
      <c r="C94" s="156"/>
      <c r="D94" s="156"/>
    </row>
    <row r="95" spans="1:5" ht="15" customHeight="1" x14ac:dyDescent="0.2">
      <c r="A95" s="108"/>
      <c r="C95" s="156"/>
      <c r="D95" s="156"/>
    </row>
    <row r="96" spans="1:5" ht="15" customHeight="1" x14ac:dyDescent="0.2">
      <c r="A96" s="108"/>
      <c r="C96" s="156"/>
      <c r="D96" s="156"/>
    </row>
    <row r="97" spans="1:4" ht="15" customHeight="1" x14ac:dyDescent="0.2">
      <c r="A97" s="108"/>
      <c r="C97" s="156"/>
      <c r="D97" s="156"/>
    </row>
    <row r="98" spans="1:4" ht="15" customHeight="1" x14ac:dyDescent="0.2">
      <c r="A98" s="108"/>
      <c r="C98" s="156"/>
      <c r="D98" s="156"/>
    </row>
    <row r="99" spans="1:4" ht="15" customHeight="1" x14ac:dyDescent="0.2">
      <c r="A99" s="108"/>
      <c r="C99" s="156"/>
      <c r="D99" s="156"/>
    </row>
    <row r="100" spans="1:4" ht="15" customHeight="1" x14ac:dyDescent="0.2">
      <c r="A100" s="108"/>
      <c r="C100" s="156"/>
      <c r="D100" s="156"/>
    </row>
    <row r="101" spans="1:4" ht="15" customHeight="1" x14ac:dyDescent="0.2">
      <c r="A101" s="108"/>
      <c r="C101" s="156"/>
      <c r="D101" s="156"/>
    </row>
    <row r="102" spans="1:4" ht="15" customHeight="1" x14ac:dyDescent="0.2">
      <c r="A102" s="108"/>
      <c r="C102" s="156"/>
      <c r="D102" s="156"/>
    </row>
    <row r="103" spans="1:4" ht="15" customHeight="1" x14ac:dyDescent="0.2">
      <c r="A103" s="108"/>
      <c r="C103" s="156"/>
      <c r="D103" s="156"/>
    </row>
    <row r="104" spans="1:4" ht="15" customHeight="1" x14ac:dyDescent="0.2">
      <c r="A104" s="108"/>
      <c r="C104" s="156"/>
      <c r="D104" s="156"/>
    </row>
    <row r="105" spans="1:4" ht="15" customHeight="1" x14ac:dyDescent="0.2">
      <c r="A105" s="108"/>
      <c r="C105" s="156"/>
      <c r="D105" s="156"/>
    </row>
    <row r="106" spans="1:4" ht="15" customHeight="1" x14ac:dyDescent="0.2">
      <c r="A106" s="108"/>
      <c r="C106" s="156"/>
      <c r="D106" s="156"/>
    </row>
    <row r="107" spans="1:4" ht="15" customHeight="1" x14ac:dyDescent="0.2">
      <c r="A107" s="108"/>
      <c r="C107" s="156"/>
      <c r="D107" s="156"/>
    </row>
    <row r="108" spans="1:4" ht="15" customHeight="1" x14ac:dyDescent="0.2">
      <c r="A108" s="108"/>
      <c r="C108" s="156"/>
      <c r="D108" s="156"/>
    </row>
    <row r="109" spans="1:4" ht="15" customHeight="1" x14ac:dyDescent="0.2">
      <c r="A109" s="108"/>
      <c r="C109" s="156"/>
      <c r="D109" s="156"/>
    </row>
    <row r="110" spans="1:4" ht="15" customHeight="1" x14ac:dyDescent="0.2">
      <c r="A110" s="108"/>
      <c r="C110" s="156"/>
      <c r="D110" s="156"/>
    </row>
    <row r="111" spans="1:4" ht="15" customHeight="1" x14ac:dyDescent="0.2">
      <c r="A111" s="108"/>
      <c r="C111" s="156"/>
      <c r="D111" s="156"/>
    </row>
    <row r="112" spans="1:4" ht="15" customHeight="1" x14ac:dyDescent="0.2">
      <c r="A112" s="108"/>
      <c r="C112" s="156"/>
      <c r="D112" s="156"/>
    </row>
    <row r="113" spans="1:4" ht="15" customHeight="1" x14ac:dyDescent="0.2">
      <c r="A113" s="108"/>
      <c r="C113" s="156"/>
      <c r="D113" s="156"/>
    </row>
    <row r="114" spans="1:4" ht="15" customHeight="1" x14ac:dyDescent="0.2">
      <c r="A114" s="108"/>
      <c r="C114" s="156"/>
      <c r="D114" s="156"/>
    </row>
    <row r="115" spans="1:4" ht="15" customHeight="1" x14ac:dyDescent="0.2">
      <c r="A115" s="108"/>
      <c r="C115" s="156"/>
      <c r="D115" s="156"/>
    </row>
    <row r="116" spans="1:4" ht="15" customHeight="1" x14ac:dyDescent="0.2">
      <c r="A116" s="108"/>
      <c r="C116" s="156"/>
      <c r="D116" s="156"/>
    </row>
    <row r="117" spans="1:4" ht="15" customHeight="1" x14ac:dyDescent="0.2">
      <c r="A117" s="108"/>
      <c r="C117" s="156"/>
      <c r="D117" s="156"/>
    </row>
    <row r="118" spans="1:4" ht="15" customHeight="1" x14ac:dyDescent="0.2">
      <c r="A118" s="108"/>
      <c r="C118" s="156"/>
      <c r="D118" s="156"/>
    </row>
    <row r="119" spans="1:4" ht="15" customHeight="1" x14ac:dyDescent="0.2">
      <c r="A119" s="108"/>
      <c r="C119" s="156"/>
      <c r="D119" s="156"/>
    </row>
    <row r="120" spans="1:4" ht="15" customHeight="1" x14ac:dyDescent="0.2">
      <c r="A120" s="108"/>
      <c r="C120" s="156"/>
      <c r="D120" s="156"/>
    </row>
    <row r="121" spans="1:4" ht="15" customHeight="1" x14ac:dyDescent="0.2">
      <c r="A121" s="108"/>
      <c r="C121" s="156"/>
      <c r="D121" s="156"/>
    </row>
    <row r="122" spans="1:4" ht="15" customHeight="1" x14ac:dyDescent="0.2">
      <c r="A122" s="108"/>
      <c r="C122" s="156"/>
      <c r="D122" s="156"/>
    </row>
    <row r="123" spans="1:4" ht="15" customHeight="1" x14ac:dyDescent="0.2">
      <c r="A123" s="108"/>
      <c r="C123" s="156"/>
      <c r="D123" s="156"/>
    </row>
    <row r="124" spans="1:4" ht="15" customHeight="1" x14ac:dyDescent="0.2">
      <c r="A124" s="108"/>
      <c r="C124" s="156"/>
      <c r="D124" s="156"/>
    </row>
    <row r="125" spans="1:4" ht="15" customHeight="1" x14ac:dyDescent="0.2">
      <c r="A125" s="108"/>
      <c r="C125" s="156"/>
      <c r="D125" s="156"/>
    </row>
    <row r="126" spans="1:4" ht="15" customHeight="1" x14ac:dyDescent="0.2">
      <c r="A126" s="108"/>
      <c r="C126" s="156"/>
      <c r="D126" s="156"/>
    </row>
    <row r="127" spans="1:4" ht="15" customHeight="1" x14ac:dyDescent="0.2">
      <c r="A127" s="108"/>
      <c r="C127" s="156"/>
      <c r="D127" s="156"/>
    </row>
    <row r="128" spans="1:4" ht="15" customHeight="1" x14ac:dyDescent="0.2">
      <c r="A128" s="108"/>
      <c r="C128" s="156"/>
      <c r="D128" s="156"/>
    </row>
    <row r="129" spans="1:4" ht="15" customHeight="1" x14ac:dyDescent="0.2">
      <c r="A129" s="108"/>
      <c r="C129" s="156"/>
      <c r="D129" s="156"/>
    </row>
    <row r="130" spans="1:4" ht="15" customHeight="1" x14ac:dyDescent="0.2">
      <c r="A130" s="108"/>
      <c r="C130" s="156"/>
      <c r="D130" s="156"/>
    </row>
    <row r="131" spans="1:4" ht="15" customHeight="1" x14ac:dyDescent="0.2">
      <c r="A131" s="108"/>
      <c r="C131" s="156"/>
      <c r="D131" s="156"/>
    </row>
    <row r="132" spans="1:4" ht="15" customHeight="1" x14ac:dyDescent="0.2">
      <c r="A132" s="108"/>
      <c r="C132" s="156"/>
      <c r="D132" s="156"/>
    </row>
    <row r="133" spans="1:4" ht="15" customHeight="1" x14ac:dyDescent="0.2">
      <c r="A133" s="108"/>
      <c r="C133" s="156"/>
      <c r="D133" s="156"/>
    </row>
    <row r="134" spans="1:4" ht="15" customHeight="1" x14ac:dyDescent="0.2">
      <c r="A134" s="108"/>
      <c r="C134" s="156"/>
      <c r="D134" s="156"/>
    </row>
    <row r="135" spans="1:4" ht="15" customHeight="1" x14ac:dyDescent="0.2">
      <c r="A135" s="108"/>
      <c r="C135" s="156"/>
      <c r="D135" s="156"/>
    </row>
    <row r="136" spans="1:4" ht="15" customHeight="1" x14ac:dyDescent="0.2">
      <c r="A136" s="108"/>
      <c r="C136" s="156"/>
      <c r="D136" s="156"/>
    </row>
    <row r="137" spans="1:4" ht="15" customHeight="1" x14ac:dyDescent="0.2">
      <c r="A137" s="108"/>
      <c r="C137" s="156"/>
      <c r="D137" s="156"/>
    </row>
    <row r="138" spans="1:4" ht="15" customHeight="1" x14ac:dyDescent="0.2">
      <c r="A138" s="108"/>
      <c r="C138" s="156"/>
      <c r="D138" s="156"/>
    </row>
    <row r="139" spans="1:4" ht="15" customHeight="1" x14ac:dyDescent="0.2">
      <c r="A139" s="108"/>
      <c r="C139" s="156"/>
      <c r="D139" s="156"/>
    </row>
    <row r="140" spans="1:4" ht="15" customHeight="1" x14ac:dyDescent="0.2">
      <c r="A140" s="108"/>
      <c r="C140" s="156"/>
      <c r="D140" s="156"/>
    </row>
    <row r="141" spans="1:4" ht="15" customHeight="1" x14ac:dyDescent="0.2">
      <c r="A141" s="108"/>
      <c r="C141" s="156"/>
      <c r="D141" s="156"/>
    </row>
    <row r="142" spans="1:4" ht="15" customHeight="1" x14ac:dyDescent="0.2">
      <c r="A142" s="108"/>
      <c r="C142" s="156"/>
      <c r="D142" s="156"/>
    </row>
    <row r="143" spans="1:4" ht="15" customHeight="1" x14ac:dyDescent="0.2">
      <c r="A143" s="108"/>
      <c r="C143" s="156"/>
      <c r="D143" s="156"/>
    </row>
    <row r="144" spans="1:4" ht="15" customHeight="1" x14ac:dyDescent="0.2">
      <c r="A144" s="108"/>
      <c r="C144" s="156"/>
      <c r="D144" s="156"/>
    </row>
    <row r="145" spans="1:4" ht="15" customHeight="1" x14ac:dyDescent="0.2">
      <c r="A145" s="108"/>
      <c r="C145" s="156"/>
      <c r="D145" s="156"/>
    </row>
    <row r="146" spans="1:4" ht="15" customHeight="1" x14ac:dyDescent="0.2">
      <c r="A146" s="108"/>
      <c r="C146" s="156"/>
      <c r="D146" s="156"/>
    </row>
    <row r="147" spans="1:4" ht="15" customHeight="1" x14ac:dyDescent="0.2">
      <c r="A147" s="108"/>
      <c r="C147" s="156"/>
      <c r="D147" s="156"/>
    </row>
    <row r="148" spans="1:4" ht="15" customHeight="1" x14ac:dyDescent="0.2">
      <c r="A148" s="108"/>
      <c r="C148" s="156"/>
      <c r="D148" s="156"/>
    </row>
    <row r="149" spans="1:4" ht="15" customHeight="1" x14ac:dyDescent="0.2">
      <c r="A149" s="108"/>
      <c r="C149" s="156"/>
      <c r="D149" s="156"/>
    </row>
    <row r="150" spans="1:4" ht="15" customHeight="1" x14ac:dyDescent="0.2">
      <c r="A150" s="108"/>
      <c r="C150" s="156"/>
      <c r="D150" s="156"/>
    </row>
    <row r="151" spans="1:4" ht="15" customHeight="1" x14ac:dyDescent="0.2">
      <c r="A151" s="108"/>
      <c r="C151" s="156"/>
      <c r="D151" s="156"/>
    </row>
    <row r="152" spans="1:4" ht="15" customHeight="1" x14ac:dyDescent="0.2">
      <c r="A152" s="108"/>
      <c r="C152" s="156"/>
      <c r="D152" s="156"/>
    </row>
    <row r="153" spans="1:4" ht="15" customHeight="1" x14ac:dyDescent="0.2">
      <c r="A153" s="108"/>
      <c r="C153" s="156"/>
      <c r="D153" s="156"/>
    </row>
    <row r="154" spans="1:4" ht="15" customHeight="1" x14ac:dyDescent="0.2">
      <c r="A154" s="108"/>
      <c r="C154" s="156"/>
      <c r="D154" s="156"/>
    </row>
    <row r="155" spans="1:4" ht="15" customHeight="1" x14ac:dyDescent="0.2">
      <c r="A155" s="108"/>
      <c r="C155" s="156"/>
      <c r="D155" s="156"/>
    </row>
    <row r="156" spans="1:4" ht="15" customHeight="1" x14ac:dyDescent="0.2">
      <c r="A156" s="108"/>
      <c r="C156" s="156"/>
      <c r="D156" s="156"/>
    </row>
    <row r="157" spans="1:4" ht="15" customHeight="1" x14ac:dyDescent="0.2">
      <c r="A157" s="108"/>
      <c r="C157" s="156"/>
      <c r="D157" s="156"/>
    </row>
    <row r="158" spans="1:4" ht="15" customHeight="1" x14ac:dyDescent="0.2">
      <c r="A158" s="108"/>
      <c r="C158" s="156"/>
      <c r="D158" s="156"/>
    </row>
    <row r="159" spans="1:4" ht="15" customHeight="1" x14ac:dyDescent="0.2">
      <c r="A159" s="108"/>
      <c r="C159" s="156"/>
      <c r="D159" s="156"/>
    </row>
    <row r="160" spans="1:4" ht="15" customHeight="1" x14ac:dyDescent="0.2">
      <c r="A160" s="108"/>
      <c r="C160" s="156"/>
      <c r="D160" s="156"/>
    </row>
    <row r="161" spans="1:4" ht="15" customHeight="1" x14ac:dyDescent="0.2">
      <c r="A161" s="108"/>
      <c r="C161" s="156"/>
      <c r="D161" s="156"/>
    </row>
    <row r="162" spans="1:4" ht="15" customHeight="1" x14ac:dyDescent="0.2">
      <c r="A162" s="108"/>
      <c r="C162" s="156"/>
      <c r="D162" s="156"/>
    </row>
    <row r="163" spans="1:4" ht="15" customHeight="1" x14ac:dyDescent="0.2">
      <c r="A163" s="108"/>
      <c r="C163" s="156"/>
      <c r="D163" s="156"/>
    </row>
    <row r="164" spans="1:4" ht="15" customHeight="1" x14ac:dyDescent="0.2">
      <c r="A164" s="108"/>
      <c r="C164" s="156"/>
      <c r="D164" s="156"/>
    </row>
    <row r="165" spans="1:4" ht="15" customHeight="1" x14ac:dyDescent="0.2">
      <c r="A165" s="108"/>
      <c r="C165" s="156"/>
      <c r="D165" s="156"/>
    </row>
    <row r="166" spans="1:4" ht="15" customHeight="1" x14ac:dyDescent="0.2">
      <c r="A166" s="108"/>
      <c r="C166" s="156"/>
      <c r="D166" s="156"/>
    </row>
    <row r="167" spans="1:4" ht="15" customHeight="1" x14ac:dyDescent="0.2">
      <c r="A167" s="108"/>
      <c r="C167" s="156"/>
      <c r="D167" s="156"/>
    </row>
    <row r="168" spans="1:4" ht="15" customHeight="1" x14ac:dyDescent="0.2">
      <c r="A168" s="108"/>
      <c r="C168" s="156"/>
      <c r="D168" s="156"/>
    </row>
    <row r="169" spans="1:4" ht="15" customHeight="1" x14ac:dyDescent="0.2">
      <c r="A169" s="108"/>
      <c r="C169" s="156"/>
      <c r="D169" s="156"/>
    </row>
    <row r="170" spans="1:4" ht="15" customHeight="1" x14ac:dyDescent="0.2">
      <c r="A170" s="108"/>
      <c r="C170" s="156"/>
      <c r="D170" s="156"/>
    </row>
    <row r="171" spans="1:4" ht="15" customHeight="1" x14ac:dyDescent="0.2">
      <c r="A171" s="108"/>
      <c r="C171" s="156"/>
      <c r="D171" s="156"/>
    </row>
    <row r="172" spans="1:4" ht="15" customHeight="1" x14ac:dyDescent="0.2">
      <c r="A172" s="108"/>
      <c r="C172" s="156"/>
      <c r="D172" s="156"/>
    </row>
    <row r="173" spans="1:4" ht="15" customHeight="1" x14ac:dyDescent="0.2">
      <c r="A173" s="108"/>
      <c r="C173" s="156"/>
      <c r="D173" s="156"/>
    </row>
    <row r="174" spans="1:4" ht="15" customHeight="1" x14ac:dyDescent="0.2">
      <c r="A174" s="108"/>
      <c r="C174" s="156"/>
      <c r="D174" s="156"/>
    </row>
    <row r="175" spans="1:4" ht="15" customHeight="1" x14ac:dyDescent="0.2">
      <c r="A175" s="108"/>
      <c r="C175" s="156"/>
      <c r="D175" s="156"/>
    </row>
    <row r="176" spans="1:4" ht="15" customHeight="1" x14ac:dyDescent="0.2">
      <c r="A176" s="108"/>
      <c r="C176" s="156"/>
      <c r="D176" s="156"/>
    </row>
    <row r="177" spans="1:4" ht="15" customHeight="1" x14ac:dyDescent="0.2">
      <c r="A177" s="108"/>
      <c r="C177" s="156"/>
      <c r="D177" s="156"/>
    </row>
    <row r="178" spans="1:4" ht="15" customHeight="1" x14ac:dyDescent="0.2">
      <c r="A178" s="108"/>
      <c r="C178" s="156"/>
      <c r="D178" s="156"/>
    </row>
    <row r="179" spans="1:4" ht="15" customHeight="1" x14ac:dyDescent="0.2">
      <c r="A179" s="108"/>
      <c r="C179" s="156"/>
      <c r="D179" s="156"/>
    </row>
    <row r="180" spans="1:4" ht="15" customHeight="1" x14ac:dyDescent="0.2">
      <c r="A180" s="108"/>
      <c r="C180" s="156"/>
      <c r="D180" s="156"/>
    </row>
    <row r="181" spans="1:4" ht="15" customHeight="1" x14ac:dyDescent="0.2">
      <c r="A181" s="108"/>
      <c r="C181" s="156"/>
      <c r="D181" s="156"/>
    </row>
    <row r="182" spans="1:4" ht="15" customHeight="1" x14ac:dyDescent="0.2">
      <c r="A182" s="108"/>
      <c r="C182" s="156"/>
      <c r="D182" s="156"/>
    </row>
    <row r="183" spans="1:4" ht="15" customHeight="1" x14ac:dyDescent="0.2">
      <c r="A183" s="108"/>
      <c r="C183" s="156"/>
      <c r="D183" s="156"/>
    </row>
    <row r="184" spans="1:4" ht="15" customHeight="1" x14ac:dyDescent="0.2">
      <c r="A184" s="108"/>
      <c r="C184" s="156"/>
      <c r="D184" s="156"/>
    </row>
    <row r="185" spans="1:4" ht="15" customHeight="1" x14ac:dyDescent="0.2">
      <c r="A185" s="108"/>
      <c r="C185" s="156"/>
      <c r="D185" s="156"/>
    </row>
    <row r="186" spans="1:4" ht="15" customHeight="1" x14ac:dyDescent="0.2">
      <c r="A186" s="108"/>
      <c r="C186" s="156"/>
      <c r="D186" s="156"/>
    </row>
    <row r="187" spans="1:4" ht="15" customHeight="1" x14ac:dyDescent="0.2">
      <c r="A187" s="108"/>
      <c r="C187" s="156"/>
      <c r="D187" s="156"/>
    </row>
    <row r="188" spans="1:4" ht="15" customHeight="1" x14ac:dyDescent="0.2">
      <c r="A188" s="108"/>
      <c r="C188" s="156"/>
      <c r="D188" s="156"/>
    </row>
    <row r="189" spans="1:4" ht="15" customHeight="1" x14ac:dyDescent="0.2">
      <c r="A189" s="108"/>
      <c r="C189" s="156"/>
      <c r="D189" s="156"/>
    </row>
    <row r="190" spans="1:4" ht="15" customHeight="1" x14ac:dyDescent="0.2">
      <c r="A190" s="108"/>
      <c r="C190" s="156"/>
      <c r="D190" s="156"/>
    </row>
    <row r="191" spans="1:4" ht="15" customHeight="1" x14ac:dyDescent="0.2">
      <c r="A191" s="108"/>
      <c r="C191" s="156"/>
      <c r="D191" s="156"/>
    </row>
    <row r="192" spans="1:4" ht="15" customHeight="1" x14ac:dyDescent="0.2">
      <c r="A192" s="108"/>
      <c r="C192" s="156"/>
      <c r="D192" s="156"/>
    </row>
    <row r="193" spans="1:4" ht="15" customHeight="1" x14ac:dyDescent="0.2">
      <c r="A193" s="108"/>
      <c r="C193" s="156"/>
      <c r="D193" s="156"/>
    </row>
    <row r="194" spans="1:4" ht="15" customHeight="1" x14ac:dyDescent="0.2">
      <c r="A194" s="108"/>
      <c r="C194" s="156"/>
      <c r="D194" s="156"/>
    </row>
    <row r="195" spans="1:4" ht="15" customHeight="1" x14ac:dyDescent="0.2">
      <c r="A195" s="108"/>
      <c r="C195" s="156"/>
      <c r="D195" s="156"/>
    </row>
    <row r="196" spans="1:4" ht="15" customHeight="1" x14ac:dyDescent="0.2">
      <c r="A196" s="108"/>
      <c r="C196" s="156"/>
      <c r="D196" s="156"/>
    </row>
    <row r="197" spans="1:4" ht="15" customHeight="1" x14ac:dyDescent="0.2">
      <c r="A197" s="108"/>
      <c r="C197" s="156"/>
      <c r="D197" s="156"/>
    </row>
    <row r="198" spans="1:4" ht="15" customHeight="1" x14ac:dyDescent="0.2">
      <c r="A198" s="108"/>
      <c r="C198" s="156"/>
      <c r="D198" s="156"/>
    </row>
    <row r="199" spans="1:4" ht="15" customHeight="1" x14ac:dyDescent="0.2">
      <c r="A199" s="108"/>
      <c r="C199" s="156"/>
      <c r="D199" s="156"/>
    </row>
    <row r="200" spans="1:4" ht="15" customHeight="1" x14ac:dyDescent="0.2">
      <c r="A200" s="108"/>
    </row>
  </sheetData>
  <sheetProtection algorithmName="SHA-512" hashValue="boNs7lAn/eMc5FGl9c5jzQ5gwZW5QMR2/2Sgm90rRWsEL9uGNoMaPZj6P83qdoMjgH5B7aTUqcMqfVcZT9q0Sw==" saltValue="Uul7gR4Tt2x6uBla5gv6cw==" spinCount="100000" sheet="1" objects="1" scenarios="1"/>
  <mergeCells count="3">
    <mergeCell ref="B4:D4"/>
    <mergeCell ref="B37:D37"/>
    <mergeCell ref="B74:D74"/>
  </mergeCells>
  <pageMargins left="0.7" right="0.7" top="0.75" bottom="0.75" header="0.3" footer="0.3"/>
  <pageSetup paperSize="9" orientation="portrait" verticalDpi="0" r:id="rId1"/>
  <ignoredErrors>
    <ignoredError sqref="D8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B2:R49"/>
  <sheetViews>
    <sheetView showGridLines="0" zoomScale="85" zoomScaleNormal="85" workbookViewId="0"/>
  </sheetViews>
  <sheetFormatPr baseColWidth="10" defaultRowHeight="12.75" x14ac:dyDescent="0.2"/>
  <cols>
    <col min="2" max="2" width="47.140625" customWidth="1"/>
    <col min="3" max="3" width="11.42578125" style="7"/>
    <col min="6" max="6" width="12.140625" customWidth="1"/>
  </cols>
  <sheetData>
    <row r="2" spans="2:18" ht="18.75" x14ac:dyDescent="0.3">
      <c r="B2" s="295" t="s">
        <v>404</v>
      </c>
      <c r="C2" s="298"/>
      <c r="D2" s="292"/>
      <c r="E2" s="20"/>
      <c r="F2" s="185"/>
      <c r="G2" s="184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2:18" x14ac:dyDescent="0.2">
      <c r="B3" s="293" t="s">
        <v>19</v>
      </c>
      <c r="F3" s="122"/>
    </row>
    <row r="4" spans="2:18" x14ac:dyDescent="0.2">
      <c r="B4" s="3"/>
    </row>
    <row r="5" spans="2:18" x14ac:dyDescent="0.2">
      <c r="B5" s="43" t="s">
        <v>49</v>
      </c>
      <c r="D5" s="32"/>
    </row>
    <row r="6" spans="2:18" x14ac:dyDescent="0.2">
      <c r="B6" s="45" t="s">
        <v>107</v>
      </c>
      <c r="C6" s="177">
        <v>2018</v>
      </c>
      <c r="D6" s="33">
        <v>2017</v>
      </c>
    </row>
    <row r="7" spans="2:18" x14ac:dyDescent="0.2">
      <c r="B7" s="32" t="s">
        <v>108</v>
      </c>
      <c r="C7" s="178">
        <v>781000</v>
      </c>
      <c r="D7" s="178">
        <v>632000</v>
      </c>
    </row>
    <row r="8" spans="2:18" x14ac:dyDescent="0.2">
      <c r="B8" s="32" t="s">
        <v>52</v>
      </c>
      <c r="C8" s="178">
        <v>59000</v>
      </c>
      <c r="D8" s="178">
        <v>59000</v>
      </c>
    </row>
    <row r="9" spans="2:18" x14ac:dyDescent="0.2">
      <c r="B9" s="32" t="s">
        <v>57</v>
      </c>
      <c r="C9" s="178">
        <f>62364.318+132674.775</f>
        <v>195039.09299999999</v>
      </c>
      <c r="D9" s="178">
        <v>82160</v>
      </c>
      <c r="F9" s="175"/>
    </row>
    <row r="10" spans="2:18" x14ac:dyDescent="0.2">
      <c r="B10" s="32" t="s">
        <v>183</v>
      </c>
      <c r="C10" s="178">
        <v>80689.91</v>
      </c>
      <c r="D10" s="178">
        <v>83875</v>
      </c>
      <c r="F10" s="175"/>
    </row>
    <row r="11" spans="2:18" x14ac:dyDescent="0.2">
      <c r="B11" s="46" t="s">
        <v>58</v>
      </c>
      <c r="C11" s="179">
        <f>SUM(C7:C10)</f>
        <v>1115729.003</v>
      </c>
      <c r="D11" s="179">
        <f>SUM(D7:D10)</f>
        <v>857035</v>
      </c>
    </row>
    <row r="12" spans="2:18" x14ac:dyDescent="0.2">
      <c r="B12" s="32"/>
      <c r="C12" s="180"/>
      <c r="D12" s="180"/>
    </row>
    <row r="13" spans="2:18" x14ac:dyDescent="0.2">
      <c r="B13" s="32" t="s">
        <v>59</v>
      </c>
      <c r="C13" s="178"/>
      <c r="D13" s="178"/>
      <c r="F13" s="36"/>
    </row>
    <row r="14" spans="2:18" x14ac:dyDescent="0.2">
      <c r="B14" s="47" t="s">
        <v>183</v>
      </c>
      <c r="C14" s="178">
        <f>+-C10</f>
        <v>-80689.91</v>
      </c>
      <c r="D14" s="178">
        <f>-D10</f>
        <v>-83875</v>
      </c>
    </row>
    <row r="15" spans="2:18" x14ac:dyDescent="0.2">
      <c r="B15" s="47" t="s">
        <v>109</v>
      </c>
      <c r="C15" s="178">
        <v>-132674.77499999999</v>
      </c>
      <c r="D15" s="178">
        <v>-5251</v>
      </c>
    </row>
    <row r="16" spans="2:18" ht="10.5" customHeight="1" x14ac:dyDescent="0.2">
      <c r="B16" s="47" t="s">
        <v>65</v>
      </c>
      <c r="C16" s="178">
        <v>-10448.487999999999</v>
      </c>
      <c r="D16" s="178">
        <v>-10916</v>
      </c>
    </row>
    <row r="17" spans="2:9" x14ac:dyDescent="0.2">
      <c r="B17" s="79" t="s">
        <v>62</v>
      </c>
      <c r="C17" s="178">
        <v>-40.704000000000001</v>
      </c>
      <c r="D17" s="178">
        <v>-84</v>
      </c>
    </row>
    <row r="18" spans="2:9" x14ac:dyDescent="0.2">
      <c r="B18" s="46" t="s">
        <v>67</v>
      </c>
      <c r="C18" s="182">
        <f>C11+SUM(C14:C17)</f>
        <v>891875.12600000005</v>
      </c>
      <c r="D18" s="182">
        <f>D11+SUM(D14:D17)</f>
        <v>756909</v>
      </c>
    </row>
    <row r="19" spans="2:9" x14ac:dyDescent="0.2">
      <c r="B19" s="32" t="s">
        <v>183</v>
      </c>
      <c r="C19" s="180">
        <f>C10</f>
        <v>80689.91</v>
      </c>
      <c r="D19" s="180">
        <f>D10</f>
        <v>83875</v>
      </c>
    </row>
    <row r="20" spans="2:9" x14ac:dyDescent="0.2">
      <c r="B20" s="46" t="s">
        <v>68</v>
      </c>
      <c r="C20" s="179">
        <f>C18+C19</f>
        <v>972565.03600000008</v>
      </c>
      <c r="D20" s="179">
        <f>D18+D19</f>
        <v>840784</v>
      </c>
    </row>
    <row r="21" spans="2:9" x14ac:dyDescent="0.2">
      <c r="B21" s="46" t="s">
        <v>110</v>
      </c>
      <c r="C21" s="179">
        <v>101000</v>
      </c>
      <c r="D21" s="179">
        <v>101000</v>
      </c>
    </row>
    <row r="22" spans="2:9" x14ac:dyDescent="0.2">
      <c r="B22" s="48" t="s">
        <v>49</v>
      </c>
      <c r="C22" s="182">
        <f>C20+C21</f>
        <v>1073565.0360000001</v>
      </c>
      <c r="D22" s="182">
        <f>D20+D21</f>
        <v>941784</v>
      </c>
    </row>
    <row r="23" spans="2:9" x14ac:dyDescent="0.2">
      <c r="B23" s="32"/>
      <c r="C23" s="178"/>
      <c r="D23" s="178"/>
      <c r="I23" s="408"/>
    </row>
    <row r="24" spans="2:9" x14ac:dyDescent="0.2">
      <c r="B24" s="49" t="s">
        <v>72</v>
      </c>
      <c r="C24" s="178"/>
      <c r="D24" s="178"/>
    </row>
    <row r="25" spans="2:9" x14ac:dyDescent="0.2">
      <c r="B25" s="45" t="s">
        <v>107</v>
      </c>
      <c r="C25" s="177">
        <v>2018</v>
      </c>
      <c r="D25" s="177">
        <v>2017</v>
      </c>
    </row>
    <row r="26" spans="2:9" x14ac:dyDescent="0.2">
      <c r="B26" s="50" t="s">
        <v>73</v>
      </c>
      <c r="C26" s="178"/>
      <c r="D26" s="178"/>
    </row>
    <row r="27" spans="2:9" x14ac:dyDescent="0.2">
      <c r="B27" s="47" t="s">
        <v>33</v>
      </c>
      <c r="C27" s="178">
        <v>114.982</v>
      </c>
      <c r="D27" s="178">
        <v>0</v>
      </c>
    </row>
    <row r="28" spans="2:9" x14ac:dyDescent="0.2">
      <c r="B28" s="47" t="s">
        <v>74</v>
      </c>
      <c r="C28" s="178">
        <v>1983.9952000000003</v>
      </c>
      <c r="D28" s="178">
        <v>9958</v>
      </c>
    </row>
    <row r="29" spans="2:9" x14ac:dyDescent="0.2">
      <c r="B29" s="47" t="s">
        <v>75</v>
      </c>
      <c r="C29" s="178">
        <v>45236.415000000001</v>
      </c>
      <c r="D29" s="178">
        <v>43159</v>
      </c>
    </row>
    <row r="30" spans="2:9" x14ac:dyDescent="0.2">
      <c r="B30" s="47" t="s">
        <v>35</v>
      </c>
      <c r="C30" s="178">
        <v>2511.6889999999999</v>
      </c>
      <c r="D30" s="178">
        <v>23323.5</v>
      </c>
    </row>
    <row r="31" spans="2:9" x14ac:dyDescent="0.2">
      <c r="B31" s="47" t="s">
        <v>32</v>
      </c>
      <c r="C31" s="178">
        <v>3240797.6398</v>
      </c>
      <c r="D31" s="178">
        <v>2692879.9</v>
      </c>
    </row>
    <row r="32" spans="2:9" x14ac:dyDescent="0.2">
      <c r="B32" s="47" t="s">
        <v>76</v>
      </c>
      <c r="C32" s="178">
        <v>2109775.2749999999</v>
      </c>
      <c r="D32" s="178">
        <v>1879698</v>
      </c>
    </row>
    <row r="33" spans="2:5" x14ac:dyDescent="0.2">
      <c r="B33" s="47" t="s">
        <v>78</v>
      </c>
      <c r="C33" s="178">
        <v>126503.49149999999</v>
      </c>
      <c r="D33" s="178">
        <v>88835</v>
      </c>
    </row>
    <row r="34" spans="2:5" x14ac:dyDescent="0.2">
      <c r="B34" s="47" t="s">
        <v>82</v>
      </c>
      <c r="C34" s="178">
        <v>44998.368200000004</v>
      </c>
      <c r="D34" s="178">
        <v>77187</v>
      </c>
    </row>
    <row r="35" spans="2:5" x14ac:dyDescent="0.2">
      <c r="B35" s="51" t="s">
        <v>94</v>
      </c>
      <c r="C35" s="179">
        <f>SUM(C27:C34)</f>
        <v>5571921.8556999993</v>
      </c>
      <c r="D35" s="179">
        <f>SUM(D27:D34)</f>
        <v>4815040.4000000004</v>
      </c>
    </row>
    <row r="36" spans="2:5" x14ac:dyDescent="0.2">
      <c r="B36" s="45" t="s">
        <v>45</v>
      </c>
      <c r="C36" s="332">
        <v>361991.25</v>
      </c>
      <c r="D36" s="178">
        <v>339420</v>
      </c>
    </row>
    <row r="37" spans="2:5" x14ac:dyDescent="0.2">
      <c r="B37" s="48" t="s">
        <v>101</v>
      </c>
      <c r="C37" s="179">
        <f>C35+C36</f>
        <v>5933913.1056999993</v>
      </c>
      <c r="D37" s="179">
        <f>D35+D36</f>
        <v>5154460.4000000004</v>
      </c>
      <c r="E37" s="181"/>
    </row>
    <row r="38" spans="2:5" x14ac:dyDescent="0.2">
      <c r="B38" s="32"/>
      <c r="C38" s="178"/>
      <c r="D38" s="178"/>
    </row>
    <row r="39" spans="2:5" x14ac:dyDescent="0.2">
      <c r="B39" s="43" t="s">
        <v>111</v>
      </c>
      <c r="C39" s="178"/>
      <c r="D39" s="178"/>
    </row>
    <row r="40" spans="2:5" x14ac:dyDescent="0.2">
      <c r="B40" s="32"/>
      <c r="C40" s="178"/>
      <c r="D40" s="178"/>
    </row>
    <row r="41" spans="2:5" x14ac:dyDescent="0.2">
      <c r="B41" s="45" t="s">
        <v>107</v>
      </c>
      <c r="C41" s="308">
        <v>2018</v>
      </c>
      <c r="D41" s="308">
        <v>2017</v>
      </c>
      <c r="E41" s="181"/>
    </row>
    <row r="42" spans="2:5" x14ac:dyDescent="0.2">
      <c r="B42" s="32" t="s">
        <v>28</v>
      </c>
      <c r="C42" s="178">
        <f>0.08*C35</f>
        <v>445753.74845599994</v>
      </c>
      <c r="D42" s="178">
        <f>0.08*D35</f>
        <v>385203.23200000002</v>
      </c>
      <c r="E42" s="181"/>
    </row>
    <row r="43" spans="2:5" x14ac:dyDescent="0.2">
      <c r="B43" s="32" t="s">
        <v>45</v>
      </c>
      <c r="C43" s="178">
        <f>0.08*C36</f>
        <v>28959.3</v>
      </c>
      <c r="D43" s="178">
        <f>0.08*D36</f>
        <v>27153.600000000002</v>
      </c>
    </row>
    <row r="44" spans="2:5" x14ac:dyDescent="0.2">
      <c r="B44" s="48" t="s">
        <v>104</v>
      </c>
      <c r="C44" s="179">
        <f>SUM(C42:C43)</f>
        <v>474713.04845599993</v>
      </c>
      <c r="D44" s="179">
        <f>SUM(D42:D43)</f>
        <v>412356.83199999999</v>
      </c>
    </row>
    <row r="45" spans="2:5" x14ac:dyDescent="0.2">
      <c r="B45" s="32" t="s">
        <v>105</v>
      </c>
      <c r="C45" s="9">
        <f>C18/C37</f>
        <v>0.15030134585949403</v>
      </c>
      <c r="D45" s="9">
        <f>D18/D37</f>
        <v>0.14684543895225191</v>
      </c>
    </row>
    <row r="46" spans="2:5" x14ac:dyDescent="0.2">
      <c r="B46" s="52" t="s">
        <v>106</v>
      </c>
      <c r="C46" s="9">
        <f>C20/C37</f>
        <v>0.16389944016298005</v>
      </c>
      <c r="D46" s="9">
        <f>D20/D37</f>
        <v>0.16311775331516756</v>
      </c>
    </row>
    <row r="47" spans="2:5" x14ac:dyDescent="0.2">
      <c r="B47" s="53" t="s">
        <v>372</v>
      </c>
      <c r="C47" s="183">
        <f>C22/C37</f>
        <v>0.18092024889423386</v>
      </c>
      <c r="D47" s="183">
        <f>D22/D37</f>
        <v>0.18271243290568298</v>
      </c>
    </row>
    <row r="49" spans="2:4" x14ac:dyDescent="0.2">
      <c r="B49" s="23" t="s">
        <v>458</v>
      </c>
      <c r="C49" s="9">
        <v>0.15210000000000001</v>
      </c>
      <c r="D49" s="10">
        <v>0.1492</v>
      </c>
    </row>
  </sheetData>
  <sheetProtection algorithmName="SHA-512" hashValue="q3WJAIIDbJsIwrWTNoiwfYN/DqrmqpWo4Q2bb/U7HOnG8j4Xlq7o/yMz1JWfy5qeD3WbXSZVXh896QUunixdOA==" saltValue="r7voMWfjHTf7rt6aDpYuTQ==" spinCount="100000" sheet="1" objects="1" scenarios="1"/>
  <pageMargins left="0.7" right="0.7" top="0.75" bottom="0.75" header="0.3" footer="0.3"/>
  <pageSetup paperSize="9" orientation="portrait" verticalDpi="0" r:id="rId1"/>
  <ignoredErrors>
    <ignoredError sqref="C11:D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B2:R223"/>
  <sheetViews>
    <sheetView showGridLines="0" zoomScaleNormal="100" workbookViewId="0"/>
  </sheetViews>
  <sheetFormatPr baseColWidth="10" defaultRowHeight="12.75" x14ac:dyDescent="0.2"/>
  <cols>
    <col min="2" max="2" width="54.42578125" customWidth="1"/>
    <col min="3" max="3" width="13" bestFit="1" customWidth="1"/>
  </cols>
  <sheetData>
    <row r="2" spans="2:18" ht="18.75" x14ac:dyDescent="0.3">
      <c r="B2" s="554" t="s">
        <v>405</v>
      </c>
      <c r="C2" s="554"/>
      <c r="D2" s="554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2:18" x14ac:dyDescent="0.2">
      <c r="B3" s="293" t="s">
        <v>415</v>
      </c>
    </row>
    <row r="4" spans="2:18" x14ac:dyDescent="0.2">
      <c r="B4" s="299" t="s">
        <v>11</v>
      </c>
      <c r="C4" s="339">
        <f>+'1'!F11</f>
        <v>0.1782</v>
      </c>
    </row>
    <row r="6" spans="2:18" x14ac:dyDescent="0.2">
      <c r="B6" s="43" t="s">
        <v>49</v>
      </c>
      <c r="C6" s="43"/>
      <c r="D6" s="32"/>
      <c r="E6" s="32"/>
    </row>
    <row r="7" spans="2:18" x14ac:dyDescent="0.2">
      <c r="B7" s="43"/>
      <c r="C7" s="43"/>
      <c r="D7" s="32"/>
      <c r="E7" s="32"/>
    </row>
    <row r="8" spans="2:18" x14ac:dyDescent="0.2">
      <c r="B8" s="45" t="s">
        <v>50</v>
      </c>
      <c r="C8" s="33">
        <v>2018</v>
      </c>
      <c r="D8" s="33">
        <v>2017</v>
      </c>
      <c r="E8" s="43"/>
    </row>
    <row r="9" spans="2:18" x14ac:dyDescent="0.2">
      <c r="B9" s="32" t="s">
        <v>108</v>
      </c>
      <c r="C9" s="89">
        <v>7190.5482000000002</v>
      </c>
      <c r="D9" s="89">
        <v>6570.5479999999998</v>
      </c>
      <c r="E9" s="36"/>
    </row>
    <row r="10" spans="2:18" x14ac:dyDescent="0.2">
      <c r="B10" s="32" t="s">
        <v>52</v>
      </c>
      <c r="C10" s="89">
        <v>3597.921934</v>
      </c>
      <c r="D10" s="89">
        <v>3287.922</v>
      </c>
      <c r="E10" s="36"/>
    </row>
    <row r="11" spans="2:18" x14ac:dyDescent="0.2">
      <c r="B11" s="32" t="s">
        <v>57</v>
      </c>
      <c r="C11" s="336">
        <f>+-385.104121</f>
        <v>-385.10412100000002</v>
      </c>
      <c r="D11" s="89">
        <f>190.337-29.358</f>
        <v>160.97899999999998</v>
      </c>
      <c r="E11" s="36"/>
    </row>
    <row r="12" spans="2:18" x14ac:dyDescent="0.2">
      <c r="B12" s="46" t="s">
        <v>58</v>
      </c>
      <c r="C12" s="85">
        <f>SUM(C9:C11)</f>
        <v>10403.366012999999</v>
      </c>
      <c r="D12" s="85">
        <f>SUM(D9:D11)</f>
        <v>10019.448999999999</v>
      </c>
      <c r="E12" s="36"/>
    </row>
    <row r="13" spans="2:18" x14ac:dyDescent="0.2">
      <c r="B13" s="32" t="s">
        <v>59</v>
      </c>
      <c r="C13" s="89"/>
      <c r="D13" s="89"/>
      <c r="E13" s="36"/>
    </row>
    <row r="14" spans="2:18" x14ac:dyDescent="0.2">
      <c r="B14" s="47" t="s">
        <v>112</v>
      </c>
      <c r="C14" s="112">
        <v>-0.70719200000000004</v>
      </c>
      <c r="D14" s="112">
        <v>-0.438</v>
      </c>
      <c r="E14" s="36"/>
    </row>
    <row r="15" spans="2:18" x14ac:dyDescent="0.2">
      <c r="B15" s="47" t="s">
        <v>116</v>
      </c>
      <c r="C15" s="112">
        <v>-363.42839800000002</v>
      </c>
      <c r="D15" s="112">
        <v>-338.14400000000001</v>
      </c>
      <c r="E15" s="36"/>
    </row>
    <row r="16" spans="2:18" x14ac:dyDescent="0.2">
      <c r="B16" s="47" t="s">
        <v>113</v>
      </c>
      <c r="C16" s="164">
        <v>-15.18177</v>
      </c>
      <c r="D16" s="112">
        <f>-32.77</f>
        <v>-32.770000000000003</v>
      </c>
      <c r="E16" s="36"/>
    </row>
    <row r="17" spans="2:5" x14ac:dyDescent="0.2">
      <c r="B17" s="51" t="s">
        <v>67</v>
      </c>
      <c r="C17" s="186">
        <f>C12 + SUM(C14:C16)</f>
        <v>10024.048652999998</v>
      </c>
      <c r="D17" s="186">
        <f>D12 + SUM(D14:D16)</f>
        <v>9648.0969999999979</v>
      </c>
      <c r="E17" s="36"/>
    </row>
    <row r="18" spans="2:5" x14ac:dyDescent="0.2">
      <c r="B18" s="50" t="s">
        <v>114</v>
      </c>
      <c r="C18" s="112">
        <v>1180</v>
      </c>
      <c r="D18" s="112">
        <v>1180</v>
      </c>
      <c r="E18" s="36"/>
    </row>
    <row r="19" spans="2:5" x14ac:dyDescent="0.2">
      <c r="B19" s="46" t="s">
        <v>68</v>
      </c>
      <c r="C19" s="186">
        <f>C17+C18</f>
        <v>11204.048652999998</v>
      </c>
      <c r="D19" s="186">
        <f>D17+D18</f>
        <v>10828.096999999998</v>
      </c>
      <c r="E19" s="36"/>
    </row>
    <row r="20" spans="2:5" x14ac:dyDescent="0.2">
      <c r="B20" s="46" t="s">
        <v>110</v>
      </c>
      <c r="C20" s="186">
        <v>1600</v>
      </c>
      <c r="D20" s="186">
        <f>1600</f>
        <v>1600</v>
      </c>
      <c r="E20" s="63"/>
    </row>
    <row r="21" spans="2:5" x14ac:dyDescent="0.2">
      <c r="B21" s="48" t="s">
        <v>49</v>
      </c>
      <c r="C21" s="187">
        <f>C19+C20</f>
        <v>12804.048652999998</v>
      </c>
      <c r="D21" s="187">
        <f>D19+D20</f>
        <v>12428.096999999998</v>
      </c>
      <c r="E21" s="32"/>
    </row>
    <row r="22" spans="2:5" x14ac:dyDescent="0.2">
      <c r="B22" s="32"/>
      <c r="C22" s="112"/>
      <c r="D22" s="112"/>
      <c r="E22" s="55"/>
    </row>
    <row r="23" spans="2:5" x14ac:dyDescent="0.2">
      <c r="B23" s="49" t="s">
        <v>72</v>
      </c>
      <c r="C23" s="188"/>
      <c r="D23" s="188"/>
      <c r="E23" s="32"/>
    </row>
    <row r="24" spans="2:5" x14ac:dyDescent="0.2">
      <c r="B24" s="32"/>
      <c r="C24" s="112"/>
      <c r="D24" s="112"/>
      <c r="E24" s="43"/>
    </row>
    <row r="25" spans="2:5" x14ac:dyDescent="0.2">
      <c r="B25" s="45" t="s">
        <v>50</v>
      </c>
      <c r="C25" s="307">
        <v>2018</v>
      </c>
      <c r="D25" s="307">
        <v>2017</v>
      </c>
      <c r="E25" s="50"/>
    </row>
    <row r="26" spans="2:5" x14ac:dyDescent="0.2">
      <c r="B26" s="50" t="s">
        <v>73</v>
      </c>
      <c r="C26" s="112"/>
      <c r="D26" s="112"/>
      <c r="E26" s="52"/>
    </row>
    <row r="27" spans="2:5" x14ac:dyDescent="0.2">
      <c r="B27" s="47" t="s">
        <v>35</v>
      </c>
      <c r="C27" s="164">
        <v>2918.7023800000002</v>
      </c>
      <c r="D27" s="164">
        <v>2268.7579999999998</v>
      </c>
      <c r="E27" s="52"/>
    </row>
    <row r="28" spans="2:5" x14ac:dyDescent="0.2">
      <c r="B28" s="47" t="s">
        <v>76</v>
      </c>
      <c r="C28" s="164">
        <v>2.6302500000000002</v>
      </c>
      <c r="D28" s="164">
        <v>0</v>
      </c>
      <c r="E28" s="52"/>
    </row>
    <row r="29" spans="2:5" x14ac:dyDescent="0.2">
      <c r="B29" s="47" t="s">
        <v>115</v>
      </c>
      <c r="C29" s="164">
        <v>0</v>
      </c>
      <c r="D29" s="164">
        <v>34.53</v>
      </c>
      <c r="E29" s="52"/>
    </row>
    <row r="30" spans="2:5" x14ac:dyDescent="0.2">
      <c r="B30" s="47" t="s">
        <v>79</v>
      </c>
      <c r="C30" s="164">
        <v>1518.1396560000001</v>
      </c>
      <c r="D30" s="164">
        <v>3310.9780000000001</v>
      </c>
      <c r="E30" s="52"/>
    </row>
    <row r="31" spans="2:5" x14ac:dyDescent="0.2">
      <c r="B31" s="47" t="s">
        <v>82</v>
      </c>
      <c r="C31" s="164">
        <v>92.477530999999999</v>
      </c>
      <c r="D31" s="164">
        <v>0.375</v>
      </c>
      <c r="E31" s="52"/>
    </row>
    <row r="32" spans="2:5" x14ac:dyDescent="0.2">
      <c r="B32" s="46" t="s">
        <v>83</v>
      </c>
      <c r="C32" s="162">
        <f>SUM(C27:C31)</f>
        <v>4531.9498170000006</v>
      </c>
      <c r="D32" s="162">
        <f>SUM(D27:D31)</f>
        <v>5614.6409999999996</v>
      </c>
      <c r="E32" s="52"/>
    </row>
    <row r="33" spans="2:5" x14ac:dyDescent="0.2">
      <c r="B33" s="32" t="s">
        <v>84</v>
      </c>
      <c r="C33" s="164"/>
      <c r="D33" s="164"/>
      <c r="E33" s="58"/>
    </row>
    <row r="34" spans="2:5" x14ac:dyDescent="0.2">
      <c r="B34" s="47" t="s">
        <v>85</v>
      </c>
      <c r="C34" s="164">
        <v>9.6248629999999995</v>
      </c>
      <c r="D34" s="164">
        <v>18.427</v>
      </c>
      <c r="E34" s="32"/>
    </row>
    <row r="35" spans="2:5" x14ac:dyDescent="0.2">
      <c r="B35" s="47" t="s">
        <v>88</v>
      </c>
      <c r="C35" s="164">
        <v>997.29891499999997</v>
      </c>
      <c r="D35" s="164">
        <v>868.40499999999997</v>
      </c>
      <c r="E35" s="32"/>
    </row>
    <row r="36" spans="2:5" x14ac:dyDescent="0.2">
      <c r="B36" s="47" t="s">
        <v>89</v>
      </c>
      <c r="C36" s="164">
        <v>36369.898822000003</v>
      </c>
      <c r="D36" s="164">
        <v>34875.677000000003</v>
      </c>
      <c r="E36" s="32"/>
    </row>
    <row r="37" spans="2:5" x14ac:dyDescent="0.2">
      <c r="B37" s="47" t="s">
        <v>90</v>
      </c>
      <c r="C37" s="164">
        <v>2.0992380000000002</v>
      </c>
      <c r="D37" s="164">
        <v>1.9830000000000001</v>
      </c>
      <c r="E37" s="43"/>
    </row>
    <row r="38" spans="2:5" x14ac:dyDescent="0.2">
      <c r="B38" s="47" t="s">
        <v>91</v>
      </c>
      <c r="C38" s="164">
        <v>116.235355</v>
      </c>
      <c r="D38" s="164">
        <v>103.572</v>
      </c>
      <c r="E38" s="36"/>
    </row>
    <row r="39" spans="2:5" x14ac:dyDescent="0.2">
      <c r="B39" s="51" t="s">
        <v>93</v>
      </c>
      <c r="C39" s="162">
        <f>SUM(C34:C38)</f>
        <v>37495.157192999999</v>
      </c>
      <c r="D39" s="162">
        <f>SUM(D34:D38)</f>
        <v>35868.064000000006</v>
      </c>
      <c r="E39" s="36"/>
    </row>
    <row r="40" spans="2:5" x14ac:dyDescent="0.2">
      <c r="B40" s="51" t="s">
        <v>94</v>
      </c>
      <c r="C40" s="162">
        <f>C39+C32</f>
        <v>42027.10701</v>
      </c>
      <c r="D40" s="162">
        <f>D39+D32</f>
        <v>41482.705000000002</v>
      </c>
      <c r="E40" s="36"/>
    </row>
    <row r="41" spans="2:5" x14ac:dyDescent="0.2">
      <c r="B41" s="32" t="s">
        <v>45</v>
      </c>
      <c r="C41" s="164">
        <v>777.31628799999999</v>
      </c>
      <c r="D41" s="164">
        <v>733.26599999999996</v>
      </c>
      <c r="E41" s="63"/>
    </row>
    <row r="42" spans="2:5" x14ac:dyDescent="0.2">
      <c r="B42" s="32" t="s">
        <v>99</v>
      </c>
      <c r="C42" s="164">
        <v>3857.149625</v>
      </c>
      <c r="D42" s="164">
        <v>3074.1379999999999</v>
      </c>
      <c r="E42" s="39"/>
    </row>
    <row r="43" spans="2:5" x14ac:dyDescent="0.2">
      <c r="B43" s="32" t="s">
        <v>100</v>
      </c>
      <c r="C43" s="164">
        <v>29728.444463</v>
      </c>
      <c r="D43" s="164">
        <v>29218.578000000001</v>
      </c>
      <c r="E43" s="39"/>
    </row>
    <row r="44" spans="2:5" x14ac:dyDescent="0.2">
      <c r="B44" s="48" t="s">
        <v>101</v>
      </c>
      <c r="C44" s="170">
        <f>C40+SUM(C41:C43)</f>
        <v>76390.017385999992</v>
      </c>
      <c r="D44" s="170">
        <f>D40+SUM(D41:D43)</f>
        <v>74508.687000000005</v>
      </c>
      <c r="E44" s="64"/>
    </row>
    <row r="45" spans="2:5" x14ac:dyDescent="0.2">
      <c r="B45" s="32"/>
      <c r="C45" s="112"/>
      <c r="D45" s="112"/>
      <c r="E45" s="64"/>
    </row>
    <row r="46" spans="2:5" x14ac:dyDescent="0.2">
      <c r="B46" s="43" t="s">
        <v>111</v>
      </c>
      <c r="C46" s="190"/>
      <c r="D46" s="190"/>
      <c r="E46" s="64"/>
    </row>
    <row r="47" spans="2:5" x14ac:dyDescent="0.2">
      <c r="B47" s="32"/>
      <c r="C47" s="112"/>
      <c r="D47" s="112"/>
      <c r="E47" s="64"/>
    </row>
    <row r="48" spans="2:5" x14ac:dyDescent="0.2">
      <c r="B48" s="45" t="s">
        <v>50</v>
      </c>
      <c r="C48" s="307">
        <v>2018</v>
      </c>
      <c r="D48" s="307">
        <v>2017</v>
      </c>
      <c r="E48" s="64"/>
    </row>
    <row r="49" spans="2:5" x14ac:dyDescent="0.2">
      <c r="B49" s="32" t="s">
        <v>28</v>
      </c>
      <c r="C49" s="112">
        <f t="shared" ref="C49:D52" si="0">C40*0.08</f>
        <v>3362.1685608000003</v>
      </c>
      <c r="D49" s="112">
        <f t="shared" si="0"/>
        <v>3318.6164000000003</v>
      </c>
      <c r="E49" s="64"/>
    </row>
    <row r="50" spans="2:5" x14ac:dyDescent="0.2">
      <c r="B50" s="32" t="s">
        <v>45</v>
      </c>
      <c r="C50" s="112">
        <f t="shared" si="0"/>
        <v>62.185303040000001</v>
      </c>
      <c r="D50" s="112">
        <f t="shared" si="0"/>
        <v>58.661279999999998</v>
      </c>
      <c r="E50" s="64"/>
    </row>
    <row r="51" spans="2:5" x14ac:dyDescent="0.2">
      <c r="B51" s="32" t="s">
        <v>99</v>
      </c>
      <c r="C51" s="112">
        <f t="shared" si="0"/>
        <v>308.57197000000002</v>
      </c>
      <c r="D51" s="112">
        <f t="shared" si="0"/>
        <v>245.93104</v>
      </c>
      <c r="E51" s="64"/>
    </row>
    <row r="52" spans="2:5" x14ac:dyDescent="0.2">
      <c r="B52" s="45" t="s">
        <v>103</v>
      </c>
      <c r="C52" s="189">
        <f t="shared" si="0"/>
        <v>2378.27555704</v>
      </c>
      <c r="D52" s="189">
        <f t="shared" si="0"/>
        <v>2337.4862400000002</v>
      </c>
      <c r="E52" s="64"/>
    </row>
    <row r="53" spans="2:5" x14ac:dyDescent="0.2">
      <c r="B53" s="48" t="s">
        <v>104</v>
      </c>
      <c r="C53" s="187">
        <f>SUM(C49:C52)</f>
        <v>6111.20139088</v>
      </c>
      <c r="D53" s="187">
        <f>SUM(D49:D52)</f>
        <v>5960.6949600000007</v>
      </c>
      <c r="E53" s="64"/>
    </row>
    <row r="54" spans="2:5" x14ac:dyDescent="0.2">
      <c r="B54" s="32" t="s">
        <v>105</v>
      </c>
      <c r="C54" s="191">
        <f>C17/C44</f>
        <v>0.13122197109012709</v>
      </c>
      <c r="D54" s="191">
        <f>D17/D44</f>
        <v>0.12948955871414022</v>
      </c>
      <c r="E54" s="64"/>
    </row>
    <row r="55" spans="2:5" x14ac:dyDescent="0.2">
      <c r="B55" s="52" t="s">
        <v>106</v>
      </c>
      <c r="C55" s="191">
        <f>C19/C44</f>
        <v>0.14666901561739093</v>
      </c>
      <c r="D55" s="191">
        <f>D19/D44</f>
        <v>0.14532663822139286</v>
      </c>
      <c r="E55" s="64"/>
    </row>
    <row r="56" spans="2:5" x14ac:dyDescent="0.2">
      <c r="B56" s="53" t="s">
        <v>372</v>
      </c>
      <c r="C56" s="192">
        <f>C21/C44</f>
        <v>0.1676141607391046</v>
      </c>
      <c r="D56" s="192">
        <f>D21/D44</f>
        <v>0.16680064433292183</v>
      </c>
      <c r="E56" s="64"/>
    </row>
    <row r="57" spans="2:5" ht="14.25" customHeight="1" x14ac:dyDescent="0.2">
      <c r="B57" s="58"/>
      <c r="C57" s="58"/>
      <c r="D57" s="62"/>
      <c r="E57" s="64"/>
    </row>
    <row r="58" spans="2:5" ht="14.25" customHeight="1" x14ac:dyDescent="0.2">
      <c r="B58" s="23" t="s">
        <v>458</v>
      </c>
      <c r="C58" s="39">
        <v>4.9099999999999998E-2</v>
      </c>
      <c r="D58" s="39">
        <v>3.6299999999999999E-2</v>
      </c>
      <c r="E58" s="64"/>
    </row>
    <row r="59" spans="2:5" ht="14.25" customHeight="1" x14ac:dyDescent="0.2">
      <c r="B59" s="58"/>
      <c r="C59" s="58"/>
      <c r="D59" s="62"/>
      <c r="E59" s="64"/>
    </row>
    <row r="61" spans="2:5" ht="15.75" x14ac:dyDescent="0.25">
      <c r="B61" s="555" t="s">
        <v>406</v>
      </c>
      <c r="C61" s="555"/>
      <c r="D61" s="555"/>
    </row>
    <row r="62" spans="2:5" x14ac:dyDescent="0.2">
      <c r="B62" s="293" t="s">
        <v>415</v>
      </c>
    </row>
    <row r="63" spans="2:5" x14ac:dyDescent="0.2">
      <c r="B63" s="299" t="s">
        <v>11</v>
      </c>
      <c r="C63" s="339">
        <f>+'1'!F12</f>
        <v>0.13969999999999999</v>
      </c>
    </row>
    <row r="64" spans="2:5" x14ac:dyDescent="0.2">
      <c r="B64" s="43"/>
    </row>
    <row r="65" spans="2:4" x14ac:dyDescent="0.2">
      <c r="B65" s="43" t="s">
        <v>49</v>
      </c>
      <c r="C65" s="43"/>
      <c r="D65" s="32"/>
    </row>
    <row r="66" spans="2:4" x14ac:dyDescent="0.2">
      <c r="B66" s="43"/>
      <c r="C66" s="43"/>
      <c r="D66" s="32"/>
    </row>
    <row r="67" spans="2:4" x14ac:dyDescent="0.2">
      <c r="B67" s="45" t="s">
        <v>50</v>
      </c>
      <c r="C67" s="33">
        <v>2018</v>
      </c>
      <c r="D67" s="33">
        <v>2017</v>
      </c>
    </row>
    <row r="68" spans="2:4" x14ac:dyDescent="0.2">
      <c r="B68" s="32" t="s">
        <v>108</v>
      </c>
      <c r="C68" s="194">
        <v>1664.4449999999999</v>
      </c>
      <c r="D68" s="32">
        <v>1460</v>
      </c>
    </row>
    <row r="69" spans="2:4" x14ac:dyDescent="0.2">
      <c r="B69" s="32" t="s">
        <v>52</v>
      </c>
      <c r="C69" s="194">
        <v>365</v>
      </c>
      <c r="D69" s="32">
        <v>365</v>
      </c>
    </row>
    <row r="70" spans="2:4" x14ac:dyDescent="0.2">
      <c r="B70" s="32" t="s">
        <v>57</v>
      </c>
      <c r="C70" s="194">
        <v>3.0965919999999998</v>
      </c>
      <c r="D70" s="194">
        <v>1.3640000000000001</v>
      </c>
    </row>
    <row r="71" spans="2:4" x14ac:dyDescent="0.2">
      <c r="B71" s="46" t="s">
        <v>58</v>
      </c>
      <c r="C71" s="193">
        <f>SUM(C68:C70)</f>
        <v>2032.541592</v>
      </c>
      <c r="D71" s="193">
        <f>SUM(D68:D70)</f>
        <v>1826.364</v>
      </c>
    </row>
    <row r="72" spans="2:4" x14ac:dyDescent="0.2">
      <c r="B72" s="32" t="s">
        <v>59</v>
      </c>
      <c r="C72" s="32"/>
      <c r="D72" s="32"/>
    </row>
    <row r="73" spans="2:4" x14ac:dyDescent="0.2">
      <c r="B73" s="47" t="s">
        <v>112</v>
      </c>
      <c r="C73" s="164">
        <v>-0.62980199999999997</v>
      </c>
      <c r="D73" s="164">
        <v>-0.34699999999999998</v>
      </c>
    </row>
    <row r="74" spans="2:4" x14ac:dyDescent="0.2">
      <c r="B74" s="47" t="s">
        <v>113</v>
      </c>
      <c r="C74" s="164">
        <v>-1.9049560000000001</v>
      </c>
      <c r="D74" s="164">
        <v>-2.3490000000000002</v>
      </c>
    </row>
    <row r="75" spans="2:4" x14ac:dyDescent="0.2">
      <c r="B75" s="51" t="s">
        <v>67</v>
      </c>
      <c r="C75" s="186">
        <f>C71+SUM(C73:C74)</f>
        <v>2030.006834</v>
      </c>
      <c r="D75" s="186">
        <f>D71+SUM(D73:D74)</f>
        <v>1823.6680000000001</v>
      </c>
    </row>
    <row r="76" spans="2:4" x14ac:dyDescent="0.2">
      <c r="B76" s="50" t="s">
        <v>114</v>
      </c>
      <c r="C76" s="337">
        <v>0</v>
      </c>
      <c r="D76" s="112">
        <f>173</f>
        <v>173</v>
      </c>
    </row>
    <row r="77" spans="2:4" x14ac:dyDescent="0.2">
      <c r="B77" s="46" t="s">
        <v>68</v>
      </c>
      <c r="C77" s="186">
        <f>C75+C76</f>
        <v>2030.006834</v>
      </c>
      <c r="D77" s="186">
        <f>D75+D76</f>
        <v>1996.6680000000001</v>
      </c>
    </row>
    <row r="78" spans="2:4" x14ac:dyDescent="0.2">
      <c r="B78" s="46" t="s">
        <v>110</v>
      </c>
      <c r="C78" s="338">
        <v>0</v>
      </c>
      <c r="D78" s="186">
        <v>346</v>
      </c>
    </row>
    <row r="79" spans="2:4" x14ac:dyDescent="0.2">
      <c r="B79" s="48" t="s">
        <v>49</v>
      </c>
      <c r="C79" s="187">
        <f>C77+C78</f>
        <v>2030.006834</v>
      </c>
      <c r="D79" s="187">
        <f>D77+D78</f>
        <v>2342.6680000000001</v>
      </c>
    </row>
    <row r="80" spans="2:4" x14ac:dyDescent="0.2">
      <c r="B80" s="32"/>
      <c r="C80" s="112"/>
      <c r="D80" s="112"/>
    </row>
    <row r="81" spans="2:4" x14ac:dyDescent="0.2">
      <c r="B81" s="49" t="s">
        <v>72</v>
      </c>
      <c r="C81" s="188"/>
      <c r="D81" s="188"/>
    </row>
    <row r="82" spans="2:4" x14ac:dyDescent="0.2">
      <c r="B82" s="32"/>
      <c r="C82" s="112"/>
      <c r="D82" s="112"/>
    </row>
    <row r="83" spans="2:4" x14ac:dyDescent="0.2">
      <c r="B83" s="45" t="s">
        <v>50</v>
      </c>
      <c r="C83" s="195">
        <v>2018</v>
      </c>
      <c r="D83" s="195">
        <v>2017</v>
      </c>
    </row>
    <row r="84" spans="2:4" x14ac:dyDescent="0.2">
      <c r="B84" s="50" t="s">
        <v>73</v>
      </c>
      <c r="C84" s="112"/>
      <c r="D84" s="112"/>
    </row>
    <row r="85" spans="2:4" x14ac:dyDescent="0.2">
      <c r="B85" s="47" t="s">
        <v>35</v>
      </c>
      <c r="C85" s="164">
        <v>183.59666200000001</v>
      </c>
      <c r="D85" s="164">
        <v>190.74799999999999</v>
      </c>
    </row>
    <row r="86" spans="2:4" x14ac:dyDescent="0.2">
      <c r="B86" s="47" t="s">
        <v>32</v>
      </c>
      <c r="C86" s="164">
        <v>3560.395078</v>
      </c>
      <c r="D86" s="164">
        <v>3656.509</v>
      </c>
    </row>
    <row r="87" spans="2:4" x14ac:dyDescent="0.2">
      <c r="B87" s="47" t="s">
        <v>115</v>
      </c>
      <c r="C87" s="164">
        <v>6482.7174290000003</v>
      </c>
      <c r="D87" s="164">
        <v>5613.7479999999996</v>
      </c>
    </row>
    <row r="88" spans="2:4" x14ac:dyDescent="0.2">
      <c r="B88" s="47" t="s">
        <v>79</v>
      </c>
      <c r="C88" s="164">
        <v>128.441484</v>
      </c>
      <c r="D88" s="164">
        <v>143.32400000000001</v>
      </c>
    </row>
    <row r="89" spans="2:4" x14ac:dyDescent="0.2">
      <c r="B89" s="46" t="s">
        <v>94</v>
      </c>
      <c r="C89" s="162">
        <f>SUM(C85:C88)</f>
        <v>10355.150653000001</v>
      </c>
      <c r="D89" s="162">
        <f>SUM(D85:D88)</f>
        <v>9604.3289999999997</v>
      </c>
    </row>
    <row r="90" spans="2:4" x14ac:dyDescent="0.2">
      <c r="B90" s="32" t="s">
        <v>45</v>
      </c>
      <c r="C90" s="164">
        <v>216.7757</v>
      </c>
      <c r="D90" s="164">
        <v>271.93099999999998</v>
      </c>
    </row>
    <row r="91" spans="2:4" x14ac:dyDescent="0.2">
      <c r="B91" s="45" t="s">
        <v>99</v>
      </c>
      <c r="C91" s="196">
        <v>476.38662499999998</v>
      </c>
      <c r="D91" s="196">
        <v>365.875</v>
      </c>
    </row>
    <row r="92" spans="2:4" x14ac:dyDescent="0.2">
      <c r="B92" s="48" t="s">
        <v>101</v>
      </c>
      <c r="C92" s="187">
        <f>C89+C90+C91</f>
        <v>11048.312978</v>
      </c>
      <c r="D92" s="187">
        <f>D89+D90+D91</f>
        <v>10242.135</v>
      </c>
    </row>
    <row r="93" spans="2:4" x14ac:dyDescent="0.2">
      <c r="B93" s="32"/>
      <c r="C93" s="112"/>
      <c r="D93" s="112"/>
    </row>
    <row r="94" spans="2:4" x14ac:dyDescent="0.2">
      <c r="B94" s="43" t="s">
        <v>111</v>
      </c>
      <c r="C94" s="190"/>
      <c r="D94" s="190"/>
    </row>
    <row r="95" spans="2:4" x14ac:dyDescent="0.2">
      <c r="B95" s="32"/>
      <c r="C95" s="112"/>
      <c r="D95" s="112"/>
    </row>
    <row r="96" spans="2:4" x14ac:dyDescent="0.2">
      <c r="B96" s="45" t="s">
        <v>50</v>
      </c>
      <c r="C96" s="195">
        <v>2018</v>
      </c>
      <c r="D96" s="195">
        <v>2017</v>
      </c>
    </row>
    <row r="97" spans="2:4" x14ac:dyDescent="0.2">
      <c r="B97" s="32" t="s">
        <v>28</v>
      </c>
      <c r="C97" s="112">
        <f t="shared" ref="C97:D99" si="1">C89*0.08</f>
        <v>828.41205224000009</v>
      </c>
      <c r="D97" s="112">
        <f t="shared" si="1"/>
        <v>768.34631999999999</v>
      </c>
    </row>
    <row r="98" spans="2:4" x14ac:dyDescent="0.2">
      <c r="B98" s="32" t="s">
        <v>45</v>
      </c>
      <c r="C98" s="112">
        <f t="shared" si="1"/>
        <v>17.342055999999999</v>
      </c>
      <c r="D98" s="112">
        <f t="shared" si="1"/>
        <v>21.754479999999997</v>
      </c>
    </row>
    <row r="99" spans="2:4" x14ac:dyDescent="0.2">
      <c r="B99" s="45" t="s">
        <v>99</v>
      </c>
      <c r="C99" s="189">
        <f t="shared" si="1"/>
        <v>38.110929999999996</v>
      </c>
      <c r="D99" s="189">
        <f t="shared" si="1"/>
        <v>29.27</v>
      </c>
    </row>
    <row r="100" spans="2:4" x14ac:dyDescent="0.2">
      <c r="B100" s="48" t="s">
        <v>104</v>
      </c>
      <c r="C100" s="187">
        <f>SUM(C97:C99)</f>
        <v>883.8650382400001</v>
      </c>
      <c r="D100" s="187">
        <f>SUM(D97:D99)</f>
        <v>819.37079999999992</v>
      </c>
    </row>
    <row r="101" spans="2:4" x14ac:dyDescent="0.2">
      <c r="B101" s="32" t="s">
        <v>105</v>
      </c>
      <c r="C101" s="191">
        <f>C75/C92</f>
        <v>0.18373907745392981</v>
      </c>
      <c r="D101" s="191">
        <f>D75/D92</f>
        <v>0.17805545425831626</v>
      </c>
    </row>
    <row r="102" spans="2:4" x14ac:dyDescent="0.2">
      <c r="B102" s="52" t="s">
        <v>106</v>
      </c>
      <c r="C102" s="191">
        <f>C77/C92</f>
        <v>0.18373907745392981</v>
      </c>
      <c r="D102" s="191">
        <f>D77/D92</f>
        <v>0.19494646379880759</v>
      </c>
    </row>
    <row r="103" spans="2:4" x14ac:dyDescent="0.2">
      <c r="B103" s="53" t="s">
        <v>372</v>
      </c>
      <c r="C103" s="192">
        <f>C79/C92</f>
        <v>0.18373907745392981</v>
      </c>
      <c r="D103" s="192">
        <f>D79/D92</f>
        <v>0.2287284828797902</v>
      </c>
    </row>
    <row r="104" spans="2:4" x14ac:dyDescent="0.2">
      <c r="B104" s="43"/>
    </row>
    <row r="105" spans="2:4" x14ac:dyDescent="0.2">
      <c r="B105" s="23" t="s">
        <v>458</v>
      </c>
      <c r="C105" s="39">
        <v>0.15490000000000001</v>
      </c>
      <c r="D105" s="39">
        <v>0.1588</v>
      </c>
    </row>
    <row r="106" spans="2:4" x14ac:dyDescent="0.2">
      <c r="B106" s="43"/>
    </row>
    <row r="107" spans="2:4" x14ac:dyDescent="0.2">
      <c r="B107" s="32"/>
    </row>
    <row r="108" spans="2:4" ht="15.75" x14ac:dyDescent="0.25">
      <c r="B108" s="555" t="s">
        <v>407</v>
      </c>
      <c r="C108" s="555"/>
      <c r="D108" s="555"/>
    </row>
    <row r="109" spans="2:4" x14ac:dyDescent="0.2">
      <c r="B109" s="293" t="s">
        <v>415</v>
      </c>
    </row>
    <row r="110" spans="2:4" x14ac:dyDescent="0.2">
      <c r="B110" s="300" t="s">
        <v>11</v>
      </c>
      <c r="C110" s="339">
        <f>+'1'!F10</f>
        <v>0.23499999999999999</v>
      </c>
    </row>
    <row r="111" spans="2:4" x14ac:dyDescent="0.2">
      <c r="B111" s="32"/>
    </row>
    <row r="112" spans="2:4" x14ac:dyDescent="0.2">
      <c r="B112" s="43" t="s">
        <v>49</v>
      </c>
      <c r="C112" s="43"/>
      <c r="D112" s="32"/>
    </row>
    <row r="113" spans="2:4" x14ac:dyDescent="0.2">
      <c r="B113" s="43"/>
      <c r="C113" s="43"/>
      <c r="D113" s="32"/>
    </row>
    <row r="114" spans="2:4" x14ac:dyDescent="0.2">
      <c r="B114" s="45" t="s">
        <v>50</v>
      </c>
      <c r="C114" s="33">
        <v>2018</v>
      </c>
      <c r="D114" s="33">
        <v>2017</v>
      </c>
    </row>
    <row r="115" spans="2:4" x14ac:dyDescent="0.2">
      <c r="B115" s="32" t="s">
        <v>108</v>
      </c>
      <c r="C115" s="59">
        <v>705.81655000000001</v>
      </c>
      <c r="D115" s="59">
        <v>706</v>
      </c>
    </row>
    <row r="116" spans="2:4" x14ac:dyDescent="0.2">
      <c r="B116" s="32" t="s">
        <v>52</v>
      </c>
      <c r="C116" s="59">
        <v>414.60202600000002</v>
      </c>
      <c r="D116" s="59">
        <v>414.6</v>
      </c>
    </row>
    <row r="117" spans="2:4" x14ac:dyDescent="0.2">
      <c r="B117" s="32" t="s">
        <v>57</v>
      </c>
      <c r="C117" s="59">
        <v>2314.1565220000002</v>
      </c>
      <c r="D117" s="59">
        <f>2006.8-0.5+355</f>
        <v>2361.3000000000002</v>
      </c>
    </row>
    <row r="118" spans="2:4" x14ac:dyDescent="0.2">
      <c r="B118" s="46" t="s">
        <v>58</v>
      </c>
      <c r="C118" s="60">
        <f>SUM(C115:C117)</f>
        <v>3434.5750980000003</v>
      </c>
      <c r="D118" s="60">
        <f>SUM(D115:D117)</f>
        <v>3481.9</v>
      </c>
    </row>
    <row r="119" spans="2:4" x14ac:dyDescent="0.2">
      <c r="B119" s="32" t="s">
        <v>59</v>
      </c>
      <c r="C119" s="59"/>
      <c r="D119" s="59"/>
    </row>
    <row r="120" spans="2:4" x14ac:dyDescent="0.2">
      <c r="B120" s="47" t="s">
        <v>112</v>
      </c>
      <c r="C120" s="59">
        <v>-26.221913000000001</v>
      </c>
      <c r="D120" s="59">
        <v>-16.100000000000001</v>
      </c>
    </row>
    <row r="121" spans="2:4" x14ac:dyDescent="0.2">
      <c r="B121" s="47" t="s">
        <v>116</v>
      </c>
      <c r="C121" s="59">
        <v>-109.788437</v>
      </c>
      <c r="D121" s="59">
        <v>-40.1</v>
      </c>
    </row>
    <row r="122" spans="2:4" x14ac:dyDescent="0.2">
      <c r="B122" s="47" t="s">
        <v>113</v>
      </c>
      <c r="C122" s="59">
        <v>-22.679233</v>
      </c>
      <c r="D122" s="59">
        <v>-5.3</v>
      </c>
    </row>
    <row r="123" spans="2:4" x14ac:dyDescent="0.2">
      <c r="B123" s="47" t="s">
        <v>117</v>
      </c>
      <c r="C123" s="59">
        <v>0</v>
      </c>
      <c r="D123" s="59">
        <v>-344.9</v>
      </c>
    </row>
    <row r="124" spans="2:4" x14ac:dyDescent="0.2">
      <c r="B124" s="32" t="s">
        <v>118</v>
      </c>
      <c r="C124" s="59">
        <v>0.37615599999999999</v>
      </c>
      <c r="D124" s="59">
        <v>69</v>
      </c>
    </row>
    <row r="125" spans="2:4" x14ac:dyDescent="0.2">
      <c r="B125" s="51" t="s">
        <v>67</v>
      </c>
      <c r="C125" s="60">
        <f>C118+SUM(C120:C124)</f>
        <v>3276.2616710000002</v>
      </c>
      <c r="D125" s="60">
        <f>D118+SUM(D120:D124)</f>
        <v>3144.5</v>
      </c>
    </row>
    <row r="126" spans="2:4" x14ac:dyDescent="0.2">
      <c r="B126" s="50" t="s">
        <v>114</v>
      </c>
      <c r="C126" s="59">
        <v>302.05399999999997</v>
      </c>
      <c r="D126" s="59">
        <v>365.51</v>
      </c>
    </row>
    <row r="127" spans="2:4" x14ac:dyDescent="0.2">
      <c r="B127" s="46" t="s">
        <v>68</v>
      </c>
      <c r="C127" s="60">
        <f>SUM(C125+C126)</f>
        <v>3578.3156710000003</v>
      </c>
      <c r="D127" s="60">
        <f>SUM(D125+D126)</f>
        <v>3510.01</v>
      </c>
    </row>
    <row r="128" spans="2:4" x14ac:dyDescent="0.2">
      <c r="B128" s="46" t="s">
        <v>110</v>
      </c>
      <c r="C128" s="60">
        <v>605.86</v>
      </c>
      <c r="D128" s="60">
        <v>465.51</v>
      </c>
    </row>
    <row r="129" spans="2:4" x14ac:dyDescent="0.2">
      <c r="B129" s="48" t="s">
        <v>49</v>
      </c>
      <c r="C129" s="61">
        <f>C128+C127</f>
        <v>4184.175671</v>
      </c>
      <c r="D129" s="61">
        <f>D128+D127</f>
        <v>3975.5200000000004</v>
      </c>
    </row>
    <row r="130" spans="2:4" x14ac:dyDescent="0.2">
      <c r="B130" s="32"/>
      <c r="C130" s="59"/>
      <c r="D130" s="59"/>
    </row>
    <row r="131" spans="2:4" x14ac:dyDescent="0.2">
      <c r="B131" s="49" t="s">
        <v>72</v>
      </c>
      <c r="C131" s="49"/>
      <c r="D131" s="49"/>
    </row>
    <row r="132" spans="2:4" x14ac:dyDescent="0.2">
      <c r="B132" s="32"/>
      <c r="C132" s="32"/>
      <c r="D132" s="32"/>
    </row>
    <row r="133" spans="2:4" x14ac:dyDescent="0.2">
      <c r="B133" s="45" t="s">
        <v>50</v>
      </c>
      <c r="C133" s="33">
        <v>2018</v>
      </c>
      <c r="D133" s="33">
        <v>2017</v>
      </c>
    </row>
    <row r="134" spans="2:4" x14ac:dyDescent="0.2">
      <c r="B134" s="50" t="s">
        <v>73</v>
      </c>
      <c r="C134" s="50"/>
      <c r="D134" s="50"/>
    </row>
    <row r="135" spans="2:4" x14ac:dyDescent="0.2">
      <c r="B135" s="47" t="s">
        <v>33</v>
      </c>
      <c r="C135" s="98">
        <v>32</v>
      </c>
      <c r="D135" s="98">
        <v>0</v>
      </c>
    </row>
    <row r="136" spans="2:4" x14ac:dyDescent="0.2">
      <c r="B136" s="47" t="s">
        <v>119</v>
      </c>
      <c r="C136" s="98">
        <v>306.1884</v>
      </c>
      <c r="D136" s="98">
        <v>92</v>
      </c>
    </row>
    <row r="137" spans="2:4" x14ac:dyDescent="0.2">
      <c r="B137" s="47" t="s">
        <v>75</v>
      </c>
      <c r="C137" s="98">
        <v>0</v>
      </c>
      <c r="D137" s="98">
        <v>0</v>
      </c>
    </row>
    <row r="138" spans="2:4" x14ac:dyDescent="0.2">
      <c r="B138" s="47" t="s">
        <v>35</v>
      </c>
      <c r="C138" s="98">
        <v>485.78751699999998</v>
      </c>
      <c r="D138" s="98">
        <v>443.04300000000001</v>
      </c>
    </row>
    <row r="139" spans="2:4" x14ac:dyDescent="0.2">
      <c r="B139" s="47" t="s">
        <v>32</v>
      </c>
      <c r="C139" s="98">
        <v>229.54861299999999</v>
      </c>
      <c r="D139" s="98">
        <v>262.00799999999998</v>
      </c>
    </row>
    <row r="140" spans="2:4" x14ac:dyDescent="0.2">
      <c r="B140" s="47" t="s">
        <v>76</v>
      </c>
      <c r="C140" s="98">
        <v>389.68965800000001</v>
      </c>
      <c r="D140" s="98">
        <v>178.39</v>
      </c>
    </row>
    <row r="141" spans="2:4" x14ac:dyDescent="0.2">
      <c r="B141" s="47" t="s">
        <v>115</v>
      </c>
      <c r="C141" s="98">
        <v>1209.1595090000001</v>
      </c>
      <c r="D141" s="98">
        <v>1115.8489999999999</v>
      </c>
    </row>
    <row r="142" spans="2:4" x14ac:dyDescent="0.2">
      <c r="B142" s="47" t="s">
        <v>78</v>
      </c>
      <c r="C142" s="98">
        <v>3.037893</v>
      </c>
      <c r="D142" s="98">
        <v>0</v>
      </c>
    </row>
    <row r="143" spans="2:4" x14ac:dyDescent="0.2">
      <c r="B143" s="47" t="s">
        <v>79</v>
      </c>
      <c r="C143" s="98">
        <v>356.38149800000002</v>
      </c>
      <c r="D143" s="98">
        <v>225</v>
      </c>
    </row>
    <row r="144" spans="2:4" x14ac:dyDescent="0.2">
      <c r="B144" s="47" t="s">
        <v>82</v>
      </c>
      <c r="C144" s="98">
        <v>15.182368</v>
      </c>
      <c r="D144" s="98">
        <v>28.334</v>
      </c>
    </row>
    <row r="145" spans="2:4" x14ac:dyDescent="0.2">
      <c r="B145" s="46" t="s">
        <v>83</v>
      </c>
      <c r="C145" s="101">
        <f>SUM(C135:C144)</f>
        <v>3026.9754560000006</v>
      </c>
      <c r="D145" s="101">
        <f>SUM(D135:D144)</f>
        <v>2344.6239999999998</v>
      </c>
    </row>
    <row r="146" spans="2:4" x14ac:dyDescent="0.2">
      <c r="B146" s="32" t="s">
        <v>84</v>
      </c>
      <c r="C146" s="98"/>
      <c r="D146" s="98"/>
    </row>
    <row r="147" spans="2:4" x14ac:dyDescent="0.2">
      <c r="B147" s="47" t="s">
        <v>85</v>
      </c>
      <c r="C147" s="98">
        <v>0.62850399999999995</v>
      </c>
      <c r="D147" s="98">
        <v>0</v>
      </c>
    </row>
    <row r="148" spans="2:4" x14ac:dyDescent="0.2">
      <c r="B148" s="47" t="s">
        <v>86</v>
      </c>
      <c r="C148" s="98">
        <v>5634.4432900000002</v>
      </c>
      <c r="D148" s="98">
        <v>4912.92</v>
      </c>
    </row>
    <row r="149" spans="2:4" x14ac:dyDescent="0.2">
      <c r="B149" s="47" t="s">
        <v>87</v>
      </c>
      <c r="C149" s="98">
        <v>276.01832400000001</v>
      </c>
      <c r="D149" s="98">
        <v>549.9</v>
      </c>
    </row>
    <row r="150" spans="2:4" x14ac:dyDescent="0.2">
      <c r="B150" s="47" t="s">
        <v>88</v>
      </c>
      <c r="C150" s="98">
        <v>94.378173000000004</v>
      </c>
      <c r="D150" s="98">
        <v>14.036</v>
      </c>
    </row>
    <row r="151" spans="2:4" x14ac:dyDescent="0.2">
      <c r="B151" s="47" t="s">
        <v>89</v>
      </c>
      <c r="C151" s="98">
        <v>5532.0657060000003</v>
      </c>
      <c r="D151" s="98">
        <v>2898.9259999999999</v>
      </c>
    </row>
    <row r="152" spans="2:4" x14ac:dyDescent="0.2">
      <c r="B152" s="47" t="s">
        <v>320</v>
      </c>
      <c r="C152" s="98">
        <v>0.13708000000000001</v>
      </c>
      <c r="D152" s="98">
        <v>0</v>
      </c>
    </row>
    <row r="153" spans="2:4" x14ac:dyDescent="0.2">
      <c r="B153" s="47" t="s">
        <v>321</v>
      </c>
      <c r="C153" s="98">
        <v>7.5901690000000004</v>
      </c>
      <c r="D153" s="98">
        <v>0</v>
      </c>
    </row>
    <row r="154" spans="2:4" x14ac:dyDescent="0.2">
      <c r="B154" s="47" t="s">
        <v>92</v>
      </c>
      <c r="C154" s="98">
        <v>99.319683999999995</v>
      </c>
      <c r="D154" s="98">
        <v>711.26</v>
      </c>
    </row>
    <row r="155" spans="2:4" x14ac:dyDescent="0.2">
      <c r="B155" s="51" t="s">
        <v>93</v>
      </c>
      <c r="C155" s="101">
        <f>SUM(C147:C154)</f>
        <v>11644.58093</v>
      </c>
      <c r="D155" s="101">
        <f>SUM(D147:D154)</f>
        <v>9087.0419999999995</v>
      </c>
    </row>
    <row r="156" spans="2:4" x14ac:dyDescent="0.2">
      <c r="B156" s="51" t="s">
        <v>94</v>
      </c>
      <c r="C156" s="101">
        <f>C155+C145</f>
        <v>14671.556386</v>
      </c>
      <c r="D156" s="101">
        <f>D155+D145</f>
        <v>11431.665999999999</v>
      </c>
    </row>
    <row r="157" spans="2:4" x14ac:dyDescent="0.2">
      <c r="B157" s="32" t="s">
        <v>45</v>
      </c>
      <c r="C157" s="98">
        <v>1140.0123249999999</v>
      </c>
      <c r="D157" s="98">
        <v>1060.614</v>
      </c>
    </row>
    <row r="158" spans="2:4" x14ac:dyDescent="0.2">
      <c r="B158" s="32" t="s">
        <v>99</v>
      </c>
      <c r="C158" s="98">
        <v>277.95388800000001</v>
      </c>
      <c r="D158" s="98">
        <v>33.088000000000001</v>
      </c>
    </row>
    <row r="159" spans="2:4" x14ac:dyDescent="0.2">
      <c r="B159" s="32" t="s">
        <v>100</v>
      </c>
      <c r="C159" s="98">
        <v>2797.6049630000002</v>
      </c>
      <c r="D159" s="98">
        <v>918.21299999999997</v>
      </c>
    </row>
    <row r="160" spans="2:4" x14ac:dyDescent="0.2">
      <c r="B160" s="48" t="s">
        <v>101</v>
      </c>
      <c r="C160" s="102">
        <f>C156+SUM(C157:C159)</f>
        <v>18887.127562000001</v>
      </c>
      <c r="D160" s="102">
        <f>D156+SUM(D157:D159)</f>
        <v>13443.580999999998</v>
      </c>
    </row>
    <row r="161" spans="2:4" x14ac:dyDescent="0.2">
      <c r="B161" s="32"/>
      <c r="C161" s="32"/>
      <c r="D161" s="32"/>
    </row>
    <row r="162" spans="2:4" x14ac:dyDescent="0.2">
      <c r="B162" s="43" t="s">
        <v>102</v>
      </c>
      <c r="C162" s="43"/>
      <c r="D162" s="43"/>
    </row>
    <row r="163" spans="2:4" x14ac:dyDescent="0.2">
      <c r="B163" s="32"/>
      <c r="C163" s="32"/>
      <c r="D163" s="32"/>
    </row>
    <row r="164" spans="2:4" x14ac:dyDescent="0.2">
      <c r="B164" s="45" t="s">
        <v>50</v>
      </c>
      <c r="C164" s="33">
        <v>2018</v>
      </c>
      <c r="D164" s="33">
        <v>2017</v>
      </c>
    </row>
    <row r="165" spans="2:4" x14ac:dyDescent="0.2">
      <c r="B165" s="32" t="s">
        <v>28</v>
      </c>
      <c r="C165" s="89">
        <f t="shared" ref="C165:D168" si="2">C156*0.08</f>
        <v>1173.72451088</v>
      </c>
      <c r="D165" s="89">
        <f t="shared" si="2"/>
        <v>914.53327999999999</v>
      </c>
    </row>
    <row r="166" spans="2:4" x14ac:dyDescent="0.2">
      <c r="B166" s="32" t="s">
        <v>45</v>
      </c>
      <c r="C166" s="197">
        <f t="shared" si="2"/>
        <v>91.200986</v>
      </c>
      <c r="D166" s="197">
        <f t="shared" si="2"/>
        <v>84.849119999999999</v>
      </c>
    </row>
    <row r="167" spans="2:4" x14ac:dyDescent="0.2">
      <c r="B167" s="32" t="s">
        <v>99</v>
      </c>
      <c r="C167" s="197">
        <f t="shared" si="2"/>
        <v>22.23631104</v>
      </c>
      <c r="D167" s="197">
        <f t="shared" si="2"/>
        <v>2.6470400000000001</v>
      </c>
    </row>
    <row r="168" spans="2:4" x14ac:dyDescent="0.2">
      <c r="B168" s="45" t="s">
        <v>103</v>
      </c>
      <c r="C168" s="198">
        <f t="shared" si="2"/>
        <v>223.80839704000002</v>
      </c>
      <c r="D168" s="198">
        <f t="shared" si="2"/>
        <v>73.457039999999992</v>
      </c>
    </row>
    <row r="169" spans="2:4" x14ac:dyDescent="0.2">
      <c r="B169" s="48" t="s">
        <v>104</v>
      </c>
      <c r="C169" s="199">
        <f>SUM(C165:C168)</f>
        <v>1510.97020496</v>
      </c>
      <c r="D169" s="199">
        <f>SUM(D165:D168)</f>
        <v>1075.4864799999998</v>
      </c>
    </row>
    <row r="170" spans="2:4" x14ac:dyDescent="0.2">
      <c r="B170" s="32" t="s">
        <v>105</v>
      </c>
      <c r="C170" s="39">
        <f>C125/C160</f>
        <v>0.17346532236017095</v>
      </c>
      <c r="D170" s="39">
        <f>D125/D160</f>
        <v>0.23390345176631139</v>
      </c>
    </row>
    <row r="171" spans="2:4" x14ac:dyDescent="0.2">
      <c r="B171" s="52" t="s">
        <v>106</v>
      </c>
      <c r="C171" s="39">
        <f>C127/C160</f>
        <v>0.18945790773391083</v>
      </c>
      <c r="D171" s="39">
        <f>D127/D160</f>
        <v>0.26109189210821138</v>
      </c>
    </row>
    <row r="172" spans="2:4" x14ac:dyDescent="0.2">
      <c r="B172" s="53" t="s">
        <v>372</v>
      </c>
      <c r="C172" s="40">
        <f>C129/C160</f>
        <v>0.22153584007228086</v>
      </c>
      <c r="D172" s="40">
        <f>D129/D160</f>
        <v>0.29571882670249844</v>
      </c>
    </row>
    <row r="173" spans="2:4" x14ac:dyDescent="0.2">
      <c r="B173" s="58"/>
      <c r="C173" s="64"/>
      <c r="D173" s="64"/>
    </row>
    <row r="174" spans="2:4" x14ac:dyDescent="0.2">
      <c r="B174" s="23" t="s">
        <v>458</v>
      </c>
      <c r="C174" s="39">
        <v>7.8700000000000006E-2</v>
      </c>
      <c r="D174" s="39">
        <v>0.12790000000000001</v>
      </c>
    </row>
    <row r="177" spans="2:6" ht="15.75" x14ac:dyDescent="0.25">
      <c r="B177" s="555" t="s">
        <v>408</v>
      </c>
      <c r="C177" s="555"/>
      <c r="D177" s="555"/>
    </row>
    <row r="178" spans="2:6" x14ac:dyDescent="0.2">
      <c r="B178" s="293" t="s">
        <v>415</v>
      </c>
    </row>
    <row r="179" spans="2:6" x14ac:dyDescent="0.2">
      <c r="B179" s="300" t="s">
        <v>11</v>
      </c>
      <c r="C179" s="339">
        <f>+'1'!F13</f>
        <v>0.17</v>
      </c>
    </row>
    <row r="180" spans="2:6" x14ac:dyDescent="0.2">
      <c r="B180" s="32"/>
    </row>
    <row r="181" spans="2:6" x14ac:dyDescent="0.2">
      <c r="B181" s="43" t="s">
        <v>49</v>
      </c>
    </row>
    <row r="182" spans="2:6" x14ac:dyDescent="0.2">
      <c r="B182" s="43"/>
    </row>
    <row r="183" spans="2:6" x14ac:dyDescent="0.2">
      <c r="B183" s="46" t="s">
        <v>50</v>
      </c>
      <c r="C183" s="22">
        <v>2018</v>
      </c>
      <c r="D183" s="22">
        <v>2017</v>
      </c>
    </row>
    <row r="184" spans="2:6" x14ac:dyDescent="0.2">
      <c r="B184" s="32" t="s">
        <v>108</v>
      </c>
      <c r="C184" s="175">
        <v>288.80900000000003</v>
      </c>
      <c r="D184" s="175">
        <v>288.80900000000003</v>
      </c>
    </row>
    <row r="185" spans="2:6" x14ac:dyDescent="0.2">
      <c r="B185" s="32" t="s">
        <v>52</v>
      </c>
      <c r="C185" s="175">
        <v>606.29</v>
      </c>
      <c r="D185" s="175">
        <v>606.29</v>
      </c>
    </row>
    <row r="186" spans="2:6" x14ac:dyDescent="0.2">
      <c r="B186" s="32" t="s">
        <v>57</v>
      </c>
      <c r="C186" s="175">
        <v>0</v>
      </c>
      <c r="D186" s="175">
        <v>-39.835999999999999</v>
      </c>
    </row>
    <row r="187" spans="2:6" x14ac:dyDescent="0.2">
      <c r="B187" s="32" t="s">
        <v>307</v>
      </c>
      <c r="C187" s="175">
        <v>54.494</v>
      </c>
      <c r="D187" s="175">
        <v>226.58699999999999</v>
      </c>
    </row>
    <row r="188" spans="2:6" x14ac:dyDescent="0.2">
      <c r="B188" s="32" t="s">
        <v>308</v>
      </c>
      <c r="C188" s="175">
        <v>175.59399999999999</v>
      </c>
      <c r="D188" s="175">
        <v>84.15</v>
      </c>
    </row>
    <row r="189" spans="2:6" x14ac:dyDescent="0.2">
      <c r="B189" s="46" t="s">
        <v>58</v>
      </c>
      <c r="C189" s="200">
        <f>SUM(C184:C188)</f>
        <v>1125.1869999999999</v>
      </c>
      <c r="D189" s="200">
        <f>SUM(D184:D188)</f>
        <v>1166</v>
      </c>
      <c r="F189" s="175"/>
    </row>
    <row r="190" spans="2:6" x14ac:dyDescent="0.2">
      <c r="B190" s="32" t="s">
        <v>59</v>
      </c>
      <c r="C190" s="178"/>
      <c r="D190" s="178"/>
    </row>
    <row r="191" spans="2:6" x14ac:dyDescent="0.2">
      <c r="B191" s="47" t="s">
        <v>309</v>
      </c>
      <c r="C191" s="178">
        <v>-67.748999999999995</v>
      </c>
      <c r="D191" s="178">
        <v>-92.385000000000005</v>
      </c>
    </row>
    <row r="192" spans="2:6" x14ac:dyDescent="0.2">
      <c r="B192" s="47" t="s">
        <v>196</v>
      </c>
      <c r="C192" s="178">
        <v>27.257999999999999</v>
      </c>
      <c r="D192" s="178">
        <v>41.212000000000003</v>
      </c>
    </row>
    <row r="193" spans="2:4" x14ac:dyDescent="0.2">
      <c r="B193" s="47" t="s">
        <v>310</v>
      </c>
      <c r="C193" s="180">
        <v>-44.593000000000004</v>
      </c>
      <c r="D193" s="180">
        <v>-216.607</v>
      </c>
    </row>
    <row r="194" spans="2:4" x14ac:dyDescent="0.2">
      <c r="B194" s="51" t="s">
        <v>67</v>
      </c>
      <c r="C194" s="182">
        <f>C189+SUM(C191:C193)</f>
        <v>1040.1029999999998</v>
      </c>
      <c r="D194" s="182">
        <f>D189+SUM(D191:D193)</f>
        <v>898.22</v>
      </c>
    </row>
    <row r="195" spans="2:4" x14ac:dyDescent="0.2">
      <c r="B195" s="51" t="s">
        <v>114</v>
      </c>
      <c r="C195" s="179">
        <v>0</v>
      </c>
      <c r="D195" s="179">
        <v>0</v>
      </c>
    </row>
    <row r="196" spans="2:4" x14ac:dyDescent="0.2">
      <c r="B196" s="46" t="s">
        <v>68</v>
      </c>
      <c r="C196" s="182">
        <f>C194+C195</f>
        <v>1040.1029999999998</v>
      </c>
      <c r="D196" s="182">
        <f>D194+D195</f>
        <v>898.22</v>
      </c>
    </row>
    <row r="197" spans="2:4" x14ac:dyDescent="0.2">
      <c r="B197" s="46" t="s">
        <v>110</v>
      </c>
      <c r="C197" s="179">
        <v>100</v>
      </c>
      <c r="D197" s="179">
        <v>100</v>
      </c>
    </row>
    <row r="199" spans="2:4" x14ac:dyDescent="0.2">
      <c r="B199" s="48" t="s">
        <v>49</v>
      </c>
      <c r="C199" s="201">
        <f>C196+C197</f>
        <v>1140.1029999999998</v>
      </c>
      <c r="D199" s="201">
        <f>D196+D197</f>
        <v>998.22</v>
      </c>
    </row>
    <row r="200" spans="2:4" x14ac:dyDescent="0.2">
      <c r="B200" s="32"/>
    </row>
    <row r="201" spans="2:4" x14ac:dyDescent="0.2">
      <c r="B201" s="49" t="s">
        <v>72</v>
      </c>
    </row>
    <row r="202" spans="2:4" x14ac:dyDescent="0.2">
      <c r="B202" s="32"/>
    </row>
    <row r="203" spans="2:4" x14ac:dyDescent="0.2">
      <c r="B203" s="45" t="s">
        <v>50</v>
      </c>
      <c r="C203" s="42">
        <v>2018</v>
      </c>
      <c r="D203" s="42">
        <v>2017</v>
      </c>
    </row>
    <row r="204" spans="2:4" x14ac:dyDescent="0.2">
      <c r="B204" s="50" t="s">
        <v>73</v>
      </c>
    </row>
    <row r="205" spans="2:4" x14ac:dyDescent="0.2">
      <c r="B205" s="47" t="s">
        <v>35</v>
      </c>
      <c r="C205" s="175">
        <v>99.009</v>
      </c>
      <c r="D205" s="175">
        <v>96.394999999999996</v>
      </c>
    </row>
    <row r="206" spans="2:4" x14ac:dyDescent="0.2">
      <c r="B206" s="47" t="s">
        <v>76</v>
      </c>
      <c r="C206" s="175">
        <v>3673.3209999999999</v>
      </c>
      <c r="D206" s="175">
        <v>3639.107</v>
      </c>
    </row>
    <row r="207" spans="2:4" x14ac:dyDescent="0.2">
      <c r="B207" s="47" t="s">
        <v>82</v>
      </c>
      <c r="C207" s="175">
        <v>487.303</v>
      </c>
      <c r="D207" s="175">
        <v>534.024</v>
      </c>
    </row>
    <row r="208" spans="2:4" x14ac:dyDescent="0.2">
      <c r="B208" s="46" t="s">
        <v>83</v>
      </c>
      <c r="C208" s="200">
        <f>SUM(C205:C207)</f>
        <v>4259.6329999999998</v>
      </c>
      <c r="D208" s="200">
        <f>SUM(D205:D207)</f>
        <v>4269.5259999999998</v>
      </c>
    </row>
    <row r="209" spans="2:4" x14ac:dyDescent="0.2">
      <c r="B209" s="51" t="s">
        <v>94</v>
      </c>
      <c r="C209" s="200">
        <f>C208</f>
        <v>4259.6329999999998</v>
      </c>
      <c r="D209" s="200">
        <f>D208</f>
        <v>4269.5259999999998</v>
      </c>
    </row>
    <row r="210" spans="2:4" x14ac:dyDescent="0.2">
      <c r="B210" s="46" t="s">
        <v>45</v>
      </c>
      <c r="C210" s="200">
        <v>919.64300000000003</v>
      </c>
      <c r="D210" s="200">
        <v>740.404</v>
      </c>
    </row>
    <row r="211" spans="2:4" x14ac:dyDescent="0.2">
      <c r="B211" s="48" t="s">
        <v>101</v>
      </c>
      <c r="C211" s="201">
        <f>C209+C210</f>
        <v>5179.2759999999998</v>
      </c>
      <c r="D211" s="201">
        <f>D209+D210</f>
        <v>5009.93</v>
      </c>
    </row>
    <row r="212" spans="2:4" x14ac:dyDescent="0.2">
      <c r="B212" s="32"/>
    </row>
    <row r="213" spans="2:4" x14ac:dyDescent="0.2">
      <c r="B213" s="43" t="s">
        <v>102</v>
      </c>
    </row>
    <row r="214" spans="2:4" x14ac:dyDescent="0.2">
      <c r="B214" s="32"/>
    </row>
    <row r="215" spans="2:4" x14ac:dyDescent="0.2">
      <c r="B215" s="45" t="s">
        <v>50</v>
      </c>
      <c r="C215" s="42">
        <v>2018</v>
      </c>
      <c r="D215" s="42">
        <v>2017</v>
      </c>
    </row>
    <row r="216" spans="2:4" x14ac:dyDescent="0.2">
      <c r="B216" s="32" t="s">
        <v>28</v>
      </c>
      <c r="C216" s="314">
        <f>C209*0.08</f>
        <v>340.77064000000001</v>
      </c>
      <c r="D216" s="314">
        <f>D209*0.08</f>
        <v>341.56207999999998</v>
      </c>
    </row>
    <row r="217" spans="2:4" x14ac:dyDescent="0.2">
      <c r="B217" s="32" t="s">
        <v>45</v>
      </c>
      <c r="C217" s="314">
        <f>C210*0.08</f>
        <v>73.57144000000001</v>
      </c>
      <c r="D217" s="314">
        <f>D210*0.08</f>
        <v>59.232320000000001</v>
      </c>
    </row>
    <row r="218" spans="2:4" x14ac:dyDescent="0.2">
      <c r="B218" s="48" t="s">
        <v>104</v>
      </c>
      <c r="C218" s="320">
        <f>SUM(C216:C217)</f>
        <v>414.34208000000001</v>
      </c>
      <c r="D218" s="320">
        <f>SUM(D216:D217)</f>
        <v>400.7944</v>
      </c>
    </row>
    <row r="219" spans="2:4" x14ac:dyDescent="0.2">
      <c r="B219" s="32" t="s">
        <v>105</v>
      </c>
      <c r="C219" s="318">
        <f>C194/C211</f>
        <v>0.20082015324149549</v>
      </c>
      <c r="D219" s="318">
        <f>D194/D211</f>
        <v>0.17928793416275277</v>
      </c>
    </row>
    <row r="220" spans="2:4" x14ac:dyDescent="0.2">
      <c r="B220" s="52" t="s">
        <v>106</v>
      </c>
      <c r="C220" s="318">
        <f>C196/C211</f>
        <v>0.20082015324149549</v>
      </c>
      <c r="D220" s="318">
        <f>D196/D211</f>
        <v>0.17928793416275277</v>
      </c>
    </row>
    <row r="221" spans="2:4" x14ac:dyDescent="0.2">
      <c r="B221" s="53" t="s">
        <v>372</v>
      </c>
      <c r="C221" s="319">
        <f>C199/C211</f>
        <v>0.22012787115419219</v>
      </c>
      <c r="D221" s="319">
        <f>D199/D211</f>
        <v>0.19924829289031981</v>
      </c>
    </row>
    <row r="223" spans="2:4" x14ac:dyDescent="0.2">
      <c r="B223" s="23" t="s">
        <v>458</v>
      </c>
      <c r="C223" s="39">
        <v>0.13650000000000001</v>
      </c>
      <c r="D223" s="491">
        <v>0.14540066919311712</v>
      </c>
    </row>
  </sheetData>
  <sheetProtection algorithmName="SHA-512" hashValue="ZiqrN2c4R8Amvg18h6bb+CR7cuC9NN//npVS6xrD5NABroVB+y14QiBKMwB/f+jMSArjj89D3tkonEw3OutHtw==" saltValue="XEb4Fw3S3SICf9Pbo3gDmg==" spinCount="100000" sheet="1" objects="1" scenarios="1"/>
  <mergeCells count="4">
    <mergeCell ref="B2:D2"/>
    <mergeCell ref="B61:D61"/>
    <mergeCell ref="B108:D108"/>
    <mergeCell ref="B177:D177"/>
  </mergeCells>
  <pageMargins left="0.7" right="0.7" top="0.75" bottom="0.75" header="0.3" footer="0.3"/>
  <pageSetup paperSize="9" orientation="portrait" verticalDpi="0" r:id="rId1"/>
  <ignoredErrors>
    <ignoredError sqref="C12 C71 C118 C189:D189" formulaRange="1"/>
    <ignoredError sqref="D2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2:N86"/>
  <sheetViews>
    <sheetView showGridLines="0" zoomScale="85" zoomScaleNormal="85" workbookViewId="0"/>
  </sheetViews>
  <sheetFormatPr baseColWidth="10" defaultRowHeight="12.75" x14ac:dyDescent="0.2"/>
  <cols>
    <col min="1" max="1" width="3.140625" style="18" customWidth="1"/>
    <col min="2" max="2" width="60.140625" bestFit="1" customWidth="1"/>
  </cols>
  <sheetData>
    <row r="2" spans="1:14" ht="18.75" x14ac:dyDescent="0.3">
      <c r="B2" s="554" t="s">
        <v>409</v>
      </c>
      <c r="C2" s="554"/>
      <c r="D2" s="554"/>
      <c r="E2" s="554"/>
      <c r="F2" s="554"/>
      <c r="G2" s="20"/>
      <c r="H2" s="20"/>
      <c r="I2" s="20"/>
      <c r="J2" s="20"/>
      <c r="K2" s="20"/>
      <c r="L2" s="20"/>
      <c r="M2" s="20"/>
      <c r="N2" s="20"/>
    </row>
    <row r="4" spans="1:14" ht="15" x14ac:dyDescent="0.25">
      <c r="A4" s="78"/>
      <c r="B4" s="65" t="s">
        <v>49</v>
      </c>
      <c r="C4" s="66"/>
      <c r="D4" s="66"/>
      <c r="E4" s="66"/>
      <c r="F4" s="66"/>
    </row>
    <row r="5" spans="1:14" x14ac:dyDescent="0.2">
      <c r="A5" s="25"/>
      <c r="B5" s="45" t="s">
        <v>50</v>
      </c>
      <c r="C5" s="77">
        <v>42735</v>
      </c>
      <c r="D5" s="77">
        <v>42369</v>
      </c>
      <c r="E5" s="77">
        <v>42004</v>
      </c>
      <c r="F5" s="77">
        <v>41639</v>
      </c>
    </row>
    <row r="6" spans="1:14" x14ac:dyDescent="0.2">
      <c r="A6" s="25"/>
      <c r="B6" s="32"/>
      <c r="C6" s="83"/>
      <c r="D6" s="83"/>
      <c r="E6" s="83"/>
      <c r="F6" s="83"/>
    </row>
    <row r="7" spans="1:14" x14ac:dyDescent="0.2">
      <c r="A7" s="12"/>
      <c r="B7" s="32" t="s">
        <v>51</v>
      </c>
      <c r="C7" s="84">
        <v>1807</v>
      </c>
      <c r="D7" s="84">
        <v>1807</v>
      </c>
      <c r="E7" s="36">
        <v>1807</v>
      </c>
      <c r="F7" s="36">
        <v>1807</v>
      </c>
    </row>
    <row r="8" spans="1:14" x14ac:dyDescent="0.2">
      <c r="A8" s="12"/>
      <c r="B8" s="32" t="s">
        <v>52</v>
      </c>
      <c r="C8" s="84">
        <v>843</v>
      </c>
      <c r="D8" s="84">
        <v>843</v>
      </c>
      <c r="E8" s="36">
        <v>843</v>
      </c>
      <c r="F8" s="36">
        <v>843</v>
      </c>
    </row>
    <row r="9" spans="1:14" x14ac:dyDescent="0.2">
      <c r="A9" s="12"/>
      <c r="B9" s="32" t="s">
        <v>53</v>
      </c>
      <c r="C9" s="84">
        <v>1657</v>
      </c>
      <c r="D9" s="84">
        <v>4074</v>
      </c>
      <c r="E9" s="36">
        <v>3745</v>
      </c>
      <c r="F9" s="36">
        <v>3565</v>
      </c>
    </row>
    <row r="10" spans="1:14" x14ac:dyDescent="0.2">
      <c r="A10" s="12"/>
      <c r="B10" s="32" t="s">
        <v>54</v>
      </c>
      <c r="C10" s="84">
        <v>4459</v>
      </c>
      <c r="D10" s="84">
        <v>1179</v>
      </c>
      <c r="E10" s="36">
        <v>1020</v>
      </c>
      <c r="F10" s="36">
        <v>776</v>
      </c>
    </row>
    <row r="11" spans="1:14" x14ac:dyDescent="0.2">
      <c r="A11" s="12"/>
      <c r="B11" s="32" t="s">
        <v>55</v>
      </c>
      <c r="C11" s="84">
        <v>521</v>
      </c>
      <c r="D11" s="84">
        <v>180</v>
      </c>
      <c r="E11" s="36">
        <v>332</v>
      </c>
      <c r="F11" s="36">
        <v>163</v>
      </c>
    </row>
    <row r="12" spans="1:14" x14ac:dyDescent="0.2">
      <c r="A12" s="12"/>
      <c r="B12" s="32" t="s">
        <v>56</v>
      </c>
      <c r="C12" s="84">
        <v>20</v>
      </c>
      <c r="D12" s="84">
        <v>80</v>
      </c>
      <c r="E12" s="36">
        <v>-30</v>
      </c>
      <c r="F12" s="36">
        <v>-2</v>
      </c>
    </row>
    <row r="13" spans="1:14" x14ac:dyDescent="0.2">
      <c r="A13" s="12"/>
      <c r="B13" s="32" t="s">
        <v>57</v>
      </c>
      <c r="C13" s="84">
        <v>1704</v>
      </c>
      <c r="D13" s="84">
        <v>1798</v>
      </c>
      <c r="E13" s="36">
        <v>1611</v>
      </c>
      <c r="F13" s="36">
        <v>1327</v>
      </c>
    </row>
    <row r="14" spans="1:14" x14ac:dyDescent="0.2">
      <c r="A14" s="25"/>
      <c r="B14" s="32" t="s">
        <v>121</v>
      </c>
      <c r="C14" s="32">
        <v>0</v>
      </c>
      <c r="D14" s="32">
        <v>0</v>
      </c>
      <c r="E14" s="36">
        <v>15</v>
      </c>
      <c r="F14" s="36">
        <v>23</v>
      </c>
    </row>
    <row r="15" spans="1:14" x14ac:dyDescent="0.2">
      <c r="A15" s="25"/>
      <c r="B15" s="46" t="s">
        <v>122</v>
      </c>
      <c r="C15" s="30">
        <f>SUM(C7:C14)</f>
        <v>11011</v>
      </c>
      <c r="D15" s="30">
        <v>9961</v>
      </c>
      <c r="E15" s="54">
        <v>9343</v>
      </c>
      <c r="F15" s="54">
        <v>8502</v>
      </c>
    </row>
    <row r="16" spans="1:14" x14ac:dyDescent="0.2">
      <c r="A16" s="25"/>
      <c r="B16" s="32"/>
      <c r="C16" s="32"/>
      <c r="D16" s="32"/>
      <c r="E16" s="36"/>
      <c r="F16" s="36"/>
    </row>
    <row r="17" spans="1:6" x14ac:dyDescent="0.2">
      <c r="A17" s="79"/>
      <c r="B17" s="32" t="s">
        <v>59</v>
      </c>
      <c r="C17" s="32"/>
      <c r="D17" s="32"/>
      <c r="E17" s="36"/>
      <c r="F17" s="36"/>
    </row>
    <row r="18" spans="1:6" x14ac:dyDescent="0.2">
      <c r="A18" s="79"/>
      <c r="B18" s="47" t="s">
        <v>61</v>
      </c>
      <c r="C18" s="29">
        <v>-750</v>
      </c>
      <c r="D18" s="29">
        <v>-260</v>
      </c>
      <c r="E18" s="36">
        <v>-522</v>
      </c>
      <c r="F18" s="36">
        <v>-154</v>
      </c>
    </row>
    <row r="19" spans="1:6" x14ac:dyDescent="0.2">
      <c r="A19" s="80"/>
      <c r="B19" s="47" t="s">
        <v>65</v>
      </c>
      <c r="C19" s="29">
        <v>-99</v>
      </c>
      <c r="D19" s="29">
        <v>-82</v>
      </c>
      <c r="E19" s="36">
        <v>-51</v>
      </c>
      <c r="F19" s="36">
        <v>-136</v>
      </c>
    </row>
    <row r="20" spans="1:6" x14ac:dyDescent="0.2">
      <c r="B20" s="47" t="s">
        <v>123</v>
      </c>
      <c r="C20" s="341">
        <v>0</v>
      </c>
      <c r="D20" s="341">
        <v>0</v>
      </c>
      <c r="E20" s="29">
        <v>0</v>
      </c>
      <c r="F20" s="36">
        <v>69</v>
      </c>
    </row>
    <row r="21" spans="1:6" x14ac:dyDescent="0.2">
      <c r="A21" s="79"/>
      <c r="B21" s="47" t="s">
        <v>60</v>
      </c>
      <c r="C21" s="29">
        <v>-116</v>
      </c>
      <c r="D21" s="29">
        <v>-48</v>
      </c>
      <c r="E21" s="36">
        <v>80</v>
      </c>
      <c r="F21" s="36">
        <v>-163</v>
      </c>
    </row>
    <row r="22" spans="1:6" x14ac:dyDescent="0.2">
      <c r="B22" s="47" t="s">
        <v>63</v>
      </c>
      <c r="C22" s="29">
        <v>-67</v>
      </c>
      <c r="D22" s="29">
        <v>-78</v>
      </c>
      <c r="E22" s="36">
        <v>-113</v>
      </c>
      <c r="F22" s="36">
        <v>-114</v>
      </c>
    </row>
    <row r="23" spans="1:6" x14ac:dyDescent="0.2">
      <c r="A23" s="80"/>
      <c r="B23" s="87" t="s">
        <v>66</v>
      </c>
      <c r="C23" s="29">
        <v>-727</v>
      </c>
      <c r="D23" s="29">
        <v>-817</v>
      </c>
      <c r="E23" s="36">
        <v>-591</v>
      </c>
      <c r="F23" s="36">
        <v>-174</v>
      </c>
    </row>
    <row r="24" spans="1:6" x14ac:dyDescent="0.2">
      <c r="B24" s="47" t="s">
        <v>64</v>
      </c>
      <c r="C24" s="29">
        <v>-64</v>
      </c>
      <c r="D24" s="29">
        <v>-309</v>
      </c>
      <c r="E24" s="36">
        <v>-385</v>
      </c>
      <c r="F24" s="36">
        <v>-94</v>
      </c>
    </row>
    <row r="25" spans="1:6" x14ac:dyDescent="0.2">
      <c r="B25" s="47" t="s">
        <v>62</v>
      </c>
      <c r="C25" s="29">
        <v>-33</v>
      </c>
      <c r="D25" s="29">
        <v>0</v>
      </c>
      <c r="E25" s="36">
        <v>0</v>
      </c>
      <c r="F25" s="36">
        <v>0</v>
      </c>
    </row>
    <row r="26" spans="1:6" x14ac:dyDescent="0.2">
      <c r="A26" s="79"/>
      <c r="B26" s="68" t="s">
        <v>124</v>
      </c>
      <c r="C26" s="88">
        <v>0</v>
      </c>
      <c r="D26" s="88">
        <v>0</v>
      </c>
      <c r="E26" s="36">
        <v>0</v>
      </c>
      <c r="F26" s="36">
        <v>-606</v>
      </c>
    </row>
    <row r="27" spans="1:6" x14ac:dyDescent="0.2">
      <c r="B27" s="69" t="s">
        <v>67</v>
      </c>
      <c r="C27" s="85">
        <f>SUM(C15:C26)</f>
        <v>9155</v>
      </c>
      <c r="D27" s="85">
        <v>8367</v>
      </c>
      <c r="E27" s="54">
        <v>7761</v>
      </c>
      <c r="F27" s="54">
        <v>7130</v>
      </c>
    </row>
    <row r="28" spans="1:6" ht="15" x14ac:dyDescent="0.2">
      <c r="B28" s="32" t="s">
        <v>125</v>
      </c>
      <c r="C28" s="29">
        <v>796</v>
      </c>
      <c r="D28" s="29">
        <v>743</v>
      </c>
      <c r="E28" s="36">
        <v>681</v>
      </c>
      <c r="F28" s="36">
        <v>653</v>
      </c>
    </row>
    <row r="29" spans="1:6" x14ac:dyDescent="0.2">
      <c r="A29" s="79"/>
      <c r="B29" s="46" t="s">
        <v>68</v>
      </c>
      <c r="C29" s="30">
        <f>SUM(C27:C28)</f>
        <v>9951</v>
      </c>
      <c r="D29" s="30">
        <v>9110</v>
      </c>
      <c r="E29" s="54">
        <v>8442</v>
      </c>
      <c r="F29" s="54">
        <v>7783</v>
      </c>
    </row>
    <row r="30" spans="1:6" x14ac:dyDescent="0.2">
      <c r="A30" s="79"/>
      <c r="B30" s="32" t="s">
        <v>110</v>
      </c>
      <c r="C30" s="32"/>
      <c r="D30" s="32"/>
      <c r="E30" s="36"/>
      <c r="F30" s="36"/>
    </row>
    <row r="31" spans="1:6" x14ac:dyDescent="0.2">
      <c r="B31" s="47" t="s">
        <v>69</v>
      </c>
      <c r="C31" s="29">
        <v>1361</v>
      </c>
      <c r="D31" s="29">
        <v>1341</v>
      </c>
      <c r="E31" s="36">
        <v>1284</v>
      </c>
      <c r="F31" s="36">
        <v>1160</v>
      </c>
    </row>
    <row r="32" spans="1:6" x14ac:dyDescent="0.2">
      <c r="A32" s="25"/>
      <c r="B32" s="47" t="s">
        <v>126</v>
      </c>
      <c r="C32" s="36">
        <v>-83</v>
      </c>
      <c r="D32" s="340">
        <v>0</v>
      </c>
      <c r="E32" s="36">
        <v>-43</v>
      </c>
      <c r="F32" s="36">
        <v>-174</v>
      </c>
    </row>
    <row r="33" spans="1:6" x14ac:dyDescent="0.2">
      <c r="A33" s="25"/>
      <c r="B33" s="68" t="s">
        <v>127</v>
      </c>
      <c r="C33" s="29">
        <v>0</v>
      </c>
      <c r="D33" s="29">
        <v>-93</v>
      </c>
      <c r="E33" s="36">
        <v>0</v>
      </c>
      <c r="F33" s="36">
        <v>-94</v>
      </c>
    </row>
    <row r="34" spans="1:6" x14ac:dyDescent="0.2">
      <c r="A34" s="25"/>
      <c r="B34" s="47" t="s">
        <v>124</v>
      </c>
      <c r="C34" s="36">
        <v>0</v>
      </c>
      <c r="D34" s="36">
        <v>0</v>
      </c>
      <c r="E34" s="36">
        <v>0</v>
      </c>
      <c r="F34" s="36">
        <v>-606</v>
      </c>
    </row>
    <row r="35" spans="1:6" x14ac:dyDescent="0.2">
      <c r="A35" s="26"/>
      <c r="B35" s="46" t="s">
        <v>71</v>
      </c>
      <c r="C35" s="30">
        <f>SUM(C31:C34)</f>
        <v>1278</v>
      </c>
      <c r="D35" s="30">
        <v>1248</v>
      </c>
      <c r="E35" s="54">
        <v>1241</v>
      </c>
      <c r="F35" s="54">
        <v>286</v>
      </c>
    </row>
    <row r="36" spans="1:6" x14ac:dyDescent="0.2">
      <c r="A36" s="81"/>
      <c r="B36" s="48" t="s">
        <v>49</v>
      </c>
      <c r="C36" s="31">
        <f>+C29+C35</f>
        <v>11229</v>
      </c>
      <c r="D36" s="31">
        <v>10358</v>
      </c>
      <c r="E36" s="35">
        <v>9683</v>
      </c>
      <c r="F36" s="35">
        <v>8069</v>
      </c>
    </row>
    <row r="37" spans="1:6" ht="22.5" x14ac:dyDescent="0.2">
      <c r="A37" s="82"/>
      <c r="B37" s="70" t="s">
        <v>128</v>
      </c>
      <c r="C37" s="70"/>
      <c r="D37" s="70"/>
      <c r="E37" s="36"/>
      <c r="F37" s="36"/>
    </row>
    <row r="38" spans="1:6" x14ac:dyDescent="0.2">
      <c r="A38" s="26"/>
      <c r="B38" s="70"/>
      <c r="C38" s="70"/>
      <c r="D38" s="70"/>
      <c r="E38" s="36"/>
      <c r="F38" s="36"/>
    </row>
    <row r="39" spans="1:6" x14ac:dyDescent="0.2">
      <c r="A39" s="25"/>
      <c r="B39" s="71" t="s">
        <v>72</v>
      </c>
      <c r="C39" s="71"/>
      <c r="D39" s="71"/>
      <c r="E39" s="72"/>
      <c r="F39" s="72"/>
    </row>
    <row r="40" spans="1:6" x14ac:dyDescent="0.2">
      <c r="A40" s="25"/>
      <c r="B40" s="45" t="s">
        <v>50</v>
      </c>
      <c r="C40" s="77">
        <v>42735</v>
      </c>
      <c r="D40" s="77">
        <v>42369</v>
      </c>
      <c r="E40" s="67">
        <v>42004</v>
      </c>
      <c r="F40" s="67">
        <v>41639</v>
      </c>
    </row>
    <row r="41" spans="1:6" x14ac:dyDescent="0.2">
      <c r="A41" s="79"/>
      <c r="B41" s="32" t="s">
        <v>129</v>
      </c>
      <c r="C41" s="89">
        <v>33805</v>
      </c>
      <c r="D41" s="89">
        <v>33670</v>
      </c>
      <c r="E41" s="36">
        <v>36638</v>
      </c>
      <c r="F41" s="36">
        <v>26778</v>
      </c>
    </row>
    <row r="42" spans="1:6" x14ac:dyDescent="0.2">
      <c r="A42" s="79"/>
      <c r="B42" s="32" t="s">
        <v>130</v>
      </c>
      <c r="C42" s="89">
        <v>14565</v>
      </c>
      <c r="D42" s="89">
        <v>17931</v>
      </c>
      <c r="E42" s="36">
        <v>20457</v>
      </c>
      <c r="F42" s="36">
        <v>20443</v>
      </c>
    </row>
    <row r="43" spans="1:6" x14ac:dyDescent="0.2">
      <c r="A43" s="79"/>
      <c r="B43" s="32" t="s">
        <v>95</v>
      </c>
      <c r="C43" s="89">
        <v>146</v>
      </c>
      <c r="D43" s="89">
        <v>156</v>
      </c>
      <c r="E43" s="36">
        <v>235</v>
      </c>
      <c r="F43" s="36">
        <v>263</v>
      </c>
    </row>
    <row r="44" spans="1:6" x14ac:dyDescent="0.2">
      <c r="A44" s="79"/>
      <c r="B44" s="32" t="s">
        <v>131</v>
      </c>
      <c r="C44" s="89">
        <v>73</v>
      </c>
      <c r="D44" s="89">
        <v>219</v>
      </c>
      <c r="E44" s="36">
        <v>500</v>
      </c>
      <c r="F44" s="36">
        <v>501</v>
      </c>
    </row>
    <row r="45" spans="1:6" x14ac:dyDescent="0.2">
      <c r="A45" s="79"/>
      <c r="B45" s="32" t="s">
        <v>97</v>
      </c>
      <c r="C45" s="86">
        <v>0</v>
      </c>
      <c r="D45" s="86">
        <v>0</v>
      </c>
      <c r="E45" s="36">
        <v>143</v>
      </c>
      <c r="F45" s="36">
        <v>276</v>
      </c>
    </row>
    <row r="46" spans="1:6" x14ac:dyDescent="0.2">
      <c r="A46" s="79"/>
      <c r="B46" s="32" t="s">
        <v>45</v>
      </c>
      <c r="C46" s="89">
        <v>3706</v>
      </c>
      <c r="D46" s="89">
        <v>3536</v>
      </c>
      <c r="E46" s="36">
        <v>3177</v>
      </c>
      <c r="F46" s="36">
        <v>2966</v>
      </c>
    </row>
    <row r="47" spans="1:6" x14ac:dyDescent="0.2">
      <c r="A47" s="79"/>
      <c r="B47" s="32" t="s">
        <v>99</v>
      </c>
      <c r="C47" s="89">
        <v>588</v>
      </c>
      <c r="D47" s="89">
        <v>751</v>
      </c>
      <c r="E47" s="36">
        <v>688</v>
      </c>
      <c r="F47" s="36">
        <v>0</v>
      </c>
    </row>
    <row r="48" spans="1:6" x14ac:dyDescent="0.2">
      <c r="B48" s="73" t="s">
        <v>59</v>
      </c>
      <c r="C48" s="73"/>
      <c r="D48" s="73"/>
      <c r="E48" s="36"/>
      <c r="F48" s="36"/>
    </row>
    <row r="49" spans="1:6" x14ac:dyDescent="0.2">
      <c r="A49" s="79"/>
      <c r="B49" s="47" t="s">
        <v>70</v>
      </c>
      <c r="C49" s="88">
        <v>0</v>
      </c>
      <c r="D49" s="88">
        <v>0</v>
      </c>
      <c r="E49" s="36">
        <v>0</v>
      </c>
      <c r="F49" s="36">
        <v>-348</v>
      </c>
    </row>
    <row r="50" spans="1:6" x14ac:dyDescent="0.2">
      <c r="A50" s="79"/>
      <c r="B50" s="68" t="s">
        <v>132</v>
      </c>
      <c r="C50" s="88">
        <v>0</v>
      </c>
      <c r="D50" s="88">
        <v>0</v>
      </c>
      <c r="E50" s="36">
        <v>0</v>
      </c>
      <c r="F50" s="36">
        <v>-47</v>
      </c>
    </row>
    <row r="51" spans="1:6" x14ac:dyDescent="0.2">
      <c r="A51" s="80"/>
      <c r="B51" s="47" t="s">
        <v>133</v>
      </c>
      <c r="C51" s="88">
        <v>0</v>
      </c>
      <c r="D51" s="88">
        <v>0</v>
      </c>
      <c r="E51" s="36">
        <v>0</v>
      </c>
      <c r="F51" s="36">
        <v>-1211</v>
      </c>
    </row>
    <row r="52" spans="1:6" x14ac:dyDescent="0.2">
      <c r="A52" s="79"/>
      <c r="B52" s="32" t="s">
        <v>100</v>
      </c>
      <c r="C52" s="89">
        <v>8237</v>
      </c>
      <c r="D52" s="89">
        <v>4064</v>
      </c>
      <c r="E52" s="36">
        <v>0</v>
      </c>
      <c r="F52" s="36">
        <v>8368</v>
      </c>
    </row>
    <row r="53" spans="1:6" x14ac:dyDescent="0.2">
      <c r="B53" s="48" t="s">
        <v>72</v>
      </c>
      <c r="C53" s="90">
        <f>SUM(C41:C52)</f>
        <v>61120</v>
      </c>
      <c r="D53" s="90">
        <v>60327</v>
      </c>
      <c r="E53" s="35">
        <v>61838</v>
      </c>
      <c r="F53" s="35">
        <v>57989</v>
      </c>
    </row>
    <row r="54" spans="1:6" x14ac:dyDescent="0.2">
      <c r="B54" s="43"/>
      <c r="C54" s="43"/>
      <c r="D54" s="43"/>
      <c r="E54" s="63"/>
      <c r="F54" s="63"/>
    </row>
    <row r="55" spans="1:6" x14ac:dyDescent="0.2">
      <c r="A55" s="79"/>
      <c r="B55" s="43" t="s">
        <v>102</v>
      </c>
      <c r="C55" s="43"/>
      <c r="D55" s="43"/>
      <c r="E55" s="63"/>
      <c r="F55" s="63"/>
    </row>
    <row r="56" spans="1:6" x14ac:dyDescent="0.2">
      <c r="A56" s="79"/>
      <c r="B56" s="43"/>
      <c r="C56" s="43"/>
      <c r="D56" s="43"/>
      <c r="E56" s="63"/>
      <c r="F56" s="63"/>
    </row>
    <row r="57" spans="1:6" x14ac:dyDescent="0.2">
      <c r="A57" s="79"/>
      <c r="B57" s="45" t="s">
        <v>50</v>
      </c>
      <c r="C57" s="77">
        <v>42735</v>
      </c>
      <c r="D57" s="77">
        <v>42369</v>
      </c>
      <c r="E57" s="67">
        <v>42004</v>
      </c>
      <c r="F57" s="67">
        <v>41639</v>
      </c>
    </row>
    <row r="58" spans="1:6" x14ac:dyDescent="0.2">
      <c r="A58" s="79"/>
      <c r="B58" s="32" t="s">
        <v>28</v>
      </c>
      <c r="C58" s="36">
        <v>3870</v>
      </c>
      <c r="D58" s="36">
        <v>4128.0714049770058</v>
      </c>
      <c r="E58" s="36">
        <v>4567.6000000000004</v>
      </c>
      <c r="F58" s="36">
        <v>3777.6800000000003</v>
      </c>
    </row>
    <row r="59" spans="1:6" x14ac:dyDescent="0.2">
      <c r="A59" s="79"/>
      <c r="B59" s="32" t="s">
        <v>40</v>
      </c>
      <c r="C59" s="36">
        <v>18</v>
      </c>
      <c r="D59" s="36">
        <v>30</v>
      </c>
      <c r="E59" s="36">
        <v>70.239999999999995</v>
      </c>
      <c r="F59" s="36">
        <v>83.2</v>
      </c>
    </row>
    <row r="60" spans="1:6" x14ac:dyDescent="0.2">
      <c r="A60" s="79"/>
      <c r="B60" s="32" t="s">
        <v>45</v>
      </c>
      <c r="C60" s="36">
        <v>296</v>
      </c>
      <c r="D60" s="36">
        <v>282.9049</v>
      </c>
      <c r="E60" s="36">
        <v>254.16</v>
      </c>
      <c r="F60" s="36">
        <v>237.28</v>
      </c>
    </row>
    <row r="61" spans="1:6" x14ac:dyDescent="0.2">
      <c r="A61" s="79"/>
      <c r="B61" s="32" t="s">
        <v>99</v>
      </c>
      <c r="C61" s="36">
        <v>47</v>
      </c>
      <c r="D61" s="36">
        <v>60.08</v>
      </c>
      <c r="E61" s="36">
        <v>0</v>
      </c>
      <c r="F61" s="36">
        <v>0</v>
      </c>
    </row>
    <row r="62" spans="1:6" x14ac:dyDescent="0.2">
      <c r="A62" s="79"/>
      <c r="B62" s="73" t="s">
        <v>59</v>
      </c>
      <c r="C62" s="34"/>
      <c r="D62" s="34"/>
      <c r="E62" s="36"/>
      <c r="F62" s="36"/>
    </row>
    <row r="63" spans="1:6" x14ac:dyDescent="0.2">
      <c r="A63" s="27"/>
      <c r="B63" s="47" t="s">
        <v>70</v>
      </c>
      <c r="C63" s="91">
        <v>0</v>
      </c>
      <c r="D63" s="91">
        <v>0</v>
      </c>
      <c r="E63" s="36">
        <v>0</v>
      </c>
      <c r="F63" s="36">
        <v>-28</v>
      </c>
    </row>
    <row r="64" spans="1:6" x14ac:dyDescent="0.2">
      <c r="A64" s="27"/>
      <c r="B64" s="68" t="s">
        <v>132</v>
      </c>
      <c r="C64" s="91">
        <v>0</v>
      </c>
      <c r="D64" s="91">
        <v>0</v>
      </c>
      <c r="E64" s="36">
        <v>-4</v>
      </c>
      <c r="F64" s="36">
        <v>-4</v>
      </c>
    </row>
    <row r="65" spans="1:6" x14ac:dyDescent="0.2">
      <c r="A65" s="27"/>
      <c r="B65" s="47" t="s">
        <v>124</v>
      </c>
      <c r="C65" s="91">
        <v>0</v>
      </c>
      <c r="D65" s="91">
        <v>0</v>
      </c>
      <c r="E65" s="36">
        <v>-97</v>
      </c>
      <c r="F65" s="36">
        <v>-97</v>
      </c>
    </row>
    <row r="66" spans="1:6" x14ac:dyDescent="0.2">
      <c r="A66" s="79"/>
      <c r="B66" s="45" t="s">
        <v>103</v>
      </c>
      <c r="C66" s="37">
        <v>659</v>
      </c>
      <c r="D66" s="37">
        <v>325.12</v>
      </c>
      <c r="E66" s="36">
        <v>0</v>
      </c>
      <c r="F66" s="36">
        <v>669.44</v>
      </c>
    </row>
    <row r="67" spans="1:6" x14ac:dyDescent="0.2">
      <c r="A67" s="79"/>
      <c r="B67" s="48" t="s">
        <v>104</v>
      </c>
      <c r="C67" s="90">
        <f>SUM(C58:C66)</f>
        <v>4890</v>
      </c>
      <c r="D67" s="90">
        <v>4826</v>
      </c>
      <c r="E67" s="74">
        <v>4791</v>
      </c>
      <c r="F67" s="74">
        <v>4638.6000000000004</v>
      </c>
    </row>
    <row r="68" spans="1:6" x14ac:dyDescent="0.2">
      <c r="A68" s="79"/>
      <c r="B68" s="75" t="s">
        <v>105</v>
      </c>
      <c r="C68" s="92">
        <f>+C27/C53</f>
        <v>0.14978730366492146</v>
      </c>
      <c r="D68" s="92">
        <v>0.13869364849139906</v>
      </c>
      <c r="E68" s="75">
        <v>0.12550535269575341</v>
      </c>
      <c r="F68" s="75">
        <v>0.12295435341185397</v>
      </c>
    </row>
    <row r="69" spans="1:6" x14ac:dyDescent="0.2">
      <c r="A69" s="27"/>
      <c r="B69" s="75" t="s">
        <v>106</v>
      </c>
      <c r="C69" s="92">
        <f>+C29/C53</f>
        <v>0.16281086387434554</v>
      </c>
      <c r="D69" s="92">
        <v>0.15100981687064008</v>
      </c>
      <c r="E69" s="75">
        <v>0.13651799864161196</v>
      </c>
      <c r="F69" s="75">
        <v>0.13421510976219628</v>
      </c>
    </row>
    <row r="70" spans="1:6" x14ac:dyDescent="0.2">
      <c r="A70" s="25"/>
      <c r="B70" s="76" t="s">
        <v>372</v>
      </c>
      <c r="C70" s="40">
        <f>+C36/C53</f>
        <v>0.18372054973821988</v>
      </c>
      <c r="D70" s="40">
        <v>0.17169700144303951</v>
      </c>
      <c r="E70" s="76">
        <v>0.15658656489537179</v>
      </c>
      <c r="F70" s="76">
        <v>0.13914707961854836</v>
      </c>
    </row>
    <row r="71" spans="1:6" x14ac:dyDescent="0.2">
      <c r="A71" s="25"/>
    </row>
    <row r="72" spans="1:6" x14ac:dyDescent="0.2">
      <c r="A72" s="25"/>
    </row>
    <row r="73" spans="1:6" x14ac:dyDescent="0.2">
      <c r="A73" s="26"/>
    </row>
    <row r="74" spans="1:6" x14ac:dyDescent="0.2">
      <c r="A74" s="25"/>
    </row>
    <row r="75" spans="1:6" x14ac:dyDescent="0.2">
      <c r="A75" s="26"/>
    </row>
    <row r="76" spans="1:6" x14ac:dyDescent="0.2">
      <c r="A76" s="25"/>
    </row>
    <row r="77" spans="1:6" x14ac:dyDescent="0.2">
      <c r="A77" s="25"/>
    </row>
    <row r="78" spans="1:6" x14ac:dyDescent="0.2">
      <c r="A78" s="25"/>
    </row>
    <row r="79" spans="1:6" x14ac:dyDescent="0.2">
      <c r="A79" s="25"/>
    </row>
    <row r="80" spans="1:6" x14ac:dyDescent="0.2">
      <c r="A80" s="25"/>
    </row>
    <row r="81" spans="1:1" x14ac:dyDescent="0.2">
      <c r="A81" s="25"/>
    </row>
    <row r="82" spans="1:1" x14ac:dyDescent="0.2">
      <c r="A82" s="25"/>
    </row>
    <row r="83" spans="1:1" x14ac:dyDescent="0.2">
      <c r="A83" s="26"/>
    </row>
    <row r="84" spans="1:1" x14ac:dyDescent="0.2">
      <c r="A84" s="25"/>
    </row>
    <row r="85" spans="1:1" x14ac:dyDescent="0.2">
      <c r="A85" s="56"/>
    </row>
    <row r="86" spans="1:1" x14ac:dyDescent="0.2">
      <c r="A86" s="28"/>
    </row>
  </sheetData>
  <sheetProtection algorithmName="SHA-512" hashValue="vLUyMkzmI+pTZHh0EHdH1aG0/QwowKT02F4MA+aViS8kCv3lelZkfrIiEyQJQs70pxtbMl6EZmZZptAdenviqA==" saltValue="AcROa9SQ1BproQIoLHQSaA==" spinCount="100000" sheet="1" objects="1" scenarios="1"/>
  <mergeCells count="1">
    <mergeCell ref="B2:F2"/>
  </mergeCells>
  <pageMargins left="0.7" right="0.7" top="0.75" bottom="0.75" header="0.3" footer="0.3"/>
  <pageSetup paperSize="9" orientation="portrait" verticalDpi="0" r:id="rId1"/>
  <ignoredErrors>
    <ignoredError sqref="C53 C6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B2:P29"/>
  <sheetViews>
    <sheetView showGridLines="0" workbookViewId="0"/>
  </sheetViews>
  <sheetFormatPr baseColWidth="10" defaultRowHeight="12.75" x14ac:dyDescent="0.2"/>
  <cols>
    <col min="2" max="2" width="57.7109375" bestFit="1" customWidth="1"/>
  </cols>
  <sheetData>
    <row r="2" spans="2:16" ht="18.75" x14ac:dyDescent="0.3">
      <c r="B2" s="295" t="s">
        <v>410</v>
      </c>
      <c r="C2" s="295"/>
      <c r="D2" s="295"/>
      <c r="E2" s="20"/>
      <c r="F2" s="20"/>
      <c r="G2" s="20"/>
      <c r="H2" s="20"/>
      <c r="M2" s="20"/>
      <c r="N2" s="20"/>
      <c r="O2" s="20"/>
      <c r="P2" s="20"/>
    </row>
    <row r="4" spans="2:16" x14ac:dyDescent="0.2">
      <c r="B4" s="93" t="s">
        <v>50</v>
      </c>
      <c r="C4" s="33">
        <v>2018</v>
      </c>
      <c r="D4" s="33">
        <v>2017</v>
      </c>
    </row>
    <row r="6" spans="2:16" x14ac:dyDescent="0.2">
      <c r="B6" s="94" t="s">
        <v>134</v>
      </c>
    </row>
    <row r="7" spans="2:16" x14ac:dyDescent="0.2">
      <c r="B7" s="148" t="s">
        <v>418</v>
      </c>
      <c r="C7" s="7">
        <v>0</v>
      </c>
      <c r="D7" s="104">
        <v>0</v>
      </c>
    </row>
    <row r="8" spans="2:16" x14ac:dyDescent="0.2">
      <c r="B8" s="96" t="s">
        <v>324</v>
      </c>
      <c r="C8" s="231">
        <v>350</v>
      </c>
      <c r="D8">
        <v>350</v>
      </c>
      <c r="I8" s="342"/>
    </row>
    <row r="9" spans="2:16" x14ac:dyDescent="0.2">
      <c r="B9" s="95" t="s">
        <v>325</v>
      </c>
      <c r="C9" s="231">
        <v>500</v>
      </c>
      <c r="D9">
        <v>500</v>
      </c>
      <c r="I9" s="342"/>
    </row>
    <row r="10" spans="2:16" x14ac:dyDescent="0.2">
      <c r="B10" s="95" t="s">
        <v>326</v>
      </c>
      <c r="C10" s="231">
        <v>350</v>
      </c>
      <c r="D10">
        <v>0</v>
      </c>
      <c r="I10" s="342"/>
    </row>
    <row r="11" spans="2:16" x14ac:dyDescent="0.2">
      <c r="B11" s="41" t="s">
        <v>138</v>
      </c>
      <c r="C11" s="230">
        <f>SUM(C7:C10)</f>
        <v>1200</v>
      </c>
      <c r="D11" s="230">
        <f>SUM(D7:D10)</f>
        <v>850</v>
      </c>
    </row>
    <row r="12" spans="2:16" x14ac:dyDescent="0.2">
      <c r="B12" s="18"/>
      <c r="C12" s="18"/>
      <c r="D12" s="18"/>
    </row>
    <row r="13" spans="2:16" x14ac:dyDescent="0.2">
      <c r="B13" s="97" t="s">
        <v>135</v>
      </c>
    </row>
    <row r="14" spans="2:16" x14ac:dyDescent="0.2">
      <c r="B14" s="99" t="s">
        <v>327</v>
      </c>
      <c r="C14" s="7">
        <v>0</v>
      </c>
      <c r="D14" s="104">
        <v>0</v>
      </c>
    </row>
    <row r="15" spans="2:16" x14ac:dyDescent="0.2">
      <c r="B15" s="47" t="s">
        <v>322</v>
      </c>
      <c r="C15" s="231">
        <v>350</v>
      </c>
      <c r="D15">
        <v>350</v>
      </c>
      <c r="I15" s="342"/>
    </row>
    <row r="16" spans="2:16" x14ac:dyDescent="0.2">
      <c r="B16" s="95" t="s">
        <v>139</v>
      </c>
      <c r="C16" s="231">
        <v>180</v>
      </c>
      <c r="D16">
        <v>180</v>
      </c>
      <c r="I16" s="342"/>
    </row>
    <row r="17" spans="2:9" x14ac:dyDescent="0.2">
      <c r="B17" s="95" t="s">
        <v>323</v>
      </c>
      <c r="C17" s="231">
        <v>250</v>
      </c>
      <c r="D17">
        <v>0</v>
      </c>
      <c r="I17" s="342"/>
    </row>
    <row r="18" spans="2:9" x14ac:dyDescent="0.2">
      <c r="B18" s="100" t="s">
        <v>136</v>
      </c>
      <c r="C18" s="230">
        <f>SUM(C14:C17)</f>
        <v>780</v>
      </c>
      <c r="D18" s="230">
        <f>SUM(D14:D17)</f>
        <v>530</v>
      </c>
    </row>
    <row r="19" spans="2:9" x14ac:dyDescent="0.2">
      <c r="B19" s="103" t="s">
        <v>137</v>
      </c>
      <c r="C19" s="105">
        <f>+C11+C18</f>
        <v>1980</v>
      </c>
      <c r="D19" s="105">
        <f>+D11+D18</f>
        <v>1380</v>
      </c>
    </row>
    <row r="20" spans="2:9" x14ac:dyDescent="0.2">
      <c r="H20" s="327"/>
    </row>
    <row r="21" spans="2:9" x14ac:dyDescent="0.2">
      <c r="B21" s="41" t="s">
        <v>296</v>
      </c>
      <c r="C21" s="492">
        <v>3.1800000000000002E-2</v>
      </c>
      <c r="D21" s="492">
        <v>3.6900000000000002E-2</v>
      </c>
      <c r="H21" s="327"/>
    </row>
    <row r="29" spans="2:9" x14ac:dyDescent="0.2">
      <c r="B29" s="327"/>
    </row>
  </sheetData>
  <sheetProtection algorithmName="SHA-512" hashValue="vHbXhbpu1C++aY61MdC7KmBO4LYT/mVmnYCiCoCYenWjbcAGENs1v5L56Hgm00B868cbGcnwO2LhkDL3JKZUgg==" saltValue="w5KU8ODhevZLnigHNwvWvw==" spinCount="100000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421481371EFD43917CCEC74D41D9C5" ma:contentTypeVersion="0" ma:contentTypeDescription="Opprett et nytt dokument." ma:contentTypeScope="" ma:versionID="7b4248747d4b4ee601619cf11af2ad7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21D9F-4632-4CCC-8D6E-629BD7D7B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51B4A7-FB4C-4454-8263-F45198BB326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F78CCD-743F-4C17-87EF-4459627DF6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Forside</vt:lpstr>
      <vt:lpstr>Innhold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Company>SpareBank1 Alliansen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Nordvang</dc:creator>
  <cp:lastModifiedBy>Ann Sissel Christoffersen</cp:lastModifiedBy>
  <dcterms:created xsi:type="dcterms:W3CDTF">2018-02-12T15:17:16Z</dcterms:created>
  <dcterms:modified xsi:type="dcterms:W3CDTF">2019-03-21T12:36:48Z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0x010100B4421481371EFD43917CCEC74D41D9C5</vt:lpwstr>
  </property>
  <property fmtid="{D5CDD505-2E9C-101B-9397-08002B2CF9AE}" pid="3" name="SpreadsheetBuilder_1">
    <vt:lpwstr>eyIwIjoiSGlzdG9yeSIsIjEiOjAsIjIiOjEsIjMiOjEsIjQiOjAsIjUiOjEsIjYiOjEsIjciOjEsIjgiOjAsIjkiOjEsIjEwIjoxLCIxMSI6MH0=</vt:lpwstr>
  </property>
  <property fmtid="{D5CDD505-2E9C-101B-9397-08002B2CF9AE}" pid="4" name="MSIP_Label_47623a5b-a978-4e1c-9eab-3c139807aa88_Enabled">
    <vt:lpwstr>True</vt:lpwstr>
  </property>
  <property fmtid="{D5CDD505-2E9C-101B-9397-08002B2CF9AE}" pid="5" name="MSIP_Label_47623a5b-a978-4e1c-9eab-3c139807aa88_SiteId">
    <vt:lpwstr>491e8cc4-2204-4312-8565-17f85046df01</vt:lpwstr>
  </property>
  <property fmtid="{D5CDD505-2E9C-101B-9397-08002B2CF9AE}" pid="6" name="MSIP_Label_47623a5b-a978-4e1c-9eab-3c139807aa88_Owner">
    <vt:lpwstr>orjan.steffensen@snn.no</vt:lpwstr>
  </property>
  <property fmtid="{D5CDD505-2E9C-101B-9397-08002B2CF9AE}" pid="7" name="MSIP_Label_47623a5b-a978-4e1c-9eab-3c139807aa88_SetDate">
    <vt:lpwstr>2018-04-05T10:24:21.7388576Z</vt:lpwstr>
  </property>
  <property fmtid="{D5CDD505-2E9C-101B-9397-08002B2CF9AE}" pid="8" name="MSIP_Label_47623a5b-a978-4e1c-9eab-3c139807aa88_Name">
    <vt:lpwstr>Intern</vt:lpwstr>
  </property>
  <property fmtid="{D5CDD505-2E9C-101B-9397-08002B2CF9AE}" pid="9" name="MSIP_Label_47623a5b-a978-4e1c-9eab-3c139807aa88_Application">
    <vt:lpwstr>Microsoft Azure Information Protection</vt:lpwstr>
  </property>
  <property fmtid="{D5CDD505-2E9C-101B-9397-08002B2CF9AE}" pid="10" name="MSIP_Label_47623a5b-a978-4e1c-9eab-3c139807aa88_Extended_MSFT_Method">
    <vt:lpwstr>Automatic</vt:lpwstr>
  </property>
  <property fmtid="{D5CDD505-2E9C-101B-9397-08002B2CF9AE}" pid="11" name="Sensitivity">
    <vt:lpwstr>Intern</vt:lpwstr>
  </property>
</Properties>
</file>