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mc:AlternateContent xmlns:mc="http://schemas.openxmlformats.org/markup-compatibility/2006">
    <mc:Choice Requires="x15">
      <x15ac:absPath xmlns:x15ac="http://schemas.microsoft.com/office/spreadsheetml/2010/11/ac" url="https://snn1.sharepoint.com/sites/Risikostyring/Delte dokumenter/07_Pilar III/Regnskapsåret 2022/TIL PUBLISERING/"/>
    </mc:Choice>
  </mc:AlternateContent>
  <xr:revisionPtr revIDLastSave="0" documentId="8_{D0870693-4230-42F0-952C-7F144B97C344}" xr6:coauthVersionLast="47" xr6:coauthVersionMax="47" xr10:uidLastSave="{00000000-0000-0000-0000-000000000000}"/>
  <workbookProtection workbookAlgorithmName="SHA-512" workbookHashValue="Mnq26qcOCCKLBnvC9/90trY6whUkUVhr82iXbcJBNJXjGfTur8FweIaB8lWprpN8d5zaf+aVngP3XOS//6BvLA==" workbookSaltValue="SIV/teT2IRH8vjV0w6NSxA==" workbookSpinCount="100000" lockStructure="1"/>
  <bookViews>
    <workbookView xWindow="-28920" yWindow="-120" windowWidth="29040" windowHeight="17640" xr2:uid="{0D4E9C31-895E-4306-95AE-43D85E01C53B}"/>
  </bookViews>
  <sheets>
    <sheet name="Front" sheetId="110" r:id="rId1"/>
    <sheet name="Contents" sheetId="103" r:id="rId2"/>
    <sheet name="EU LI1 " sheetId="95" r:id="rId3"/>
    <sheet name="EU LI2" sheetId="96" r:id="rId4"/>
    <sheet name="EU LI3" sheetId="97" r:id="rId5"/>
    <sheet name="EU LIA" sheetId="98" state="hidden" r:id="rId6"/>
    <sheet name="EU LIB" sheetId="99" state="hidden" r:id="rId7"/>
    <sheet name="EU CC1" sheetId="83" r:id="rId8"/>
    <sheet name="EU CC2 " sheetId="108" r:id="rId9"/>
    <sheet name="EU CCA" sheetId="106" r:id="rId10"/>
    <sheet name="EU INS1" sheetId="51" r:id="rId11"/>
    <sheet name="EU INS2" sheetId="52" state="hidden" r:id="rId12"/>
    <sheet name="EU KM1" sheetId="93" r:id="rId13"/>
    <sheet name="EU OV1" sheetId="92" r:id="rId14"/>
    <sheet name="EU CQ1" sheetId="69" r:id="rId15"/>
    <sheet name="EU CQ2" sheetId="70" state="hidden" r:id="rId16"/>
    <sheet name="EU CQ3" sheetId="71" r:id="rId17"/>
    <sheet name="EU CQ4" sheetId="72" state="hidden" r:id="rId18"/>
    <sheet name="EU CQ5" sheetId="73" state="hidden" r:id="rId19"/>
    <sheet name="EU CQ6" sheetId="74" state="hidden" r:id="rId20"/>
    <sheet name="EU CQ7" sheetId="75" r:id="rId21"/>
    <sheet name="EU CQ8" sheetId="76" state="hidden" r:id="rId22"/>
    <sheet name="EU CR1" sheetId="67" r:id="rId23"/>
    <sheet name="EU CR1-A" sheetId="107" r:id="rId24"/>
    <sheet name="EU CR2" sheetId="81" state="hidden" r:id="rId25"/>
    <sheet name="EU CR2a" sheetId="68" state="hidden" r:id="rId26"/>
    <sheet name="EU CR3" sheetId="53" r:id="rId27"/>
    <sheet name="EU CR4" sheetId="39" r:id="rId28"/>
    <sheet name="EU CR5" sheetId="40" r:id="rId29"/>
    <sheet name="EU CR6" sheetId="54" r:id="rId30"/>
    <sheet name="EU CR6-A" sheetId="55" r:id="rId31"/>
    <sheet name="EU CR7" sheetId="56" state="hidden" r:id="rId32"/>
    <sheet name="EU CR7-A" sheetId="57" r:id="rId33"/>
    <sheet name="EU CR8" sheetId="58" r:id="rId34"/>
    <sheet name="EU CR9" sheetId="59" r:id="rId35"/>
    <sheet name="EU CR9.1" sheetId="60" state="hidden" r:id="rId36"/>
    <sheet name="EU CR10" sheetId="61" state="hidden" r:id="rId37"/>
    <sheet name="EU CCR1" sheetId="23" r:id="rId38"/>
    <sheet name="EU CCR2" sheetId="24" r:id="rId39"/>
    <sheet name="EU CCR3" sheetId="25" r:id="rId40"/>
    <sheet name="EU CCR4" sheetId="26" state="hidden" r:id="rId41"/>
    <sheet name="EU CCR5" sheetId="27" r:id="rId42"/>
    <sheet name="EU CCR8" sheetId="30" r:id="rId43"/>
    <sheet name="EU CCyB1" sheetId="79" r:id="rId44"/>
    <sheet name="EU CCyB2" sheetId="80" r:id="rId45"/>
    <sheet name="EU CCR6" sheetId="28" state="hidden" r:id="rId46"/>
    <sheet name="EU CCR7" sheetId="29" state="hidden" r:id="rId47"/>
    <sheet name="EU SEC1" sheetId="62" state="hidden" r:id="rId48"/>
    <sheet name="EU SEC2" sheetId="63" state="hidden" r:id="rId49"/>
    <sheet name="EU SEC3" sheetId="64" state="hidden" r:id="rId50"/>
    <sheet name="EU SEC4" sheetId="65" state="hidden" r:id="rId51"/>
    <sheet name="EU SEC5" sheetId="66" state="hidden" r:id="rId52"/>
    <sheet name="EU MR1" sheetId="85" state="hidden" r:id="rId53"/>
    <sheet name="EU MR2-A" sheetId="86" state="hidden" r:id="rId54"/>
    <sheet name="EU MR2-B" sheetId="44" state="hidden" r:id="rId55"/>
    <sheet name="EU MR3" sheetId="45" state="hidden" r:id="rId56"/>
    <sheet name="EU LR1" sheetId="89" r:id="rId57"/>
    <sheet name="EU LR2" sheetId="90" r:id="rId58"/>
    <sheet name="EU LR3" sheetId="91" r:id="rId59"/>
    <sheet name="EU LIQ1" sheetId="38" r:id="rId60"/>
    <sheet name="EU LIQ2" sheetId="82" r:id="rId61"/>
    <sheet name="EU AE1" sheetId="32" r:id="rId62"/>
    <sheet name="EU AE2" sheetId="34" r:id="rId63"/>
    <sheet name="EU AE3" sheetId="33" r:id="rId64"/>
    <sheet name="EU IRRBBA" sheetId="101" state="hidden" r:id="rId65"/>
    <sheet name="EU OR1" sheetId="35" r:id="rId66"/>
    <sheet name="EU IRRBB1" sheetId="102" r:id="rId67"/>
  </sheets>
  <externalReferences>
    <externalReference r:id="rId68"/>
    <externalReference r:id="rId69"/>
    <externalReference r:id="rId70"/>
  </externalReferences>
  <definedNames>
    <definedName name="__123Graph_ABALADAGS" localSheetId="0" hidden="1">[1]Tabell!#REF!</definedName>
    <definedName name="__123Graph_ABALADAGS" hidden="1">[1]Tabell!#REF!</definedName>
    <definedName name="__123Graph_BBALADAGS" localSheetId="0" hidden="1">[1]Tabell!#REF!</definedName>
    <definedName name="__123Graph_BBALADAGS" hidden="1">[1]Tabell!#REF!</definedName>
    <definedName name="__123Graph_CBALADAGS" localSheetId="0" hidden="1">[1]Tabell!#REF!</definedName>
    <definedName name="__123Graph_CBALADAGS" hidden="1">[1]Tabell!#REF!</definedName>
    <definedName name="__123Graph_DBALADAGS" localSheetId="0" hidden="1">[1]Tabell!#REF!</definedName>
    <definedName name="__123Graph_DBALADAGS" hidden="1">[1]Tabell!#REF!</definedName>
    <definedName name="__123Graph_EBALADAGS" localSheetId="0" hidden="1">[1]Tabell!#REF!</definedName>
    <definedName name="__123Graph_EBALADAGS" hidden="1">[1]Tabell!#REF!</definedName>
    <definedName name="__123Graph_FBALADAGS" localSheetId="0" hidden="1">[1]Tabell!#REF!</definedName>
    <definedName name="__123Graph_FBALADAGS" hidden="1">[1]Tabell!#REF!</definedName>
    <definedName name="__123Graph_LBL_ABALADAGS" localSheetId="0" hidden="1">[1]Tabell!#REF!</definedName>
    <definedName name="__123Graph_LBL_ABALADAGS" hidden="1">[1]Tabell!#REF!</definedName>
    <definedName name="__123Graph_LBL_BBALADAGS" localSheetId="0" hidden="1">[1]Tabell!#REF!</definedName>
    <definedName name="__123Graph_LBL_BBALADAGS" hidden="1">[1]Tabell!#REF!</definedName>
    <definedName name="__123Graph_LBL_CBALADAGS" localSheetId="0" hidden="1">[1]Tabell!#REF!</definedName>
    <definedName name="__123Graph_LBL_CBALADAGS" hidden="1">[1]Tabell!#REF!</definedName>
    <definedName name="__123Graph_LBL_DBALADAGS" localSheetId="0" hidden="1">[1]Tabell!#REF!</definedName>
    <definedName name="__123Graph_LBL_DBALADAGS" hidden="1">[1]Tabell!#REF!</definedName>
    <definedName name="__123Graph_LBL_EBALADAGS" localSheetId="0" hidden="1">[1]Tabell!#REF!</definedName>
    <definedName name="__123Graph_LBL_EBALADAGS" hidden="1">[1]Tabell!#REF!</definedName>
    <definedName name="__123Graph_LBL_FBALADAGS" localSheetId="0" hidden="1">[1]Tabell!#REF!</definedName>
    <definedName name="__123Graph_LBL_FBALADAGS" hidden="1">[1]Tabell!#REF!</definedName>
    <definedName name="__123Graph_XBALADAGS" localSheetId="0" hidden="1">[1]Tabell!#REF!</definedName>
    <definedName name="__123Graph_XBALADAGS" hidden="1">[1]Tabell!#REF!</definedName>
    <definedName name="_a10" localSheetId="0" hidden="1">{#N/A,#N/A,TRUE,"0 Deckbl.";#N/A,#N/A,TRUE,"S 1 Komm";#N/A,#N/A,TRUE,"S 1a Komm";#N/A,#N/A,TRUE,"S 1b Komm";#N/A,#N/A,TRUE,"S  2 DBR";#N/A,#N/A,TRUE,"S  3 Sparten";#N/A,#N/A,TRUE,"S 4  Betr. K.";#N/A,#N/A,TRUE,"6 Bilanz";#N/A,#N/A,TRUE,"6a Bilanz ";#N/A,#N/A,TRUE,"6b Bilanz ";#N/A,#N/A,TRUE,"7 GS I";#N/A,#N/A,TRUE,"S 8 EQ-GuV"}</definedName>
    <definedName name="_a10" hidden="1">{#N/A,#N/A,TRUE,"0 Deckbl.";#N/A,#N/A,TRUE,"S 1 Komm";#N/A,#N/A,TRUE,"S 1a Komm";#N/A,#N/A,TRUE,"S 1b Komm";#N/A,#N/A,TRUE,"S  2 DBR";#N/A,#N/A,TRUE,"S  3 Sparten";#N/A,#N/A,TRUE,"S 4  Betr. K.";#N/A,#N/A,TRUE,"6 Bilanz";#N/A,#N/A,TRUE,"6a Bilanz ";#N/A,#N/A,TRUE,"6b Bilanz ";#N/A,#N/A,TRUE,"7 GS I";#N/A,#N/A,TRUE,"S 8 EQ-GuV"}</definedName>
    <definedName name="_a11" localSheetId="0" hidden="1">{#N/A,#N/A,TRUE,"0 Deckbl.";#N/A,#N/A,TRUE,"S 1 Komm";#N/A,#N/A,TRUE,"S 1a Komm";#N/A,#N/A,TRUE,"S 1b Komm";#N/A,#N/A,TRUE,"S  2 DBR";#N/A,#N/A,TRUE,"S  3 Sparten";#N/A,#N/A,TRUE,"S 4  Betr. K.";#N/A,#N/A,TRUE,"6 Bilanz";#N/A,#N/A,TRUE,"6a Bilanz ";#N/A,#N/A,TRUE,"6b Bilanz ";#N/A,#N/A,TRUE,"7 GS I";#N/A,#N/A,TRUE,"S 8 EQ-GuV"}</definedName>
    <definedName name="_a11" hidden="1">{#N/A,#N/A,TRUE,"0 Deckbl.";#N/A,#N/A,TRUE,"S 1 Komm";#N/A,#N/A,TRUE,"S 1a Komm";#N/A,#N/A,TRUE,"S 1b Komm";#N/A,#N/A,TRUE,"S  2 DBR";#N/A,#N/A,TRUE,"S  3 Sparten";#N/A,#N/A,TRUE,"S 4  Betr. K.";#N/A,#N/A,TRUE,"6 Bilanz";#N/A,#N/A,TRUE,"6a Bilanz ";#N/A,#N/A,TRUE,"6b Bilanz ";#N/A,#N/A,TRUE,"7 GS I";#N/A,#N/A,TRUE,"S 8 EQ-GuV"}</definedName>
    <definedName name="_a3" localSheetId="0" hidden="1">{#N/A,#N/A,TRUE,"0 Deckbl.";#N/A,#N/A,TRUE,"S 1 Komm";#N/A,#N/A,TRUE,"S 1a Komm";#N/A,#N/A,TRUE,"S 1b Komm";#N/A,#N/A,TRUE,"S  2 DBR";#N/A,#N/A,TRUE,"S  3 Sparten";#N/A,#N/A,TRUE,"S 4  Betr. K.";#N/A,#N/A,TRUE,"6 Bilanz";#N/A,#N/A,TRUE,"6a Bilanz ";#N/A,#N/A,TRUE,"6b Bilanz ";#N/A,#N/A,TRUE,"7 GS I";#N/A,#N/A,TRUE,"S 8 EQ-GuV"}</definedName>
    <definedName name="_a3" hidden="1">{#N/A,#N/A,TRUE,"0 Deckbl.";#N/A,#N/A,TRUE,"S 1 Komm";#N/A,#N/A,TRUE,"S 1a Komm";#N/A,#N/A,TRUE,"S 1b Komm";#N/A,#N/A,TRUE,"S  2 DBR";#N/A,#N/A,TRUE,"S  3 Sparten";#N/A,#N/A,TRUE,"S 4  Betr. K.";#N/A,#N/A,TRUE,"6 Bilanz";#N/A,#N/A,TRUE,"6a Bilanz ";#N/A,#N/A,TRUE,"6b Bilanz ";#N/A,#N/A,TRUE,"7 GS I";#N/A,#N/A,TRUE,"S 8 EQ-GuV"}</definedName>
    <definedName name="_a50" localSheetId="0" hidden="1">{#N/A,#N/A,TRUE,"0 Deckbl.";#N/A,#N/A,TRUE,"S 1 Komm";#N/A,#N/A,TRUE,"S 1a Komm";#N/A,#N/A,TRUE,"S 1b Komm";#N/A,#N/A,TRUE,"S  2 DBR";#N/A,#N/A,TRUE,"S  3 Sparten";#N/A,#N/A,TRUE,"S 4  Betr. K.";#N/A,#N/A,TRUE,"6 Bilanz";#N/A,#N/A,TRUE,"6a Bilanz ";#N/A,#N/A,TRUE,"6b Bilanz ";#N/A,#N/A,TRUE,"7 GS I";#N/A,#N/A,TRUE,"S 8 EQ-GuV"}</definedName>
    <definedName name="_a50" hidden="1">{#N/A,#N/A,TRUE,"0 Deckbl.";#N/A,#N/A,TRUE,"S 1 Komm";#N/A,#N/A,TRUE,"S 1a Komm";#N/A,#N/A,TRUE,"S 1b Komm";#N/A,#N/A,TRUE,"S  2 DBR";#N/A,#N/A,TRUE,"S  3 Sparten";#N/A,#N/A,TRUE,"S 4  Betr. K.";#N/A,#N/A,TRUE,"6 Bilanz";#N/A,#N/A,TRUE,"6a Bilanz ";#N/A,#N/A,TRUE,"6b Bilanz ";#N/A,#N/A,TRUE,"7 GS I";#N/A,#N/A,TRUE,"S 8 EQ-GuV"}</definedName>
    <definedName name="_xlnm._FilterDatabase" localSheetId="1" hidden="1">Contents!$B$4:$D$4</definedName>
    <definedName name="_GSRATES_1" hidden="1">"CT30000119990101        "</definedName>
    <definedName name="_GSRATES_2" hidden="1">"CT30000119990919        "</definedName>
    <definedName name="_GSRATES_3" hidden="1">"CT30000119990928        "</definedName>
    <definedName name="_GSRATES_4" hidden="1">"CT30000119990928        "</definedName>
    <definedName name="_GSRATES_5" hidden="1">"CT30000119990331        "</definedName>
    <definedName name="_GSRATES_6" hidden="1">"CT30000119990101        "</definedName>
    <definedName name="_GSRATES_7" hidden="1">"CT30000119980930        "</definedName>
    <definedName name="_GSRATES_8" hidden="1">"CT30000119980630        "</definedName>
    <definedName name="_GSRATES_9" hidden="1">"CT30000119980331        "</definedName>
    <definedName name="_GSRATES_COUNT" hidden="1">2</definedName>
    <definedName name="_GSRATESR_1" hidden="1">'[2]Market Cap'!$A$25:$B$26</definedName>
    <definedName name="_GSRATESR_2" localSheetId="0" hidden="1">'[2]Market Cap'!#REF!</definedName>
    <definedName name="_GSRATESR_2" hidden="1">'[2]Market Cap'!#REF!</definedName>
    <definedName name="_GSRATESR_3" hidden="1">'[2]Market Cap'!$A$24:$B$25</definedName>
    <definedName name="_GSRATESR_4" hidden="1">'[2]Market Cap'!$A$22:$B$23</definedName>
    <definedName name="_GSRATESR_5" hidden="1">'[2]Market Cap'!$A$28:$B$29</definedName>
    <definedName name="_GSRATESR_6" hidden="1">'[2]Market Cap'!$A$31:$B$32</definedName>
    <definedName name="_GSRATESR_7" hidden="1">'[2]Market Cap'!$A$34:$B$35</definedName>
    <definedName name="_GSRATESR_8" hidden="1">'[2]Market Cap'!$A$37:$B$38</definedName>
    <definedName name="_GSRATESR_9" hidden="1">'[2]Market Cap'!$A$40:$B$41</definedName>
    <definedName name="_Key1" localSheetId="0" hidden="1">#REF!</definedName>
    <definedName name="_Key1" hidden="1">#REF!</definedName>
    <definedName name="_Order1" hidden="1">255</definedName>
    <definedName name="_SA1" localSheetId="0" hidden="1">{#N/A,#N/A,TRUE,"0 Deckbl.";#N/A,#N/A,TRUE,"S 1 Komm";#N/A,#N/A,TRUE,"S 1a Komm";#N/A,#N/A,TRUE,"S 1b Komm";#N/A,#N/A,TRUE,"S  2 DBR";#N/A,#N/A,TRUE,"S  3 Sparten";#N/A,#N/A,TRUE,"S 4  Betr. K.";#N/A,#N/A,TRUE,"6 Bilanz";#N/A,#N/A,TRUE,"6a Bilanz ";#N/A,#N/A,TRUE,"6b Bilanz ";#N/A,#N/A,TRUE,"7 GS I";#N/A,#N/A,TRUE,"S 8 EQ-GuV"}</definedName>
    <definedName name="_SA1" hidden="1">{#N/A,#N/A,TRUE,"0 Deckbl.";#N/A,#N/A,TRUE,"S 1 Komm";#N/A,#N/A,TRUE,"S 1a Komm";#N/A,#N/A,TRUE,"S 1b Komm";#N/A,#N/A,TRUE,"S  2 DBR";#N/A,#N/A,TRUE,"S  3 Sparten";#N/A,#N/A,TRUE,"S 4  Betr. K.";#N/A,#N/A,TRUE,"6 Bilanz";#N/A,#N/A,TRUE,"6a Bilanz ";#N/A,#N/A,TRUE,"6b Bilanz ";#N/A,#N/A,TRUE,"7 GS I";#N/A,#N/A,TRUE,"S 8 EQ-GuV"}</definedName>
    <definedName name="_Toc483499698" localSheetId="2">'EU LI1 '!$B$4</definedName>
    <definedName name="_ZZ2" localSheetId="0" hidden="1">{#N/A,#N/A,TRUE,"0 Deckbl.";#N/A,#N/A,TRUE,"S 1 Komm";#N/A,#N/A,TRUE,"S 1a Komm";#N/A,#N/A,TRUE,"S 1b Komm";#N/A,#N/A,TRUE,"S  2 DBR";#N/A,#N/A,TRUE,"S  3 Sparten";#N/A,#N/A,TRUE,"S 4  Betr. K.";#N/A,#N/A,TRUE,"6 Bilanz";#N/A,#N/A,TRUE,"6a Bilanz ";#N/A,#N/A,TRUE,"6b Bilanz ";#N/A,#N/A,TRUE,"7 GS I";#N/A,#N/A,TRUE,"S 8 EQ-GuV"}</definedName>
    <definedName name="_ZZ2" hidden="1">{#N/A,#N/A,TRUE,"0 Deckbl.";#N/A,#N/A,TRUE,"S 1 Komm";#N/A,#N/A,TRUE,"S 1a Komm";#N/A,#N/A,TRUE,"S 1b Komm";#N/A,#N/A,TRUE,"S  2 DBR";#N/A,#N/A,TRUE,"S  3 Sparten";#N/A,#N/A,TRUE,"S 4  Betr. K.";#N/A,#N/A,TRUE,"6 Bilanz";#N/A,#N/A,TRUE,"6a Bilanz ";#N/A,#N/A,TRUE,"6b Bilanz ";#N/A,#N/A,TRUE,"7 GS I";#N/A,#N/A,TRUE,"S 8 EQ-GuV"}</definedName>
    <definedName name="abc" localSheetId="0" hidden="1">{#N/A,#N/A,TRUE,"0 Deckbl.";#N/A,#N/A,TRUE,"S 1 Komm";#N/A,#N/A,TRUE,"S 1a Komm";#N/A,#N/A,TRUE,"S 1b Komm";#N/A,#N/A,TRUE,"S  2 DBR";#N/A,#N/A,TRUE,"S  3 Sparten";#N/A,#N/A,TRUE,"S 4  Betr. K.";#N/A,#N/A,TRUE,"6 Bilanz";#N/A,#N/A,TRUE,"6a Bilanz ";#N/A,#N/A,TRUE,"6b Bilanz ";#N/A,#N/A,TRUE,"7 GS I";#N/A,#N/A,TRUE,"S 8 EQ-GuV"}</definedName>
    <definedName name="abc" hidden="1">{#N/A,#N/A,TRUE,"0 Deckbl.";#N/A,#N/A,TRUE,"S 1 Komm";#N/A,#N/A,TRUE,"S 1a Komm";#N/A,#N/A,TRUE,"S 1b Komm";#N/A,#N/A,TRUE,"S  2 DBR";#N/A,#N/A,TRUE,"S  3 Sparten";#N/A,#N/A,TRUE,"S 4  Betr. K.";#N/A,#N/A,TRUE,"6 Bilanz";#N/A,#N/A,TRUE,"6a Bilanz ";#N/A,#N/A,TRUE,"6b Bilanz ";#N/A,#N/A,TRUE,"7 GS I";#N/A,#N/A,TRUE,"S 8 EQ-GuV"}</definedName>
    <definedName name="AccessDatabase" hidden="1">"H:\KAPFORV\FELLES\accessdb\MndRapport.mdb"</definedName>
    <definedName name="ads" localSheetId="0" hidden="1">[1]Tabell!#REF!</definedName>
    <definedName name="ads" hidden="1">[1]Tabell!#REF!</definedName>
    <definedName name="AS2DocOpenMode" hidden="1">"AS2DocumentEdit"</definedName>
    <definedName name="BLPB1" localSheetId="0" hidden="1">#REF!</definedName>
    <definedName name="BLPB1" hidden="1">#REF!</definedName>
    <definedName name="BLPB2" localSheetId="0" hidden="1">#REF!</definedName>
    <definedName name="BLPB2" hidden="1">#REF!</definedName>
    <definedName name="BLPH1" localSheetId="0" hidden="1">#REF!</definedName>
    <definedName name="BLPH1" hidden="1">#REF!</definedName>
    <definedName name="BLPH2" localSheetId="0" hidden="1">#REF!</definedName>
    <definedName name="BLPH2" hidden="1">#REF!</definedName>
    <definedName name="BLPH3" localSheetId="0" hidden="1">#REF!</definedName>
    <definedName name="BLPH3" hidden="1">#REF!</definedName>
    <definedName name="BLPH4" localSheetId="0" hidden="1">#REF!</definedName>
    <definedName name="BLPH4" hidden="1">#REF!</definedName>
    <definedName name="BLPH5" localSheetId="0" hidden="1">#REF!</definedName>
    <definedName name="BLPH5" hidden="1">#REF!</definedName>
    <definedName name="BLPH6" localSheetId="0" hidden="1">#REF!</definedName>
    <definedName name="BLPH6" hidden="1">#REF!</definedName>
    <definedName name="BLPH7" localSheetId="0" hidden="1">#REF!</definedName>
    <definedName name="BLPH7" hidden="1">#REF!</definedName>
    <definedName name="BLPH8" localSheetId="0" hidden="1">#REF!</definedName>
    <definedName name="BLPH8" hidden="1">#REF!</definedName>
    <definedName name="business_model" localSheetId="0" hidden="1">{#N/A,#N/A,FALSE,"Annual Earnings Model";#N/A,#N/A,FALSE,"Quarterly Earnings Model";#N/A,#N/A,FALSE,"Header";#N/A,#N/A,FALSE,"Notes"}</definedName>
    <definedName name="business_model" hidden="1">{#N/A,#N/A,FALSE,"Annual Earnings Model";#N/A,#N/A,FALSE,"Quarterly Earnings Model";#N/A,#N/A,FALSE,"Header";#N/A,#N/A,FALSE,"Notes"}</definedName>
    <definedName name="D" localSheetId="0" hidden="1">{#N/A,#N/A,TRUE,"0 Deckbl.";#N/A,#N/A,TRUE,"S 1 Komm";#N/A,#N/A,TRUE,"S 1a Komm";#N/A,#N/A,TRUE,"S 1b Komm";#N/A,#N/A,TRUE,"S  2 DBR";#N/A,#N/A,TRUE,"S  3 Sparten";#N/A,#N/A,TRUE,"S 4  Betr. K.";#N/A,#N/A,TRUE,"6 Bilanz";#N/A,#N/A,TRUE,"6a Bilanz ";#N/A,#N/A,TRUE,"6b Bilanz ";#N/A,#N/A,TRUE,"7 GS I";#N/A,#N/A,TRUE,"S 8 EQ-GuV"}</definedName>
    <definedName name="D" hidden="1">{#N/A,#N/A,TRUE,"0 Deckbl.";#N/A,#N/A,TRUE,"S 1 Komm";#N/A,#N/A,TRUE,"S 1a Komm";#N/A,#N/A,TRUE,"S 1b Komm";#N/A,#N/A,TRUE,"S  2 DBR";#N/A,#N/A,TRUE,"S  3 Sparten";#N/A,#N/A,TRUE,"S 4  Betr. K.";#N/A,#N/A,TRUE,"6 Bilanz";#N/A,#N/A,TRUE,"6a Bilanz ";#N/A,#N/A,TRUE,"6b Bilanz ";#N/A,#N/A,TRUE,"7 GS I";#N/A,#N/A,TRUE,"S 8 EQ-GuV"}</definedName>
    <definedName name="dfhgd" localSheetId="0" hidden="1">[1]Tabell!#REF!</definedName>
    <definedName name="dfhgd" hidden="1">[1]Tabell!#REF!</definedName>
    <definedName name="dsvfsdvfd" localSheetId="0" hidden="1">{#N/A,#N/A,TRUE,"0 Deckbl.";#N/A,#N/A,TRUE,"S 1 Komm";#N/A,#N/A,TRUE,"S 1a Komm";#N/A,#N/A,TRUE,"S 1b Komm";#N/A,#N/A,TRUE,"S  2 DBR";#N/A,#N/A,TRUE,"S  3 Sparten";#N/A,#N/A,TRUE,"S 4  Betr. K.";#N/A,#N/A,TRUE,"6 Bilanz";#N/A,#N/A,TRUE,"6a Bilanz ";#N/A,#N/A,TRUE,"6b Bilanz ";#N/A,#N/A,TRUE,"7 GS I";#N/A,#N/A,TRUE,"S 8 EQ-GuV"}</definedName>
    <definedName name="dsvfsdvfd" hidden="1">{#N/A,#N/A,TRUE,"0 Deckbl.";#N/A,#N/A,TRUE,"S 1 Komm";#N/A,#N/A,TRUE,"S 1a Komm";#N/A,#N/A,TRUE,"S 1b Komm";#N/A,#N/A,TRUE,"S  2 DBR";#N/A,#N/A,TRUE,"S  3 Sparten";#N/A,#N/A,TRUE,"S 4  Betr. K.";#N/A,#N/A,TRUE,"6 Bilanz";#N/A,#N/A,TRUE,"6a Bilanz ";#N/A,#N/A,TRUE,"6b Bilanz ";#N/A,#N/A,TRUE,"7 GS I";#N/A,#N/A,TRUE,"S 8 EQ-GuV"}</definedName>
    <definedName name="dvsdvsdv" localSheetId="0" hidden="1">{#N/A,#N/A,TRUE,"0 Deckbl.";#N/A,#N/A,TRUE,"S 1 Komm";#N/A,#N/A,TRUE,"S 1a Komm";#N/A,#N/A,TRUE,"S 1b Komm";#N/A,#N/A,TRUE,"S  2 DBR";#N/A,#N/A,TRUE,"S  3 Sparten";#N/A,#N/A,TRUE,"S 4  Betr. K.";#N/A,#N/A,TRUE,"6 Bilanz";#N/A,#N/A,TRUE,"6a Bilanz ";#N/A,#N/A,TRUE,"6b Bilanz ";#N/A,#N/A,TRUE,"7 GS I";#N/A,#N/A,TRUE,"S 8 EQ-GuV"}</definedName>
    <definedName name="dvsdvsdv" hidden="1">{#N/A,#N/A,TRUE,"0 Deckbl.";#N/A,#N/A,TRUE,"S 1 Komm";#N/A,#N/A,TRUE,"S 1a Komm";#N/A,#N/A,TRUE,"S 1b Komm";#N/A,#N/A,TRUE,"S  2 DBR";#N/A,#N/A,TRUE,"S  3 Sparten";#N/A,#N/A,TRUE,"S 4  Betr. K.";#N/A,#N/A,TRUE,"6 Bilanz";#N/A,#N/A,TRUE,"6a Bilanz ";#N/A,#N/A,TRUE,"6b Bilanz ";#N/A,#N/A,TRUE,"7 GS I";#N/A,#N/A,TRUE,"S 8 EQ-GuV"}</definedName>
    <definedName name="E" localSheetId="0" hidden="1">{#N/A,#N/A,TRUE,"0 Deckbl.";#N/A,#N/A,TRUE,"S 1 Komm";#N/A,#N/A,TRUE,"S 1a Komm";#N/A,#N/A,TRUE,"S 1b Komm";#N/A,#N/A,TRUE,"S  2 DBR";#N/A,#N/A,TRUE,"S  3 Sparten";#N/A,#N/A,TRUE,"S 4  Betr. K.";#N/A,#N/A,TRUE,"6 Bilanz";#N/A,#N/A,TRUE,"6a Bilanz ";#N/A,#N/A,TRUE,"6b Bilanz ";#N/A,#N/A,TRUE,"7 GS I";#N/A,#N/A,TRUE,"S 8 EQ-GuV"}</definedName>
    <definedName name="E" hidden="1">{#N/A,#N/A,TRUE,"0 Deckbl.";#N/A,#N/A,TRUE,"S 1 Komm";#N/A,#N/A,TRUE,"S 1a Komm";#N/A,#N/A,TRUE,"S 1b Komm";#N/A,#N/A,TRUE,"S  2 DBR";#N/A,#N/A,TRUE,"S  3 Sparten";#N/A,#N/A,TRUE,"S 4  Betr. K.";#N/A,#N/A,TRUE,"6 Bilanz";#N/A,#N/A,TRUE,"6a Bilanz ";#N/A,#N/A,TRUE,"6b Bilanz ";#N/A,#N/A,TRUE,"7 GS I";#N/A,#N/A,TRUE,"S 8 EQ-GuV"}</definedName>
    <definedName name="fffff" localSheetId="0" hidden="1">{#N/A,#N/A,TRUE,"0 Deckbl.";#N/A,#N/A,TRUE,"S 1 Komm";#N/A,#N/A,TRUE,"S 1a Komm";#N/A,#N/A,TRUE,"S 1b Komm";#N/A,#N/A,TRUE,"S  2 DBR";#N/A,#N/A,TRUE,"S  3 Sparten";#N/A,#N/A,TRUE,"S 4  Betr. K.";#N/A,#N/A,TRUE,"6 Bilanz";#N/A,#N/A,TRUE,"6a Bilanz ";#N/A,#N/A,TRUE,"6b Bilanz ";#N/A,#N/A,TRUE,"7 GS I";#N/A,#N/A,TRUE,"S 8 EQ-GuV"}</definedName>
    <definedName name="fffff" hidden="1">{#N/A,#N/A,TRUE,"0 Deckbl.";#N/A,#N/A,TRUE,"S 1 Komm";#N/A,#N/A,TRUE,"S 1a Komm";#N/A,#N/A,TRUE,"S 1b Komm";#N/A,#N/A,TRUE,"S  2 DBR";#N/A,#N/A,TRUE,"S  3 Sparten";#N/A,#N/A,TRUE,"S 4  Betr. K.";#N/A,#N/A,TRUE,"6 Bilanz";#N/A,#N/A,TRUE,"6a Bilanz ";#N/A,#N/A,TRUE,"6b Bilanz ";#N/A,#N/A,TRUE,"7 GS I";#N/A,#N/A,TRUE,"S 8 EQ-GuV"}</definedName>
    <definedName name="FG" localSheetId="0" hidden="1">{#N/A,#N/A,TRUE,"0 Deckbl.";#N/A,#N/A,TRUE,"S 1 Komm";#N/A,#N/A,TRUE,"S 1a Komm";#N/A,#N/A,TRUE,"S 1b Komm";#N/A,#N/A,TRUE,"S  2 DBR";#N/A,#N/A,TRUE,"S  3 Sparten";#N/A,#N/A,TRUE,"S 4  Betr. K.";#N/A,#N/A,TRUE,"6 Bilanz";#N/A,#N/A,TRUE,"6a Bilanz ";#N/A,#N/A,TRUE,"6b Bilanz ";#N/A,#N/A,TRUE,"7 GS I";#N/A,#N/A,TRUE,"S 8 EQ-GuV"}</definedName>
    <definedName name="FG" hidden="1">{#N/A,#N/A,TRUE,"0 Deckbl.";#N/A,#N/A,TRUE,"S 1 Komm";#N/A,#N/A,TRUE,"S 1a Komm";#N/A,#N/A,TRUE,"S 1b Komm";#N/A,#N/A,TRUE,"S  2 DBR";#N/A,#N/A,TRUE,"S  3 Sparten";#N/A,#N/A,TRUE,"S 4  Betr. K.";#N/A,#N/A,TRUE,"6 Bilanz";#N/A,#N/A,TRUE,"6a Bilanz ";#N/A,#N/A,TRUE,"6b Bilanz ";#N/A,#N/A,TRUE,"7 GS I";#N/A,#N/A,TRUE,"S 8 EQ-GuV"}</definedName>
    <definedName name="Forside" hidden="1">[1]Tabell!#REF!</definedName>
    <definedName name="Forside2" hidden="1">[1]Tabell!#REF!</definedName>
    <definedName name="G" localSheetId="0" hidden="1">{#N/A,#N/A,TRUE,"0 Deckbl.";#N/A,#N/A,TRUE,"S 1 Komm";#N/A,#N/A,TRUE,"S 1a Komm";#N/A,#N/A,TRUE,"S 1b Komm";#N/A,#N/A,TRUE,"S  2 DBR";#N/A,#N/A,TRUE,"S  3 Sparten";#N/A,#N/A,TRUE,"S 4  Betr. K.";#N/A,#N/A,TRUE,"6 Bilanz";#N/A,#N/A,TRUE,"6a Bilanz ";#N/A,#N/A,TRUE,"6b Bilanz ";#N/A,#N/A,TRUE,"7 GS I";#N/A,#N/A,TRUE,"S 8 EQ-GuV"}</definedName>
    <definedName name="G" hidden="1">{#N/A,#N/A,TRUE,"0 Deckbl.";#N/A,#N/A,TRUE,"S 1 Komm";#N/A,#N/A,TRUE,"S 1a Komm";#N/A,#N/A,TRUE,"S 1b Komm";#N/A,#N/A,TRUE,"S  2 DBR";#N/A,#N/A,TRUE,"S  3 Sparten";#N/A,#N/A,TRUE,"S 4  Betr. K.";#N/A,#N/A,TRUE,"6 Bilanz";#N/A,#N/A,TRUE,"6a Bilanz ";#N/A,#N/A,TRUE,"6b Bilanz ";#N/A,#N/A,TRUE,"7 GS I";#N/A,#N/A,TRUE,"S 8 EQ-GuV"}</definedName>
    <definedName name="i" localSheetId="0" hidden="1">{#N/A,#N/A,TRUE,"0 Deckbl.";#N/A,#N/A,TRUE,"S 1 Komm";#N/A,#N/A,TRUE,"S 1a Komm";#N/A,#N/A,TRUE,"S 1b Komm";#N/A,#N/A,TRUE,"S  2 DBR";#N/A,#N/A,TRUE,"S  3 Sparten";#N/A,#N/A,TRUE,"S 4  Betr. K.";#N/A,#N/A,TRUE,"6 Bilanz";#N/A,#N/A,TRUE,"6a Bilanz ";#N/A,#N/A,TRUE,"6b Bilanz ";#N/A,#N/A,TRUE,"7 GS I";#N/A,#N/A,TRUE,"S 8 EQ-GuV"}</definedName>
    <definedName name="i" hidden="1">{#N/A,#N/A,TRUE,"0 Deckbl.";#N/A,#N/A,TRUE,"S 1 Komm";#N/A,#N/A,TRUE,"S 1a Komm";#N/A,#N/A,TRUE,"S 1b Komm";#N/A,#N/A,TRUE,"S  2 DBR";#N/A,#N/A,TRUE,"S  3 Sparten";#N/A,#N/A,TRUE,"S 4  Betr. K.";#N/A,#N/A,TRUE,"6 Bilanz";#N/A,#N/A,TRUE,"6a Bilanz ";#N/A,#N/A,TRUE,"6b Bilanz ";#N/A,#N/A,TRUE,"7 GS I";#N/A,#N/A,TRUE,"S 8 EQ-GuV"}</definedName>
    <definedName name="j" localSheetId="0" hidden="1">{#N/A,#N/A,TRUE,"0 Deckbl.";#N/A,#N/A,TRUE,"S 1 Komm";#N/A,#N/A,TRUE,"S 1a Komm";#N/A,#N/A,TRUE,"S 1b Komm";#N/A,#N/A,TRUE,"S  2 DBR";#N/A,#N/A,TRUE,"S  3 Sparten";#N/A,#N/A,TRUE,"S 4  Betr. K.";#N/A,#N/A,TRUE,"6 Bilanz";#N/A,#N/A,TRUE,"6a Bilanz ";#N/A,#N/A,TRUE,"6b Bilanz ";#N/A,#N/A,TRUE,"7 GS I";#N/A,#N/A,TRUE,"S 8 EQ-GuV"}</definedName>
    <definedName name="j" hidden="1">{#N/A,#N/A,TRUE,"0 Deckbl.";#N/A,#N/A,TRUE,"S 1 Komm";#N/A,#N/A,TRUE,"S 1a Komm";#N/A,#N/A,TRUE,"S 1b Komm";#N/A,#N/A,TRUE,"S  2 DBR";#N/A,#N/A,TRUE,"S  3 Sparten";#N/A,#N/A,TRUE,"S 4  Betr. K.";#N/A,#N/A,TRUE,"6 Bilanz";#N/A,#N/A,TRUE,"6a Bilanz ";#N/A,#N/A,TRUE,"6b Bilanz ";#N/A,#N/A,TRUE,"7 GS I";#N/A,#N/A,TRUE,"S 8 EQ-GuV"}</definedName>
    <definedName name="janis" localSheetId="0" hidden="1">{#N/A,#N/A,TRUE,"0 Deckbl.";#N/A,#N/A,TRUE,"S 1 Komm";#N/A,#N/A,TRUE,"S 1a Komm";#N/A,#N/A,TRUE,"S 1b Komm";#N/A,#N/A,TRUE,"S  2 DBR";#N/A,#N/A,TRUE,"S  3 Sparten";#N/A,#N/A,TRUE,"S 4  Betr. K.";#N/A,#N/A,TRUE,"6 Bilanz";#N/A,#N/A,TRUE,"6a Bilanz ";#N/A,#N/A,TRUE,"6b Bilanz ";#N/A,#N/A,TRUE,"7 GS I";#N/A,#N/A,TRUE,"S 8 EQ-GuV"}</definedName>
    <definedName name="janis" hidden="1">{#N/A,#N/A,TRUE,"0 Deckbl.";#N/A,#N/A,TRUE,"S 1 Komm";#N/A,#N/A,TRUE,"S 1a Komm";#N/A,#N/A,TRUE,"S 1b Komm";#N/A,#N/A,TRUE,"S  2 DBR";#N/A,#N/A,TRUE,"S  3 Sparten";#N/A,#N/A,TRUE,"S 4  Betr. K.";#N/A,#N/A,TRUE,"6 Bilanz";#N/A,#N/A,TRUE,"6a Bilanz ";#N/A,#N/A,TRUE,"6b Bilanz ";#N/A,#N/A,TRUE,"7 GS I";#N/A,#N/A,TRUE,"S 8 EQ-GuV"}</definedName>
    <definedName name="JK" localSheetId="0" hidden="1">{#N/A,#N/A,TRUE,"0 Deckbl.";#N/A,#N/A,TRUE,"S 1 Komm";#N/A,#N/A,TRUE,"S 1a Komm";#N/A,#N/A,TRUE,"S 1b Komm";#N/A,#N/A,TRUE,"S  2 DBR";#N/A,#N/A,TRUE,"S  3 Sparten";#N/A,#N/A,TRUE,"S 4  Betr. K.";#N/A,#N/A,TRUE,"6 Bilanz";#N/A,#N/A,TRUE,"6a Bilanz ";#N/A,#N/A,TRUE,"6b Bilanz ";#N/A,#N/A,TRUE,"7 GS I";#N/A,#N/A,TRUE,"S 8 EQ-GuV"}</definedName>
    <definedName name="JK" hidden="1">{#N/A,#N/A,TRUE,"0 Deckbl.";#N/A,#N/A,TRUE,"S 1 Komm";#N/A,#N/A,TRUE,"S 1a Komm";#N/A,#N/A,TRUE,"S 1b Komm";#N/A,#N/A,TRUE,"S  2 DBR";#N/A,#N/A,TRUE,"S  3 Sparten";#N/A,#N/A,TRUE,"S 4  Betr. K.";#N/A,#N/A,TRUE,"6 Bilanz";#N/A,#N/A,TRUE,"6a Bilanz ";#N/A,#N/A,TRUE,"6b Bilanz ";#N/A,#N/A,TRUE,"7 GS I";#N/A,#N/A,TRUE,"S 8 EQ-GuV"}</definedName>
    <definedName name="k" localSheetId="0" hidden="1">{#N/A,#N/A,TRUE,"0 Deckbl.";#N/A,#N/A,TRUE,"S 1 Komm";#N/A,#N/A,TRUE,"S 1a Komm";#N/A,#N/A,TRUE,"S 1b Komm";#N/A,#N/A,TRUE,"S  2 DBR";#N/A,#N/A,TRUE,"S  3 Sparten";#N/A,#N/A,TRUE,"S 4  Betr. K.";#N/A,#N/A,TRUE,"6 Bilanz";#N/A,#N/A,TRUE,"6a Bilanz ";#N/A,#N/A,TRUE,"6b Bilanz ";#N/A,#N/A,TRUE,"7 GS I";#N/A,#N/A,TRUE,"S 8 EQ-GuV"}</definedName>
    <definedName name="k" hidden="1">{#N/A,#N/A,TRUE,"0 Deckbl.";#N/A,#N/A,TRUE,"S 1 Komm";#N/A,#N/A,TRUE,"S 1a Komm";#N/A,#N/A,TRUE,"S 1b Komm";#N/A,#N/A,TRUE,"S  2 DBR";#N/A,#N/A,TRUE,"S  3 Sparten";#N/A,#N/A,TRUE,"S 4  Betr. K.";#N/A,#N/A,TRUE,"6 Bilanz";#N/A,#N/A,TRUE,"6a Bilanz ";#N/A,#N/A,TRUE,"6b Bilanz ";#N/A,#N/A,TRUE,"7 GS I";#N/A,#N/A,TRUE,"S 8 EQ-GuV"}</definedName>
    <definedName name="kkk" localSheetId="0" hidden="1">{#N/A,#N/A,TRUE,"0 Deckbl.";#N/A,#N/A,TRUE,"S 1 Komm";#N/A,#N/A,TRUE,"S 1a Komm";#N/A,#N/A,TRUE,"S 1b Komm";#N/A,#N/A,TRUE,"S  2 DBR";#N/A,#N/A,TRUE,"S  3 Sparten";#N/A,#N/A,TRUE,"S 4  Betr. K.";#N/A,#N/A,TRUE,"6 Bilanz";#N/A,#N/A,TRUE,"6a Bilanz ";#N/A,#N/A,TRUE,"6b Bilanz ";#N/A,#N/A,TRUE,"7 GS I";#N/A,#N/A,TRUE,"S 8 EQ-GuV"}</definedName>
    <definedName name="kkk" hidden="1">{#N/A,#N/A,TRUE,"0 Deckbl.";#N/A,#N/A,TRUE,"S 1 Komm";#N/A,#N/A,TRUE,"S 1a Komm";#N/A,#N/A,TRUE,"S 1b Komm";#N/A,#N/A,TRUE,"S  2 DBR";#N/A,#N/A,TRUE,"S  3 Sparten";#N/A,#N/A,TRUE,"S 4  Betr. K.";#N/A,#N/A,TRUE,"6 Bilanz";#N/A,#N/A,TRUE,"6a Bilanz ";#N/A,#N/A,TRUE,"6b Bilanz ";#N/A,#N/A,TRUE,"7 GS I";#N/A,#N/A,TRUE,"S 8 EQ-GuV"}</definedName>
    <definedName name="L" localSheetId="0" hidden="1">{#N/A,#N/A,TRUE,"0 Deckbl.";#N/A,#N/A,TRUE,"S 1 Komm";#N/A,#N/A,TRUE,"S 1a Komm";#N/A,#N/A,TRUE,"S 1b Komm";#N/A,#N/A,TRUE,"S  2 DBR";#N/A,#N/A,TRUE,"S  3 Sparten";#N/A,#N/A,TRUE,"S 4  Betr. K.";#N/A,#N/A,TRUE,"6 Bilanz";#N/A,#N/A,TRUE,"6a Bilanz ";#N/A,#N/A,TRUE,"6b Bilanz ";#N/A,#N/A,TRUE,"7 GS I";#N/A,#N/A,TRUE,"S 8 EQ-GuV"}</definedName>
    <definedName name="L" hidden="1">{#N/A,#N/A,TRUE,"0 Deckbl.";#N/A,#N/A,TRUE,"S 1 Komm";#N/A,#N/A,TRUE,"S 1a Komm";#N/A,#N/A,TRUE,"S 1b Komm";#N/A,#N/A,TRUE,"S  2 DBR";#N/A,#N/A,TRUE,"S  3 Sparten";#N/A,#N/A,TRUE,"S 4  Betr. K.";#N/A,#N/A,TRUE,"6 Bilanz";#N/A,#N/A,TRUE,"6a Bilanz ";#N/A,#N/A,TRUE,"6b Bilanz ";#N/A,#N/A,TRUE,"7 GS I";#N/A,#N/A,TRUE,"S 8 EQ-GuV"}</definedName>
    <definedName name="LI" localSheetId="0" hidden="1">[1]Tabell!#REF!</definedName>
    <definedName name="LI" hidden="1">[1]Tabell!#REF!</definedName>
    <definedName name="M" localSheetId="0" hidden="1">{#N/A,#N/A,TRUE,"0 Deckbl.";#N/A,#N/A,TRUE,"S 1 Komm";#N/A,#N/A,TRUE,"S 1a Komm";#N/A,#N/A,TRUE,"S 1b Komm";#N/A,#N/A,TRUE,"S  2 DBR";#N/A,#N/A,TRUE,"S  3 Sparten";#N/A,#N/A,TRUE,"S 4  Betr. K.";#N/A,#N/A,TRUE,"6 Bilanz";#N/A,#N/A,TRUE,"6a Bilanz ";#N/A,#N/A,TRUE,"6b Bilanz ";#N/A,#N/A,TRUE,"7 GS I";#N/A,#N/A,TRUE,"S 8 EQ-GuV"}</definedName>
    <definedName name="M" hidden="1">{#N/A,#N/A,TRUE,"0 Deckbl.";#N/A,#N/A,TRUE,"S 1 Komm";#N/A,#N/A,TRUE,"S 1a Komm";#N/A,#N/A,TRUE,"S 1b Komm";#N/A,#N/A,TRUE,"S  2 DBR";#N/A,#N/A,TRUE,"S  3 Sparten";#N/A,#N/A,TRUE,"S 4  Betr. K.";#N/A,#N/A,TRUE,"6 Bilanz";#N/A,#N/A,TRUE,"6a Bilanz ";#N/A,#N/A,TRUE,"6b Bilanz ";#N/A,#N/A,TRUE,"7 GS I";#N/A,#N/A,TRUE,"S 8 EQ-GuV"}</definedName>
    <definedName name="marie" localSheetId="0" hidden="1">{#N/A,#N/A,TRUE,"0 Deckbl.";#N/A,#N/A,TRUE,"S 1 Komm";#N/A,#N/A,TRUE,"S 1a Komm";#N/A,#N/A,TRUE,"S 1b Komm";#N/A,#N/A,TRUE,"S  2 DBR";#N/A,#N/A,TRUE,"S  3 Sparten";#N/A,#N/A,TRUE,"S 4  Betr. K.";#N/A,#N/A,TRUE,"6 Bilanz";#N/A,#N/A,TRUE,"6a Bilanz ";#N/A,#N/A,TRUE,"6b Bilanz ";#N/A,#N/A,TRUE,"7 GS I";#N/A,#N/A,TRUE,"S 8 EQ-GuV"}</definedName>
    <definedName name="marie" hidden="1">{#N/A,#N/A,TRUE,"0 Deckbl.";#N/A,#N/A,TRUE,"S 1 Komm";#N/A,#N/A,TRUE,"S 1a Komm";#N/A,#N/A,TRUE,"S 1b Komm";#N/A,#N/A,TRUE,"S  2 DBR";#N/A,#N/A,TRUE,"S  3 Sparten";#N/A,#N/A,TRUE,"S 4  Betr. K.";#N/A,#N/A,TRUE,"6 Bilanz";#N/A,#N/A,TRUE,"6a Bilanz ";#N/A,#N/A,TRUE,"6b Bilanz ";#N/A,#N/A,TRUE,"7 GS I";#N/A,#N/A,TRUE,"S 8 EQ-GuV"}</definedName>
    <definedName name="market" localSheetId="0" hidden="1">{#N/A,#N/A,TRUE,"0 Deckbl.";#N/A,#N/A,TRUE,"S 1 Komm";#N/A,#N/A,TRUE,"S 1a Komm";#N/A,#N/A,TRUE,"S 1b Komm";#N/A,#N/A,TRUE,"S  2 DBR";#N/A,#N/A,TRUE,"S  3 Sparten";#N/A,#N/A,TRUE,"S 4  Betr. K.";#N/A,#N/A,TRUE,"6 Bilanz";#N/A,#N/A,TRUE,"6a Bilanz ";#N/A,#N/A,TRUE,"6b Bilanz ";#N/A,#N/A,TRUE,"7 GS I";#N/A,#N/A,TRUE,"S 8 EQ-GuV"}</definedName>
    <definedName name="market" hidden="1">{#N/A,#N/A,TRUE,"0 Deckbl.";#N/A,#N/A,TRUE,"S 1 Komm";#N/A,#N/A,TRUE,"S 1a Komm";#N/A,#N/A,TRUE,"S 1b Komm";#N/A,#N/A,TRUE,"S  2 DBR";#N/A,#N/A,TRUE,"S  3 Sparten";#N/A,#N/A,TRUE,"S 4  Betr. K.";#N/A,#N/A,TRUE,"6 Bilanz";#N/A,#N/A,TRUE,"6a Bilanz ";#N/A,#N/A,TRUE,"6b Bilanz ";#N/A,#N/A,TRUE,"7 GS I";#N/A,#N/A,TRUE,"S 8 EQ-GuV"}</definedName>
    <definedName name="N" localSheetId="0" hidden="1">{#N/A,#N/A,TRUE,"0 Deckbl.";#N/A,#N/A,TRUE,"S 1 Komm";#N/A,#N/A,TRUE,"S 1a Komm";#N/A,#N/A,TRUE,"S 1b Komm";#N/A,#N/A,TRUE,"S  2 DBR";#N/A,#N/A,TRUE,"S  3 Sparten";#N/A,#N/A,TRUE,"S 4  Betr. K.";#N/A,#N/A,TRUE,"6 Bilanz";#N/A,#N/A,TRUE,"6a Bilanz ";#N/A,#N/A,TRUE,"6b Bilanz ";#N/A,#N/A,TRUE,"7 GS I";#N/A,#N/A,TRUE,"S 8 EQ-GuV"}</definedName>
    <definedName name="N" hidden="1">{#N/A,#N/A,TRUE,"0 Deckbl.";#N/A,#N/A,TRUE,"S 1 Komm";#N/A,#N/A,TRUE,"S 1a Komm";#N/A,#N/A,TRUE,"S 1b Komm";#N/A,#N/A,TRUE,"S  2 DBR";#N/A,#N/A,TRUE,"S  3 Sparten";#N/A,#N/A,TRUE,"S 4  Betr. K.";#N/A,#N/A,TRUE,"6 Bilanz";#N/A,#N/A,TRUE,"6a Bilanz ";#N/A,#N/A,TRUE,"6b Bilanz ";#N/A,#N/A,TRUE,"7 GS I";#N/A,#N/A,TRUE,"S 8 EQ-GuV"}</definedName>
    <definedName name="ny_tabell" localSheetId="0" hidden="1">[1]Tabell!#REF!</definedName>
    <definedName name="ny_tabell" hidden="1">[1]Tabell!#REF!</definedName>
    <definedName name="ny_tabell_2" localSheetId="0" hidden="1">[1]Tabell!#REF!</definedName>
    <definedName name="ny_tabell_2" hidden="1">[1]Tabell!#REF!</definedName>
    <definedName name="OL" localSheetId="0" hidden="1">{#N/A,#N/A,TRUE,"0 Deckbl.";#N/A,#N/A,TRUE,"S 1 Komm";#N/A,#N/A,TRUE,"S 1a Komm";#N/A,#N/A,TRUE,"S 1b Komm";#N/A,#N/A,TRUE,"S  2 DBR";#N/A,#N/A,TRUE,"S  3 Sparten";#N/A,#N/A,TRUE,"S 4  Betr. K.";#N/A,#N/A,TRUE,"6 Bilanz";#N/A,#N/A,TRUE,"6a Bilanz ";#N/A,#N/A,TRUE,"6b Bilanz ";#N/A,#N/A,TRUE,"7 GS I";#N/A,#N/A,TRUE,"S 8 EQ-GuV"}</definedName>
    <definedName name="OL" hidden="1">{#N/A,#N/A,TRUE,"0 Deckbl.";#N/A,#N/A,TRUE,"S 1 Komm";#N/A,#N/A,TRUE,"S 1a Komm";#N/A,#N/A,TRUE,"S 1b Komm";#N/A,#N/A,TRUE,"S  2 DBR";#N/A,#N/A,TRUE,"S  3 Sparten";#N/A,#N/A,TRUE,"S 4  Betr. K.";#N/A,#N/A,TRUE,"6 Bilanz";#N/A,#N/A,TRUE,"6a Bilanz ";#N/A,#N/A,TRUE,"6b Bilanz ";#N/A,#N/A,TRUE,"7 GS I";#N/A,#N/A,TRUE,"S 8 EQ-GuV"}</definedName>
    <definedName name="PO" localSheetId="0" hidden="1">{#N/A,#N/A,TRUE,"0 Deckbl.";#N/A,#N/A,TRUE,"S 1 Komm";#N/A,#N/A,TRUE,"S 1a Komm";#N/A,#N/A,TRUE,"S 1b Komm";#N/A,#N/A,TRUE,"S  2 DBR";#N/A,#N/A,TRUE,"S  3 Sparten";#N/A,#N/A,TRUE,"S 4  Betr. K.";#N/A,#N/A,TRUE,"6 Bilanz";#N/A,#N/A,TRUE,"6a Bilanz ";#N/A,#N/A,TRUE,"6b Bilanz ";#N/A,#N/A,TRUE,"7 GS I";#N/A,#N/A,TRUE,"S 8 EQ-GuV"}</definedName>
    <definedName name="PO" hidden="1">{#N/A,#N/A,TRUE,"0 Deckbl.";#N/A,#N/A,TRUE,"S 1 Komm";#N/A,#N/A,TRUE,"S 1a Komm";#N/A,#N/A,TRUE,"S 1b Komm";#N/A,#N/A,TRUE,"S  2 DBR";#N/A,#N/A,TRUE,"S  3 Sparten";#N/A,#N/A,TRUE,"S 4  Betr. K.";#N/A,#N/A,TRUE,"6 Bilanz";#N/A,#N/A,TRUE,"6a Bilanz ";#N/A,#N/A,TRUE,"6b Bilanz ";#N/A,#N/A,TRUE,"7 GS I";#N/A,#N/A,TRUE,"S 8 EQ-GuV"}</definedName>
    <definedName name="q" localSheetId="0" hidden="1">{#N/A,#N/A,TRUE,"0 Deckbl.";#N/A,#N/A,TRUE,"S 1 Komm";#N/A,#N/A,TRUE,"S 1a Komm";#N/A,#N/A,TRUE,"S 1b Komm";#N/A,#N/A,TRUE,"S  2 DBR";#N/A,#N/A,TRUE,"S  3 Sparten";#N/A,#N/A,TRUE,"S 4  Betr. K.";#N/A,#N/A,TRUE,"6 Bilanz";#N/A,#N/A,TRUE,"6a Bilanz ";#N/A,#N/A,TRUE,"6b Bilanz ";#N/A,#N/A,TRUE,"7 GS I";#N/A,#N/A,TRUE,"S 8 EQ-GuV"}</definedName>
    <definedName name="q" hidden="1">{#N/A,#N/A,TRUE,"0 Deckbl.";#N/A,#N/A,TRUE,"S 1 Komm";#N/A,#N/A,TRUE,"S 1a Komm";#N/A,#N/A,TRUE,"S 1b Komm";#N/A,#N/A,TRUE,"S  2 DBR";#N/A,#N/A,TRUE,"S  3 Sparten";#N/A,#N/A,TRUE,"S 4  Betr. K.";#N/A,#N/A,TRUE,"6 Bilanz";#N/A,#N/A,TRUE,"6a Bilanz ";#N/A,#N/A,TRUE,"6b Bilanz ";#N/A,#N/A,TRUE,"7 GS I";#N/A,#N/A,TRUE,"S 8 EQ-GuV"}</definedName>
    <definedName name="qweqweqwe" localSheetId="0" hidden="1">{#N/A,#N/A,TRUE,"0 Deckbl.";#N/A,#N/A,TRUE,"S 1 Komm";#N/A,#N/A,TRUE,"S 1a Komm";#N/A,#N/A,TRUE,"S 1b Komm";#N/A,#N/A,TRUE,"S  2 DBR";#N/A,#N/A,TRUE,"S  3 Sparten";#N/A,#N/A,TRUE,"S 4  Betr. K.";#N/A,#N/A,TRUE,"6 Bilanz";#N/A,#N/A,TRUE,"6a Bilanz ";#N/A,#N/A,TRUE,"6b Bilanz ";#N/A,#N/A,TRUE,"7 GS I";#N/A,#N/A,TRUE,"S 8 EQ-GuV"}</definedName>
    <definedName name="qweqweqwe" hidden="1">{#N/A,#N/A,TRUE,"0 Deckbl.";#N/A,#N/A,TRUE,"S 1 Komm";#N/A,#N/A,TRUE,"S 1a Komm";#N/A,#N/A,TRUE,"S 1b Komm";#N/A,#N/A,TRUE,"S  2 DBR";#N/A,#N/A,TRUE,"S  3 Sparten";#N/A,#N/A,TRUE,"S 4  Betr. K.";#N/A,#N/A,TRUE,"6 Bilanz";#N/A,#N/A,TRUE,"6a Bilanz ";#N/A,#N/A,TRUE,"6b Bilanz ";#N/A,#N/A,TRUE,"7 GS I";#N/A,#N/A,TRUE,"S 8 EQ-GuV"}</definedName>
    <definedName name="rabota" localSheetId="0" hidden="1">{#N/A,#N/A,TRUE,"0 Deckbl.";#N/A,#N/A,TRUE,"S 1 Komm";#N/A,#N/A,TRUE,"S 1a Komm";#N/A,#N/A,TRUE,"S 1b Komm";#N/A,#N/A,TRUE,"S  2 DBR";#N/A,#N/A,TRUE,"S  3 Sparten";#N/A,#N/A,TRUE,"S 4  Betr. K.";#N/A,#N/A,TRUE,"6 Bilanz";#N/A,#N/A,TRUE,"6a Bilanz ";#N/A,#N/A,TRUE,"6b Bilanz ";#N/A,#N/A,TRUE,"7 GS I";#N/A,#N/A,TRUE,"S 8 EQ-GuV"}</definedName>
    <definedName name="rabota" hidden="1">{#N/A,#N/A,TRUE,"0 Deckbl.";#N/A,#N/A,TRUE,"S 1 Komm";#N/A,#N/A,TRUE,"S 1a Komm";#N/A,#N/A,TRUE,"S 1b Komm";#N/A,#N/A,TRUE,"S  2 DBR";#N/A,#N/A,TRUE,"S  3 Sparten";#N/A,#N/A,TRUE,"S 4  Betr. K.";#N/A,#N/A,TRUE,"6 Bilanz";#N/A,#N/A,TRUE,"6a Bilanz ";#N/A,#N/A,TRUE,"6b Bilanz ";#N/A,#N/A,TRUE,"7 GS I";#N/A,#N/A,TRUE,"S 8 EQ-GuV"}</definedName>
    <definedName name="Rente" localSheetId="0" hidden="1">{#N/A,#N/A,FALSE,"Annual Earnings Model";#N/A,#N/A,FALSE,"Quarterly Earnings Model";#N/A,#N/A,FALSE,"Header";#N/A,#N/A,FALSE,"Notes"}</definedName>
    <definedName name="Rente" hidden="1">{#N/A,#N/A,FALSE,"Annual Earnings Model";#N/A,#N/A,FALSE,"Quarterly Earnings Model";#N/A,#N/A,FALSE,"Header";#N/A,#N/A,FALSE,"Notes"}</definedName>
    <definedName name="SD" localSheetId="0" hidden="1">{#N/A,#N/A,TRUE,"0 Deckbl.";#N/A,#N/A,TRUE,"S 1 Komm";#N/A,#N/A,TRUE,"S 1a Komm";#N/A,#N/A,TRUE,"S 1b Komm";#N/A,#N/A,TRUE,"S  2 DBR";#N/A,#N/A,TRUE,"S  3 Sparten";#N/A,#N/A,TRUE,"S 4  Betr. K.";#N/A,#N/A,TRUE,"6 Bilanz";#N/A,#N/A,TRUE,"6a Bilanz ";#N/A,#N/A,TRUE,"6b Bilanz ";#N/A,#N/A,TRUE,"7 GS I";#N/A,#N/A,TRUE,"S 8 EQ-GuV"}</definedName>
    <definedName name="SD" hidden="1">{#N/A,#N/A,TRUE,"0 Deckbl.";#N/A,#N/A,TRUE,"S 1 Komm";#N/A,#N/A,TRUE,"S 1a Komm";#N/A,#N/A,TRUE,"S 1b Komm";#N/A,#N/A,TRUE,"S  2 DBR";#N/A,#N/A,TRUE,"S  3 Sparten";#N/A,#N/A,TRUE,"S 4  Betr. K.";#N/A,#N/A,TRUE,"6 Bilanz";#N/A,#N/A,TRUE,"6a Bilanz ";#N/A,#N/A,TRUE,"6b Bilanz ";#N/A,#N/A,TRUE,"7 GS I";#N/A,#N/A,TRUE,"S 8 EQ-GuV"}</definedName>
    <definedName name="sddvsdv" localSheetId="0" hidden="1">{#N/A,#N/A,TRUE,"0 Deckbl.";#N/A,#N/A,TRUE,"S 1 Komm";#N/A,#N/A,TRUE,"S 1a Komm";#N/A,#N/A,TRUE,"S 1b Komm";#N/A,#N/A,TRUE,"S  2 DBR";#N/A,#N/A,TRUE,"S  3 Sparten";#N/A,#N/A,TRUE,"S 4  Betr. K.";#N/A,#N/A,TRUE,"6 Bilanz";#N/A,#N/A,TRUE,"6a Bilanz ";#N/A,#N/A,TRUE,"6b Bilanz ";#N/A,#N/A,TRUE,"7 GS I";#N/A,#N/A,TRUE,"S 8 EQ-GuV"}</definedName>
    <definedName name="sddvsdv" hidden="1">{#N/A,#N/A,TRUE,"0 Deckbl.";#N/A,#N/A,TRUE,"S 1 Komm";#N/A,#N/A,TRUE,"S 1a Komm";#N/A,#N/A,TRUE,"S 1b Komm";#N/A,#N/A,TRUE,"S  2 DBR";#N/A,#N/A,TRUE,"S  3 Sparten";#N/A,#N/A,TRUE,"S 4  Betr. K.";#N/A,#N/A,TRUE,"6 Bilanz";#N/A,#N/A,TRUE,"6a Bilanz ";#N/A,#N/A,TRUE,"6b Bilanz ";#N/A,#N/A,TRUE,"7 GS I";#N/A,#N/A,TRUE,"S 8 EQ-GuV"}</definedName>
    <definedName name="sdvdsv" localSheetId="0" hidden="1">#REF!</definedName>
    <definedName name="sdvdsv" hidden="1">#REF!</definedName>
    <definedName name="TEST" localSheetId="0" hidden="1">[1]Tabell!#REF!</definedName>
    <definedName name="TEST" hidden="1">[1]Tabell!#REF!</definedName>
    <definedName name="u" localSheetId="0" hidden="1">{#N/A,#N/A,TRUE,"0 Deckbl.";#N/A,#N/A,TRUE,"S 1 Komm";#N/A,#N/A,TRUE,"S 1a Komm";#N/A,#N/A,TRUE,"S 1b Komm";#N/A,#N/A,TRUE,"S  2 DBR";#N/A,#N/A,TRUE,"S  3 Sparten";#N/A,#N/A,TRUE,"S 4  Betr. K.";#N/A,#N/A,TRUE,"6 Bilanz";#N/A,#N/A,TRUE,"6a Bilanz ";#N/A,#N/A,TRUE,"6b Bilanz ";#N/A,#N/A,TRUE,"7 GS I";#N/A,#N/A,TRUE,"S 8 EQ-GuV"}</definedName>
    <definedName name="u" hidden="1">{#N/A,#N/A,TRUE,"0 Deckbl.";#N/A,#N/A,TRUE,"S 1 Komm";#N/A,#N/A,TRUE,"S 1a Komm";#N/A,#N/A,TRUE,"S 1b Komm";#N/A,#N/A,TRUE,"S  2 DBR";#N/A,#N/A,TRUE,"S  3 Sparten";#N/A,#N/A,TRUE,"S 4  Betr. K.";#N/A,#N/A,TRUE,"6 Bilanz";#N/A,#N/A,TRUE,"6a Bilanz ";#N/A,#N/A,TRUE,"6b Bilanz ";#N/A,#N/A,TRUE,"7 GS I";#N/A,#N/A,TRUE,"S 8 EQ-GuV"}</definedName>
    <definedName name="_xlnm.Print_Area" localSheetId="9">'EU CCA'!$A$1:$W$66</definedName>
    <definedName name="_xlnm.Print_Area" localSheetId="2">'EU LI1 '!$B$4:$J$33</definedName>
    <definedName name="v" localSheetId="0" hidden="1">{#N/A,#N/A,TRUE,"0 Deckbl.";#N/A,#N/A,TRUE,"S 1 Komm";#N/A,#N/A,TRUE,"S 1a Komm";#N/A,#N/A,TRUE,"S 1b Komm";#N/A,#N/A,TRUE,"S  2 DBR";#N/A,#N/A,TRUE,"S  3 Sparten";#N/A,#N/A,TRUE,"S 4  Betr. K.";#N/A,#N/A,TRUE,"6 Bilanz";#N/A,#N/A,TRUE,"6a Bilanz ";#N/A,#N/A,TRUE,"6b Bilanz ";#N/A,#N/A,TRUE,"7 GS I";#N/A,#N/A,TRUE,"S 8 EQ-GuV"}</definedName>
    <definedName name="v" hidden="1">{#N/A,#N/A,TRUE,"0 Deckbl.";#N/A,#N/A,TRUE,"S 1 Komm";#N/A,#N/A,TRUE,"S 1a Komm";#N/A,#N/A,TRUE,"S 1b Komm";#N/A,#N/A,TRUE,"S  2 DBR";#N/A,#N/A,TRUE,"S  3 Sparten";#N/A,#N/A,TRUE,"S 4  Betr. K.";#N/A,#N/A,TRUE,"6 Bilanz";#N/A,#N/A,TRUE,"6a Bilanz ";#N/A,#N/A,TRUE,"6b Bilanz ";#N/A,#N/A,TRUE,"7 GS I";#N/A,#N/A,TRUE,"S 8 EQ-GuV"}</definedName>
    <definedName name="vsdfvsv" localSheetId="0" hidden="1">{#N/A,#N/A,TRUE,"0 Deckbl.";#N/A,#N/A,TRUE,"S 1 Komm";#N/A,#N/A,TRUE,"S 1a Komm";#N/A,#N/A,TRUE,"S 1b Komm";#N/A,#N/A,TRUE,"S  2 DBR";#N/A,#N/A,TRUE,"S  3 Sparten";#N/A,#N/A,TRUE,"S 4  Betr. K.";#N/A,#N/A,TRUE,"6 Bilanz";#N/A,#N/A,TRUE,"6a Bilanz ";#N/A,#N/A,TRUE,"6b Bilanz ";#N/A,#N/A,TRUE,"7 GS I";#N/A,#N/A,TRUE,"S 8 EQ-GuV"}</definedName>
    <definedName name="vsdfvsv" hidden="1">{#N/A,#N/A,TRUE,"0 Deckbl.";#N/A,#N/A,TRUE,"S 1 Komm";#N/A,#N/A,TRUE,"S 1a Komm";#N/A,#N/A,TRUE,"S 1b Komm";#N/A,#N/A,TRUE,"S  2 DBR";#N/A,#N/A,TRUE,"S  3 Sparten";#N/A,#N/A,TRUE,"S 4  Betr. K.";#N/A,#N/A,TRUE,"6 Bilanz";#N/A,#N/A,TRUE,"6a Bilanz ";#N/A,#N/A,TRUE,"6b Bilanz ";#N/A,#N/A,TRUE,"7 GS I";#N/A,#N/A,TRUE,"S 8 EQ-GuV"}</definedName>
    <definedName name="W" localSheetId="0" hidden="1">{#N/A,#N/A,TRUE,"0 Deckbl.";#N/A,#N/A,TRUE,"S 1 Komm";#N/A,#N/A,TRUE,"S 1a Komm";#N/A,#N/A,TRUE,"S 1b Komm";#N/A,#N/A,TRUE,"S  2 DBR";#N/A,#N/A,TRUE,"S  3 Sparten";#N/A,#N/A,TRUE,"S 4  Betr. K.";#N/A,#N/A,TRUE,"6 Bilanz";#N/A,#N/A,TRUE,"6a Bilanz ";#N/A,#N/A,TRUE,"6b Bilanz ";#N/A,#N/A,TRUE,"7 GS I";#N/A,#N/A,TRUE,"S 8 EQ-GuV"}</definedName>
    <definedName name="W" hidden="1">{#N/A,#N/A,TRUE,"0 Deckbl.";#N/A,#N/A,TRUE,"S 1 Komm";#N/A,#N/A,TRUE,"S 1a Komm";#N/A,#N/A,TRUE,"S 1b Komm";#N/A,#N/A,TRUE,"S  2 DBR";#N/A,#N/A,TRUE,"S  3 Sparten";#N/A,#N/A,TRUE,"S 4  Betr. K.";#N/A,#N/A,TRUE,"6 Bilanz";#N/A,#N/A,TRUE,"6a Bilanz ";#N/A,#N/A,TRUE,"6b Bilanz ";#N/A,#N/A,TRUE,"7 GS I";#N/A,#N/A,TRUE,"S 8 EQ-GuV"}</definedName>
    <definedName name="wrn.All." localSheetId="0" hidden="1">{#N/A,#N/A,FALSE,"Annual Earnings Model";#N/A,#N/A,FALSE,"Quarterly Earnings Model";#N/A,#N/A,FALSE,"Header";#N/A,#N/A,FALSE,"Notes"}</definedName>
    <definedName name="wrn.All." hidden="1">{#N/A,#N/A,FALSE,"Annual Earnings Model";#N/A,#N/A,FALSE,"Quarterly Earnings Model";#N/A,#N/A,FALSE,"Header";#N/A,#N/A,FALSE,"Notes"}</definedName>
    <definedName name="wrn.Druck._.Monatsreporting." localSheetId="0" hidden="1">{#N/A,#N/A,TRUE,"0 Deckbl.";#N/A,#N/A,TRUE,"S 1 Komm";#N/A,#N/A,TRUE,"S 1a Komm";#N/A,#N/A,TRUE,"S 1b Komm";#N/A,#N/A,TRUE,"S  2 DBR";#N/A,#N/A,TRUE,"S  3 Sparten";#N/A,#N/A,TRUE,"S 4  Betr. K.";#N/A,#N/A,TRUE,"6 Bilanz";#N/A,#N/A,TRUE,"6a Bilanz ";#N/A,#N/A,TRUE,"6b Bilanz ";#N/A,#N/A,TRUE,"7 GS I";#N/A,#N/A,TRUE,"S 8 EQ-GuV"}</definedName>
    <definedName name="wrn.Druck._.Monatsreporting." hidden="1">{#N/A,#N/A,TRUE,"0 Deckbl.";#N/A,#N/A,TRUE,"S 1 Komm";#N/A,#N/A,TRUE,"S 1a Komm";#N/A,#N/A,TRUE,"S 1b Komm";#N/A,#N/A,TRUE,"S  2 DBR";#N/A,#N/A,TRUE,"S  3 Sparten";#N/A,#N/A,TRUE,"S 4  Betr. K.";#N/A,#N/A,TRUE,"6 Bilanz";#N/A,#N/A,TRUE,"6a Bilanz ";#N/A,#N/A,TRUE,"6b Bilanz ";#N/A,#N/A,TRUE,"7 GS I";#N/A,#N/A,TRUE,"S 8 EQ-GuV"}</definedName>
    <definedName name="x" localSheetId="0" hidden="1">{#N/A,#N/A,TRUE,"0 Deckbl.";#N/A,#N/A,TRUE,"S 1 Komm";#N/A,#N/A,TRUE,"S 1a Komm";#N/A,#N/A,TRUE,"S 1b Komm";#N/A,#N/A,TRUE,"S  2 DBR";#N/A,#N/A,TRUE,"S  3 Sparten";#N/A,#N/A,TRUE,"S 4  Betr. K.";#N/A,#N/A,TRUE,"6 Bilanz";#N/A,#N/A,TRUE,"6a Bilanz ";#N/A,#N/A,TRUE,"6b Bilanz ";#N/A,#N/A,TRUE,"7 GS I";#N/A,#N/A,TRUE,"S 8 EQ-GuV"}</definedName>
    <definedName name="x" hidden="1">{#N/A,#N/A,TRUE,"0 Deckbl.";#N/A,#N/A,TRUE,"S 1 Komm";#N/A,#N/A,TRUE,"S 1a Komm";#N/A,#N/A,TRUE,"S 1b Komm";#N/A,#N/A,TRUE,"S  2 DBR";#N/A,#N/A,TRUE,"S  3 Sparten";#N/A,#N/A,TRUE,"S 4  Betr. K.";#N/A,#N/A,TRUE,"6 Bilanz";#N/A,#N/A,TRUE,"6a Bilanz ";#N/A,#N/A,TRUE,"6b Bilanz ";#N/A,#N/A,TRUE,"7 GS I";#N/A,#N/A,TRUE,"S 8 EQ-GuV"}</definedName>
    <definedName name="xxxxxxx" localSheetId="0" hidden="1">[3]In99!#REF!</definedName>
    <definedName name="xxxxxxx" hidden="1">[3]In99!#REF!</definedName>
    <definedName name="Y" localSheetId="0" hidden="1">{#N/A,#N/A,TRUE,"0 Deckbl.";#N/A,#N/A,TRUE,"S 1 Komm";#N/A,#N/A,TRUE,"S 1a Komm";#N/A,#N/A,TRUE,"S 1b Komm";#N/A,#N/A,TRUE,"S  2 DBR";#N/A,#N/A,TRUE,"S  3 Sparten";#N/A,#N/A,TRUE,"S 4  Betr. K.";#N/A,#N/A,TRUE,"6 Bilanz";#N/A,#N/A,TRUE,"6a Bilanz ";#N/A,#N/A,TRUE,"6b Bilanz ";#N/A,#N/A,TRUE,"7 GS I";#N/A,#N/A,TRUE,"S 8 EQ-GuV"}</definedName>
    <definedName name="Y" hidden="1">{#N/A,#N/A,TRUE,"0 Deckbl.";#N/A,#N/A,TRUE,"S 1 Komm";#N/A,#N/A,TRUE,"S 1a Komm";#N/A,#N/A,TRUE,"S 1b Komm";#N/A,#N/A,TRUE,"S  2 DBR";#N/A,#N/A,TRUE,"S  3 Sparten";#N/A,#N/A,TRUE,"S 4  Betr. K.";#N/A,#N/A,TRUE,"6 Bilanz";#N/A,#N/A,TRUE,"6a Bilanz ";#N/A,#N/A,TRUE,"6b Bilanz ";#N/A,#N/A,TRUE,"7 GS I";#N/A,#N/A,TRUE,"S 8 EQ-GuV"}</definedName>
    <definedName name="z" localSheetId="0" hidden="1">{#N/A,#N/A,TRUE,"0 Deckbl.";#N/A,#N/A,TRUE,"S 1 Komm";#N/A,#N/A,TRUE,"S 1a Komm";#N/A,#N/A,TRUE,"S 1b Komm";#N/A,#N/A,TRUE,"S  2 DBR";#N/A,#N/A,TRUE,"S  3 Sparten";#N/A,#N/A,TRUE,"S 4  Betr. K.";#N/A,#N/A,TRUE,"6 Bilanz";#N/A,#N/A,TRUE,"6a Bilanz ";#N/A,#N/A,TRUE,"6b Bilanz ";#N/A,#N/A,TRUE,"7 GS I";#N/A,#N/A,TRUE,"S 8 EQ-GuV"}</definedName>
    <definedName name="z" hidden="1">{#N/A,#N/A,TRUE,"0 Deckbl.";#N/A,#N/A,TRUE,"S 1 Komm";#N/A,#N/A,TRUE,"S 1a Komm";#N/A,#N/A,TRUE,"S 1b Komm";#N/A,#N/A,TRUE,"S  2 DBR";#N/A,#N/A,TRUE,"S  3 Sparten";#N/A,#N/A,TRUE,"S 4  Betr. K.";#N/A,#N/A,TRUE,"6 Bilanz";#N/A,#N/A,TRUE,"6a Bilanz ";#N/A,#N/A,TRUE,"6b Bilanz ";#N/A,#N/A,TRUE,"7 GS I";#N/A,#N/A,TRUE,"S 8 EQ-GuV"}</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AAAA" localSheetId="0" hidden="1">{#N/A,#N/A,TRUE,"0 Deckbl.";#N/A,#N/A,TRUE,"S 1 Komm";#N/A,#N/A,TRUE,"S 1a Komm";#N/A,#N/A,TRUE,"S 1b Komm";#N/A,#N/A,TRUE,"S  2 DBR";#N/A,#N/A,TRUE,"S  3 Sparten";#N/A,#N/A,TRUE,"S 4  Betr. K.";#N/A,#N/A,TRUE,"6 Bilanz";#N/A,#N/A,TRUE,"6a Bilanz ";#N/A,#N/A,TRUE,"6b Bilanz ";#N/A,#N/A,TRUE,"7 GS I";#N/A,#N/A,TRUE,"S 8 EQ-GuV"}</definedName>
    <definedName name="AAAAAA" hidden="1">{#N/A,#N/A,TRUE,"0 Deckbl.";#N/A,#N/A,TRUE,"S 1 Komm";#N/A,#N/A,TRUE,"S 1a Komm";#N/A,#N/A,TRUE,"S 1b Komm";#N/A,#N/A,TRUE,"S  2 DBR";#N/A,#N/A,TRUE,"S  3 Sparten";#N/A,#N/A,TRUE,"S 4  Betr. K.";#N/A,#N/A,TRUE,"6 Bilanz";#N/A,#N/A,TRUE,"6a Bilanz ";#N/A,#N/A,TRUE,"6b Bilanz ";#N/A,#N/A,TRUE,"7 GS I";#N/A,#N/A,TRUE,"S 8 EQ-GuV"}</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4" i="90" l="1"/>
  <c r="E40" i="90"/>
  <c r="D54" i="90" l="1"/>
  <c r="D40" i="90"/>
  <c r="D27" i="90"/>
  <c r="D14" i="90"/>
  <c r="D9" i="90"/>
  <c r="D10" i="91"/>
  <c r="D16" i="91"/>
  <c r="D8" i="91" s="1"/>
  <c r="D17" i="91"/>
  <c r="D18" i="91"/>
  <c r="D15" i="91"/>
  <c r="D19" i="91"/>
  <c r="D14" i="91"/>
  <c r="D13" i="91"/>
  <c r="D12" i="91"/>
  <c r="D11" i="91"/>
  <c r="D22" i="89"/>
  <c r="D21" i="89" s="1"/>
  <c r="D15" i="89"/>
  <c r="D15" i="90" l="1"/>
  <c r="D55" i="90" s="1"/>
  <c r="D71" i="90" s="1"/>
  <c r="D73" i="90" s="1"/>
  <c r="D17" i="89"/>
  <c r="J12" i="79"/>
  <c r="E12" i="79"/>
  <c r="D12" i="79"/>
  <c r="S23" i="40"/>
  <c r="H14" i="40"/>
  <c r="D59" i="90" l="1"/>
  <c r="D58" i="90"/>
  <c r="D57" i="90"/>
  <c r="D70" i="90"/>
  <c r="D72" i="90" s="1"/>
  <c r="O10" i="40"/>
  <c r="N18" i="40"/>
  <c r="N15" i="40"/>
  <c r="M24" i="40"/>
  <c r="M23" i="40"/>
  <c r="M18" i="40"/>
  <c r="M17" i="40"/>
  <c r="M15" i="40"/>
  <c r="M14" i="40"/>
  <c r="L24" i="40"/>
  <c r="L17" i="40"/>
  <c r="L16" i="40"/>
  <c r="D11" i="40"/>
  <c r="J24" i="40"/>
  <c r="J14" i="40"/>
  <c r="I17" i="40"/>
  <c r="I15" i="40"/>
  <c r="H11" i="40"/>
  <c r="H10" i="40"/>
  <c r="G21" i="40"/>
  <c r="G20" i="40"/>
  <c r="F14" i="40"/>
  <c r="D14" i="40"/>
  <c r="D24" i="40"/>
  <c r="D12" i="40"/>
  <c r="D10" i="40"/>
  <c r="D9" i="40"/>
  <c r="D117" i="83"/>
  <c r="D116" i="83"/>
  <c r="D112" i="83"/>
  <c r="D111" i="83"/>
  <c r="D121" i="83"/>
  <c r="E8" i="51"/>
  <c r="D8" i="51"/>
  <c r="E9" i="93"/>
  <c r="E34" i="93" l="1"/>
  <c r="D34" i="93" l="1"/>
  <c r="H34" i="93"/>
  <c r="G34" i="93"/>
  <c r="F34" i="93"/>
  <c r="D13" i="93"/>
  <c r="D11" i="93"/>
  <c r="D10" i="93"/>
  <c r="D9" i="93"/>
  <c r="H13" i="93"/>
  <c r="G13" i="93"/>
  <c r="F13" i="93"/>
  <c r="H11" i="93"/>
  <c r="H10" i="93"/>
  <c r="H9" i="93"/>
  <c r="G11" i="93"/>
  <c r="G10" i="93"/>
  <c r="G9" i="93"/>
  <c r="F11" i="93"/>
  <c r="F10" i="93"/>
  <c r="F9" i="93"/>
  <c r="D95" i="83" l="1"/>
  <c r="F10" i="27"/>
  <c r="J10" i="23"/>
  <c r="D88" i="83"/>
  <c r="D92" i="83" s="1"/>
  <c r="D82" i="83"/>
  <c r="D81" i="83"/>
  <c r="D75" i="83"/>
  <c r="D67" i="83"/>
  <c r="D71" i="83" s="1"/>
  <c r="D62" i="83"/>
  <c r="D93" i="83" l="1"/>
  <c r="D72" i="83"/>
  <c r="D54" i="83"/>
  <c r="D52" i="83"/>
  <c r="D35" i="83"/>
  <c r="D50" i="83"/>
  <c r="D46" i="83"/>
  <c r="D27" i="83"/>
  <c r="D24" i="83"/>
  <c r="D23" i="83"/>
  <c r="D13" i="83"/>
  <c r="D12" i="83"/>
  <c r="D21" i="83"/>
  <c r="D20" i="83"/>
  <c r="D19" i="83"/>
  <c r="D16" i="83"/>
  <c r="D15" i="83"/>
  <c r="E31" i="108"/>
  <c r="E29" i="108"/>
  <c r="D11" i="83"/>
  <c r="E22" i="108"/>
  <c r="E25" i="108"/>
  <c r="E23" i="108"/>
  <c r="E21" i="108"/>
  <c r="E26" i="108" s="1"/>
  <c r="E14" i="108"/>
  <c r="E19" i="108" s="1"/>
  <c r="E12" i="108"/>
  <c r="E18" i="108"/>
  <c r="E17" i="108"/>
  <c r="E16" i="108"/>
  <c r="E13" i="108"/>
  <c r="E15" i="108"/>
  <c r="E11" i="108"/>
  <c r="D19" i="108"/>
  <c r="D26" i="108"/>
  <c r="D33" i="108"/>
  <c r="E20" i="92"/>
  <c r="D19" i="92"/>
  <c r="E40" i="92"/>
  <c r="F40" i="92"/>
  <c r="F38" i="92"/>
  <c r="F36" i="92"/>
  <c r="F10" i="92"/>
  <c r="F11" i="92"/>
  <c r="F14" i="92"/>
  <c r="F15" i="92"/>
  <c r="F16" i="92"/>
  <c r="F18" i="92"/>
  <c r="F19" i="92"/>
  <c r="F9" i="92"/>
  <c r="D40" i="92"/>
  <c r="D45" i="92"/>
  <c r="F45" i="92" s="1"/>
  <c r="D38" i="92"/>
  <c r="D36" i="92"/>
  <c r="D20" i="92"/>
  <c r="F20" i="92" s="1"/>
  <c r="E16" i="92"/>
  <c r="D73" i="83" l="1"/>
  <c r="D94" i="83" s="1"/>
  <c r="D51" i="83"/>
  <c r="E33" i="108"/>
  <c r="D16" i="92" l="1"/>
  <c r="D15" i="92"/>
  <c r="D14" i="92"/>
  <c r="D11" i="92"/>
  <c r="D10" i="92"/>
  <c r="D9" i="92"/>
  <c r="E45" i="92" l="1"/>
  <c r="G10" i="107" l="1"/>
  <c r="G11" i="107" s="1"/>
  <c r="F10" i="107"/>
  <c r="F11" i="107" s="1"/>
  <c r="E11" i="107"/>
  <c r="D11" i="107"/>
  <c r="I10" i="107" l="1"/>
  <c r="I11" i="107" s="1"/>
  <c r="I9" i="107" l="1"/>
  <c r="F36" i="82" l="1"/>
  <c r="I9" i="39" l="1"/>
  <c r="F13" i="35" l="1"/>
  <c r="E13" i="35"/>
  <c r="D13" i="35"/>
  <c r="H12" i="35"/>
  <c r="G12" i="35"/>
  <c r="F12" i="35"/>
  <c r="E12" i="35"/>
  <c r="D12" i="35"/>
  <c r="D10" i="80"/>
  <c r="D8" i="80"/>
  <c r="G15" i="53"/>
  <c r="F15" i="53"/>
  <c r="E15" i="53"/>
  <c r="D15" i="53"/>
  <c r="G12" i="53"/>
  <c r="G14" i="53" s="1"/>
  <c r="F12" i="53"/>
  <c r="F14" i="53" s="1"/>
  <c r="E12" i="53"/>
  <c r="E14" i="53" s="1"/>
  <c r="D13" i="53"/>
  <c r="D12" i="53"/>
  <c r="D14" i="53" s="1"/>
  <c r="AB20" i="71"/>
  <c r="AB18" i="71"/>
  <c r="Z20" i="71"/>
  <c r="X20" i="71"/>
  <c r="X18" i="71"/>
  <c r="V20" i="71"/>
  <c r="V19" i="71"/>
  <c r="V18" i="71"/>
  <c r="T20" i="71"/>
  <c r="T19" i="71"/>
  <c r="T18" i="71"/>
  <c r="Q20" i="71"/>
  <c r="Q19" i="71"/>
  <c r="Q18" i="71"/>
  <c r="O20" i="71"/>
  <c r="O19" i="71"/>
  <c r="O18" i="71"/>
  <c r="M20" i="71"/>
  <c r="M19" i="71"/>
  <c r="M18" i="71"/>
  <c r="K33" i="71"/>
  <c r="K32" i="71"/>
  <c r="K27" i="71"/>
  <c r="K20" i="71"/>
  <c r="K19" i="71"/>
  <c r="K18" i="71"/>
  <c r="I20" i="71"/>
  <c r="I18" i="71"/>
  <c r="F26" i="71"/>
  <c r="F25" i="71"/>
  <c r="F24" i="71"/>
  <c r="F23" i="71"/>
  <c r="F21" i="71"/>
  <c r="F20" i="71"/>
  <c r="F19" i="71"/>
  <c r="F18" i="71"/>
  <c r="F17" i="71"/>
  <c r="F16" i="71"/>
  <c r="F15" i="71"/>
  <c r="E33" i="71"/>
  <c r="E32" i="71"/>
  <c r="E31" i="71"/>
  <c r="E30" i="71"/>
  <c r="E29" i="71"/>
  <c r="E27" i="71"/>
  <c r="E26" i="71"/>
  <c r="E25" i="71"/>
  <c r="E24" i="71"/>
  <c r="E23" i="71"/>
  <c r="E21" i="71"/>
  <c r="E20" i="71"/>
  <c r="E19" i="71"/>
  <c r="E18" i="71"/>
  <c r="E17" i="71"/>
  <c r="E16" i="71"/>
  <c r="E15" i="71"/>
  <c r="AB13" i="71"/>
  <c r="Z13" i="71"/>
  <c r="X13" i="71"/>
  <c r="V13" i="71"/>
  <c r="T13" i="71"/>
  <c r="Q13" i="71"/>
  <c r="O13" i="71"/>
  <c r="M13" i="71"/>
  <c r="K13" i="71"/>
  <c r="I13" i="71"/>
  <c r="F13" i="71"/>
  <c r="E13" i="71"/>
  <c r="F12" i="71"/>
  <c r="E12" i="71"/>
  <c r="N21" i="69"/>
  <c r="N18" i="69"/>
  <c r="N17" i="69"/>
  <c r="N12" i="69"/>
  <c r="L21" i="69"/>
  <c r="L18" i="69"/>
  <c r="L17" i="69"/>
  <c r="L12" i="69"/>
  <c r="K20" i="69"/>
  <c r="K18" i="69"/>
  <c r="K17" i="69"/>
  <c r="K12" i="69"/>
  <c r="J20" i="69"/>
  <c r="J18" i="69"/>
  <c r="J17" i="69"/>
  <c r="J16" i="69"/>
  <c r="J12" i="69"/>
  <c r="I20" i="69"/>
  <c r="I18" i="69"/>
  <c r="I17" i="69"/>
  <c r="I12" i="69"/>
  <c r="G21" i="69"/>
  <c r="G18" i="69"/>
  <c r="G17" i="69"/>
  <c r="G12" i="69"/>
  <c r="F20" i="69"/>
  <c r="F18" i="69"/>
  <c r="F17" i="69"/>
  <c r="F12" i="69"/>
  <c r="E20" i="69"/>
  <c r="E18" i="69"/>
  <c r="E17" i="69"/>
  <c r="E16" i="69"/>
  <c r="E12" i="69"/>
  <c r="E16" i="75"/>
  <c r="D16" i="75"/>
  <c r="E11" i="75"/>
  <c r="E10" i="75"/>
  <c r="D11" i="75"/>
  <c r="D10" i="75"/>
  <c r="M21" i="69" l="1"/>
  <c r="K21" i="69"/>
  <c r="J21" i="69"/>
  <c r="I21" i="69"/>
  <c r="H21" i="69"/>
  <c r="F21" i="69"/>
  <c r="E21" i="69"/>
  <c r="AB34" i="71"/>
  <c r="Z34" i="71"/>
  <c r="X34" i="71"/>
  <c r="V34" i="71"/>
  <c r="T34" i="71"/>
  <c r="Q34" i="71"/>
  <c r="O34" i="71"/>
  <c r="M34" i="71"/>
  <c r="K34" i="71"/>
  <c r="I34" i="71"/>
  <c r="F34" i="71"/>
  <c r="E34" i="71"/>
  <c r="F18" i="27" l="1"/>
  <c r="E18" i="27"/>
  <c r="D18" i="27"/>
  <c r="O19" i="25"/>
  <c r="E12" i="24"/>
  <c r="D12" i="24"/>
  <c r="E25" i="39"/>
  <c r="F25" i="39"/>
  <c r="G25" i="39"/>
  <c r="H25" i="39"/>
  <c r="D25" i="39"/>
  <c r="I24" i="39"/>
  <c r="I23" i="39"/>
  <c r="I22" i="39"/>
  <c r="I20" i="39"/>
  <c r="I18" i="39"/>
  <c r="I17" i="39"/>
  <c r="I16" i="39"/>
  <c r="I15" i="39"/>
  <c r="I14" i="39"/>
  <c r="I12" i="39"/>
  <c r="I11" i="39"/>
  <c r="I10" i="39"/>
  <c r="S10" i="40"/>
  <c r="S11" i="40"/>
  <c r="S12" i="40"/>
  <c r="S13" i="40"/>
  <c r="S14" i="40"/>
  <c r="S15" i="40"/>
  <c r="S16" i="40"/>
  <c r="S17" i="40"/>
  <c r="S18" i="40"/>
  <c r="S19" i="40"/>
  <c r="S20" i="40"/>
  <c r="S21" i="40"/>
  <c r="S22" i="40"/>
  <c r="S24" i="40"/>
  <c r="S9" i="40"/>
  <c r="E25" i="40"/>
  <c r="F25" i="40"/>
  <c r="G25" i="40"/>
  <c r="H25" i="40"/>
  <c r="I25" i="40"/>
  <c r="J25" i="40"/>
  <c r="K25" i="40"/>
  <c r="L25" i="40"/>
  <c r="M25" i="40"/>
  <c r="N25" i="40"/>
  <c r="O25" i="40"/>
  <c r="D25" i="40"/>
  <c r="E27" i="90"/>
  <c r="E15" i="90"/>
  <c r="E55" i="90" l="1"/>
  <c r="E57" i="90" s="1"/>
  <c r="S25" i="40"/>
  <c r="I25" i="39"/>
  <c r="E13" i="79"/>
  <c r="J13" i="79"/>
  <c r="O13" i="79"/>
  <c r="D13" i="79"/>
  <c r="M12" i="79"/>
  <c r="N12" i="79" s="1"/>
  <c r="N13" i="79" s="1"/>
  <c r="I12" i="79"/>
  <c r="I13" i="79" s="1"/>
  <c r="E59" i="90" l="1"/>
  <c r="E71" i="90"/>
  <c r="E73" i="90" s="1"/>
  <c r="E70" i="90"/>
  <c r="E72" i="90" s="1"/>
  <c r="E58" i="90"/>
  <c r="M13" i="79"/>
  <c r="D20" i="106"/>
  <c r="D1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tc={9597140F-A7A3-48A6-BD77-AA67713A5807}</author>
  </authors>
  <commentList>
    <comment ref="D8" authorId="0" shapeId="0" xr:uid="{9597140F-A7A3-48A6-BD77-AA67713A5807}">
      <text>
        <t>[Kommentartråd]
Din versjon av Excel lar deg lese denne kommentartråden. Eventuelle endringer i den vil imidlertid bli fjernet hvis filen åpnes i en nyere versjon av Excel. Finn ut mer: https://go.microsoft.com/fwlink/?linkid=870924
Kommentar:
    'TSL' (type of specialised lending exposure) is the dimension used to model the z-axis of C 08.06 in the EBA DPM. 'eba_TA:x129' is the technical code for the entry 'Project finance' in the drop-down list linked to that z-axis (ordinate).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tc={79CE43C8-5412-4E1D-89A3-FC01C7FCE9E6}</author>
  </authors>
  <commentList>
    <comment ref="C13" authorId="0" shapeId="0" xr:uid="{79CE43C8-5412-4E1D-89A3-FC01C7FCE9E6}">
      <text>
        <t>[Kommentartråd]
Din versjon av Excel lar deg lese denne kommentartråden. Eventuelle endringer i den vil imidlertid bli fjernet hvis filen åpnes i en nyere versjon av Excel. Finn ut mer: https://go.microsoft.com/fwlink/?linkid=870924
Kommentar:
    Several cells in this mapping included wrongly C 14.01, c0061 / c0080, instead of pointing to C 14.00, c0061 / c0080. This issue was rectified everywhere here, but is not highlighted in tracked changes.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tc={8DE14E52-AE58-488E-8136-55ADEBFDE01B}</author>
  </authors>
  <commentList>
    <comment ref="K12" authorId="0" shapeId="0" xr:uid="{8DE14E52-AE58-488E-8136-55ADEBFDE01B}">
      <text>
        <t>[Kommentartråd]
Din versjon av Excel lar deg lese denne kommentartråden. Eventuelle endringer i den vil imidlertid bli fjernet hvis filen åpnes i en nyere versjon av Excel. Finn ut mer: https://go.microsoft.com/fwlink/?linkid=870924
Kommentar:
    The '!=' in '{C 14.01, c0450} != empty' stands for 'is not', i.e. the conditions is 'where c0450 is not empty'.</t>
      </text>
    </comment>
  </commentList>
</comments>
</file>

<file path=xl/sharedStrings.xml><?xml version="1.0" encoding="utf-8"?>
<sst xmlns="http://schemas.openxmlformats.org/spreadsheetml/2006/main" count="6106" uniqueCount="3661">
  <si>
    <t>Insurance participations</t>
  </si>
  <si>
    <t>Financial conglomerates information on own funds and capital adequacy ratio</t>
  </si>
  <si>
    <t>Template EU CCyB1 - Geographical distribution of credit exposures relevant for the calculation of the countercyclical buffer</t>
  </si>
  <si>
    <t>Template EU CCyB2 - Amount of institution-specific countercyclical capital buffer</t>
  </si>
  <si>
    <t>Transactions subject to own funds requirements for CVA risk</t>
  </si>
  <si>
    <t>Composition of collateral for CCR exposures</t>
  </si>
  <si>
    <t>Credit derivatives exposures</t>
  </si>
  <si>
    <t>Exposures to CCPs</t>
  </si>
  <si>
    <t>Template EU CR2: Changes in the stock of non-performing loans and advances</t>
  </si>
  <si>
    <t>Changes in the stock of non-performing loans and advances and related net accumulated recoveries</t>
  </si>
  <si>
    <t>Scope of the use of IRB and SA approaches</t>
  </si>
  <si>
    <t>IRB approach – Disclosure of the extent of the use of CRM techniques</t>
  </si>
  <si>
    <t>Securitisation exposures in the trading book</t>
  </si>
  <si>
    <t>Exposures securitised by the institution - Exposures in default and specific credit risk adjustments</t>
  </si>
  <si>
    <t>Credit quality of forborne exposures</t>
  </si>
  <si>
    <t>Quality of forbearance</t>
  </si>
  <si>
    <t>Credit quality of performing and non-performing exposures by past due days</t>
  </si>
  <si>
    <t>Quality of non-performing exposures by geography </t>
  </si>
  <si>
    <t>Credit quality of loans and advances by industry</t>
  </si>
  <si>
    <t>Collateral obtained by taking possession and execution processes – vintage breakdown</t>
  </si>
  <si>
    <t>Market risk under the standardised approach</t>
  </si>
  <si>
    <t>RWA flow statements of market risk exposures under the IMA</t>
  </si>
  <si>
    <t>IMA values for trading portfolios</t>
  </si>
  <si>
    <t>Split-up of on balance sheet exposures (excluding derivatives, SFTs and exempted exposures)</t>
  </si>
  <si>
    <t>Net Stable Funding Ratio</t>
  </si>
  <si>
    <t>Encumbered and unencumbered assets</t>
  </si>
  <si>
    <t>Collateral received and own debt securities issued</t>
  </si>
  <si>
    <t>Sources of encumbrance</t>
  </si>
  <si>
    <t>Template EU CC1 - Composition of regulatory own funds</t>
  </si>
  <si>
    <t>(a}</t>
  </si>
  <si>
    <t>(b)</t>
  </si>
  <si>
    <t>Amounts</t>
  </si>
  <si>
    <t xml:space="preserve">Common Equity Tier 1 (CET1) capital:  instruments and reserves                                                                                       </t>
  </si>
  <si>
    <t xml:space="preserve">Capital instruments and the related share premium accounts </t>
  </si>
  <si>
    <t>(h)</t>
  </si>
  <si>
    <t xml:space="preserve">     of which: Instrument type 1</t>
  </si>
  <si>
    <t xml:space="preserve">     of which: Instrument type 2</t>
  </si>
  <si>
    <t xml:space="preserve">     of which: Instrument type 3</t>
  </si>
  <si>
    <t xml:space="preserve">Retained earnings </t>
  </si>
  <si>
    <t>Accumulated other comprehensive income (and other reserves)</t>
  </si>
  <si>
    <t>EU-3a</t>
  </si>
  <si>
    <t>Funds for general banking risk</t>
  </si>
  <si>
    <t xml:space="preserve">Amount of qualifying items referred to in Article 484 (3) and the related share premium accounts subject to phase out from CET1 </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</si>
  <si>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</si>
  <si>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</si>
  <si>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</si>
  <si>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</si>
  <si>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</si>
  <si>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</si>
  <si>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</si>
  <si>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Not applicable</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</si>
  <si>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</si>
  <si>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</si>
  <si>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</si>
  <si>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</si>
  <si>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</si>
  <si>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</si>
  <si>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</si>
  <si>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</si>
  <si>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</si>
  <si>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</si>
  <si>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</si>
  <si>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</si>
  <si>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</si>
  <si>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</si>
  <si>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</si>
  <si>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</si>
  <si>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</si>
  <si>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</si>
  <si>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Deferred tax assets arising from temporary differences (amount above 10% threshold, net of related tax liability where the conditions in Article 38 (3)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</si>
  <si>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</si>
  <si>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</si>
  <si>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</si>
  <si>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</si>
  <si>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</si>
  <si>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</si>
  <si>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</si>
  <si>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</si>
  <si>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</si>
  <si>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Other regulatory adjusments</t>
  </si>
  <si>
    <t>Total regulatory adjustments to Common Equity Tier 1 (CET1)</t>
  </si>
  <si>
    <t xml:space="preserve">Common Equity Tier 1 (CET1) capital </t>
  </si>
  <si>
    <t>Additional Tier 1 (AT1) capital: instruments</t>
  </si>
  <si>
    <t>(i)</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</si>
  <si>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</si>
  <si>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</si>
  <si>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t>
  </si>
  <si>
    <t>EU-33a</t>
  </si>
  <si>
    <t>Amount of qualifying items referred to in Article 494a(1) subject to phase out from AT1</t>
  </si>
  <si>
    <t>EU-33b</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</si>
  <si>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</si>
  <si>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</si>
  <si>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</si>
  <si>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</si>
  <si>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</si>
  <si>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</si>
  <si>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</si>
  <si>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</si>
  <si>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</si>
  <si>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</si>
  <si>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42a</t>
  </si>
  <si>
    <t>Other regulatory adjustments to AT1 capital</t>
  </si>
  <si>
    <t>Total regulatory adjustments to Additional Tier 1 (AT1) capital</t>
  </si>
  <si>
    <t xml:space="preserve">Additional Tier 1 (AT1) capital </t>
  </si>
  <si>
    <t>Tier 1 capital (T1 = CET1 + AT1)</t>
  </si>
  <si>
    <t>Tier 2 (T2) capital: instruments</t>
  </si>
  <si>
    <t>Capital instruments and the related share premium accounts</t>
  </si>
  <si>
    <t>Amount of qualifying  items referred to in Article 484 (5) and the related share premium accounts subject to phase out from T2 as described in Article 486 (4) CRR</t>
  </si>
  <si>
    <t>EU-47a</t>
  </si>
  <si>
    <t>Amount of qualifying  items referred to in Article 494a (2) subject to phase out from T2</t>
  </si>
  <si>
    <t>EU-47b</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</si>
  <si>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</si>
  <si>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</si>
  <si>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</si>
  <si>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</si>
  <si>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</si>
  <si>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</si>
  <si>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</si>
  <si>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</si>
  <si>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</si>
  <si>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54a</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</si>
  <si>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</si>
  <si>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</si>
  <si>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56b</t>
  </si>
  <si>
    <t>Other regulatory adjusments to T2 capital</t>
  </si>
  <si>
    <t>Total regulatory adjustments to Tier 2 (T2) capital</t>
  </si>
  <si>
    <t xml:space="preserve">Tier 2 (T2) capital </t>
  </si>
  <si>
    <t>Total capital (TC = T1 + T2)</t>
  </si>
  <si>
    <t>Total risk exposure amount</t>
  </si>
  <si>
    <t>Capital ratios and requirements including buffers </t>
  </si>
  <si>
    <t>Common Equity Tier 1</t>
  </si>
  <si>
    <t>Tier 1</t>
  </si>
  <si>
    <t>Total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</si>
  <si>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</si>
  <si>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</si>
  <si>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</si>
  <si>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</si>
  <si>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</si>
  <si>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</si>
  <si>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</si>
  <si>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</si>
  <si>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</si>
  <si>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</si>
  <si>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</si>
  <si>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</si>
  <si>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</si>
  <si>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</si>
  <si>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</si>
  <si>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</si>
  <si>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</si>
  <si>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</si>
  <si>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</si>
  <si>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</si>
  <si>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</si>
  <si>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</si>
  <si>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</si>
  <si>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</si>
  <si>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</si>
  <si>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Template EU OV1 – Overview of total risk exposure amounts</t>
  </si>
  <si>
    <t>Risk weighted exposure amounts (RWEAs)</t>
  </si>
  <si>
    <t>Total own funds requirements</t>
  </si>
  <si>
    <t>a</t>
  </si>
  <si>
    <t>b</t>
  </si>
  <si>
    <t>c</t>
  </si>
  <si>
    <t>T</t>
  </si>
  <si>
    <t>T-1</t>
  </si>
  <si>
    <t>Credit risk (excluding CCR)</t>
  </si>
  <si>
    <t xml:space="preserve">Of which the standardised approach </t>
  </si>
  <si>
    <t xml:space="preserve">Of which the Foundation IRB (F-IRB) approach </t>
  </si>
  <si>
    <t>Of which:  slotting approach</t>
  </si>
  <si>
    <t>EU 4a</t>
  </si>
  <si>
    <t>Of which: equities under the simple riskweighted approach</t>
  </si>
  <si>
    <t>{C 10.01, r0050, c0080}</t>
  </si>
  <si>
    <t xml:space="preserve">Of which the Advanced IRB (A-IRB) approach </t>
  </si>
  <si>
    <t xml:space="preserve">Counterparty credit risk - CCR </t>
  </si>
  <si>
    <t>Of which internal model method (IMM)</t>
  </si>
  <si>
    <t>EU 8a</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</si>
  <si>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</si>
  <si>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</si>
  <si>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</si>
  <si>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</si>
  <si>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</si>
  <si>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</si>
  <si>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</si>
  <si>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</si>
  <si>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</si>
  <si>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</si>
  <si>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Position, foreign exchange and commodities risks (Market risk)</t>
  </si>
  <si>
    <t xml:space="preserve">Of which IMA </t>
  </si>
  <si>
    <t>EU 22a</t>
  </si>
  <si>
    <t>Large exposures</t>
  </si>
  <si>
    <t>Operational risk</t>
  </si>
  <si>
    <t>EU 23a</t>
  </si>
  <si>
    <t xml:space="preserve">Of which basic indicator approach </t>
  </si>
  <si>
    <t>EU 23b</t>
  </si>
  <si>
    <t xml:space="preserve">Of which standardised approach </t>
  </si>
  <si>
    <t>EU 23c</t>
  </si>
  <si>
    <t xml:space="preserve">Of which advanced measurement approach </t>
  </si>
  <si>
    <t>Total</t>
  </si>
  <si>
    <t>Template EU KM1 - Key metrics template</t>
  </si>
  <si>
    <t>d</t>
  </si>
  <si>
    <t>e</t>
  </si>
  <si>
    <t>Available own funds (amounts)</t>
  </si>
  <si>
    <t xml:space="preserve">Common Equity Tier 1 (CET1) capital </t>
  </si>
  <si>
    <t xml:space="preserve">Tier 1 capital </t>
  </si>
  <si>
    <t xml:space="preserve">Total capital </t>
  </si>
  <si>
    <t>Risk-weighted exposure amounts</t>
  </si>
  <si>
    <t>Total risk-weighted exposure amount</t>
  </si>
  <si>
    <t>Capital ratios (as a percentage of risk-weighted exposure amount)</t>
  </si>
  <si>
    <t>Tier 1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</si>
  <si>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</si>
  <si>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</si>
  <si>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</si>
  <si>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</si>
  <si>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</si>
  <si>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 xml:space="preserve">     of which: to be made up of CET1 capital (percentage points)</t>
  </si>
  <si>
    <t>EU 7c</t>
  </si>
  <si>
    <t xml:space="preserve">     of which: to be made up of Tier 1 capital (percentage points)</t>
  </si>
  <si>
    <t>EU 7d</t>
  </si>
  <si>
    <t>Total SREP own funds requirements (%)</t>
  </si>
  <si>
    <t>Combined buffer requirement (as a percentage of risk-weighted exposure amount)</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</si>
  <si>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</si>
  <si>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</si>
  <si>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</si>
  <si>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</si>
  <si>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</si>
  <si>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</si>
  <si>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</si>
  <si>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</si>
  <si>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</si>
  <si>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</si>
  <si>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</si>
  <si>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</si>
  <si>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</si>
  <si>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</si>
  <si>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</si>
  <si>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</si>
  <si>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</si>
  <si>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</si>
  <si>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</si>
  <si>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</si>
  <si>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</si>
  <si>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</si>
  <si>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</si>
  <si>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</si>
  <si>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</si>
  <si>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requirements (%)</t>
  </si>
  <si>
    <t>Liquidity Coverage Ratio</t>
  </si>
  <si>
    <t>Total high-quality liquid assets (HQLA) (Weighted value - average)</t>
  </si>
  <si>
    <t>EU 16a</t>
  </si>
  <si>
    <t xml:space="preserve">Cash outflows - Total weighted value </t>
  </si>
  <si>
    <t>EU 16b</t>
  </si>
  <si>
    <t xml:space="preserve">Cash inflows - Total weighted value </t>
  </si>
  <si>
    <t>Total net cash outflows (adjusted value)</t>
  </si>
  <si>
    <t>Liquidity coverage ratio (%)</t>
  </si>
  <si>
    <t>Total available stable funding</t>
  </si>
  <si>
    <t>Total required stable funding</t>
  </si>
  <si>
    <t>NSFR ratio (%)</t>
  </si>
  <si>
    <t>Template EU INS1 - Insurance participations</t>
  </si>
  <si>
    <t>Exposure value</t>
  </si>
  <si>
    <t>Risk-weighted exposure amount</t>
  </si>
  <si>
    <t>Own fund instruments held in insurance or re-insurance undertakings  or insurance holding company not deducted from own funds</t>
  </si>
  <si>
    <t>No mapping to reporting</t>
  </si>
  <si>
    <t>Template EU INS2 - Financial conglomerates information on own funds and capital adequacy ratio</t>
  </si>
  <si>
    <t xml:space="preserve">Supplementary own fund requirements of the financial conglomerate (amount) </t>
  </si>
  <si>
    <t>Capital adequacy ratio of the financial conglomerate (%)</t>
  </si>
  <si>
    <t>f</t>
  </si>
  <si>
    <t>g</t>
  </si>
  <si>
    <t>h</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</si>
  <si>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</si>
  <si>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</si>
  <si>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</si>
  <si>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</si>
  <si>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</si>
  <si>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</si>
  <si>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</si>
  <si>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</si>
  <si>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</si>
  <si>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</si>
  <si>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</si>
  <si>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</si>
  <si>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</si>
  <si>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</si>
  <si>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</si>
  <si>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</si>
  <si>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</si>
  <si>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</si>
  <si>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</si>
  <si>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</si>
  <si>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</si>
  <si>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Breakdown by country:</t>
  </si>
  <si>
    <t>020</t>
  </si>
  <si>
    <t>Institution specific countercyclical capital buffer rate</t>
  </si>
  <si>
    <t>Institution specific countercyclical capital buffer requirement</t>
  </si>
  <si>
    <t>Template EU CCR1 – Analysis of CCR exposure by approach</t>
  </si>
  <si>
    <t>Fixed format</t>
  </si>
  <si>
    <t>Replacement cost (RC)</t>
  </si>
  <si>
    <t>Potential future exposure  (PFE)</t>
  </si>
  <si>
    <t>EEPE</t>
  </si>
  <si>
    <t>Exposure value pre-CRM</t>
  </si>
  <si>
    <t>Exposure value post-CRM</t>
  </si>
  <si>
    <t>RWEA</t>
  </si>
  <si>
    <t>EU1</t>
  </si>
  <si>
    <t>EU - Original Exposure Method (for derivatives)</t>
  </si>
  <si>
    <t>1.4</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</si>
  <si>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</si>
  <si>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</si>
  <si>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</si>
  <si>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</si>
  <si>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</si>
  <si>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</si>
  <si>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</si>
  <si>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</si>
  <si>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</si>
  <si>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</si>
  <si>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</si>
  <si>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</si>
  <si>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</si>
  <si>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Template EEU CCR2 – Transactions subject to own funds requirements for CVA risk</t>
  </si>
  <si>
    <r>
      <t>Exposure value</t>
    </r>
    <r>
      <rPr>
        <strike/>
        <sz val="10"/>
        <rFont val="Arial"/>
        <family val="2"/>
      </rPr>
      <t/>
    </r>
  </si>
  <si>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</si>
  <si>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</si>
  <si>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</si>
  <si>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</si>
  <si>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</si>
  <si>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 xml:space="preserve">Total transactions subject to own funds requirements for CVA risk </t>
  </si>
  <si>
    <t>Template EU CCR3 – Standardised approach – CCR exposures by regulatory exposure class and risk weights</t>
  </si>
  <si>
    <t>Exposure classes</t>
  </si>
  <si>
    <t>Risk weight</t>
  </si>
  <si>
    <t>Others</t>
  </si>
  <si>
    <t xml:space="preserve">Central governments or central banks </t>
  </si>
  <si>
    <t xml:space="preserve">Regional government or local authorities </t>
  </si>
  <si>
    <t>Public sector entities</t>
  </si>
  <si>
    <t>Multilateral development banks</t>
  </si>
  <si>
    <t>International organisations</t>
  </si>
  <si>
    <t>Institutions</t>
  </si>
  <si>
    <t>Corporates</t>
  </si>
  <si>
    <t>Retail</t>
  </si>
  <si>
    <t>Institutions and corporates with a short-term credit assessment</t>
  </si>
  <si>
    <t>Other items</t>
  </si>
  <si>
    <t>Template EU CCR4 – IRB approach – CCR exposures by exposure class and PD scale</t>
  </si>
  <si>
    <t>Exposure class X =</t>
  </si>
  <si>
    <t>Central governments and central banks (F-IRB)</t>
  </si>
  <si>
    <t>PD scale</t>
  </si>
  <si>
    <t>Exposure weighted average PD (%)</t>
  </si>
  <si>
    <t>Number of obligors</t>
  </si>
  <si>
    <t>Exposure weighted average LGD (%)</t>
  </si>
  <si>
    <t>Exposure weighted average maturity (years)</t>
  </si>
  <si>
    <t>Density of risk weighted exposure amount</t>
  </si>
  <si>
    <t>1 … x</t>
  </si>
  <si>
    <t>Exposure class X</t>
  </si>
  <si>
    <t>0.00 to &lt;0.15</t>
  </si>
  <si>
    <t>{C 34.07, r0010, c0010, s0004}</t>
  </si>
  <si>
    <t>{C 34.07, r0010, c0020, s0004}</t>
  </si>
  <si>
    <t>{C 34.07, r0010, c0030, s0004}</t>
  </si>
  <si>
    <t>{C 34.07, r0010, c0040, s0004}</t>
  </si>
  <si>
    <t>{C 34.07, r0010, c0050, s0004}</t>
  </si>
  <si>
    <t>{C 34.07, r0010, c0060, s0004}</t>
  </si>
  <si>
    <t xml:space="preserve">{C 34.07, r0010, c0070,s0004} </t>
  </si>
  <si>
    <t>0.15 to &lt;0.25</t>
  </si>
  <si>
    <t>{C 34.07, r0040, c0010, s0004}</t>
  </si>
  <si>
    <t>{C 34.07, r0040, c0020, s0004}</t>
  </si>
  <si>
    <t>{C 34.07, r0040, c0030, s0004}</t>
  </si>
  <si>
    <t>{C 34.07, r0040, c0040, s0004}</t>
  </si>
  <si>
    <t>{C 34.07, r0040, c0050, s0004}</t>
  </si>
  <si>
    <t>{C 34.07, r0040, c0060, s0004}</t>
  </si>
  <si>
    <t xml:space="preserve">{C 34.07, r0040, c0070,s0004} </t>
  </si>
  <si>
    <t>0.25 to &lt;0.50</t>
  </si>
  <si>
    <t>{C 34.07, r0050, c0010, s0004}</t>
  </si>
  <si>
    <t>{C 34.07, r0050, c0020, s0004}</t>
  </si>
  <si>
    <t>{C 34.07, r0050, c0030, s0004}</t>
  </si>
  <si>
    <t>{C 34.07, r0050, c0040, s0004}</t>
  </si>
  <si>
    <t>{C 34.07, r0050, c0050, s0004}</t>
  </si>
  <si>
    <t>{C 34.07, r0050, c0060, s0004}</t>
  </si>
  <si>
    <t xml:space="preserve">{C 34.07, r0050, c0070,s0004} </t>
  </si>
  <si>
    <t>0.50 to &lt;0.75</t>
  </si>
  <si>
    <t>{C 34.07, r0060, c0010, s0004}</t>
  </si>
  <si>
    <t>{C 34.07, r0060, c0020, s0004}</t>
  </si>
  <si>
    <t>{C 34.07, r0060, c0030, s0004}</t>
  </si>
  <si>
    <t>{C 34.07, r0060, c0040, s0004}</t>
  </si>
  <si>
    <t>{C 34.07, r0060, c0050, s0004}</t>
  </si>
  <si>
    <t>{C 34.07, r0060, c0060, s0004}</t>
  </si>
  <si>
    <t xml:space="preserve">{C 34.07, r0060, c0070,s0004} </t>
  </si>
  <si>
    <t>0.75 to &lt;2.50</t>
  </si>
  <si>
    <t>{C 34.07, r0070, c0010, s0004}</t>
  </si>
  <si>
    <t>{C 34.07, r0070, c0020, s0004}</t>
  </si>
  <si>
    <t>{C 34.07, r0070, c0030, s0004}</t>
  </si>
  <si>
    <t>{C 34.07, r0070, c0040, s0004}</t>
  </si>
  <si>
    <t>{C 34.07, r0070, c0050, s0004}</t>
  </si>
  <si>
    <t>{C 34.07, r0070, c0060, s0004}</t>
  </si>
  <si>
    <t xml:space="preserve">{C 34.07, r0070, c0070,s0004} </t>
  </si>
  <si>
    <t>2.50 to &lt;10.00</t>
  </si>
  <si>
    <t>{C 34.07, r0100, c0010, s0004}</t>
  </si>
  <si>
    <t>{C 34.07, r0100, c0020, s0004}</t>
  </si>
  <si>
    <t>{C 34.07, r0100, c0030, s0004}</t>
  </si>
  <si>
    <t>{C 34.07, r0100, c0040, s0004}</t>
  </si>
  <si>
    <t>{C 34.07, r0100, c0050, s0004}</t>
  </si>
  <si>
    <t>{C 34.07, r0100, c0060, s0004}</t>
  </si>
  <si>
    <t xml:space="preserve">{C 34.07, r0100, c0070,s0004} </t>
  </si>
  <si>
    <t>10.00 to &lt;100.00</t>
  </si>
  <si>
    <t>{C 34.07, r0130, c0010, s0004}</t>
  </si>
  <si>
    <t>{C 34.07, r0130, c0020, s0004}</t>
  </si>
  <si>
    <t>{C 34.07, r0130, c0030, s0004}</t>
  </si>
  <si>
    <t>{C 34.07, r0130, c0040, s0004}</t>
  </si>
  <si>
    <t>{C 34.07, r0130, c0050, s0004}</t>
  </si>
  <si>
    <t>{C 34.07, r0130, c0060, s0004}</t>
  </si>
  <si>
    <t xml:space="preserve">{C 34.07, r0130, c0070,s0004} </t>
  </si>
  <si>
    <t>100.00 (Default)</t>
  </si>
  <si>
    <t>{C 34.07, r0170, c0010, s0004}</t>
  </si>
  <si>
    <t>{C 34.07, r0170, c0020, s0004}</t>
  </si>
  <si>
    <t>{C 34.07, r0170, c0030, s0004}</t>
  </si>
  <si>
    <t>{C 34.07, r0170, c0040, s0004}</t>
  </si>
  <si>
    <t>{C 34.07, r0170, c0050, s0004}</t>
  </si>
  <si>
    <t>{C 34.07, r0170, c0060, s0004}</t>
  </si>
  <si>
    <t xml:space="preserve">{C 34.07, r0170, c0070,s0004} </t>
  </si>
  <si>
    <t>x</t>
  </si>
  <si>
    <t>Sub-total (Exposure class X)</t>
  </si>
  <si>
    <t>{C 34.07, r0180, c0010, s0004}</t>
  </si>
  <si>
    <t>{C 34.07, r0180, c0020, s0004}</t>
  </si>
  <si>
    <t>{C 34.07, r0180, c0030, s0004}</t>
  </si>
  <si>
    <t>{C 34.07, r0180, c0040, s0004}</t>
  </si>
  <si>
    <t>{C 34.07, r0180, c0050, s0004}</t>
  </si>
  <si>
    <t>{C 34.07, r0180, c0060, s0004}</t>
  </si>
  <si>
    <t xml:space="preserve">{C 34.07, r0180, c0070,s0004} </t>
  </si>
  <si>
    <t>Central governments and central banks (A-IRB)</t>
  </si>
  <si>
    <t>{C 34.07, r0010, c0010, s0003}</t>
  </si>
  <si>
    <t>{C 34.07, r0010, c0020, s0003}</t>
  </si>
  <si>
    <t>{C 34.07, r0010, c0030, s0003}</t>
  </si>
  <si>
    <t>{C 34.07, r0010, c0040, s0003}</t>
  </si>
  <si>
    <t>{C 34.07, r0010, c0050, s0003}</t>
  </si>
  <si>
    <t>{C 34.07, r0010, c0060, s0003}</t>
  </si>
  <si>
    <t xml:space="preserve">{C 34.07, r0010, c0070,s0003} </t>
  </si>
  <si>
    <t>{C 34.07, r0040, c0010, s0003}</t>
  </si>
  <si>
    <t>{C 34.07, r0040, c0020, s0003}</t>
  </si>
  <si>
    <t>{C 34.07, r0040, c0030, s0003}</t>
  </si>
  <si>
    <t>{C 34.07, r0040, c0040, s0003}</t>
  </si>
  <si>
    <t>{C 34.07, r0040, c0050, s0003}</t>
  </si>
  <si>
    <t>{C 34.07, r0040, c0060, s0003}</t>
  </si>
  <si>
    <t xml:space="preserve">{C 34.07, r0040, c0070,s0003} </t>
  </si>
  <si>
    <t>{C 34.07, r0050, c0010, s0003}</t>
  </si>
  <si>
    <t>{C 34.07, r0050, c0020, s0003}</t>
  </si>
  <si>
    <t>{C 34.07, r0050, c0030, s0003}</t>
  </si>
  <si>
    <t>{C 34.07, r0050, c0040, s0003}</t>
  </si>
  <si>
    <t>{C 34.07, r0050, c0050, s0003}</t>
  </si>
  <si>
    <t>{C 34.07, r0050, c0060, s0003}</t>
  </si>
  <si>
    <t xml:space="preserve">{C 34.07, r0050, c0070,s0003} </t>
  </si>
  <si>
    <t>{C 34.07, r0060, c0010, s0003}</t>
  </si>
  <si>
    <t>{C 34.07, r0060, c0020, s0003}</t>
  </si>
  <si>
    <t>{C 34.07, r0060, c0030, s0003}</t>
  </si>
  <si>
    <t>{C 34.07, r0060, c0040, s0003}</t>
  </si>
  <si>
    <t>{C 34.07, r0060, c0050, s0003}</t>
  </si>
  <si>
    <t>{C 34.07, r0060, c0060, s0003}</t>
  </si>
  <si>
    <t xml:space="preserve">{C 34.07, r0060, c0070,s0003} </t>
  </si>
  <si>
    <t>{C 34.07, r0070, c0010, s0003}</t>
  </si>
  <si>
    <t>{C 34.07, r0070, c0020, s0003}</t>
  </si>
  <si>
    <t>{C 34.07, r0070, c0030, s0003}</t>
  </si>
  <si>
    <t>{C 34.07, r0070, c0040, s0003}</t>
  </si>
  <si>
    <t>{C 34.07, r0070, c0050, s0003}</t>
  </si>
  <si>
    <t>{C 34.07, r0070, c0060, s0003}</t>
  </si>
  <si>
    <t xml:space="preserve">{C 34.07, r0070, c0070,s0003} </t>
  </si>
  <si>
    <t>{C 34.07, r0100, c0010, s0003}</t>
  </si>
  <si>
    <t>{C 34.07, r0100, c0020, s0003}</t>
  </si>
  <si>
    <t>{C 34.07, r0100, c0030, s0003}</t>
  </si>
  <si>
    <t>{C 34.07, r0100, c0040, s0003}</t>
  </si>
  <si>
    <t>{C 34.07, r0100, c0050, s0003}</t>
  </si>
  <si>
    <t>{C 34.07, r0100, c0060, s0003}</t>
  </si>
  <si>
    <t xml:space="preserve">{C 34.07, r0100, c0070,s0003} </t>
  </si>
  <si>
    <t>{C 34.07, r0130, c0010, s0003}</t>
  </si>
  <si>
    <t>{C 34.07, r0130, c0020, s0003}</t>
  </si>
  <si>
    <t>{C 34.07, r0130, c0030, s0003}</t>
  </si>
  <si>
    <t>{C 34.07, r0130, c0040, s0003}</t>
  </si>
  <si>
    <t>{C 34.07, r0130, c0050, s0003}</t>
  </si>
  <si>
    <t>{C 34.07, r0130, c0060, s0003}</t>
  </si>
  <si>
    <t xml:space="preserve">{C 34.07, r0130, c0070,s0003} </t>
  </si>
  <si>
    <t>{C 34.07, r0170, c0010, s0003}</t>
  </si>
  <si>
    <t>{C 34.07, r0170, c0020, s0003}</t>
  </si>
  <si>
    <t>{C 34.07, r0170, c0030, s0003}</t>
  </si>
  <si>
    <t>{C 34.07, r0170, c0040, s0003}</t>
  </si>
  <si>
    <t>{C 34.07, r0170, c0050, s0003}</t>
  </si>
  <si>
    <t>{C 34.07, r0170, c0060, s0003}</t>
  </si>
  <si>
    <t xml:space="preserve">{C 34.07, r0170, c0070,s0003} </t>
  </si>
  <si>
    <t>{C 34.07, r0180, c0010, s0003}</t>
  </si>
  <si>
    <t>{C 34.07, r0180, c0020, s0003}</t>
  </si>
  <si>
    <t>{C 34.07, r0180, c0030, s0003}</t>
  </si>
  <si>
    <t>{C 34.07, r0180, c0040, s0003}</t>
  </si>
  <si>
    <t>{C 34.07, r0180, c0050, s0003}</t>
  </si>
  <si>
    <t>{C 34.07, r0180, c0060, s0003}</t>
  </si>
  <si>
    <t xml:space="preserve">{C 34.07, r0180, c0070,s0003} </t>
  </si>
  <si>
    <t>Institutions (F-IRB)</t>
  </si>
  <si>
    <t>{C 34.07, r0010, c0010, s0006}</t>
  </si>
  <si>
    <t>{C 34.07, r0010, c0020, s0006}</t>
  </si>
  <si>
    <t>{C 34.07, r0010, c0030, s0006}</t>
  </si>
  <si>
    <t>{C 34.07, r0010, c0040, s0006}</t>
  </si>
  <si>
    <t>{C 34.07, r0010, c0050, s0006}</t>
  </si>
  <si>
    <t>{C 34.07, r0010, c0060, s0006}</t>
  </si>
  <si>
    <t xml:space="preserve">{C 34.07, r0010, c0070,s0006} </t>
  </si>
  <si>
    <t>{C 34.07, r0040, c0010, s0006}</t>
  </si>
  <si>
    <t>{C 34.07, r0040, c0020, s0006}</t>
  </si>
  <si>
    <t>{C 34.07, r0040, c0030, s0006}</t>
  </si>
  <si>
    <t>{C 34.07, r0040, c0040, s0006}</t>
  </si>
  <si>
    <t>{C 34.07, r0040, c0050, s0006}</t>
  </si>
  <si>
    <t>{C 34.07, r0040, c0060, s0006}</t>
  </si>
  <si>
    <t xml:space="preserve">{C 34.07, r0040, c0070,s0006} </t>
  </si>
  <si>
    <t>{C 34.07, r0050, c0010, s0006}</t>
  </si>
  <si>
    <t>{C 34.07, r0050, c0020, s0006}</t>
  </si>
  <si>
    <t>{C 34.07, r0050, c0030, s0006}</t>
  </si>
  <si>
    <t>{C 34.07, r0050, c0040, s0006}</t>
  </si>
  <si>
    <t>{C 34.07, r0050, c0050, s0006}</t>
  </si>
  <si>
    <t>{C 34.07, r0050, c0060, s0006}</t>
  </si>
  <si>
    <t xml:space="preserve">{C 34.07, r0050, c0070,s0006} </t>
  </si>
  <si>
    <t>{C 34.07, r0060, c0010, s0006}</t>
  </si>
  <si>
    <t>{C 34.07, r0060, c0020, s0006}</t>
  </si>
  <si>
    <t>{C 34.07, r0060, c0030, s0006}</t>
  </si>
  <si>
    <t>{C 34.07, r0060, c0040, s0006}</t>
  </si>
  <si>
    <t>{C 34.07, r0060, c0050, s0006}</t>
  </si>
  <si>
    <t>{C 34.07, r0060, c0060, s0006}</t>
  </si>
  <si>
    <t xml:space="preserve">{C 34.07, r0060, c0070,s0006} </t>
  </si>
  <si>
    <t>{C 34.07, r0070, c0010, s0006}</t>
  </si>
  <si>
    <t>{C 34.07, r0070, c0020, s0006}</t>
  </si>
  <si>
    <t>{C 34.07, r0070, c0030, s0006}</t>
  </si>
  <si>
    <t>{C 34.07, r0070, c0040, s0006}</t>
  </si>
  <si>
    <t>{C 34.07, r0070, c0050, s0006}</t>
  </si>
  <si>
    <t>{C 34.07, r0070, c0060, s0006}</t>
  </si>
  <si>
    <t xml:space="preserve">{C 34.07, r0070, c0070,s0006} </t>
  </si>
  <si>
    <t>{C 34.07, r0100, c0010, s0006}</t>
  </si>
  <si>
    <t>{C 34.07, r0100, c0020, s0006}</t>
  </si>
  <si>
    <t>{C 34.07, r0100, c0030, s0006}</t>
  </si>
  <si>
    <t>{C 34.07, r0100, c0040, s0006}</t>
  </si>
  <si>
    <t>{C 34.07, r0100, c0050, s0006}</t>
  </si>
  <si>
    <t>{C 34.07, r0100, c0060, s0006}</t>
  </si>
  <si>
    <t xml:space="preserve">{C 34.07, r0100, c0070,s0006} </t>
  </si>
  <si>
    <t>{C 34.07, r0130, c0010, s0006}</t>
  </si>
  <si>
    <t>{C 34.07, r0130, c0020, s0006}</t>
  </si>
  <si>
    <t>{C 34.07, r0130, c0030, s0006}</t>
  </si>
  <si>
    <t>{C 34.07, r0130, c0040, s0006}</t>
  </si>
  <si>
    <t>{C 34.07, r0130, c0050, s0006}</t>
  </si>
  <si>
    <t>{C 34.07, r0130, c0060, s0006}</t>
  </si>
  <si>
    <t xml:space="preserve">{C 34.07, r0130, c0070,s0006} </t>
  </si>
  <si>
    <t>{C 34.07, r0170, c0010, s0006}</t>
  </si>
  <si>
    <t>{C 34.07, r0170, c0020, s0006}</t>
  </si>
  <si>
    <t>{C 34.07, r0170, c0030, s0006}</t>
  </si>
  <si>
    <t>{C 34.07, r0170, c0040, s0006}</t>
  </si>
  <si>
    <t>{C 34.07, r0170, c0050, s0006}</t>
  </si>
  <si>
    <t>{C 34.07, r0170, c0060, s0006}</t>
  </si>
  <si>
    <t xml:space="preserve">{C 34.07, r0170, c0070,s0006} </t>
  </si>
  <si>
    <t>{C 34.07, r0180, c0010, s0006}</t>
  </si>
  <si>
    <t>{C 34.07, r0180, c0020, s0006}</t>
  </si>
  <si>
    <t>{C 34.07, r0180, c0030, s0006}</t>
  </si>
  <si>
    <t>{C 34.07, r0180, c0040, s0006}</t>
  </si>
  <si>
    <t>{C 34.07, r0180, c0050, s0006}</t>
  </si>
  <si>
    <t>{C 34.07, r0180, c0060, s0006}</t>
  </si>
  <si>
    <t xml:space="preserve">{C 34.07, r0180, c0070,s0006} </t>
  </si>
  <si>
    <t>Institutions (A-IRB)</t>
  </si>
  <si>
    <t>{C 34.07, r0010, c0010, s0005}</t>
  </si>
  <si>
    <t>{C 34.07, r0010, c0020, s0005}</t>
  </si>
  <si>
    <t>{C 34.07, r0010, c0030, s0005}</t>
  </si>
  <si>
    <t>{C 34.07, r0010, c0040, s0005}</t>
  </si>
  <si>
    <t>{C 34.07, r0010, c0050, s0005}</t>
  </si>
  <si>
    <t>{C 34.07, r0010, c0060, s0005}</t>
  </si>
  <si>
    <t xml:space="preserve">{C 34.07, r0010, c0070,s0005} </t>
  </si>
  <si>
    <t>{C 34.07, r0040, c0010, s0005}</t>
  </si>
  <si>
    <t>{C 34.07, r0040, c0020, s0005}</t>
  </si>
  <si>
    <t>{C 34.07, r0040, c0030, s0005}</t>
  </si>
  <si>
    <t>{C 34.07, r0040, c0040, s0005}</t>
  </si>
  <si>
    <t>{C 34.07, r0040, c0050, s0005}</t>
  </si>
  <si>
    <t>{C 34.07, r0040, c0060, s0005}</t>
  </si>
  <si>
    <t xml:space="preserve">{C 34.07, r0040, c0070,s0005} </t>
  </si>
  <si>
    <t>{C 34.07, r0050, c0010, s0005}</t>
  </si>
  <si>
    <t>{C 34.07, r0050, c0020, s0005}</t>
  </si>
  <si>
    <t>{C 34.07, r0050, c0030, s0005}</t>
  </si>
  <si>
    <t>{C 34.07, r0050, c0040, s0005}</t>
  </si>
  <si>
    <t>{C 34.07, r0050, c0050, s0005}</t>
  </si>
  <si>
    <t>{C 34.07, r0050, c0060, s0005}</t>
  </si>
  <si>
    <t xml:space="preserve">{C 34.07, r0050, c0070,s0005} </t>
  </si>
  <si>
    <t>{C 34.07, r0060, c0010, s0005}</t>
  </si>
  <si>
    <t>{C 34.07, r0060, c0020, s0005}</t>
  </si>
  <si>
    <t>{C 34.07, r0060, c0030, s0005}</t>
  </si>
  <si>
    <t>{C 34.07, r0060, c0040, s0005}</t>
  </si>
  <si>
    <t>{C 34.07, r0060, c0050, s0005}</t>
  </si>
  <si>
    <t>{C 34.07, r0060, c0060, s0005}</t>
  </si>
  <si>
    <t xml:space="preserve">{C 34.07, r0060, c0070,s0005} </t>
  </si>
  <si>
    <t>{C 34.07, r0070, c0010, s0005}</t>
  </si>
  <si>
    <t>{C 34.07, r0070, c0020, s0005}</t>
  </si>
  <si>
    <t>{C 34.07, r0070, c0030, s0005}</t>
  </si>
  <si>
    <t>{C 34.07, r0070, c0040, s0005}</t>
  </si>
  <si>
    <t>{C 34.07, r0070, c0050, s0005}</t>
  </si>
  <si>
    <t>{C 34.07, r0070, c0060, s0005}</t>
  </si>
  <si>
    <t xml:space="preserve">{C 34.07, r0070, c0070,s0005} </t>
  </si>
  <si>
    <t>{C 34.07, r0100, c0010, s0005}</t>
  </si>
  <si>
    <t>{C 34.07, r0100, c0020, s0005}</t>
  </si>
  <si>
    <t>{C 34.07, r0100, c0030, s0005}</t>
  </si>
  <si>
    <t>{C 34.07, r0100, c0040, s0005}</t>
  </si>
  <si>
    <t>{C 34.07, r0100, c0050, s0005}</t>
  </si>
  <si>
    <t>{C 34.07, r0100, c0060, s0005}</t>
  </si>
  <si>
    <t xml:space="preserve">{C 34.07, r0100, c0070,s0005} </t>
  </si>
  <si>
    <t>{C 34.07, r0130, c0010, s0005}</t>
  </si>
  <si>
    <t>{C 34.07, r0130, c0020, s0005}</t>
  </si>
  <si>
    <t>{C 34.07, r0130, c0030, s0005}</t>
  </si>
  <si>
    <t>{C 34.07, r0130, c0040, s0005}</t>
  </si>
  <si>
    <t>{C 34.07, r0130, c0050, s0005}</t>
  </si>
  <si>
    <t>{C 34.07, r0130, c0060, s0005}</t>
  </si>
  <si>
    <t xml:space="preserve">{C 34.07, r0130, c0070,s0005} </t>
  </si>
  <si>
    <t>{C 34.07, r0170, c0010, s0005}</t>
  </si>
  <si>
    <t>{C 34.07, r0170, c0020, s0005}</t>
  </si>
  <si>
    <t>{C 34.07, r0170, c0030, s0005}</t>
  </si>
  <si>
    <t>{C 34.07, r0170, c0040, s0005}</t>
  </si>
  <si>
    <t>{C 34.07, r0170, c0050, s0005}</t>
  </si>
  <si>
    <t>{C 34.07, r0170, c0060, s0005}</t>
  </si>
  <si>
    <t xml:space="preserve">{C 34.07, r0170, c0070,s0005} </t>
  </si>
  <si>
    <t>{C 34.07, r0180, c0010, s0005}</t>
  </si>
  <si>
    <t>{C 34.07, r0180, c0020, s0005}</t>
  </si>
  <si>
    <t>{C 34.07, r0180, c0030, s0005}</t>
  </si>
  <si>
    <t>{C 34.07, r0180, c0040, s0005}</t>
  </si>
  <si>
    <t>{C 34.07, r0180, c0050, s0005}</t>
  </si>
  <si>
    <t>{C 34.07, r0180, c0060, s0005}</t>
  </si>
  <si>
    <t xml:space="preserve">{C 34.07, r0180, c0070,s0005} </t>
  </si>
  <si>
    <t>Corporates (F-IRB)</t>
  </si>
  <si>
    <t>{C 34.07, r0010, c0010, sum(s0008, s0010, s0012)}</t>
  </si>
  <si>
    <t>{C 34.07, r0010, c0020, sum(s0008, s0010, s0012)}</t>
  </si>
  <si>
    <t>{C 34.07, r0010, c0030, sum(s0008, s0010, s0012)}</t>
  </si>
  <si>
    <t>{C 34.07, r0010, c0040, sum(s0008, s0010, s0012)}</t>
  </si>
  <si>
    <t>{C 34.07, r0010, c0050, sum(s0008, s0010, s0012)}</t>
  </si>
  <si>
    <t>{C 34.07, r0010, c0060, sum(s0008, s0010, s0012)}</t>
  </si>
  <si>
    <t xml:space="preserve">{C 34.07, r0010, c0070, sum(s0008, s0010, s0012)} </t>
  </si>
  <si>
    <t>{C 34.07, r0040, c0010, sum(s0008, s0010, s0012)}</t>
  </si>
  <si>
    <t>{C 34.07, r0040, c0020, sum(s0008, s0010, s0012)}</t>
  </si>
  <si>
    <t>{C 34.07, r0040, c0030, sum(s0008, s0010, s0012)}</t>
  </si>
  <si>
    <t>{C 34.07, r0040, c0040, sum(s0008, s0010, s0012)}</t>
  </si>
  <si>
    <t>{C 34.07, r0040, c0050, sum(s0008, s0010, s0012)}</t>
  </si>
  <si>
    <t>{C 34.07, r0040, c0060, sum(s0008, s0010, s0012)}</t>
  </si>
  <si>
    <t xml:space="preserve">{C 34.07, r0040, c0070, sum(s0008, s0010, s0012)} </t>
  </si>
  <si>
    <t>{C 34.07, r0050, c0010, sum(s0008, s0010, s0012)}</t>
  </si>
  <si>
    <t>{C 34.07, r0050, c0020, sum(s0008, s0010, s0012)}</t>
  </si>
  <si>
    <t>{C 34.07, r0050, c0030, sum(s0008, s0010, s0012)}</t>
  </si>
  <si>
    <t>{C 34.07, r0050, c0040, sum(s0008, s0010, s0012)}</t>
  </si>
  <si>
    <t>{C 34.07, r0050, c0050, sum(s0008, s0010, s0012)}</t>
  </si>
  <si>
    <t>{C 34.07, r0050, c0060, sum(s0008, s0010, s0012)}</t>
  </si>
  <si>
    <t xml:space="preserve">{C 34.07, r0050, c0070, sum(s0008, s0010, s0012)} </t>
  </si>
  <si>
    <t>{C 34.07, r0060, c0010, sum(s0008, s0010, s0012)}</t>
  </si>
  <si>
    <t>{C 34.07, r0060, c0020, sum(s0008, s0010, s0012)}</t>
  </si>
  <si>
    <t>{C 34.07, r0060, c0030, sum(s0008, s0010, s0012)}</t>
  </si>
  <si>
    <t>{C 34.07, r0060, c0040, sum(s0008, s0010, s0012)}</t>
  </si>
  <si>
    <t>{C 34.07, r0060, c0050, sum(s0008, s0010, s0012)}</t>
  </si>
  <si>
    <t>{C 34.07, r0060, c0060, sum(s0008, s0010, s0012)}</t>
  </si>
  <si>
    <t xml:space="preserve">{C 34.07, r0060, c0070, sum(s0008, s0010, s0012)} </t>
  </si>
  <si>
    <t>{C 34.07, r0070, c0010, sum(s0008, s0010, s0012)}</t>
  </si>
  <si>
    <t>{C 34.07, r0070, c0020, sum(s0008, s0010, s0012)}</t>
  </si>
  <si>
    <t>{C 34.07, r0070, c0030, sum(s0008, s0010, s0012)}</t>
  </si>
  <si>
    <t>{C 34.07, r0070, c0040, sum(s0008, s0010, s0012)}</t>
  </si>
  <si>
    <t>{C 34.07, r0070, c0050, sum(s0008, s0010, s0012)}</t>
  </si>
  <si>
    <t>{C 34.07, r0070, c0060, sum(s0008, s0010, s0012)}</t>
  </si>
  <si>
    <t xml:space="preserve">{C 34.07, r0070, c0070, sum(s0008, s0010, s0012)} </t>
  </si>
  <si>
    <t>{C 34.07, r0100, c0010, sum(s0008, s0010, s0012)}</t>
  </si>
  <si>
    <t>{C 34.07, r0100, c0020, sum(s0008, s0010, s0012)}</t>
  </si>
  <si>
    <t>{C 34.07, r0100, c0030, sum(s0008, s0010, s0012)}</t>
  </si>
  <si>
    <t>{C 34.07, r0100, c0040, sum(s0008, s0010, s0012)}</t>
  </si>
  <si>
    <t>{C 34.07, r0100, c0050, sum(s0008, s0010, s0012)}</t>
  </si>
  <si>
    <t>{C 34.07, r0100, c0060, sum(s0008, s0010, s0012)}</t>
  </si>
  <si>
    <t xml:space="preserve">{C 34.07, r0100, c0070, sum(s0008, s0010, s0012)} </t>
  </si>
  <si>
    <t>{C 34.07, r0130, c0010, sum(s0008, s0010, s0012)}</t>
  </si>
  <si>
    <t>{C 34.07, r0130, c0020, sum(s0008, s0010, s0012)}</t>
  </si>
  <si>
    <t>{C 34.07, r0130, c0030, sum(s0008, s0010, s0012)}</t>
  </si>
  <si>
    <t>{C 34.07, r0130, c0040, sum(s0008, s0010, s0012)}</t>
  </si>
  <si>
    <t>{C 34.07, r0130, c0050, sum(s0008, s0010, s0012)}</t>
  </si>
  <si>
    <t>{C 34.07, r0130, c0060, sum(s0008, s0010, s0012)}</t>
  </si>
  <si>
    <t xml:space="preserve">{C 34.07, r0130, c0070, sum(s0008, s0010, s0012)} </t>
  </si>
  <si>
    <t>{C 34.07, r0170, c0010, sum(s0008, s0010, s0012)}</t>
  </si>
  <si>
    <t>{C 34.07, r0170, c0020, sum(s0008, s0010, s0012)}</t>
  </si>
  <si>
    <t>{C 34.07, r0170, c0030, sum(s0008, s0010, s0012)}</t>
  </si>
  <si>
    <t>{C 34.07, r0170, c0040, sum(s0008, s0010, s0012)}</t>
  </si>
  <si>
    <t>{C 34.07, r0170, c0050, sum(s0008, s0010, s0012)}</t>
  </si>
  <si>
    <t>{C 34.07, r0170, c0060, sum(s0008, s0010, s0012)}</t>
  </si>
  <si>
    <t xml:space="preserve">{C 34.07, r0170, c0070, sum(s0008, s0010, s0012)} </t>
  </si>
  <si>
    <t>{C 34.07, r0180, c0010, sum(s0008, s0010, s0012)}</t>
  </si>
  <si>
    <t>{C 34.07, r0180, c0020, sum(s0008, s0010, s0012)}</t>
  </si>
  <si>
    <t>{C 34.07, r0180, c0030, sum(s0008, s0010, s0012)}</t>
  </si>
  <si>
    <t>{C 34.07, r0180, c0040, sum(s0008, s0010, s0012)}</t>
  </si>
  <si>
    <t>{C 34.07, r0180, c0050, sum(s0008, s0010, s0012)}</t>
  </si>
  <si>
    <t>{C 34.07, r0180, c0060, sum(s0008, s0010, s0012)}</t>
  </si>
  <si>
    <t xml:space="preserve">{C 34.07, r0180, c0070, sum(s0008, s0010, s0012)} </t>
  </si>
  <si>
    <t>Corporates (A-IRB)</t>
  </si>
  <si>
    <t>{C 34.07, r0010, c0010, sum(s0007, s0009, s0011)}</t>
  </si>
  <si>
    <t>{C 34.07, r0010, c0020, sum(s0007, s0009, s0011)}</t>
  </si>
  <si>
    <t>{C 34.07, r0010, c0030, sum(s0007, s0009, s0011)}</t>
  </si>
  <si>
    <t>{C 34.07, r0010, c0040, sum(s0007, s0009, s0011)}</t>
  </si>
  <si>
    <t>{C 34.07, r0010, c0050, sum(s0007, s0009, s0011)}</t>
  </si>
  <si>
    <t>{C 34.07, r0010, c0060, sum(s0007, s0009, s0011)}</t>
  </si>
  <si>
    <t xml:space="preserve">{C 34.07, r0010, c0070, sum(s0007, s0009, s0011)} </t>
  </si>
  <si>
    <t>{C 34.07, r0040, c0010, sum(s0007, s0009, s0011)}</t>
  </si>
  <si>
    <t>{C 34.07, r0040, c0020, sum(s0007, s0009, s0011)}</t>
  </si>
  <si>
    <t>{C 34.07, r0040, c0030, sum(s0007, s0009, s0011)}</t>
  </si>
  <si>
    <t>{C 34.07, r0040, c0040, sum(s0007, s0009, s0011)}</t>
  </si>
  <si>
    <t>{C 34.07, r0040, c0050, sum(s0007, s0009, s0011)}</t>
  </si>
  <si>
    <t>{C 34.07, r0040, c0060, sum(s0007, s0009, s0011)}</t>
  </si>
  <si>
    <t xml:space="preserve">{C 34.07, r0040, c0070, sum(s0007, s0009, s0011)} </t>
  </si>
  <si>
    <t>{C 34.07, r0050, c0010, sum(s0007, s0009, s0011)}</t>
  </si>
  <si>
    <t>{C 34.07, r0050, c0020, sum(s0007, s0009, s0011)}</t>
  </si>
  <si>
    <t>{C 34.07, r0050, c0030, sum(s0007, s0009, s0011)}</t>
  </si>
  <si>
    <t>{C 34.07, r0050, c0040, sum(s0007, s0009, s0011)}</t>
  </si>
  <si>
    <t>{C 34.07, r0050, c0050, sum(s0007, s0009, s0011)}</t>
  </si>
  <si>
    <t>{C 34.07, r0050, c0060, sum(s0007, s0009, s0011)}</t>
  </si>
  <si>
    <t xml:space="preserve">{C 34.07, r0050, c0070, sum(s0007, s0009, s0011)} </t>
  </si>
  <si>
    <t>{C 34.07, r0060, c0010, sum(s0007, s0009, s0011)}</t>
  </si>
  <si>
    <t>{C 34.07, r0060, c0020, sum(s0007, s0009, s0011)}</t>
  </si>
  <si>
    <t>{C 34.07, r0060, c0030, sum(s0007, s0009, s0011)}</t>
  </si>
  <si>
    <t>{C 34.07, r0060, c0040, sum(s0007, s0009, s0011)}</t>
  </si>
  <si>
    <t>{C 34.07, r0060, c0050, sum(s0007, s0009, s0011)}</t>
  </si>
  <si>
    <t>{C 34.07, r0060, c0060, sum(s0007, s0009, s0011)}</t>
  </si>
  <si>
    <t xml:space="preserve">{C 34.07, r0060, c0070, sum(s0007, s0009, s0011)} </t>
  </si>
  <si>
    <t>{C 34.07, r0070, c0010, sum(s0007, s0009, s0011)}</t>
  </si>
  <si>
    <t>{C 34.07, r0070, c0020, sum(s0007, s0009, s0011)}</t>
  </si>
  <si>
    <t>{C 34.07, r0070, c0030, sum(s0007, s0009, s0011)}</t>
  </si>
  <si>
    <t>{C 34.07, r0070, c0040, sum(s0007, s0009, s0011)}</t>
  </si>
  <si>
    <t>{C 34.07, r0070, c0050, sum(s0007, s0009, s0011)}</t>
  </si>
  <si>
    <t>{C 34.07, r0070, c0060, sum(s0007, s0009, s0011)}</t>
  </si>
  <si>
    <t xml:space="preserve">{C 34.07, r0070, c0070, sum(s0007, s0009, s0011)} </t>
  </si>
  <si>
    <t>{C 34.07, r0100, c0010, sum(s0007, s0009, s0011)}</t>
  </si>
  <si>
    <t>{C 34.07, r0100, c0020, sum(s0007, s0009, s0011)}</t>
  </si>
  <si>
    <t>{C 34.07, r0100, c0030, sum(s0007, s0009, s0011)}</t>
  </si>
  <si>
    <t>{C 34.07, r0100, c0040, sum(s0007, s0009, s0011)}</t>
  </si>
  <si>
    <t>{C 34.07, r0100, c0050, sum(s0007, s0009, s0011)}</t>
  </si>
  <si>
    <t>{C 34.07, r0100, c0060, sum(s0007, s0009, s0011)}</t>
  </si>
  <si>
    <t xml:space="preserve">{C 34.07, r0100, c0070, sum(s0007, s0009, s0011)} </t>
  </si>
  <si>
    <t>{C 34.07, r0130, c0010, sum(s0007, s0009, s0011)}</t>
  </si>
  <si>
    <t>{C 34.07, r0130, c0020, sum(s0007, s0009, s0011)}</t>
  </si>
  <si>
    <t>{C 34.07, r0130, c0030, sum(s0007, s0009, s0011)}</t>
  </si>
  <si>
    <t>{C 34.07, r0130, c0040, sum(s0007, s0009, s0011)}</t>
  </si>
  <si>
    <t>{C 34.07, r0130, c0050, sum(s0007, s0009, s0011)}</t>
  </si>
  <si>
    <t>{C 34.07, r0130, c0060, sum(s0007, s0009, s0011)}</t>
  </si>
  <si>
    <t xml:space="preserve">{C 34.07, r0130, c0070, sum(s0007, s0009, s0011)} </t>
  </si>
  <si>
    <t>{C 34.07, r0170, c0010, sum(s0007, s0009, s0011)}</t>
  </si>
  <si>
    <t>{C 34.07, r0170, c0020, sum(s0007, s0009, s0011)}</t>
  </si>
  <si>
    <t>{C 34.07, r0170, c0030, sum(s0007, s0009, s0011)}</t>
  </si>
  <si>
    <t>{C 34.07, r0170, c0040, sum(s0007, s0009, s0011)}</t>
  </si>
  <si>
    <t>{C 34.07, r0170, c0050, sum(s0007, s0009, s0011)}</t>
  </si>
  <si>
    <t>{C 34.07, r0170, c0060, sum(s0007, s0009, s0011)}</t>
  </si>
  <si>
    <t xml:space="preserve">{C 34.07, r0170, c0070, sum(s0007, s0009, s0011)} </t>
  </si>
  <si>
    <t>{C 34.07, r0180, c0010, sum(s0007, s0009, s0011)}</t>
  </si>
  <si>
    <t>{C 34.07, r0180, c0020, sum(s0007, s0009, s0011)}</t>
  </si>
  <si>
    <t>{C 34.07, r0180, c0030, sum(s0007, s0009, s0011)}</t>
  </si>
  <si>
    <t>{C 34.07, r0180, c0040, sum(s0007, s0009, s0011)}</t>
  </si>
  <si>
    <t>{C 34.07, r0180, c0050, sum(s0007, s0009, s0011)}</t>
  </si>
  <si>
    <t>{C 34.07, r0180, c0060, sum(s0007, s0009, s0011)}</t>
  </si>
  <si>
    <t xml:space="preserve">{C 34.07, r0180, c0070, sum(s0007, s0009, s0011)} </t>
  </si>
  <si>
    <t>Retail (A-IRB)</t>
  </si>
  <si>
    <t>{C 34.07, r0010, c0010, sum(s0013, s0014, s0015, s0016, s0017)}</t>
  </si>
  <si>
    <t>{C 34.07, r0010, c0020, sum(s0013, s0014, s0015, s0016, s0017)}</t>
  </si>
  <si>
    <t>{C 34.07, r0010, c0030, sum(s0013, s0014, s0015, s0016, s0017)}</t>
  </si>
  <si>
    <t>{C 34.07, r0010, c0040, sum(s0013, s0014, s0015, s0016, s0017)}</t>
  </si>
  <si>
    <t>{C 34.07, r0010, c0050, sum(s0013, s0014, s0015, s0016, s0017)}</t>
  </si>
  <si>
    <t>{C 34.07, r0010, c0060, sum(s0013, s0014, s0015, s0016, s0017)}</t>
  </si>
  <si>
    <t xml:space="preserve">{C 34.07, r0010, c0070, sum(s0013, s0014, s0015, s0016, s0017)} </t>
  </si>
  <si>
    <t>{C 34.07, r0040, c0010, sum(s0013, s0014, s0015, s0016, s0017)}</t>
  </si>
  <si>
    <t>{C 34.07, r0040, c0020, sum(s0013, s0014, s0015, s0016, s0017)}</t>
  </si>
  <si>
    <t>{C 34.07, r0040, c0030, sum(s0013, s0014, s0015, s0016, s0017)}</t>
  </si>
  <si>
    <t>{C 34.07, r0040, c0040, sum(s0013, s0014, s0015, s0016, s0017)}</t>
  </si>
  <si>
    <t>{C 34.07, r0040, c0050, sum(s0013, s0014, s0015, s0016, s0017)}</t>
  </si>
  <si>
    <t>{C 34.07, r0040, c0060, sum(s0013, s0014, s0015, s0016, s0017)}</t>
  </si>
  <si>
    <t xml:space="preserve">{C 34.07, r0040, c0070, sum(s0013, s0014, s0015, s0016, s0017)} </t>
  </si>
  <si>
    <t>{C 34.07, r0050, c0010, sum(s0013, s0014, s0015, s0016, s0017)}</t>
  </si>
  <si>
    <t>{C 34.07, r0050, c0020, sum(s0013, s0014, s0015, s0016, s0017)}</t>
  </si>
  <si>
    <t>{C 34.07, r0050, c0030, sum(s0013, s0014, s0015, s0016, s0017)}</t>
  </si>
  <si>
    <t>{C 34.07, r0050, c0040, sum(s0013, s0014, s0015, s0016, s0017)}</t>
  </si>
  <si>
    <t>{C 34.07, r0050, c0050, sum(s0013, s0014, s0015, s0016, s0017)}</t>
  </si>
  <si>
    <t>{C 34.07, r0050, c0060, sum(s0013, s0014, s0015, s0016, s0017)}</t>
  </si>
  <si>
    <t xml:space="preserve">{C 34.07, r0050, c0070, sum(s0013, s0014, s0015, s0016, s0017)} </t>
  </si>
  <si>
    <t>{C 34.07, r0060, c0010, sum(s0013, s0014, s0015, s0016, s0017)}</t>
  </si>
  <si>
    <t>{C 34.07, r0060, c0020, sum(s0013, s0014, s0015, s0016, s0017)}</t>
  </si>
  <si>
    <t>{C 34.07, r0060, c0030, sum(s0013, s0014, s0015, s0016, s0017)}</t>
  </si>
  <si>
    <t>{C 34.07, r0060, c0040, sum(s0013, s0014, s0015, s0016, s0017)}</t>
  </si>
  <si>
    <t>{C 34.07, r0060, c0050, sum(s0013, s0014, s0015, s0016, s0017)}</t>
  </si>
  <si>
    <t>{C 34.07, r0060, c0060, sum(s0013, s0014, s0015, s0016, s0017)}</t>
  </si>
  <si>
    <t xml:space="preserve">{C 34.07, r0060, c0070, sum(s0013, s0014, s0015, s0016, s0017)} </t>
  </si>
  <si>
    <t>{C 34.07, r0070, c0010, sum(s0013, s0014, s0015, s0016, s0017)}</t>
  </si>
  <si>
    <t>{C 34.07, r0070, c0020, sum(s0013, s0014, s0015, s0016, s0017)}</t>
  </si>
  <si>
    <t>{C 34.07, r0070, c0030, sum(s0013, s0014, s0015, s0016, s0017)}</t>
  </si>
  <si>
    <t>{C 34.07, r0070, c0040, sum(s0013, s0014, s0015, s0016, s0017)}</t>
  </si>
  <si>
    <t>{C 34.07, r0070, c0050, sum(s0013, s0014, s0015, s0016, s0017)}</t>
  </si>
  <si>
    <t>{C 34.07, r0070, c0060, sum(s0013, s0014, s0015, s0016, s0017)}</t>
  </si>
  <si>
    <t xml:space="preserve">{C 34.07, r0070, c0070, sum(s0013, s0014, s0015, s0016, s0017)} </t>
  </si>
  <si>
    <t>{C 34.07, r0100, c0010, sum(s0013, s0014, s0015, s0016, s0017)}</t>
  </si>
  <si>
    <t>{C 34.07, r0100, c0020, sum(s0013, s0014, s0015, s0016, s0017)}</t>
  </si>
  <si>
    <t>{C 34.07, r0100, c0030, sum(s0013, s0014, s0015, s0016, s0017)}</t>
  </si>
  <si>
    <t>{C 34.07, r0100, c0040, sum(s0013, s0014, s0015, s0016, s0017)}</t>
  </si>
  <si>
    <t>{C 34.07, r0100, c0050, sum(s0013, s0014, s0015, s0016, s0017)}</t>
  </si>
  <si>
    <t>{C 34.07, r0100, c0060, sum(s0013, s0014, s0015, s0016, s0017)}</t>
  </si>
  <si>
    <t xml:space="preserve">{C 34.07, r0100, c0070, sum(s0013, s0014, s0015, s0016, s0017)} </t>
  </si>
  <si>
    <t>{C 34.07, r0130, c0010, sum(s0013, s0014, s0015, s0016, s0017)}</t>
  </si>
  <si>
    <t>{C 34.07, r0130, c0020, sum(s0013, s0014, s0015, s0016, s0017)}</t>
  </si>
  <si>
    <t>{C 34.07, r0130, c0030, sum(s0013, s0014, s0015, s0016, s0017)}</t>
  </si>
  <si>
    <t>{C 34.07, r0130, c0040, sum(s0013, s0014, s0015, s0016, s0017)}</t>
  </si>
  <si>
    <t>{C 34.07, r0130, c0050, sum(s0013, s0014, s0015, s0016, s0017)}</t>
  </si>
  <si>
    <t>{C 34.07, r0130, c0060, sum(s0013, s0014, s0015, s0016, s0017)}</t>
  </si>
  <si>
    <t xml:space="preserve">{C 34.07, r0130, c0070, sum(s0013, s0014, s0015, s0016, s0017)} </t>
  </si>
  <si>
    <t>{C 34.07, r0170, c0010, sum(s0013, s0014, s0015, s0016, s0017)}</t>
  </si>
  <si>
    <t>{C 34.07, r0170, c0020, sum(s0013, s0014, s0015, s0016, s0017)}</t>
  </si>
  <si>
    <t>{C 34.07, r0170, c0030, sum(s0013, s0014, s0015, s0016, s0017)}</t>
  </si>
  <si>
    <t>{C 34.07, r0170, c0040, sum(s0013, s0014, s0015, s0016, s0017)}</t>
  </si>
  <si>
    <t>{C 34.07, r0170, c0050, sum(s0013, s0014, s0015, s0016, s0017)}</t>
  </si>
  <si>
    <t>{C 34.07, r0170, c0060, sum(s0013, s0014, s0015, s0016, s0017)}</t>
  </si>
  <si>
    <t xml:space="preserve">{C 34.07, r0170, c0070, sum(s0013, s0014, s0015, s0016, s0017)} </t>
  </si>
  <si>
    <t>{C 34.07, r0180, c0010, sum(s0013, s0014, s0015, s0016, s0017)}</t>
  </si>
  <si>
    <t>{C 34.07, r0180, c0020, sum(s0013, s0014, s0015, s0016, s0017)}</t>
  </si>
  <si>
    <t>{C 34.07, r0180, c0030, sum(s0013, s0014, s0015, s0016, s0017)}</t>
  </si>
  <si>
    <t>{C 34.07, r0180, c0040, sum(s0013, s0014, s0015, s0016, s0017)}</t>
  </si>
  <si>
    <t>{C 34.07, r0180, c0050, sum(s0013, s0014, s0015, s0016, s0017)}</t>
  </si>
  <si>
    <t>{C 34.07, r0180, c0060, sum(s0013, s0014, s0015, s0016, s0017)}</t>
  </si>
  <si>
    <t xml:space="preserve">{C 34.07, r0180, c0070, sum(s0013, s0014, s0015, s0016, s0017)} </t>
  </si>
  <si>
    <t>y</t>
  </si>
  <si>
    <t>Total (all CCR relevant exposure classes)</t>
  </si>
  <si>
    <t>{C 34.07, r0180, c0010, sum(s0001, s0002)}</t>
  </si>
  <si>
    <t>{C 34.07, r0180, c0020, sum(s0001, s0002)}</t>
  </si>
  <si>
    <t>{C 34.07, r0180, c0030, sum(s0001, s0002)}</t>
  </si>
  <si>
    <t>{C 34.07, r0180, c0040, sum(s0001, s0002)}</t>
  </si>
  <si>
    <t>{C 34.07, r0180, c0050, sum(s0001, s0002)}</t>
  </si>
  <si>
    <t>{C 34.07, r0180, c0060, sum(s0001, s0002)}</t>
  </si>
  <si>
    <t xml:space="preserve">{C 34.07, r0180, c0070, sum(s0001, s0002)} </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</si>
  <si>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</si>
  <si>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</si>
  <si>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</si>
  <si>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</si>
  <si>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</si>
  <si>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</si>
  <si>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</si>
  <si>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</si>
  <si>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</si>
  <si>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</si>
  <si>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</si>
  <si>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</si>
  <si>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</si>
  <si>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</si>
  <si>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Other collateral</t>
  </si>
  <si>
    <t>Template EU CCR6 – Credit derivatives exposures</t>
  </si>
  <si>
    <t>Fixed</t>
  </si>
  <si>
    <t>Protection bought</t>
  </si>
  <si>
    <t>Protection sold</t>
  </si>
  <si>
    <t>Notionals</t>
  </si>
  <si>
    <t>Single-name credit default swaps</t>
  </si>
  <si>
    <t>{C 34.09, r0010, c0010}</t>
  </si>
  <si>
    <t>{C 34.09, r0010, c0020}</t>
  </si>
  <si>
    <t>Index credit default swaps</t>
  </si>
  <si>
    <t>{C 34.09, r0020, c0010}</t>
  </si>
  <si>
    <t>{C 34.09, r0020, c0020}</t>
  </si>
  <si>
    <t>Total return swaps</t>
  </si>
  <si>
    <t>{C 34.09, r0030, c0010}</t>
  </si>
  <si>
    <t>{C 34.09, r0030, c0020}</t>
  </si>
  <si>
    <t>Credit options</t>
  </si>
  <si>
    <t>{C 34.09, r0040, c0010}</t>
  </si>
  <si>
    <t>{C 34.09, r0040, c0020}</t>
  </si>
  <si>
    <t>Other credit derivatives</t>
  </si>
  <si>
    <t>{C 34.09, r0050, c0010}</t>
  </si>
  <si>
    <t>{C 34.09, r0050, c0020}</t>
  </si>
  <si>
    <t>Total notionals</t>
  </si>
  <si>
    <t>{C 34.09, r0060, c0010}</t>
  </si>
  <si>
    <t>{C 34.09, r0060, c0020}</t>
  </si>
  <si>
    <t>Fair values</t>
  </si>
  <si>
    <t>Positive fair value (asset)</t>
  </si>
  <si>
    <t>{C 34.09, r0070, c0030}</t>
  </si>
  <si>
    <t>{C 34.09, r0070, c0040}</t>
  </si>
  <si>
    <t>Negative fair value (liability)</t>
  </si>
  <si>
    <t>{C 34.09, r0080, c0030}</t>
  </si>
  <si>
    <t>{C 34.09, r0080, c0040}</t>
  </si>
  <si>
    <t>Template EU CCR7 – RWEA flow statements of CCR exposures under the IMM</t>
  </si>
  <si>
    <t xml:space="preserve">RWEA </t>
  </si>
  <si>
    <t>RWEA as at the end of the previous reporting period</t>
  </si>
  <si>
    <t>For large institutions that are G-SIIs or listed institutions:
{C 34.11, r0010, c0010};
For all other large institutions:
{C 34.11, r0010, c0020}</t>
  </si>
  <si>
    <t>Asset size</t>
  </si>
  <si>
    <t>For large institutions that are G-SIIs or listed institutions:
{C 34.11, r0020, c0010};
For all other large institutions:
{C 34.11, r0020, c0020}</t>
  </si>
  <si>
    <t>Credit quality of counterparties</t>
  </si>
  <si>
    <t>For large institutions that are G-SIIs or listed institutions:
{C 34.11, r0030, c0010};
For all other large institutions:
{C 34.11, r0030, c0020}</t>
  </si>
  <si>
    <t>Model updates (IMM only)</t>
  </si>
  <si>
    <t>For large institutions that are G-SIIs or listed institutions:
{C 34.11, r0040, c0010};
For all other large institutions:
{C 34.11, r0040, c0020}</t>
  </si>
  <si>
    <t>Methodology and policy (IMM only)</t>
  </si>
  <si>
    <t>For large institutions that are G-SIIs or listed institutions:
{C 34.11, r0050, c0010};
For all other large institutions:
{C 34.11, r0050, c0020}</t>
  </si>
  <si>
    <t>Acquisitions and disposals</t>
  </si>
  <si>
    <t>For large institutions that are G-SIIs or listed institutions:
{C 34.11, r0060, c0010};
For all other large institutions:
{C 34.11, r0060, c0020}</t>
  </si>
  <si>
    <t>Foreign exchange movements</t>
  </si>
  <si>
    <t>For large institutions that are G-SIIs or listed institutions:
{C 34.11, r0070, c0010};
For all other large institutions:
{C 34.11, r0070, c0020}</t>
  </si>
  <si>
    <t>Other</t>
  </si>
  <si>
    <t>For large institutions that are G-SIIs or listed institutions:
{C 34.11, r0080, c0010};
For all other large institutions:
{C 34.11, r0080, c0020}</t>
  </si>
  <si>
    <t>RWEA as at the end of the current reporting period</t>
  </si>
  <si>
    <t>For large institutions that are G-SIIs or listed institutions:
{C 34.11, r0090, c0010};
For all other large institutions:
{C 34.11, r0090, c0020}</t>
  </si>
  <si>
    <t>Template EU CCR8 – Exposures to 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</si>
  <si>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</si>
  <si>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</si>
  <si>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</si>
  <si>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</si>
  <si>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</si>
  <si>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</si>
  <si>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</si>
  <si>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</si>
  <si>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</si>
  <si>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</si>
  <si>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</si>
  <si>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</si>
  <si>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</si>
  <si>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 xml:space="preserve">Template EU CR1: Performing and non-performing exposures and related provisions. </t>
  </si>
  <si>
    <t>n</t>
  </si>
  <si>
    <t>o</t>
  </si>
  <si>
    <t>Gross carrying amount/nominal amount</t>
  </si>
  <si>
    <t>Accumulated impairment, accumulated negative changes in fair value due to credit risk and provisions</t>
  </si>
  <si>
    <t>Accumulated  partial write-off</t>
  </si>
  <si>
    <t>Collaterals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</si>
  <si>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</si>
  <si>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</si>
  <si>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</si>
  <si>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</si>
  <si>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</si>
  <si>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</si>
  <si>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</si>
  <si>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</si>
  <si>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</si>
  <si>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</si>
  <si>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</si>
  <si>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</si>
  <si>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</si>
  <si>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</si>
  <si>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</si>
  <si>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</si>
  <si>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</si>
  <si>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</si>
  <si>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</si>
  <si>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</si>
  <si>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</si>
  <si>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</si>
  <si>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Of which: SMEs</t>
  </si>
  <si>
    <t>080</t>
  </si>
  <si>
    <t>Households</t>
  </si>
  <si>
    <t>090</t>
  </si>
  <si>
    <t>Debt Securities</t>
  </si>
  <si>
    <t>100</t>
  </si>
  <si>
    <t>110</t>
  </si>
  <si>
    <t>120</t>
  </si>
  <si>
    <t>130</t>
  </si>
  <si>
    <t>140</t>
  </si>
  <si>
    <t>150</t>
  </si>
  <si>
    <t>Off-balance sheet exposures</t>
  </si>
  <si>
    <t>160</t>
  </si>
  <si>
    <t>170</t>
  </si>
  <si>
    <t>180</t>
  </si>
  <si>
    <t>190</t>
  </si>
  <si>
    <t>200</t>
  </si>
  <si>
    <t>210</t>
  </si>
  <si>
    <t>220</t>
  </si>
  <si>
    <t xml:space="preserve">Gross carrying amount               </t>
  </si>
  <si>
    <t>Initial stock of non-performing loans and advances</t>
  </si>
  <si>
    <t>={F 24.01,r0010,c0010}</t>
  </si>
  <si>
    <t>Inflows to non-performing portfolios</t>
  </si>
  <si>
    <t>={F 24.01,r0020,c0010}</t>
  </si>
  <si>
    <t>Outflows from non-performing portfolios</t>
  </si>
  <si>
    <t>={F 24.01,r0120,c0010}</t>
  </si>
  <si>
    <t>Outflows due to write-offs</t>
  </si>
  <si>
    <t>={F 24.01,r0280,c0010}</t>
  </si>
  <si>
    <t>Outflow due to other situations</t>
  </si>
  <si>
    <t>={F 24.01,sum(r0130,r0140,r0150,r0160,r0190,r0220,r0250,r0290,r0300),c0010}</t>
  </si>
  <si>
    <t>Final stock of non-performing loans and advances</t>
  </si>
  <si>
    <t>={F 24.01,r0320,c0010}</t>
  </si>
  <si>
    <t>Template EU CR2a: Changes in the stock of non-performing loans and advances and related net accumulated recoveries</t>
  </si>
  <si>
    <t>Gross carrying amount</t>
  </si>
  <si>
    <t>Related net cumulated recoveries</t>
  </si>
  <si>
    <t>= {F 24.01, r0010, c0010}</t>
  </si>
  <si>
    <t>Inflows to non performing portfolios</t>
  </si>
  <si>
    <t>= {F 24.01, r0020, c0010}</t>
  </si>
  <si>
    <t>= {F 24.01, r0120, c0010}</t>
  </si>
  <si>
    <t>Outflow to performing portfolio</t>
  </si>
  <si>
    <t>= {F 24.01, sum (r0130, r0140), c0010}</t>
  </si>
  <si>
    <t>Outflow due to loan repayment, partial or total</t>
  </si>
  <si>
    <t>= {F 24.01, r0150, c0010}</t>
  </si>
  <si>
    <t>Outflow due to collateral liquidations</t>
  </si>
  <si>
    <t>= {F 24.01, r0160, c0010}</t>
  </si>
  <si>
    <t>= {F 24.01, r0170, c0010}</t>
  </si>
  <si>
    <t>Outflow due to taking possession of collateral</t>
  </si>
  <si>
    <t>= {F 24.01, r0190, c0010}</t>
  </si>
  <si>
    <t>= {F 24.01, r0200, c0010}</t>
  </si>
  <si>
    <t>Outflow due to sale of instruments</t>
  </si>
  <si>
    <t>= {F 24.01, r0220, c0010}</t>
  </si>
  <si>
    <t>= {F 24.01, r0230, c0010}</t>
  </si>
  <si>
    <t>Outflow due to risk transfers</t>
  </si>
  <si>
    <t>= {F 24.01, r0250, c0010}</t>
  </si>
  <si>
    <t>= {F 24.01, r0260, c0010}</t>
  </si>
  <si>
    <t>= {F 24.01, r0280, c0010}</t>
  </si>
  <si>
    <t>Outflow due to Other Situations</t>
  </si>
  <si>
    <t>= {F 24.01, r0300, c0010}</t>
  </si>
  <si>
    <t>Outflow due to reclassification as held for sale</t>
  </si>
  <si>
    <t>={F 24.01, r0290, c0010}</t>
  </si>
  <si>
    <t>*Mapping is not available for the moment</t>
  </si>
  <si>
    <t>= {F 24.01, r0320, c0010}</t>
  </si>
  <si>
    <t>Template EU CR3 –  CRM techniques overview:  Disclosure of the use of credit risk mitigation techniques</t>
  </si>
  <si>
    <t xml:space="preserve">Unsecured carrying amount </t>
  </si>
  <si>
    <t>Secured carrying amount</t>
  </si>
  <si>
    <t xml:space="preserve">Debt securities </t>
  </si>
  <si>
    <t xml:space="preserve">     Of which non-performing exposures</t>
  </si>
  <si>
    <t>EU-5</t>
  </si>
  <si>
    <t xml:space="preserve">            Of which defaulted </t>
  </si>
  <si>
    <t>Template EU CR4 – standardised approach – Credit risk exposure and CRM effects</t>
  </si>
  <si>
    <t xml:space="preserve"> Exposure classes</t>
  </si>
  <si>
    <t>Exposures before CCF and before CRM</t>
  </si>
  <si>
    <t>Exposures post CCF and post CRM</t>
  </si>
  <si>
    <t>RWAs and RWAs density</t>
  </si>
  <si>
    <t>On-balance-sheet exposures</t>
  </si>
  <si>
    <t>Off-balance-sheet exposures</t>
  </si>
  <si>
    <t xml:space="preserve">RWEA density (%) </t>
  </si>
  <si>
    <t>Central governments or central banks</t>
  </si>
  <si>
    <t>Regional government or local authorities</t>
  </si>
  <si>
    <t>Secured by mortgages on immovable property</t>
  </si>
  <si>
    <t>Exposures in default</t>
  </si>
  <si>
    <t>Exposures associated with particularly high risk</t>
  </si>
  <si>
    <t>Covered bonds</t>
  </si>
  <si>
    <t>Collective investment undertakings</t>
  </si>
  <si>
    <t>Equity</t>
  </si>
  <si>
    <t>TOTAL</t>
  </si>
  <si>
    <t>Template EU CR5 – standardised approach</t>
  </si>
  <si>
    <t>Of which unrated</t>
  </si>
  <si>
    <t>p</t>
  </si>
  <si>
    <t>q</t>
  </si>
  <si>
    <t>Unit or shares in collective investment undertakings</t>
  </si>
  <si>
    <t>A-IRB</t>
  </si>
  <si>
    <t>On-balance sheet exposures</t>
  </si>
  <si>
    <t>Off-balance-sheet exposures pre-CCF</t>
  </si>
  <si>
    <t>Exposure weighted average CCF</t>
  </si>
  <si>
    <t>Exposure post CCF and post CRM</t>
  </si>
  <si>
    <t>Exposure weighted average maturity ( years)</t>
  </si>
  <si>
    <t>Risk weighted exposure amount after supporting factors</t>
  </si>
  <si>
    <t>Expected loss amount</t>
  </si>
  <si>
    <t>Value adjust-ments and provisions</t>
  </si>
  <si>
    <t>0.00 to &lt;0.10</t>
  </si>
  <si>
    <t>0.10  to &lt;0.15</t>
  </si>
  <si>
    <t>0.75 to &lt;1.75</t>
  </si>
  <si>
    <t>1.75 to &lt;2.5</t>
  </si>
  <si>
    <t>2.5 to &lt;5</t>
  </si>
  <si>
    <t>5 to &lt;10</t>
  </si>
  <si>
    <t>10 to &lt;20</t>
  </si>
  <si>
    <t>20 to &lt;30</t>
  </si>
  <si>
    <t>30.00 to &lt;100.00</t>
  </si>
  <si>
    <t>Total (all exposures classes)</t>
  </si>
  <si>
    <t>F-IRB</t>
  </si>
  <si>
    <t>Off-balance-sheet exposures  pre-CCF</t>
  </si>
  <si>
    <t>Template EU CR6-A – Scope of the use of IRB and SA approaches</t>
  </si>
  <si>
    <t>Exposure value as defined in Article 166 CRR for exposures subject to IRB approach</t>
  </si>
  <si>
    <t>Total exposure value for exposures subject to the Standardised approach and to the IRB approach</t>
  </si>
  <si>
    <t>Percentage of total exposure value subject to the permanent partial use of the SA (%)</t>
  </si>
  <si>
    <t>Percentage of total exposure value subject to a roll-out plan (%)</t>
  </si>
  <si>
    <t>Percentage of total exposure value subject to IRB Approach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</si>
  <si>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</si>
  <si>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</si>
  <si>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</si>
  <si>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</si>
  <si>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</si>
  <si>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</si>
  <si>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Qualifying revolving</t>
  </si>
  <si>
    <t>of which Retail – Other SMEs</t>
  </si>
  <si>
    <t>of which Retail – Other non-SMEs</t>
  </si>
  <si>
    <t>Other non-credit obligation assets</t>
  </si>
  <si>
    <t xml:space="preserve">Total </t>
  </si>
  <si>
    <t>Template EU CR7 – IRB approach – Effect on the RWEAs of credit derivatives used as CRM techniques</t>
  </si>
  <si>
    <t>Pre-credit derivatives risk weighted exposure amount</t>
  </si>
  <si>
    <t>Actual risk weighted exposure amount</t>
  </si>
  <si>
    <r>
      <t>Exposures under F</t>
    </r>
    <r>
      <rPr>
        <b/>
        <sz val="8.5"/>
        <color rgb="FF00B050"/>
        <rFont val="Segoe UI"/>
        <family val="2"/>
      </rPr>
      <t>-</t>
    </r>
    <r>
      <rPr>
        <b/>
        <sz val="8.5"/>
        <color theme="1"/>
        <rFont val="Segoe UI"/>
        <family val="2"/>
      </rPr>
      <t>IRB</t>
    </r>
  </si>
  <si>
    <t>{C 08.01, r0010 - r0040 - r0050 - r0060, c0310, s0002}</t>
  </si>
  <si>
    <t>{C 08.01, r0010 - r0040 - r0050 - r0060, c0260, s0002}</t>
  </si>
  <si>
    <t>Central governments and central banks</t>
  </si>
  <si>
    <t>{C 08.01, r0010 - r0040 - r0050 - r0060, c0310, s0004}</t>
  </si>
  <si>
    <t>{C 08.01, r0010 - r0040 - r0050 - r0060, c0260, s0004}</t>
  </si>
  <si>
    <t>{C 08.01, r0010 - r0040 - r0050 - r0060, c0310, s0006}</t>
  </si>
  <si>
    <t>{C 08.01, r0010 - r0040 - r0050 - r0060, c0260, s0006}</t>
  </si>
  <si>
    <t xml:space="preserve">Corporates </t>
  </si>
  <si>
    <t>{C 08.01, r0010 - r0040 - r0050 - r0060, c0310, s0008+s0010+s0012}</t>
  </si>
  <si>
    <t>{C 08.01, r0010 - r0040 - r0050 - r0060, c0260, s0008+s0010+s0012}</t>
  </si>
  <si>
    <t>of which Corporates - SMEs</t>
  </si>
  <si>
    <t>{C 08.01, r0010 - r0040 - r0050 - r0060, c0310, s0008}</t>
  </si>
  <si>
    <t>{C 08.01, r0010 - r0040 - r0050 - r0060, c0260, s0008}</t>
  </si>
  <si>
    <t>of which Corporates - Specialised lending</t>
  </si>
  <si>
    <t>{C 08.01, r0010 - r0040 - r0050 - r0060, c0310, s0010}</t>
  </si>
  <si>
    <t>{C 08.01, r0010 - r0040 - r0050 - r0060, c0260, s0010}</t>
  </si>
  <si>
    <r>
      <t>Exposures under A</t>
    </r>
    <r>
      <rPr>
        <b/>
        <sz val="8.5"/>
        <color rgb="FF00B050"/>
        <rFont val="Segoe UI"/>
        <family val="2"/>
      </rPr>
      <t>-</t>
    </r>
    <r>
      <rPr>
        <b/>
        <sz val="8.5"/>
        <color theme="1"/>
        <rFont val="Segoe UI"/>
        <family val="2"/>
      </rPr>
      <t>IRB</t>
    </r>
  </si>
  <si>
    <t>{C 08.01, r0010 - r0040 - r0050 - r0060, c0310, s0001}</t>
  </si>
  <si>
    <t>{C 08.01, r0010 - r0040 - r0050 - r0060, c0260, s0001}</t>
  </si>
  <si>
    <t>{C 08.01, r0010 - r0040 - r0050 - r0060, c0310, s0003}</t>
  </si>
  <si>
    <t>{C 08.01, r0010 - r0040 - r0050 - r0060, c0260, s0003}</t>
  </si>
  <si>
    <t>{C 08.01, r0010 - r0040 - r0050 - r0060, c0310, s0005}</t>
  </si>
  <si>
    <t>{C 08.01, r0010 - r0040 - r0050 - r0060, c0260, s0005}</t>
  </si>
  <si>
    <t>{C 08.01, r0010 - r0040 - r0050 - r0060, c0310, s0007+s0009+s0011}</t>
  </si>
  <si>
    <t>{C 08.01, r0010 - r0040 - r0050 - r0060, c0260, s0007+s0009+s0011}</t>
  </si>
  <si>
    <t>{C 08.01, r0010 - r0040 - r0050 - r0060, c0310, s0007}</t>
  </si>
  <si>
    <t>{C 08.01, r0010 - r0040 - r0050 - r0060, c0260, s0007}</t>
  </si>
  <si>
    <t>{C 08.01, r0010 - r0040 - r0050 - r0060, c0310, s0009}</t>
  </si>
  <si>
    <t>{C 08.01, r0010 - r0040 - r0050 - r0060, c0260, s0009}</t>
  </si>
  <si>
    <t>{C 08.01, r0010 - r0040 - r0050 - r0060, c0310, sum(s0013-s0017)}</t>
  </si>
  <si>
    <t>{C 08.01, r0010 - r0040 - r0050 - r0060, c0260, sum(s0013-s0017)}</t>
  </si>
  <si>
    <t xml:space="preserve">of which Retail – SMEs - Secured by immovable property collateral </t>
  </si>
  <si>
    <t>{C 08.01, r0010 - r0040 - r0050 - r0060, c0310, s0013}</t>
  </si>
  <si>
    <t>{C 08.01, r0010 - r0040 - r0050 - r0060, c0260, s0013}</t>
  </si>
  <si>
    <t>of which Retail – non-SMEs - Secured by immovable property collateral</t>
  </si>
  <si>
    <t>{C 08.01, r0010 - r0040 - r0050 - r0060, c0310, s0014}</t>
  </si>
  <si>
    <t>{C 08.01, r0010 - r0040 - r0050 - r0060, c0260, s0014}</t>
  </si>
  <si>
    <t>{C 08.01, r0010 - r0040 - r0050 - r0060, c0310, s0015}</t>
  </si>
  <si>
    <t>{C 08.01, r0010 - r0040 - r0050 - r0060, c0260, s0015}</t>
  </si>
  <si>
    <t>of which Retail – SMEs - Other</t>
  </si>
  <si>
    <t>{C 08.01, r0010 - r0040 - r0050 - r0060, c0310, s0016}</t>
  </si>
  <si>
    <t>{C 08.01, r0010 - r0040 - r0050 - r0060, c0260, s0016}</t>
  </si>
  <si>
    <t>of which Retail – Non-SMEs- Other</t>
  </si>
  <si>
    <t>{C 08.01, r0010 - r0040 - r0050 - r0060, c0310, s0017}</t>
  </si>
  <si>
    <t>{C 08.01, r0010 - r0040 - r0050 - r0060, c0260, s0017}</t>
  </si>
  <si>
    <r>
      <t>TOTAL (including F</t>
    </r>
    <r>
      <rPr>
        <b/>
        <sz val="8.5"/>
        <color rgb="FF00B050"/>
        <rFont val="Segoe UI"/>
        <family val="2"/>
      </rPr>
      <t>-</t>
    </r>
    <r>
      <rPr>
        <b/>
        <sz val="8.5"/>
        <color theme="1"/>
        <rFont val="Segoe UI"/>
        <family val="2"/>
      </rPr>
      <t>IRB exposures and A</t>
    </r>
    <r>
      <rPr>
        <b/>
        <sz val="8.5"/>
        <color rgb="FF00B050"/>
        <rFont val="Segoe UI"/>
        <family val="2"/>
      </rPr>
      <t>-</t>
    </r>
    <r>
      <rPr>
        <b/>
        <sz val="8.5"/>
        <color theme="1"/>
        <rFont val="Segoe UI"/>
        <family val="2"/>
      </rPr>
      <t>IRB exposures)</t>
    </r>
  </si>
  <si>
    <t>line 1+5</t>
  </si>
  <si>
    <t>Template EU CR7-A – IRB approach – Disclosure of the extent of the use of CRM techniques</t>
  </si>
  <si>
    <t xml:space="preserve">Total exposures
</t>
  </si>
  <si>
    <t>Credit risk Mitigation techniques</t>
  </si>
  <si>
    <t>Credit risk Mitigation methods in the calculation of RWEAs</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</si>
  <si>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</si>
  <si>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</si>
  <si>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</si>
  <si>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</si>
  <si>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</si>
  <si>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</si>
  <si>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</si>
  <si>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</si>
  <si>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 xml:space="preserve">Template EU CR8 –  RWEA flow statements of credit risk exposures under the IRB approach </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</si>
  <si>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</si>
  <si>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</si>
  <si>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</si>
  <si>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</si>
  <si>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</si>
  <si>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</si>
  <si>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</si>
  <si>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</si>
  <si>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</si>
  <si>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</si>
  <si>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Template CR9 –IRB approach – Back-testing of PD per exposure class (fixed PD scale)</t>
  </si>
  <si>
    <t>Exposure class</t>
  </si>
  <si>
    <t>Observed average default rate (%)</t>
  </si>
  <si>
    <t xml:space="preserve"> Exposures weighted average PD (%)</t>
  </si>
  <si>
    <t xml:space="preserve"> Average PD (%)</t>
  </si>
  <si>
    <t xml:space="preserve"> Average historical annual default rate (%) </t>
  </si>
  <si>
    <t>of which: number of obligors which defaulted during the year</t>
  </si>
  <si>
    <t xml:space="preserve"> d</t>
  </si>
  <si>
    <t xml:space="preserve"> f</t>
  </si>
  <si>
    <t xml:space="preserve"> g</t>
  </si>
  <si>
    <t>Template CR9.1 –IRB approach – Back-testing of PD per exposure class (only for PD estimates according to point (f) of Article 180(1) CRR)</t>
  </si>
  <si>
    <t>PD range</t>
  </si>
  <si>
    <t>External
rating
equivalent</t>
  </si>
  <si>
    <t>Average PD 
 (%)</t>
  </si>
  <si>
    <t>Average historical annual default rate (%)</t>
  </si>
  <si>
    <t>of which: number of
obligors which defaulted during the year</t>
  </si>
  <si>
    <t>Number of obligors at the end of the year</t>
  </si>
  <si>
    <t>Template EU CR10 –  Specialised lending and equity exposures under the simple riskweighted approach</t>
  </si>
  <si>
    <t>Template EU CR10.1</t>
  </si>
  <si>
    <t>Template EU CR10.5</t>
  </si>
  <si>
    <t>Specialised lending : Project finance (Slotting approach)</t>
  </si>
  <si>
    <t>Equity exposures under the simple risk-weighted approach</t>
  </si>
  <si>
    <t>Regulatory categories</t>
  </si>
  <si>
    <t>Remaining maturity</t>
  </si>
  <si>
    <t>On-balance sheet exposure</t>
  </si>
  <si>
    <t>Off-balance sheet exposure</t>
  </si>
  <si>
    <t>Categories</t>
  </si>
  <si>
    <t>On-balancesheet exposure</t>
  </si>
  <si>
    <t>Off-balancesheet exposure</t>
  </si>
  <si>
    <t>Category 1</t>
  </si>
  <si>
    <t>Less than 2.5 years</t>
  </si>
  <si>
    <t>{C 08.06, r0010, c0020-c0030, [TSL=eba_TA:x129]}</t>
  </si>
  <si>
    <t>{C 08.06, r0010, c0030, [TSL=eba_TA:x129]}</t>
  </si>
  <si>
    <t>{C 08.06, r0010, c0040, [TSL=eba_TA:x129]}</t>
  </si>
  <si>
    <t>{C 08.06, r0010, c0080, [TSL=eba_TA:x129]}</t>
  </si>
  <si>
    <t>{C 08.06, r0010, c0090, [TSL=eba_TA:x129]}</t>
  </si>
  <si>
    <t>Private equity exposures</t>
  </si>
  <si>
    <t>{C 10.01, r0070, c0060-c0061}</t>
  </si>
  <si>
    <t>{C 10.01, r0070, c0061}</t>
  </si>
  <si>
    <t>{C 10.01, r0070, c0060}</t>
  </si>
  <si>
    <t>{C 10.01, r0070, c0080}</t>
  </si>
  <si>
    <t>{C 10.01, r0070, c0090}</t>
  </si>
  <si>
    <t>Equal to or more than 2.5 years</t>
  </si>
  <si>
    <t>{C 08.06, r0020, c0020-c0030, [TSL=eba_TA:x129]}</t>
  </si>
  <si>
    <t>{C 08.06, r0020, c0030, [TSL=eba_TA:x129]}</t>
  </si>
  <si>
    <t>{C 08.06, r0020, c0040, [TSL=eba_TA:x129]}</t>
  </si>
  <si>
    <t>{C 08.06, r0020, c0080, [TSL=eba_TA:x129]}</t>
  </si>
  <si>
    <t>{C 08.06, r0020, c0090, [TSL=eba_TA:x129]}</t>
  </si>
  <si>
    <t>Exchange-traded equity exposures</t>
  </si>
  <si>
    <t>{C 10.01, r0080, c0060-c0061}</t>
  </si>
  <si>
    <t>{C 10.01, r0080, c0061}</t>
  </si>
  <si>
    <t>{C 10.01, r0080, c0060}</t>
  </si>
  <si>
    <t>{C 10.01, r0080, c0080}</t>
  </si>
  <si>
    <t>{C 10.01, r0080, c0090}</t>
  </si>
  <si>
    <t>Category 2</t>
  </si>
  <si>
    <t>{C 08.06, r0030, c0020-c0030, [TSL=eba_TA:x129]}</t>
  </si>
  <si>
    <t>{C 08.06, r0030, c0030, [TSL=eba_TA:x129]}</t>
  </si>
  <si>
    <t>{C 08.06, r0030, c0040, [TSL=eba_TA:x129]}</t>
  </si>
  <si>
    <t>{C 08.06, r0030, c0080, [TSL=eba_TA:x129]}</t>
  </si>
  <si>
    <t>{C 08.06, r0030, c0090, [TSL=eba_TA:x129]}</t>
  </si>
  <si>
    <t>Other equity exposures</t>
  </si>
  <si>
    <t>{C 10.01, r0090, c0060-c0061}</t>
  </si>
  <si>
    <t>{C 10.01, r0090, c0061}</t>
  </si>
  <si>
    <t>{C 10.01, r0090, c0060}</t>
  </si>
  <si>
    <t>{C 10.01, r0090, c0080}</t>
  </si>
  <si>
    <t>{C 10.01, r0090, c0090}</t>
  </si>
  <si>
    <t>{C 08.06, r0040, c0020-c0030, [TSL=eba_TA:x129]}</t>
  </si>
  <si>
    <t>{C 08.06, r0040, c0030, [TSL=eba_TA:x129]}</t>
  </si>
  <si>
    <t>{C 08.06, r0040, c0040, [TSL=eba_TA:x129]}</t>
  </si>
  <si>
    <t>{C 08.06, r0040, c0080, [TSL=eba_TA:x129]}</t>
  </si>
  <si>
    <t>{C 08.06, r0040, c0090, [TSL=eba_TA:x129]}</t>
  </si>
  <si>
    <t>{C 10.01, r0050, c0060-c0061}</t>
  </si>
  <si>
    <t>{C 10.01, r0050, c0061}</t>
  </si>
  <si>
    <t>{C 10.01, r0050, c0060}</t>
  </si>
  <si>
    <t>{C 10.01, r0050, c0090}</t>
  </si>
  <si>
    <t>Category 3</t>
  </si>
  <si>
    <t>{C 08.06, r0050, c0020-c0030, [TSL=eba_TA:x129]}</t>
  </si>
  <si>
    <t>{C 08.06, r0050, c0030, [TSL=eba_TA:x129]}</t>
  </si>
  <si>
    <t>{C 08.06, r0050, c0040, [TSL=eba_TA:x129]}</t>
  </si>
  <si>
    <t>{C 08.06, r0050, c0080, [TSL=eba_TA:x129]}</t>
  </si>
  <si>
    <t>{C 08.06, r0050, c0090, [TSL=eba_TA:x129]}</t>
  </si>
  <si>
    <t>{C 08.06, r0060, c0020-c0030, [TSL=eba_TA:x129]}</t>
  </si>
  <si>
    <t>{C 08.06, r0060, c0030, [TSL=eba_TA:x129]}</t>
  </si>
  <si>
    <t>{C 08.06, r0060, c0040, [TSL=eba_TA:x129]}</t>
  </si>
  <si>
    <t>{C 08.06, r0060, c0080, [TSL=eba_TA:x129]}</t>
  </si>
  <si>
    <t>{C 08.06, r0060, c0090, [TSL=eba_TA:x129]}</t>
  </si>
  <si>
    <t>Category 4</t>
  </si>
  <si>
    <t>{C 08.06, r0070, c0020-c0030, [TSL=eba_TA:x129]}</t>
  </si>
  <si>
    <t>{C 08.06, r0070, c0030, [TSL=eba_TA:x129]}</t>
  </si>
  <si>
    <t>{C 08.06, r0070, c0040, [TSL=eba_TA:x129]}</t>
  </si>
  <si>
    <t>{C 08.06, r0070, c0080, [TSL=eba_TA:x129]}</t>
  </si>
  <si>
    <t>{C 08.06, r0070, c0090, [TSL=eba_TA:x129]}</t>
  </si>
  <si>
    <t>{C 08.06, r0080, c0020-c0030, [TSL=eba_TA:x129]}</t>
  </si>
  <si>
    <t>{C 08.06, r0080, c0030, [TSL=eba_TA:x129]}</t>
  </si>
  <si>
    <t>{C 08.06, r0080, c0040, [TSL=eba_TA:x129]}</t>
  </si>
  <si>
    <t>{C 08.06, r0080, c0080, [TSL=eba_TA:x129]}</t>
  </si>
  <si>
    <t>{C 08.06, r0080, c0090, [TSL=eba_TA:x129]}</t>
  </si>
  <si>
    <t>Category 5</t>
  </si>
  <si>
    <t>{C 08.06, r0090, c0020-c0030, [TSL=eba_TA:x129]}</t>
  </si>
  <si>
    <t>{C 08.06, r0090, c0030, [TSL=eba_TA:x129]}</t>
  </si>
  <si>
    <t>-</t>
  </si>
  <si>
    <t>{C 08.06, r0090, c0040, [TSL=eba_TA:x129]}</t>
  </si>
  <si>
    <t>{C 08.06, r0090, c0080, [TSL=eba_TA:x129]}</t>
  </si>
  <si>
    <t>{C 08.06, r0090, c0090, [TSL=eba_TA:x129]}</t>
  </si>
  <si>
    <t>{C 08.06, r0100, c0020-c0030, [TSL=eba_TA:x129]}</t>
  </si>
  <si>
    <t>{C 08.06, r0100, c0030, [TSL=eba_TA:x129]}</t>
  </si>
  <si>
    <t>{C 08.06, r0100, c0040, [TSL=eba_TA:x129]}</t>
  </si>
  <si>
    <t>{C 08.06, r0100, c0080, [TSL=eba_TA:x129]}</t>
  </si>
  <si>
    <t>{C 08.06, r0100, c0090, [TSL=eba_TA:x129]}</t>
  </si>
  <si>
    <t>{C 08.06, r0110, c0020-c0030, [TSL=eba_TA:x129]}</t>
  </si>
  <si>
    <t>{C 08.06, r0110, c0030, [TSL=eba_TA:x129]}</t>
  </si>
  <si>
    <t>{C 08.06, r0110, c0040, [TSL=eba_TA:x129]}</t>
  </si>
  <si>
    <t>{C 08.06, r0110, c0080, [TSL=eba_TA:x129]}</t>
  </si>
  <si>
    <t>{C 08.06, r0110, c0090, [TSL=eba_TA:x129]}</t>
  </si>
  <si>
    <t>{C 08.06, r0120, c0020-c0030, [TSL=eba_TA:x129]}</t>
  </si>
  <si>
    <t>{C 08.06, r0120, c0030, [TSL=eba_TA:x129]}</t>
  </si>
  <si>
    <t>{C 08.06, r0120, c0040, [TSL=eba_TA:x129]}</t>
  </si>
  <si>
    <t>{C 08.06, r0120, c0080, [TSL=eba_TA:x129]}</t>
  </si>
  <si>
    <t>{C 08.06, r0120, c0090, [TSL=eba_TA:x129]}</t>
  </si>
  <si>
    <t>Template EU CR10.2</t>
  </si>
  <si>
    <t>Specialised lending : Income-producing real estate and  high volatility commercial real estate (Slotting approach)</t>
  </si>
  <si>
    <t>{C 08.06, r0010, c0020-c0030, [TSL=eba_TA:x130]}</t>
  </si>
  <si>
    <t>{C 08.06, r0010, c0030, [TSL=eba_TA:x130]}</t>
  </si>
  <si>
    <t>{C 08.06, r0010, c0040, [TSL=eba_TA:x130]}</t>
  </si>
  <si>
    <t>{C 08.06, r0010, c0080, [TSL=eba_TA:x130]}</t>
  </si>
  <si>
    <t>{C 08.06, r0010, c0090, [TSL=eba_TA:x130]}</t>
  </si>
  <si>
    <t>{C 08.06, r0020, c0020-c0030, [TSL=eba_TA:x130]}</t>
  </si>
  <si>
    <t>{C 08.06, r0020, c0030, [TSL=eba_TA:x130]}</t>
  </si>
  <si>
    <t>{C 08.06, r0020, c0040, [TSL=eba_TA:x130]}</t>
  </si>
  <si>
    <t>{C 08.06, r0020, c0080, [TSL=eba_TA:x130]}</t>
  </si>
  <si>
    <t>{C 08.06, r0020, c0090, [TSL=eba_TA:x130]}</t>
  </si>
  <si>
    <t>{C 08.06, r0030, c0020-c0030, [TSL=eba_TA:x130]}</t>
  </si>
  <si>
    <t>{C 08.06, r0030, c0030, [TSL=eba_TA:x130]}</t>
  </si>
  <si>
    <t>{C 08.06, r0030, c0040, [TSL=eba_TA:x130]}</t>
  </si>
  <si>
    <t>{C 08.06, r0030, c0080, [TSL=eba_TA:x130]}</t>
  </si>
  <si>
    <t>{C 08.06, r0030, c0090, [TSL=eba_TA:x130]}</t>
  </si>
  <si>
    <t>{C 08.06, r0040, c0020-c0030, [TSL=eba_TA:x130]}</t>
  </si>
  <si>
    <t>{C 08.06, r0040, c0030, [TSL=eba_TA:x130]}</t>
  </si>
  <si>
    <t>{C 08.06, r0040, c0040, [TSL=eba_TA:x130]}</t>
  </si>
  <si>
    <t>{C 08.06, r0040, c0080, [TSL=eba_TA:x130]}</t>
  </si>
  <si>
    <t>{C 08.06, r0040, c0090, [TSL=eba_TA:x130]}</t>
  </si>
  <si>
    <t>{C 08.06, r0050, c0020-c0030, [TSL=eba_TA:x130]}</t>
  </si>
  <si>
    <t>{C 08.06, r0050, c0030, [TSL=eba_TA:x130]}</t>
  </si>
  <si>
    <t>{C 08.06, r0050, c0040, [TSL=eba_TA:x130]}</t>
  </si>
  <si>
    <t>{C 08.06, r0050, c0080, [TSL=eba_TA:x130]}</t>
  </si>
  <si>
    <t>{C 08.06, r0050, c0090, [TSL=eba_TA:x130]}</t>
  </si>
  <si>
    <t>{C 08.06, r0060, c0020-c0030, [TSL=eba_TA:x130]}</t>
  </si>
  <si>
    <t>{C 08.06, r0060, c0030, [TSL=eba_TA:x130]}</t>
  </si>
  <si>
    <t>{C 08.06, r0060, c0040, [TSL=eba_TA:x130]}</t>
  </si>
  <si>
    <t>{C 08.06, r0060, c0080, [TSL=eba_TA:x130]}</t>
  </si>
  <si>
    <t>{C 08.06, r0060, c0090, [TSL=eba_TA:x130]}</t>
  </si>
  <si>
    <t>{C 08.06, r0070, c0020-c0030, [TSL=eba_TA:x130]}</t>
  </si>
  <si>
    <t>{C 08.06, r0070, c0030, [TSL=eba_TA:x130]}</t>
  </si>
  <si>
    <t>{C 08.06, r0070, c0040, [TSL=eba_TA:x130]}</t>
  </si>
  <si>
    <t>{C 08.06, r0070, c0080, [TSL=eba_TA:x130]}</t>
  </si>
  <si>
    <t>{C 08.06, r0070, c0090, [TSL=eba_TA:x130]}</t>
  </si>
  <si>
    <t>{C 08.06, r0080, c0020-c0030, [TSL=eba_TA:x130]}</t>
  </si>
  <si>
    <t>{C 08.06, r0080, c0030, [TSL=eba_TA:x130]}</t>
  </si>
  <si>
    <t>{C 08.06, r0080, c0040, [TSL=eba_TA:x130]}</t>
  </si>
  <si>
    <t>{C 08.06, r0080, c0080, [TSL=eba_TA:x130]}</t>
  </si>
  <si>
    <t>{C 08.06, r0080, c0090, [TSL=eba_TA:x130]}</t>
  </si>
  <si>
    <t>{C 08.06, r0090, c0020-c0030, [TSL=eba_TA:x130]}</t>
  </si>
  <si>
    <t>{C 08.06, r0090, c0030, [TSL=eba_TA:x130]}</t>
  </si>
  <si>
    <t>{C 08.06, r0090, c0040, [TSL=eba_TA:x130]}</t>
  </si>
  <si>
    <t>{C 08.06, r0090, c0080, [TSL=eba_TA:x130]}</t>
  </si>
  <si>
    <t>{C 08.06, r0090, c0090, [TSL=eba_TA:x130]}</t>
  </si>
  <si>
    <t>{C 08.06, r0100, c0020-c0030, [TSL=eba_TA:x130]}</t>
  </si>
  <si>
    <t>{C 08.06, r0100, c0030, [TSL=eba_TA:x130]}</t>
  </si>
  <si>
    <t>{C 08.06, r0100, c0040, [TSL=eba_TA:x130]}</t>
  </si>
  <si>
    <t>{C 08.06, r0100, c0080, [TSL=eba_TA:x130]}</t>
  </si>
  <si>
    <t>{C 08.06, r0100, c0090, [TSL=eba_TA:x130]}</t>
  </si>
  <si>
    <t>{C 08.06, r0110, c0020-c0030, [TSL=eba_TA:x130]}</t>
  </si>
  <si>
    <t>{C 08.06, r0110, c0030, [TSL=eba_TA:x130]}</t>
  </si>
  <si>
    <t>{C 08.06, r0110, c0040, [TSL=eba_TA:x130]}</t>
  </si>
  <si>
    <t>{C 08.06, r0110, c0080, [TSL=eba_TA:x130]}</t>
  </si>
  <si>
    <t>{C 08.06, r0110, c0090, [TSL=eba_TA:x130]}</t>
  </si>
  <si>
    <t>{C 08.06, r0120, c0020-c0030, [TSL=eba_TA:x130]}</t>
  </si>
  <si>
    <t>{C 08.06, r0120, c0030, [TSL=eba_TA:x130]}</t>
  </si>
  <si>
    <t>{C 08.06, r0120, c0040, [TSL=eba_TA:x130]}</t>
  </si>
  <si>
    <t>{C 08.06, r0120, c0080, [TSL=eba_TA:x130]}</t>
  </si>
  <si>
    <t>{C 08.06, r0120, c0090, [TSL=eba_TA:x130]}</t>
  </si>
  <si>
    <t>Template EU CR10.3</t>
  </si>
  <si>
    <t>Specialised lending : Object finance (Slotting approach)</t>
  </si>
  <si>
    <t>{C 08.06, r0010, c0020-c0030, [TSL=eba_TA:x131]}</t>
  </si>
  <si>
    <t>{C 08.06, r0010, c0030, [TSL=eba_TA:x131]}</t>
  </si>
  <si>
    <t>{C 08.06, r0010, c0040, [TSL=eba_TA:x131]}</t>
  </si>
  <si>
    <t>{C 08.06, r0010, c0080, [TSL=eba_TA:x131]}</t>
  </si>
  <si>
    <t>{C 08.06, r0010, c0090, [TSL=eba_TA:x131]}</t>
  </si>
  <si>
    <t>{C 08.06, r0020, c0020-c0030, [TSL=eba_TA:x131]}</t>
  </si>
  <si>
    <t>{C 08.06, r0020, c0030, [TSL=eba_TA:x131]}</t>
  </si>
  <si>
    <t>{C 08.06, r0020, c0040, [TSL=eba_TA:x131]}</t>
  </si>
  <si>
    <t>{C 08.06, r0020, c0080, [TSL=eba_TA:x131]}</t>
  </si>
  <si>
    <t>{C 08.06, r0020, c0090, [TSL=eba_TA:x131]}</t>
  </si>
  <si>
    <t>{C 08.06, r0030, c0020-c0030, [TSL=eba_TA:x131]}</t>
  </si>
  <si>
    <t>{C 08.06, r0030, c0030, [TSL=eba_TA:x131]}</t>
  </si>
  <si>
    <t>{C 08.06, r0030, c0040, [TSL=eba_TA:x131]}</t>
  </si>
  <si>
    <t>{C 08.06, r0030, c0080, [TSL=eba_TA:x131]}</t>
  </si>
  <si>
    <t>{C 08.06, r0030, c0090, [TSL=eba_TA:x131]}</t>
  </si>
  <si>
    <t>{C 08.06, r0040, c0020-c0030, [TSL=eba_TA:x131]}</t>
  </si>
  <si>
    <t>{C 08.06, r0040, c0030, [TSL=eba_TA:x131]}</t>
  </si>
  <si>
    <t>{C 08.06, r0040, c0040, [TSL=eba_TA:x131]}</t>
  </si>
  <si>
    <t>{C 08.06, r0040, c0080, [TSL=eba_TA:x131]}</t>
  </si>
  <si>
    <t>{C 08.06, r0040, c0090, [TSL=eba_TA:x131]}</t>
  </si>
  <si>
    <t>{C 08.06, r0050, c0020-c0030, [TSL=eba_TA:x131]}</t>
  </si>
  <si>
    <t>{C 08.06, r0050, c0030, [TSL=eba_TA:x131]}</t>
  </si>
  <si>
    <t>{C 08.06, r0050, c0040, [TSL=eba_TA:x131]}</t>
  </si>
  <si>
    <t>{C 08.06, r0050, c0080, [TSL=eba_TA:x131]}</t>
  </si>
  <si>
    <t>{C 08.06, r0050, c0090, [TSL=eba_TA:x131]}</t>
  </si>
  <si>
    <t>{C 08.06, r0060, c0020-c0030, [TSL=eba_TA:x131]}</t>
  </si>
  <si>
    <t>{C 08.06, r0060, c0030, [TSL=eba_TA:x131]}</t>
  </si>
  <si>
    <t>{C 08.06, r0060, c0040, [TSL=eba_TA:x131]}</t>
  </si>
  <si>
    <t>{C 08.06, r0060, c0080, [TSL=eba_TA:x131]}</t>
  </si>
  <si>
    <t>{C 08.06, r0060, c0090, [TSL=eba_TA:x131]}</t>
  </si>
  <si>
    <t>{C 08.06, r0070, c0020-c0030, [TSL=eba_TA:x131]}</t>
  </si>
  <si>
    <t>{C 08.06, r0070, c0030, [TSL=eba_TA:x131]}</t>
  </si>
  <si>
    <t>{C 08.06, r0070, c0040, [TSL=eba_TA:x131]}</t>
  </si>
  <si>
    <t>{C 08.06, r0070, c0080, [TSL=eba_TA:x131]}</t>
  </si>
  <si>
    <t>{C 08.06, r0070, c0090, [TSL=eba_TA:x131]}</t>
  </si>
  <si>
    <t>{C 08.06, r0080, c0020-c0030, [TSL=eba_TA:x131]}</t>
  </si>
  <si>
    <t>{C 08.06, r0080, c0030, [TSL=eba_TA:x131]}</t>
  </si>
  <si>
    <t>{C 08.06, r0080, c0040, [TSL=eba_TA:x131]}</t>
  </si>
  <si>
    <t>{C 08.06, r0080, c0080, [TSL=eba_TA:x131]}</t>
  </si>
  <si>
    <t>{C 08.06, r0080, c0090, [TSL=eba_TA:x131]}</t>
  </si>
  <si>
    <t>{C 08.06, r0090, c0020-c0030, [TSL=eba_TA:x131]}</t>
  </si>
  <si>
    <t>{C 08.06, r0090, c0030, [TSL=eba_TA:x131]}</t>
  </si>
  <si>
    <t>{C 08.06, r0090, c0040, [TSL=eba_TA:x131]}</t>
  </si>
  <si>
    <t>{C 08.06, r0090, c0080, [TSL=eba_TA:x131]}</t>
  </si>
  <si>
    <t>{C 08.06, r0090, c0090, [TSL=eba_TA:x131]}</t>
  </si>
  <si>
    <t>{C 08.06, r0100, c0020-c0030, [TSL=eba_TA:x131]}</t>
  </si>
  <si>
    <t>{C 08.06, r0100, c0030, [TSL=eba_TA:x131]}</t>
  </si>
  <si>
    <t>{C 08.06, r0100, c0040, [TSL=eba_TA:x131]}</t>
  </si>
  <si>
    <t>{C 08.06, r0100, c0080, [TSL=eba_TA:x131]}</t>
  </si>
  <si>
    <t>{C 08.06, r0100, c0090, [TSL=eba_TA:x131]}</t>
  </si>
  <si>
    <t>{C 08.06, r0110, c0020-c0030, [TSL=eba_TA:x131]}</t>
  </si>
  <si>
    <t>{C 08.06, r0110, c0030, [TSL=eba_TA:x131]}</t>
  </si>
  <si>
    <t>{C 08.06, r0110, c0040, [TSL=eba_TA:x131]}</t>
  </si>
  <si>
    <t>{C 08.06, r0110, c0080, [TSL=eba_TA:x131]}</t>
  </si>
  <si>
    <t>{C 08.06, r0110, c0090, [TSL=eba_TA:x131]}</t>
  </si>
  <si>
    <t>{C 08.06, r0120, c0020-c0030, [TSL=eba_TA:x131]}</t>
  </si>
  <si>
    <t>{C 08.06, r0120, c0030, [TSL=eba_TA:x131]}</t>
  </si>
  <si>
    <t>{C 08.06, r0120, c0040, [TSL=eba_TA:x131]}</t>
  </si>
  <si>
    <t>{C 08.06, r0120, c0080, [TSL=eba_TA:x131]}</t>
  </si>
  <si>
    <t>{C 08.06, r0120, c0090, [TSL=eba_TA:x131]}</t>
  </si>
  <si>
    <t>Template EU CR10.4</t>
  </si>
  <si>
    <t>Specialised lending : Commodities finance (Slotting approach)</t>
  </si>
  <si>
    <t>{C 08.06, r0010, c0020-c0030, [TSL=eba_TA:x132]}</t>
  </si>
  <si>
    <t>{C 08.06, r0010, c0030, [TSL=eba_TA:x132]}</t>
  </si>
  <si>
    <t>{C 08.06, r0010, c0040, [TSL=eba_TA:x132]}</t>
  </si>
  <si>
    <t>{C 08.06, r0010, c0080, [TSL=eba_TA:x132]}</t>
  </si>
  <si>
    <t>{C 08.06, r0010, c0090, [TSL=eba_TA:x132]}</t>
  </si>
  <si>
    <t>{C 08.06, r0020, c0020-c0030, [TSL=eba_TA:x132]}</t>
  </si>
  <si>
    <t>{C 08.06, r0020, c0030, [TSL=eba_TA:x132]}</t>
  </si>
  <si>
    <t>{C 08.06, r0020, c0040, [TSL=eba_TA:x132]}</t>
  </si>
  <si>
    <t>{C 08.06, r0020, c0080, [TSL=eba_TA:x132]}</t>
  </si>
  <si>
    <t>{C 08.06, r0020, c0090, [TSL=eba_TA:x132]}</t>
  </si>
  <si>
    <t>{C 08.06, r0030, c0020-c0030, [TSL=eba_TA:x132]}</t>
  </si>
  <si>
    <t>{C 08.06, r0030, c0030, [TSL=eba_TA:x132]}</t>
  </si>
  <si>
    <t>{C 08.06, r0030, c0040, [TSL=eba_TA:x132]}</t>
  </si>
  <si>
    <t>{C 08.06, r0030, c0080, [TSL=eba_TA:x132]}</t>
  </si>
  <si>
    <t>{C 08.06, r0030, c0090, [TSL=eba_TA:x132]}</t>
  </si>
  <si>
    <t>{C 08.06, r0040, c0020-c0030, [TSL=eba_TA:x132]}</t>
  </si>
  <si>
    <t>{C 08.06, r0040, c0030, [TSL=eba_TA:x132]}</t>
  </si>
  <si>
    <t>{C 08.06, r0040, c0040, [TSL=eba_TA:x132]}</t>
  </si>
  <si>
    <t>{C 08.06, r0040, c0080, [TSL=eba_TA:x132]}</t>
  </si>
  <si>
    <t>{C 08.06, r0040, c0090, [TSL=eba_TA:x132]}</t>
  </si>
  <si>
    <t>{C 08.06, r0050, c0020-c0030, [TSL=eba_TA:x132]}</t>
  </si>
  <si>
    <t>{C 08.06, r0050, c0030, [TSL=eba_TA:x132]}</t>
  </si>
  <si>
    <t>{C 08.06, r0050, c0040, [TSL=eba_TA:x132]}</t>
  </si>
  <si>
    <t>{C 08.06, r0050, c0080, [TSL=eba_TA:x132]}</t>
  </si>
  <si>
    <t>{C 08.06, r0050, c0090, [TSL=eba_TA:x132]}</t>
  </si>
  <si>
    <t>{C 08.06, r0060, c0020-c0030, [TSL=eba_TA:x132]}</t>
  </si>
  <si>
    <t>{C 08.06, r0060, c0030, [TSL=eba_TA:x132]}</t>
  </si>
  <si>
    <t>{C 08.06, r0060, c0040, [TSL=eba_TA:x132]}</t>
  </si>
  <si>
    <t>{C 08.06, r0060, c0080, [TSL=eba_TA:x132]}</t>
  </si>
  <si>
    <t>{C 08.06, r0060, c0090, [TSL=eba_TA:x132]}</t>
  </si>
  <si>
    <t>{C 08.06, r0070, c0020-c0030, [TSL=eba_TA:x132]}</t>
  </si>
  <si>
    <t>{C 08.06, r0070, c0030, [TSL=eba_TA:x132]}</t>
  </si>
  <si>
    <t>{C 08.06, r0070, c0040, [TSL=eba_TA:x132]}</t>
  </si>
  <si>
    <t>{C 08.06, r0070, c0080, [TSL=eba_TA:x132]}</t>
  </si>
  <si>
    <t>{C 08.06, r0070, c0090, [TSL=eba_TA:x132]}</t>
  </si>
  <si>
    <t>{C 08.06, r0080, c0020-c0030, [TSL=eba_TA:x132]}</t>
  </si>
  <si>
    <t>{C 08.06, r0080, c0030, [TSL=eba_TA:x132]}</t>
  </si>
  <si>
    <t>{C 08.06, r0080, c0040, [TSL=eba_TA:x132]}</t>
  </si>
  <si>
    <t>{C 08.06, r0080, c0080, [TSL=eba_TA:x132]}</t>
  </si>
  <si>
    <t>{C 08.06, r0080, c0090, [TSL=eba_TA:x132]}</t>
  </si>
  <si>
    <t>{C 08.06, r0090, c0020-c0030, [TSL=eba_TA:x132]}</t>
  </si>
  <si>
    <t>{C 08.06, r0090, c0030, [TSL=eba_TA:x132]}</t>
  </si>
  <si>
    <t>{C 08.06, r0090, c0040, [TSL=eba_TA:x132]}</t>
  </si>
  <si>
    <t>{C 08.06, r0090, c0080, [TSL=eba_TA:x132]}</t>
  </si>
  <si>
    <t>{C 08.06, r0090, c0090, [TSL=eba_TA:x132]}</t>
  </si>
  <si>
    <t>{C 08.06, r0100, c0020-c0030, [TSL=eba_TA:x132]}</t>
  </si>
  <si>
    <t>{C 08.06, r0100, c0030, [TSL=eba_TA:x132]}</t>
  </si>
  <si>
    <t>{C 08.06, r0100, c0040, [TSL=eba_TA:x132]}</t>
  </si>
  <si>
    <t>{C 08.06, r0100, c0080, [TSL=eba_TA:x132]}</t>
  </si>
  <si>
    <t>{C 08.06, r0100, c0090, [TSL=eba_TA:x132]}</t>
  </si>
  <si>
    <t>{C 08.06, r0110, c0020-c0030, [TSL=eba_TA:x132]}</t>
  </si>
  <si>
    <t>{C 08.06, r0110, c0030, [TSL=eba_TA:x132]}</t>
  </si>
  <si>
    <t>{C 08.06, r0110, c0040, [TSL=eba_TA:x132]}</t>
  </si>
  <si>
    <t>{C 08.06, r0110, c0080, [TSL=eba_TA:x132]}</t>
  </si>
  <si>
    <t>{C 08.06, r0110, c0090, [TSL=eba_TA:x132]}</t>
  </si>
  <si>
    <t>{C 08.06, r0120, c0020-c0030, [TSL=eba_TA:x132]}</t>
  </si>
  <si>
    <t>{C 08.06, r0120, c0030, [TSL=eba_TA:x132]}</t>
  </si>
  <si>
    <t>{C 08.06, r0120, c0040, [TSL=eba_TA:x132]}</t>
  </si>
  <si>
    <t>{C 08.06, r0120, c0080, [TSL=eba_TA:x132]}</t>
  </si>
  <si>
    <t>{C 08.06, r0120, c0090, [TSL=eba_TA:x132]}</t>
  </si>
  <si>
    <t xml:space="preserve">Note: The mapping below assumes that institutions do not simultaneously hold positions in one and the same securitisation in both the trading and the banking book. Where that assumption does not hold, the mapping is not direct and institutions will need to do some additional assessment of the part of the securitisation that relates to the trading and to the banking book.  </t>
  </si>
  <si>
    <t>Template EU-SEC1 - Securitisation exposures in the non-trading book</t>
  </si>
  <si>
    <t>Institution acts as originator</t>
  </si>
  <si>
    <t>Institution acts as sponsor</t>
  </si>
  <si>
    <t>Institution acts as investor</t>
  </si>
  <si>
    <t>Traditional</t>
  </si>
  <si>
    <t>Synthetic</t>
  </si>
  <si>
    <t>Sub-total</t>
  </si>
  <si>
    <t>STS</t>
  </si>
  <si>
    <t>Non-STS</t>
  </si>
  <si>
    <t>of which SRT</t>
  </si>
  <si>
    <t>Total exposures</t>
  </si>
  <si>
    <t>if(and({C 14.00, c0061} = N, {C 14.00, c0080}=A or D), {C 14.00, c0140}*{C 14.00, c0090}, if({C 14.00, c0061} ≠ N, {C 14.01, c0411})), where 
{C 14.00, c0060} = Banking book, 
{C 14.00, c0110} = Originator, 
{C 14.00, c0040} = Traditional, AP and AT, 
{C 14.00, c0075} = Yes</t>
  </si>
  <si>
    <t xml:space="preserve">{C 14.01, c0411} where 
{C 14.00, c0060} = Banking book, 
{C 14.00, c0110} = Originator, 
{C 14.00, c0040} = Traditional, AP and AT, 
{C 14.00, c0075} = Yes, 
{C 14.00, c0061} ≠ N, </t>
  </si>
  <si>
    <t xml:space="preserve">if(and({C 14.00, c0061} = N, {C 14.00, c0080}=A or D), {C 14.00, c0140}*{C 14.00, c0090}, if({C 14.00, c0061} ≠ N, {C 14.01, c0411})), where 
{C 14.00, c0060} = Banking book, 
{C 14.00, c0110} = Originator, 
{C 14.00, c0040} = Traditional, AP and AT, 
{C 14.00, c0075} = No, </t>
  </si>
  <si>
    <t>{C 14.01, c0411} where 
{C 14.00, c0060} = Banking book, 
{C 14.00, c0110} = Originator, 
{C 14.00, c0040} = Traditional, AP and AT, 
{C 14.00, c0075} = No,  
{C 14.00, c0061} ≠ N</t>
  </si>
  <si>
    <t xml:space="preserve">if(and({C 14.00, c0061} = N, {C 14.00, c0080}=A or D), {C 14.00, c0140}*{C 14.00, c0090}, if({C 14.00, c0061} ≠ N, {C 14.01, c0411})), where 
{C 14.00, c0060} = Banking book, 
{C 14.00, c0110} = Originator, 
{C 14.00, c0040} = Synthetic, </t>
  </si>
  <si>
    <t>{C 14.01, c0411} where 
{C 14.00, c0060} = Banking book, 
{C 14.00, c0110} = Originator, 
{C 14.00, c0040} = Synthetic, 
{C 14.00, c0061} ≠ N,</t>
  </si>
  <si>
    <t>if(and({C 14.00, c0061} = N, {C 14.00, c0080}=A or D), {C 14.00, c0140}*{C 14.00, c0090}, if({C 14.00, c0061} ≠ N, {C 14.01, c0411})), where 
{C 14.00, c0060} = Banking book, 
{C 14.00, c0110} = Originator</t>
  </si>
  <si>
    <t>if(and({C 14.00, c0061} = N, {C 14.00, c0080}=A or D), {C 14.00, c0140}*{C 14.00, c0090}, if({C 14.00, c0061} ≠ N, {C 14.01, c0411})), where 
{C 14.00, c0060} = Banking book, 
{C 14.00, c0110} = Sponsor, 
{C 14.00, c0040} = Traditional, AP and AT, 
{C 14.00, c0075} = Yes</t>
  </si>
  <si>
    <t>if(and({C 14.00, c0061} = N, {C 14.00, c0080}=A or D), {C 14.00, c0140}*{C 14.00, c0090}, if({C 14.00, c0061} ≠ N, {C 14.01, c0411})), where 
{C 14.00, c0060} = Banking book, 
{C 14.00, c0110} = Sponsor, 
{C 14.00, c0040} = Traditional, AP and AT, 
{C 14.00, c0075} = No</t>
  </si>
  <si>
    <t>if(and({C 14.00, c0061} = N, {C 14.00, c0080}=A or D), {C 14.00, c0140}*{C 14.00, c0090}, if({C 14.00, c0061} ≠ N, {C 14.01, c0411})), where 
{C 14.00, c0060} = Banking book, 
{C 14.00, c0110} = Sponsor, 
{C 14.00, c0040} = Synthetic,</t>
  </si>
  <si>
    <t>if(and({C 14.00, c0061} = N, {C 14.00, c0080}=A or D), {C 14.00, c0140}*{C 14.00, c0090}, if({C 14.00, c0061} ≠ N, {C 14.01, c0411})), where 
{C 14.00, c0060} = Banking book, 
{C 14.00, c0110} = Sponsor</t>
  </si>
  <si>
    <t>{C 14.01, c0411} where 
({C 14.01, c0450} = empty, 
{C 14.00, c0110} = Investor, 
{C 14.00, c0040} = Traditional, AP and AT, 
{C 14.00, c0075} = Yes)</t>
  </si>
  <si>
    <t>{C 14.01, c0411} where 
({C 14.01, c0450} = empty, 
{C 14.00, c0110} = Investor, 
{C 14.00, c0040} = Traditional, AP and AT, 
{C 14.00, c0075} = No)</t>
  </si>
  <si>
    <t>{C 14.01, c0411} where 
({C 14.01, c0450} = empty, 
{C 14.00, c0110} = Investor, 
{C 14.00, c0040} = Synthetic)</t>
  </si>
  <si>
    <t>{C 14.01, c0411} where 
({C 14.01, c0450} = empty, 
{C 14.00, c0110} = Investor)</t>
  </si>
  <si>
    <t>Retail (total)</t>
  </si>
  <si>
    <t>if(and({C 14.00, c0061} = N, {C 14.00, c0080}=A or D), {C 14.00, c0140}*{C 14.00, c0090}, if({C 14.00, c0061} ≠ N, {C 14.01, c0411})), where 
{C 14.00, c0060} = Banking book, 
{C 14.00, c0110} = Originator, 
{C 14.00, c0040} = Traditional, AP and AT, 
{C 14.00, c0075} = Yes, 
{C 14.00, c0160} = Residential mortgages, Credit card receivables, Consumer loans, Loans to SMEs (treated as retail) and Other retail exposures.</t>
  </si>
  <si>
    <t xml:space="preserve">{C 14.01, c0411} where 
{C 14.00, c0060} = Banking book, 
{C 14.00, c0110} = Originator, 
{C 14.00, c0040} = Traditional, AP and AT, 
{C 14.00, c0075} = Yes, 
{C 14.00, c0160} = Residential mortgages, Credit card receivables, Consumer loans, Loans to SMEs (treated as retail) and Other retail exposures, 
{C 14.00, c0061} ≠ N, </t>
  </si>
  <si>
    <t>if(and({C 14.00, c0061} = N, {C 14.00, c0080}=A or D), {C 14.00, c0140}*{C 14.00, c0090}, if({C 14.00, c0061} ≠ N, {C 14.01, c0411})), where 
{C 14.00, c0060} = Banking book, 
{C 14.00, c0110} = Originator, 
{C 14.00, c0040} = Traditional, AP and AT, 
{C 14.00, c0075} = No, 
{C 14.00, c0160} = Residential mortgages, Credit card receivables, Consumer loans, Loans to SMEs (treated as retail) and Other retail exposures.</t>
  </si>
  <si>
    <t xml:space="preserve">{C 14.01, c0411} where 
{C 14.00, c0060} = Banking book, 
{C 14.00, c0110} = Originator, 
{C 14.00, c0040} = Traditional, AP and AT, 
{C 14.00, c0075} = No, 
{C 14.00, c0160} = Residential mortgages, Credit card receivables, Consumer loans, Loans to SMEs (treated as retail) and Other retail exposures, 
{C 14.00, c0061} ≠ N, </t>
  </si>
  <si>
    <t>if(and({C 14.00, c0061} = N, {C 14.00, c0080}=A or D), {C 14.00, c0140}*{C 14.00, c0090}, if({C 14.00, c0061} ≠ N, {C 14.01, c0411})), where 
{C 14.00, c0060} = Banking book, 
{C 14.00, c0110} = Originator, 
{C 14.00, c0040} = Synthetic, 
{C 14.00, c0160} = Residential mortgages, Credit card receivables, Consumer loans, Loans to SMEs (treated as retail) and Other retail exposures.</t>
  </si>
  <si>
    <t xml:space="preserve">{C 14.01, c0411} where 
{C 14.00, c0060} = Banking book, 
{C 14.00, c0110} = Originator, 
{C 14.00, c0040} = Synthetic, 
{C 14.00, c0160} = Residential mortgages, Credit card receivables, Consumer loans, Loans to SMEs (treated as retail) and Other retail exposures, 
{C 14.00, c0061} ≠ N, </t>
  </si>
  <si>
    <t>if(and({C 14.00, c0061} = N, {C 14.00, c0080}=A or D), {C 14.00, c0140}*{C 14.00, c0090}, if({C 14.00, c0061} ≠ N, {C 14.01, c0411})), where 
{C 14.00, c0060} = Banking book, 
{C 14.00, c0110} = Originator, 
{C 14.00, c0160} = Residential mortgages, Credit card receivables, Consumer loans, Loans to SMEs (treated as retail) and Other retail exposures.</t>
  </si>
  <si>
    <t>if(and({C 14.00, c0061} = N, {C 14.00, c0080}=A or D), {C 14.00, c0140}*{C 14.00, c0090}, if({C 14.00, c0061} ≠ N, {C 14.01, c0411})), where 
{C 14.00, c0060} = Banking book, 
{C 14.00, c0110} = Sponsor, 
{C 14.00, c0040} = Traditional, AP and AT, 
{C 14.00, c0075} = Yes, 
{C 14.00, c0160} = Residential mortgages, Credit card receivables, Consumer loans, Loans to SMEs (treated as retail) and Other retail exposures.</t>
  </si>
  <si>
    <t>if(and({C 14.00, c0061} = N, {C 14.00, c0080}=A or D), {C 14.00, c0140}*{C 14.00, c0090}, if({C 14.00, c0061} ≠ N, {C 14.01, c0411})), where 
{C 14.00, c0060} = Banking book, 
{C 14.00, c0110} = Sponsor, 
{C 14.00, c0040} = Traditional, AP and AT, 
{C 14.00, c0075} = No, 
{C 14.00, c0160} = Residential mortgages, Credit card receivables, Consumer loans, Loans to SMEs (treated as retail) and Other retail exposures.</t>
  </si>
  <si>
    <t>if(and({C 14.00, c0061} = N, {C 14.00, c0080}=A or D), {C 14.00, c0140}*{C 14.00, c0090}, if({C 14.00, c0061} ≠ N, {C 14.01, c0411})), where 
{C 14.00, c0060} = Banking book, 
{C 14.00, c0110} = Sponsor, 
{C 14.00, c0040} = Synthetic, 
{C 14.00, c0160} = Residential mortgages, Credit card receivables, Consumer loans, Loans to SMEs (treated as retail) and Other retail exposures.</t>
  </si>
  <si>
    <t>if(and({C 14.00, c0061} = N, {C 14.00, c0080}=A or D), {C 14.00, c0140}*{C 14.00, c0090}, if({C 14.00, c0061} ≠ N, {C 14.01, c0411})), where 
{C 14.00, c0060} = Banking book, 
{C 14.00, c0110} = Sponsor, 
{C 14.00, c0160} = Residential mortgages, Credit card receivables, Consumer loans, Loans to SMEs (treated as retail) and Other retail exposures.</t>
  </si>
  <si>
    <t>{C 14.01, c0411} where 
({C 14.01, c0450} = empty, 
{C 14.00, c0110} = Investor, 
{C 14.00, c0040} = Traditional, AP and AT, 
{C 14.00, c0075} = Yes, 
{C 14.00, c0160} = Residential mortgages, Credit card receivables, Consumer loans, Loans to SMEs (treated as retail) and Other retail exposures)</t>
  </si>
  <si>
    <t>{C 14.01, c0411} where 
({C 14.01, c0450} = empty, 
{C 14.00, c0110} = Investor, 
{C 14.00, c0040} = Traditional, AP and AT, 
{C 14.00, c0075} = No, 
{C 14.00, c0160} = Residential mortgages, Credit card receivables, Consumer loans, Loans to SMEs (treated as retail) and Other retail exposures)</t>
  </si>
  <si>
    <t>{C 14.01, c0411} where 
({C 14.01, c0450} = empty, 
{C 14.00, c0110} = Investor, 
{C 14.00, c0040} = Synthetic, 
{C 14.00, c0160} = Residential mortgages, Credit card receivables, Consumer loans, Loans to SMEs (treated as retail) and Other retail exposures)</t>
  </si>
  <si>
    <t>{C 14.01, c0411} where 
({C 14.01, c0450} = empty, 
{C 14.00, c0110} = Investor, 
{C 14.00, c0160} = Residential mortgages, Credit card receivables, Consumer loans, Loans to SMEs (treated as retail) and Other retail exposures)</t>
  </si>
  <si>
    <t xml:space="preserve">   residential mortgage</t>
  </si>
  <si>
    <t>if(and({C 14.00, c0061} = N, {C 14.00, c0080}=A or D), {C 14.00, c0140}*{C 14.00, c0090}, if({C 14.00, c0061} ≠ N, {C 14.01, c0411})), where 
{C 14.00, c0060} = Banking book, 
{C 14.00, c0110} = Originator, 
{C 14.00, c0040} = Traditional, AP and AT, 
{C 14.00, c0075} = Yes, 
{C 14.00, c0160} = Residential mortgages, 
{C 14.00, c0070} = securitisation</t>
  </si>
  <si>
    <t>{C 14.01, c0411} where 
{C 14.00, c0060} = Banking book, 
{C 14.00, c0110} = Originator, 
{C 14.00, c0040} = Traditional, AP and AT, 
{C 14.00, c0075} = Yes, 
{C 14.00, c0160} = Residential mortgages, 
{C 14.00, c0061} ≠ N, 
{C 14.00, c0070} = securitisation</t>
  </si>
  <si>
    <t>if(and({C 14.00, c0061} = N, {C 14.00, c0080}=A or D), {C 14.00, c0140}*{C 14.00, c0090}, if({C 14.00, c0061} ≠ N, {C 14.01, c0411})), where 
{C 14.00, c0060} = Banking book, 
{C 14.00, c0110} = Originator, 
{C 14.00, c0040} = Traditional, AP and AT, 
{C 14.00, c0075} = No, 
{C 14.00, c0160} = Residential mortgages, 
{C 14.00, c0070} = securitisation</t>
  </si>
  <si>
    <t>{C 14.01, c0411} where 
{C 14.00, c0060} = Banking book, 
{C 14.00, c0110} = Originator, 
{C 14.00, c0040} = Traditional, AP and AT, 
{C 14.00, c0075} = No, 
{C 14.00, c0160} = Residential mortgages, 
{C 14.00, c0061} ≠ N, 
{C 14.00, c0070} = securitisation</t>
  </si>
  <si>
    <t>if(and({C 14.00, c0061} = N, {C 14.00, c0080}=A or D), {C 14.00, c0140}*{C 14.00, c0090}, if({C 14.00, c0061} ≠ N, {C 14.01, c0411})), where 
{C 14.00, c0060} = Banking book, 
{C 14.00, c0110} = Originator, 
{C 14.00, c0040} = Synthetic, 
{C 14.00, c0160} = Residential mortgages, 
{C 14.00, c0070} = securitisation</t>
  </si>
  <si>
    <t>{C 14.01, c0411} where 
{C 14.00, c0060} = Banking book, 
{C 14.00, c0110} = Originator, 
{C 14.00, c0040} = Synthetic, 
{C 14.00, c0160} = Residential mortgages, 
{C 14.00, c0061} ≠ N, 
{C 14.00, c0070} = securitisation</t>
  </si>
  <si>
    <t>if(and({C 14.00, c0061} = N, {C 14.00, c0080}=A or D), {C 14.00, c0140}*{C 14.00, c0090}, if({C 14.00, c0061} ≠ N, {C 14.01, c0411})), where 
{C 14.00, c0060} = Banking book, 
{C 14.00, c0110} = Originator, 
{C 14.00, c0160} = Residential mortgages, 
{C 14.00, c0070} = securitisation</t>
  </si>
  <si>
    <t>if(and({C 14.00, c0061} = N, {C 14.00, c0080}=A or D), {C 14.00, c0140}*{C 14.00, c0090}, if({C 14.00, c0061} ≠ N, {C 14.01, c0411})), where 
{C 14.00, c0060} = Banking book, 
{C 14.00, c0110} = Sponsor, 
{C 14.00, c0040} = Traditional, AP and AT, 
{C 14.00, c0075} = Yes, 
{C 14.00, c0160} = Residential mortgages, 
{C 14.00, c0070} = securitisation</t>
  </si>
  <si>
    <t>if(and({C 14.00, c0061} = N, {C 14.00, c0080}=A or D), {C 14.00, c0140}*{C 14.00, c0090}, if({C 14.00, c0061} ≠ N, {C 14.01, c0411})), where 
{C 14.00, c0060} = Banking book, 
{C 14.00, c0110} = Sponsor, 
{C 14.00, c0040} = Traditional, AP and AT, 
{C 14.00, c0075} = No, 
{C 14.00, c0160} = Residential mortgages, 
{C 14.00, c0070} = securitisation</t>
  </si>
  <si>
    <t>if(and({C 14.00, c0061} = N, {C 14.00, c0080}=A or D), {C 14.00, c0140}*{C 14.00, c0090}, if({C 14.00, c0061} ≠ N, {C 14.01, c0411})), where 
{C 14.00, c0060} = Banking book, 
{C 14.00, c0110} = Sponsor, 
{C 14.00, c0040} = Synthetic, 
{C 14.00, c0160} = Residential mortgages, 
{C 14.00, c0070} = securitisation</t>
  </si>
  <si>
    <t>if(and({C 14.00, c0061} = N, {C 14.00, c0080}=A or D), {C 14.00, c0140}*{C 14.00, c0090}, if({C 14.00, c0061} ≠ N, {C 14.01, c0411})), where 
{C 14.00, c0060} = Banking book, 
{C 14.00, c0110} = Sponsor, 
{C 14.00, c0160} = Residential mortgages, 
{C 14.00, c0070} = securitisation</t>
  </si>
  <si>
    <t>{C 14.01, c0411} where 
({C 14.01, c0450} = empty, 
{C 14.00, c0110} = Investor, 
{C 14.00, c0040} = Traditional, AP and AT, 
{C 14.00, c0075} = Yes, 
{C 14.00, c0160} = Residential mortgages, 
{C 14.00, c0070} = securitisation)</t>
  </si>
  <si>
    <t>{C 14.01, c0411} where 
({C 14.01, c0450} = empty, 
{C 14.00, c0110} = Investor, 
{C 14.00, c0040} = Traditional, AP and AT, 
{C 14.00, c0075} = No, 
{C 14.00, c0160} = Residential mortgages, 
{C 14.00, c0070} = securitisation)</t>
  </si>
  <si>
    <t>{C 14.01, c0411} where 
({C 14.01, c0450} = empty, 
{C 14.00, c0110} = Investor, 
{C 14.00, c0040} = Synthetic, 
{C 14.00, c0160} = Residential mortgages, 
{C 14.00, c0070} = securitisation)</t>
  </si>
  <si>
    <t>{C 14.01, c0411} where 
({C 14.01, c0450} = empty, 
{C 14.00, c0110} = Investor, 
{C 14.00, c0160} = Residential mortgages, 
{C 14.00, c0070} = securitisation)</t>
  </si>
  <si>
    <t xml:space="preserve">   credit card</t>
  </si>
  <si>
    <t>if(and({C 14.00, c0061} = N, {C 14.00, c0080}=A or D), {C 14.00, c0140}*{C 14.00, c0090}, if({C 14.00, c0061} ≠ N, {C 14.01, c0411})), where 
{C 14.00, c0060} = Banking book, 
{C 14.00, c0110} = Originator, 
{C 14.00, c0040} = Traditional, AP and AT, 
{C 14.00, c0075} = Yes, 
{C 14.00, c0160} = Credit card receivables, 
{C 14.00, c0070} = securitisation</t>
  </si>
  <si>
    <t>{C 14.01, c0411} where 
{C 14.00, c0060} = Banking book, 
{C 14.00, c0110} = Originator, 
{C 14.00, c0040} = Traditional, AP and AT, 
{C 14.00, c0075} = Yes, 
{C 14.00, c0160} = Credit card receivables, 
{C 14.00, c0061} ≠ N, 
{C 14.00, c0070} = securitisation</t>
  </si>
  <si>
    <t>if(and({C 14.00, c0061} = N, {C 14.00, c0080}=A or D), {C 14.00, c0140}*{C 14.00, c0090}, if({C 14.00, c0061} ≠ N, {C 14.01, c0411})), where 
{C 14.00, c0060} = Banking book, 
{C 14.00, c0110} = Originator, 
{C 14.00, c0040} = Traditional, AP and AT, 
{C 14.00, c0075} = No, 
{C 14.00, c0160} = Credit card receivables, 
{C 14.00, c0070} = securitisation</t>
  </si>
  <si>
    <t>{C 14.01, c0411} where 
{C 14.00, c0060} = Banking book, 
{C 14.00, c0110} = Originator, 
{C 14.00, c0040} = Traditional, AP and AT, 
{C 14.00, c0075} = No, 
{C 14.00, c0160} = Credit card receivables, 
{C 14.00, c0061} ≠ N, 
{C 14.00, c0070} = securitisation</t>
  </si>
  <si>
    <t>if(and({C 14.00, c0061} = N, {C 14.00, c0080}=A or D), {C 14.00, c0140}*{C 14.00, c0090}, if({C 14.00, c0061} ≠ N, {C 14.01, c0411})), where 
{C 14.00, c0060} = Banking book, 
{C 14.00, c0110} = Originator, 
{C 14.00, c0040} = Synthetic, 
{C 14.00, c0160} = Credit card receivables, 
{C 14.00, c0070} = securitisation</t>
  </si>
  <si>
    <t>{C 14.01, c0411} where 
{C 14.00, c0060} = Banking book, 
{C 14.00, c0110} = Originator, 
{C 14.00, c0040} = Synthetic, 
{C 14.00, c0160} = Credit card receivables, 
{C 14.00, c0061} ≠ N, 
{C 14.00, c0070} = securitisation</t>
  </si>
  <si>
    <t>if(and({C 14.00, c0061} = N, {C 14.00, c0080}=A or D), {C 14.00, c0140}*{C 14.00, c0090}, if({C 14.00, c0061} ≠ N, {C 14.01, c0411})), where 
{C 14.00, c0060} = Banking book, 
{C 14.00, c0110} = Originator, 
{C 14.00, c0160} = Credit card receivables, 
{C 14.00, c0070} = securitisation</t>
  </si>
  <si>
    <t>if(and({C 14.00, c0061} = N, {C 14.00, c0080}=A or D), {C 14.00, c0140}*{C 14.00, c0090}, if({C 14.00, c0061} ≠ N, {C 14.01, c0411})), where 
{C 14.00, c0060} = Banking book, 
{C 14.00, c0110} = Sponsor, 
{C 14.00, c0040} = Traditional, AP and AT, 
{C 14.00, c0075} = Yes, 
{C 14.00, c0160} = Credit card receivables, 
{C 14.00, c0070} = securitisation</t>
  </si>
  <si>
    <t>if(and({C 14.00, c0061} = N, {C 14.00, c0080}=A or D), {C 14.00, c0140}*{C 14.00, c0090}, if({C 14.00, c0061} ≠ N, {C 14.01, c0411})), where 
{C 14.00, c0060} = Banking book, 
{C 14.00, c0110} = Sponsor, 
{C 14.00, c0040} = Traditional, AP and AT, 
{C 14.00, c0075} = No, 
{C 14.00, c0160} = Credit card receivables, 
{C 14.00, c0070} = securitisation</t>
  </si>
  <si>
    <t>if(and({C 14.00, c0061} = N, {C 14.00, c0080}=A or D), {C 14.00, c0140}*{C 14.00, c0090}, if({C 14.00, c0061} ≠ N, {C 14.01, c0411})), where 
{C 14.00, c0060} = Banking book, 
{C 14.00, c0110} = Sponsor, 
{C 14.00, c0040} = Synthetic, 
{C 14.00, c0160} = Credit card receivables, 
{C 14.00, c0070} = securitisation</t>
  </si>
  <si>
    <t>if(and({C 14.00, c0061} = N, {C 14.00, c0080}=A or D), {C 14.00, c0140}*{C 14.00, c0090}, if({C 14.00, c0061} ≠ N, {C 14.01, c0411})), where 
{C 14.00, c0060} = Banking book, 
{C 14.00, c0110} = Sponsor, 
{C 14.00, c0160} = Credit card receivables, 
{C 14.00, c0070} = securitisation</t>
  </si>
  <si>
    <t>{C 14.01, c0411} where 
({C 14.01, c0450} = empty, 
{C 14.00, c0110} = Investor, 
{C 14.00, c0040} = Traditional, AP and AT, 
{C 14.00, c0075} = Yes, 
{C 14.00, c0160} = Credit card receivables, 
{C 14.00, c0070} = securitisation)</t>
  </si>
  <si>
    <t>{C 14.01, c0411} where 
({C 14.01, c0450} = empty, 
{C 14.00, c0110} = Investor, 
{C 14.00, c0040} = Traditional, AP and AT, 
{C 14.00, c0075} = No, 
{C 14.00, c0160} = Credit card receivables, 
{C 14.00, c0070} = securitisation)</t>
  </si>
  <si>
    <t>{C 14.01, c0411} where 
({C 14.01, c0450} = empty, 
{C 14.00, c0110} = Investor, 
{C 14.00, c0040} = Synthetic, 
{C 14.00, c0160} = Credit card receivables, 
{C 14.00, c0070} = securitisation)</t>
  </si>
  <si>
    <t>{C 14.01, c0411} where 
({C 14.01, c0450} = empty, 
{C 14.00, c0110} = Investor, 
{C 14.00, c0160} = Credit card receivables, 
{C 14.00, c0070} = securitisation)</t>
  </si>
  <si>
    <t xml:space="preserve">   other retail exposures </t>
  </si>
  <si>
    <t>if(and({C 14.00, c0061} = N, {C 14.00, c0080}=A or D), {C 14.00, c0140}*{C 14.00, c0090}, if({C 14.00, c0061} ≠ N, {C 14.01, c0411})), where 
{C 14.00, c0060} = Banking book, 
{C 14.00, c0110} = Originator, 
{C 14.00, c0040} = Traditional, AP and AT, 
{C 14.00, c0075} = Yes, 
{C 14.00, c0160} = Consumer loans, Loans to SMEs (treated as retail) and Other retail exposures, 
{C 14.00, c0070} = securitisation</t>
  </si>
  <si>
    <t>{C 14.01, c0411} where 
{C 14.00, c0060} = Banking book, 
{C 14.00, c0110} = Originator, 
{C 14.00, c0040} = Traditional, AP and AT, 
{C 14.00, c0075} = Yes, 
{C 14.00, c0160} = Consumer loans, Loans to SMEs (treated as retail) and Other retail exposures, 
{C 14.00, c0061} ≠ N, 
{C 14.00, c0070} = securitisation</t>
  </si>
  <si>
    <t>if(and({C 14.00, c0061} = N, {C 14.00, c0080}=A or D), {C 14.00, c0140}*{C 14.00, c0090}, if({C 14.00, c0061} ≠ N, {C 14.01, c0411})), where 
{C 14.00, c0060} = Banking book, 
{C 14.00, c0110} = Originator, 
{C 14.00, c0040} = Traditional, AP and AT, 
{C 14.00, c0075} = No, 
{C 14.00, c0160} = Consumer loans, Loans to SMEs (treated as retail) and Other retail exposures, 
{C 14.00, c0070} = securitisation</t>
  </si>
  <si>
    <t>{C 14.01, c0411} where 
{C 14.00, c0060} = Banking book, 
{C 14.00, c0110} = Originator, 
{C 14.00, c0040} = Traditional, AP and AT, 
{C 14.00, c0075} = No, 
{C 14.00, c0160} = Consumer loans, Loans to SMEs (treated as retail) and Other retail exposures, 
{C 14.00, c0061} ≠ N, 
{C 14.00, c0070} = securitisation</t>
  </si>
  <si>
    <t>if(and({C 14.00, c0061} = N, {C 14.00, c0080}=A or D), {C 14.00, c0140}*{C 14.00, c0090}, if({C 14.00, c0061} ≠ N, {C 14.01, c0411})), where 
{C 14.00, c0060} = Banking book, 
{C 14.00, c0110} = Originator, 
{C 14.00, c0040} = Synthetic, 
{C 14.00, c0160} = Consumer loans, Loans to SMEs (treated as retail) and Other retail exposures, 
{C 14.00, c0070} = securitisation</t>
  </si>
  <si>
    <t>{C 14.01, c0411} where 
{C 14.00, c0060} = Banking book, 
{C 14.00, c0110} = Originator, 
{C 14.00, c0040} = Synthetic, 
{C 14.00, c0160} = Consumer loans, Loans to SMEs (treated as retail) and Other retail exposures, 
{C 14.00, c0061} ≠ N, 
{C 14.00, c0070} = securitisation</t>
  </si>
  <si>
    <t>if(and({C 14.00, c0061} = N, {C 14.00, c0080}=A or D), {C 14.00, c0140}*{C 14.00, c0090}, if({C 14.00, c0061} ≠ N, {C 14.01, c0411})), where 
{C 14.00, c0060} = Banking book, 
{C 14.00, c0110} = Originator, 
{C 14.00, c0160} = Consumer loans, Loans to SMEs (treated as retail) and Other retail exposures, 
{C 14.00, c0070} = securitisation</t>
  </si>
  <si>
    <t>if(and({C 14.00, c0061} = N, {C 14.00, c0080}=A or D), {C 14.00, c0140}*{C 14.00, c0090}, if({C 14.00, c0061} ≠ N, {C 14.01, c0411})), where 
{C 14.00, c0060} = Banking book, 
{C 14.00, c0110} = Sponsor, 
{C 14.00, c0040} = Traditional, AP and AT, 
{C 14.00, c0075} = Yes, 
{C 14.00, c0160} = Consumer loans, Loans to SMEs (treated as retail) and Other retail exposures, 
{C 14.00, c0070} = securitisation</t>
  </si>
  <si>
    <t>if(and({C 14.00, c0061} = N, {C 14.00, c0080}=A or D), {C 14.00, c0140}*{C 14.00, c0090}, if({C 14.00, c0061} ≠ N, {C 14.01, c0411})), where 
{C 14.00, c0060} = Banking book, 
{C 14.00, c0110} = Sponsor, 
{C 14.00, c0040} = Traditional, AP and AT, 
{C 14.00, c0075} = No, 
{C 14.00, c0160} = Consumer loans, Loans to SMEs (treated as retail) and Other retail exposures, 
{C 14.00, c0070} = securitisation</t>
  </si>
  <si>
    <t>if(and({C 14.00, c0061} = N, {C 14.00, c0080}=A or D), {C 14.00, c0140}*{C 14.00, c0090}, if({C 14.00, c0061} ≠ N, {C 14.01, c0411})), where 
{C 14.00, c0060} = Banking book, 
{C 14.00, c0110} = Sponsor, 
{C 14.00, c0040} = Synthetic, 
{C 14.00, c0160} = Consumer loans, Loans to SMEs (treated as retail) and Other retail exposures, 
{C 14.00, c0070} = securitisation</t>
  </si>
  <si>
    <t>if(and({C 14.00, c0061} = N, {C 14.00, c0080}=A or D), {C 14.00, c0140}*{C 14.00, c0090}, if({C 14.00, c0061} ≠ N, {C 14.01, c0411})), where 
{C 14.00, c0060} = Banking book, 
{C 14.00, c0110} = Sponsor, 
{C 14.00, c0160} = Consumer loans, Loans to SMEs (treated as retail) and Other retail exposures, 
{C 14.00, c0070} = securitisation</t>
  </si>
  <si>
    <t>{C 14.01, c0411} where 
({C 14.01, c0450} = empty, 
{C 14.00, c0110} = Investor, 
{C 14.00, c0040} = Traditional, AP and AT, 
{C 14.00, c0075} = Yes, 
{C 14.00, c0160} = Consumer loans, Loans to SMEs (treated as retail) and Other retail exposures, 
{C 14.00, c0070} = securitisation)</t>
  </si>
  <si>
    <t>{C 14.01, c0411} where 
({C 14.01, c0450} = empty, 
{C 14.00, c0110} = Investor, 
{C 14.00, c0040} = Traditional, AP and AT, 
{C 14.00, c0075} = No, 
{C 14.00, c0160} = Consumer loans, Loans to SMEs (treated as retail) and Other retail exposures, 
{C 14.00, c0070} = securitisation)</t>
  </si>
  <si>
    <t>{C 14.01, c0411} where 
({C 14.01, c0450} = empty, 
{C 14.00, c0110} = Investor, 
{C 14.00, c0040} = Synthetic, 
{C 14.00, c0160} = Consumer loans, Loans to SMEs (treated as retail) and Other retail exposures, 
{C 14.00, c0070} = securitisation)</t>
  </si>
  <si>
    <t>{C 14.01, c0411} where 
({C 14.01, c0450} = empty, 
{C 14.00, c0110} = Investor, 
{C 14.00, c0160} = Consumer loans, Loans to SMEs (treated as retail) and Other retail exposures, 
{C 14.00, c0070} = securitisation)</t>
  </si>
  <si>
    <t xml:space="preserve">   re-securitisation</t>
  </si>
  <si>
    <t>if(and({C 14.00, c0061} = N, {C 14.00, c0080}=A or D), {C 14.00, c0140}*{C 14.00, c0090}, if({C 14.00, c0061} ≠ N, {C 14.01, c0411})), where 
{C 14.00, c0060} = Banking book, 
{C 14.00, c0110} = Originator, 
{C 14.00, c0040} = Traditional, AP and AT, 
{C 14.00, c0075} = Yes, 
{C 14.00, c0160} = Residential mortgages, Credit card receivables, Consumer loans, Loans to SMEs (treated as retail) and Other retail exposures, 
{C 14.00, c0070} = re-securitisation</t>
  </si>
  <si>
    <t>{C 14.01, c0411} where 
{C 14.00, c0060} = Banking book, 
{C 14.00, c0110} = Originator, 
{C 14.00, c0040} = Traditional, AP and AT, 
{C 14.00, c0075} = Yes, 
{C 14.00, c0160} = Residential mortgages, Credit card receivables, Consumer loans, Loans to SMEs (treated as retail) and Other retail exposures, 
{C 14.00, c0061} ≠ N, 
{C 14.00, c0070} = re-securitisation</t>
  </si>
  <si>
    <t>if(and({C 14.00, c0061} = N, {C 14.00, c0080}=A or D), {C 14.00, c0140}*{C 14.00, c0090}, if({C 14.00, c0061} ≠ N, {C 14.01, c0411})), where 
{C 14.00, c0060} = Banking book, 
{C 14.00, c0110} = Originator, 
{C 14.00, c0040} = Traditional, AP and AT, 
{C 14.00, c0075} = No, 
{C 14.00, c0160} = Residential mortgages, Credit card receivables, Consumer loans, Loans to SMEs (treated as retail) and Other retail exposures, 
{C 14.00, c0070} = re-securitisation</t>
  </si>
  <si>
    <t>{C 14.01, c0411} where 
{C 14.00, c0060} = Banking book, 
{C 14.00, c0110} = Originator, 
{C 14.00, c0040} = Traditional, AP and AT, 
{C 14.00, c0075} = No, 
{C 14.00, c0160} = Residential mortgages, Credit card receivables, Consumer loans, Loans to SMEs (treated as retail) and Other retail exposures, 
{C 14.00, c0061} ≠ N, 
{C 14.00, c0070} = re-securitisation</t>
  </si>
  <si>
    <t>if(and({C 14.00, c0061} = N, {C 14.00, c0080}=A or D), {C 14.00, c0140}*{C 14.00, c0090}, if({C 14.00, c0061} ≠ N, {C 14.01, c0411})), where 
{C 14.00, c0060} = Banking book, 
{C 14.00, c0110} = Originator, 
{C 14.00, c0040} = Synthetic, 
{C 14.00, c0160} = Residential mortgages, Credit card receivables, Consumer loans, Loans to SMEs (treated as retail) and Other retail exposures, 
{C 14.00, c0070} = re-securitisation</t>
  </si>
  <si>
    <t>{C 14.01, c0411} where 
{C 14.00, c0060} = Banking book, 
{C 14.00, c0110} = Originator, 
{C 14.00, c0040} = Synthetic, 
{C 14.00, c0160} = Residential mortgages, Credit card receivables, Consumer loans, Loans to SMEs (treated as retail) and Other retail exposures, 
{C 14.00, c0061} ≠ N,
{C 14.00, c0070} = re-securitisation</t>
  </si>
  <si>
    <t>if(and({C 14.00, c0061} = N, {C 14.00, c0080}=A or D), {C 14.00, c0140}*{C 14.00, c0090}, if({C 14.00, c0061} ≠ N, {C 14.01, c0411})), where 
{C 14.00, c0060} = Banking book, 
{C 14.00, c0110} = Originator, 
{C 14.00, c0160} = Residential mortgages, Credit card receivables, Consumer loans, Loans to SMEs (treated as retail) and Other retail exposures, 
{C 14.00, c0070} = re-securitisation</t>
  </si>
  <si>
    <t>if(and({C 14.00, c0061} = N, {C 14.00, c0080}=A or D), {C 14.00, c0140}*{C 14.00, c0090}, if({C 14.00, c0061} ≠ N, {C 14.01, c0411})), where 
{C 14.00, c0060} = Banking book, 
{C 14.00, c0110} = Sponsor, 
{C 14.00, c0040} = Traditional, AP and AT, 
{C 14.00, c0075} = Yes, 
{C 14.00, c0160} = Residential mortgages, Credit card receivables, Consumer loans, Loans to SMEs (treated as retail) and Other retail exposures, 
{C 14.00, c0070} = re-securitisation</t>
  </si>
  <si>
    <t>if(and({C 14.00, c0061} = N, {C 14.00, c0080}=A or D), {C 14.00, c0140}*{C 14.00, c0090}, if({C 14.00, c0061} ≠ N, {C 14.01, c0411})), where 
{C 14.00, c0060} = Banking book, 
{C 14.00, c0110} = Sponsor, 
{C 14.00, c0040} = Traditional, AP and AT, 
{C 14.00, c0075} = No, 
{C 14.00, c0160} = Residential mortgages, Credit card receivables, Consumer loans, Loans to SMEs (treated as retail) and Other retail exposures, 
{C 14.00, c0070} = re-securitisation</t>
  </si>
  <si>
    <t>if(and({C 14.00, c0061} = N, {C 14.00, c0080}=A or D), {C 14.00, c0140}*{C 14.00, c0090}, if({C 14.00, c0061} ≠ N, {C 14.01, c0411})), where 
{C 14.00, c0060} = Banking book, 
{C 14.00, c0110} = Sponsor, 
{C 14.00, c0040} = Synthetic, 
{C 14.00, c0160} = Residential mortgages, Credit card receivables, Consumer loans, Loans to SMEs (treated as retail) and Other retail exposures, 
{C 14.00, c0070} = re-securitisation</t>
  </si>
  <si>
    <t>if(and({C 14.00, c0061} = N, {C 14.00, c0080}=A or D), {C 14.00, c0140}*{C 14.00, c0090}, if({C 14.00, c0061} ≠ N, {C 14.01, c0411})), where 
{C 14.00, c0060} = Banking book, 
{C 14.00, c0110} = Sponsor, 
{C 14.00, c0160} = Residential mortgages, Credit card receivables, Consumer loans, Loans to SMEs (treated as retail) and Other retail exposures, 
{C 14.00, c0070} = re-securitisation</t>
  </si>
  <si>
    <t>{C 14.01, c0411} where 
({C 14.01, c0450} = empty, 
{C 14.00, c0110} = Investor, 
{C 14.00, c0040} = Traditional, AP and AT, 
{C 14.00, c0075} = Yes, 
{C 14.00, c0160} = Residential mortgages, Credit card receivables, Consumer loans, Loans to SMEs (treated as retail) and Other retail exposures, 
{C 14.00, c0070} = re-securitisation)</t>
  </si>
  <si>
    <t>{C 14.01, c0411} where 
({C 14.01, c0450} = empty, 
{C 14.00, c0110} = Investor, 
{C 14.00, c0040} = Traditional, AP and AT, 
{C 14.00, c0075} = No, 
{C 14.00, c0160} = Residential mortgages, Credit card receivables, Consumer loans, Loans to SMEs (treated as retail) and Other retail exposures, 
{C 14.00, c0070} = re-securitisation)</t>
  </si>
  <si>
    <t>{C 14.01, c0411} where 
({C 14.01, c0450} = empty, 
{C 14.00, c0110} = Investor, 
{C 14.00, c0040} = Synthetic, 
{C 14.00, c0160} = Residential mortgages, Credit card receivables, Consumer loans, Loans to SMEs (treated as retail) and Other retail exposures, 
{C 14.00, c0070} = re-securitisation)</t>
  </si>
  <si>
    <t>{C 14.01, c0411} where 
({C 14.01, c0450} = empty, 
{C 14.00, c0110} = Investor, 
{C 14.00, c0160} = Residential mortgages, Credit card receivables, Consumer loans, Loans to SMEs (treated as retail) and Other retail exposures, 
{C 14.00, c0070} = re-securitisation)</t>
  </si>
  <si>
    <t>Wholesale (total)</t>
  </si>
  <si>
    <t>if(and({C 14.00, c0061} = N, {C 14.00, c0080}=A or D), {C 14.00, c0140}*{C 14.00, c0090}, if({C 14.00, c0061} ≠ N, {C 14.01, c0411})), where 
{C 14.00, c0060} = Banking book, 
{C 14.00, c0110} = Originator, 
{C 14.00, c0040} = Traditional, AP and AT, 
{C 14.00, c0075} = Yes, 
{C 14.00, c0160} = Commercial mortgages, Leasing, Loans to corporates, Loans to SMEs (treated as corporates), Trade receivables and Other wholesale exposures.</t>
  </si>
  <si>
    <t xml:space="preserve">{C 14.01, c0411} where 
{C 14.00, c0060} = Banking book, 
{C 14.00, c0110} = Originator, 
{C 14.00, c0040} = Traditional, AP and AT, 
{C 14.00, c0075} = Yes, 
{C 14.00, c0160} = Commercial mortgages, Leasing, Loans to corporates, Loans to SMEs (treated as corporates), Trade receivables and Other wholesale exposures, 
{C 14.00, c0061} ≠ N, </t>
  </si>
  <si>
    <t>if(and({C 14.00, c0061} = N, {C 14.00, c0080}=A or D), {C 14.00, c0140}*{C 14.00, c0090}, if({C 14.00, c0061} ≠ N, {C 14.01, c0411})), where 
{C 14.00, c0060} = Banking book, 
{C 14.00, c0110} = Originator, 
{C 14.00, c0040} = Traditional, AP and AT, 
{C 14.00, c0075} = No, 
{C 14.00, c0160} = Commercial mortgages, Leasing, Loans to corporates, Loans to SMEs (treated as corporates), Trade receivables and Other wholesale exposures.</t>
  </si>
  <si>
    <t xml:space="preserve">{C 14.01, c0411} where 
{C 14.00, c0060} = Banking book, 
{C 14.00, c0110} = Originator, 
{C 14.00, c0040} = Traditional, AP and AT, 
{C 14.00, c0075} = No, 
{C 14.00, c0160} = Commercial mortgages, Leasing, Loans to corporates, Loans to SMEs (treated as corporates), Trade receivables and Other wholesale exposures, 
{C 14.00, c0061} ≠ N, </t>
  </si>
  <si>
    <t>if(and({C 14.00, c0061} = N, {C 14.00, c0080}=A or D), {C 14.00, c0140}*{C 14.00, c0090}, if({C 14.00, c0061} ≠ N, {C 14.01, c0411})), where 
{C 14.00, c0060} = Banking book, 
{C 14.00, c0110} = Originator, 
{C 14.00, c0040} = Synthetic, 
{C 14.00, c0160} = Commercial mortgages, Leasing, Loans to corporates, Loans to SMEs (treated as corporates), Trade receivables and Other wholesale exposures.</t>
  </si>
  <si>
    <t xml:space="preserve">{C 14.01, c0411} where 
{C 14.00, c0060} = Banking book, 
{C 14.00, c0110} = Originator, 
{C 14.00, c0040} = Synthetic, 
{C 14.00, c0160} = Commercial mortgages, Leasing, Loans to corporates, Loans to SMEs (treated as corporates), Trade receivables and Other wholesale exposures, 
{C 14.00, c0061} ≠ N, </t>
  </si>
  <si>
    <t>if(and({C 14.00, c0061} = N, {C 14.00, c0080}=A or D), {C 14.00, c0140}*{C 14.00, c0090}, if({C 14.00, c0061} ≠ N, {C 14.01, c0411})), where 
{C 14.00, c0060} = Banking book, 
{C 14.00, c0110} = Originator, 
{C 14.00, c0160} = Commercial mortgages, Leasing, Loans to corporates, Loans to SMEs (treated as corporates), Trade receivables and Other wholesale exposures.</t>
  </si>
  <si>
    <t>if(and({C 14.00, c0061} = N, {C 14.00, c0080}=A or D), {C 14.00, c0140}*{C 14.00, c0090}, if({C 14.00, c0061} ≠ N, {C 14.01, c0411})), where 
{C 14.00, c0060} = Banking book, 
{C 14.00, c0110} = Sponsor, 
{C 14.00, c0040} = Traditional, AP and AT, 
{C 14.00, c0075} = Yes, 
{C 14.00, c0160} = Commercial mortgages, Leasing, Loans to corporates, Loans to SMEs (treated as corporates), Trade receivables and Other wholesale exposures.</t>
  </si>
  <si>
    <t>if(and({C 14.00, c0061} = N, {C 14.00, c0080}=A or D), {C 14.00, c0140}*{C 14.00, c0090}, if({C 14.00, c0061} ≠ N, {C 14.01, c0411})), where 
{C 14.00, c0060} = Banking book, 
{C 14.00, c0110} = Sponsor, 
{C 14.00, c0040} = Traditional, AP and AT, 
{C 14.00, c0075} = No, 
{C 14.00, c0160} = Commercial mortgages, Leasing, Loans to corporates, Loans to SMEs (treated as corporates), Trade receivables and Other wholesale exposures.</t>
  </si>
  <si>
    <t>if(and({C 14.00, c0061} = N, {C 14.00, c0080}=A or D), {C 14.00, c0140}*{C 14.00, c0090}, if({C 14.00, c0061} ≠ N, {C 14.01, c0411})), where 
{C 14.00, c0060} = Banking book, 
{C 14.00, c0110} = Sponsor, 
{C 14.00, c0040} = Synthetic, 
{C 14.00, c0160} = Commercial mortgages, Leasing, Loans to corporates, Loans to SMEs (treated as corporates), Trade receivables and Other wholesale exposures.</t>
  </si>
  <si>
    <t>if(and({C 14.00, c0061} = N, {C 14.00, c0080}=A or D), {C 14.00, c0140}*{C 14.00, c0090}, if({C 14.00, c0061} ≠ N, {C 14.01, c0411})), where 
{C 14.00, c0060} = Banking book, 
{C 14.00, c0110} = Sponsor, 
{C 14.00, c0160} = Commercial mortgages, Leasing, Loans to corporates, Loans to SMEs (treated as corporates), Trade receivables and Other wholesale exposures.</t>
  </si>
  <si>
    <t>{C 14.01, c0411} where 
({C 14.01, c0450} = empty, 
{C 14.00, c0110} = Investor, 
{C 14.00, c0040} = Traditional, AP and AT, 
{C 14.00, c0075} = Yes, 
{C 14.00, c0160} = Commercial mortgages, Leasing, Loans to corporates, Loans to SMEs (treated as corporates), Trade receivables and Other wholesale exposures)</t>
  </si>
  <si>
    <t>{C 14.01, c0411} where 
({C 14.01, c0450} = empty, 
{C 14.00, c0110} = Investor, 
{C 14.00, c0040} = Traditional, AP and AT, 
{C 14.00, c0075} = No, 
{C 14.00, c0160} = Commercial mortgages, Leasing, Loans to corporates, Loans to SMEs (treated as corporates), Trade receivables and Other wholesale exposures)</t>
  </si>
  <si>
    <t>{C 14.01, c0411} where 
({C 14.01, c0450} = empty, 
{C 14.00, c0110} = Investor, 
{C 14.00, c0040} = Synthetic, 
{C 14.00, c0160} = Commercial mortgages, Leasing, Loans to corporates, Loans to SMEs (treated as corporates), Trade receivables and Other wholesale exposures)</t>
  </si>
  <si>
    <t>{C 14.01, c0411} where 
({C 14.01, c0450} = empty, 
{C 14.00, c0110} = Investor, 
{C 14.00, c0160} = Commercial mortgages, Leasing, Loans to corporates, Loans to SMEs (treated as corporates), Trade receivables and Other wholesale exposures)</t>
  </si>
  <si>
    <t xml:space="preserve">   loans to corporates</t>
  </si>
  <si>
    <t>if(and({C 14.00, c0061} = N, {C 14.00, c0080}=A or D), {C 14.00, c0140}*{C 14.00, c0090}, if({C 14.00, c0061} ≠ N, {C 14.01, c0411})), where 
{C 14.00, c0060} = Banking book, 
{C 14.00, c0110} = Originator, 
{C 14.00, c0040} = Traditional, AP and AT, 
{C 14.00, c0075} = Yes, 
{C 14.00, c0160} = Loans to corporates or Loans to SMEs (treated as corporates),
{C 14.00, c0070} = securitisation</t>
  </si>
  <si>
    <t>{C 14.01, c0411} where 
{C 14.00, c0060} = Banking book, 
{C 14.00, c0110} = Originator, 
{C 14.00, c0040} = Traditional, AP and AT, 
{C 14.00, c0075} = Yes, 
{C 14.00, c0160} = Loans to corporates or Loans to SMEs (treated as corporates),
{C 14.00, c0061} ≠ N, 
{C 14.00, c0070} = securitisation</t>
  </si>
  <si>
    <t>if(and({C 14.00, c0061} = N, {C 14.00, c0080}=A or D), {C 14.00, c0140}*{C 14.00, c0090}, if({C 14.00, c0061} ≠ N, {C 14.01, c0411})), where 
{C 14.00, c0060} = Banking book, 
{C 14.00, c0110} = Originator, 
{C 14.00, c0040} = Traditional, AP and AT, 
{C 14.00, c0075} = No, 
{C 14.00, c0160} = Loans to corporates or Loans to SMEs (treated as corporates),
{C 14.00, c0070} = securitisation</t>
  </si>
  <si>
    <t>{C 14.01, c0411} where 
{C 14.00, c0060} = Banking book, 
{C 14.00, c0110} = Originator, 
{C 14.00, c0040} = Traditional, AP and AT, 
{C 14.00, c0075} = No, 
{C 14.00, c0160} = Loans to corporates or Loans to SMEs (treated as corporates),
{C 14.00, c0061} ≠ N, 
{C 14.00, c0070} = securitisation</t>
  </si>
  <si>
    <t>if(and({C 14.00, c0061} = N, {C 14.00, c0080}=A or D), {C 14.00, c0140}*{C 14.00, c0090}, if({C 14.00, c0061} ≠ N, {C 14.01, c0411})), where 
{C 14.00, c0060} = Banking book, 
{C 14.00, c0110} = Originator, 
{C 14.00, c0040} = Synthetic, 
{C 14.00, c0160} = Loans to corporates or Loans to SMEs (treated as corporates),
{C 14.00, c0070} = securitisation</t>
  </si>
  <si>
    <t>{C 14.01, c0411} where 
{C 14.00, c0060} = Banking book, 
{C 14.00, c0110} = Originator, 
{C 14.00, c0040} = Synthetic, 
{C 14.00, c0160} = Loans to corporates or Loans to SMEs (treated as corporates),
{C 14.00, c0061} ≠ N, 
{C 14.00, c0070} = securitisation</t>
  </si>
  <si>
    <t>if(and({C 14.00, c0061} = N, {C 14.00, c0080}=A or D), {C 14.00, c0140}*{C 14.00, c0090}, if({C 14.00, c0061} ≠ N, {C 14.01, c0411})), where 
{C 14.00, c0060} = Banking book, 
{C 14.00, c0110} = Originator, 
{C 14.00, c0160} = Loans to corporates or Loans to SMEs (treated as corporates),
{C 14.00, c0070} = securitisation</t>
  </si>
  <si>
    <t>if(and({C 14.00, c0061} = N, {C 14.00, c0080}=A or D), {C 14.00, c0140}*{C 14.00, c0090}, if({C 14.00, c0061} ≠ N, {C 14.01, c0411})), where 
{C 14.00, c0060} = Banking book, 
{C 14.00, c0110} = Sponsor, 
{C 14.00, c0040} = Traditional, AP and AT, 
{C 14.00, c0075} = Yes, 
{C 14.00, c0160} = Loans to corporates or Loans to SMEs (treated as corporates),
{C 14.00, c0070} = securitisation</t>
  </si>
  <si>
    <t>if(and({C 14.00, c0061} = N, {C 14.00, c0080}=A or D), {C 14.00, c0140}*{C 14.00, c0090}, if({C 14.00, c0061} ≠ N, {C 14.01, c0411})), where 
{C 14.00, c0060} = Banking book, 
{C 14.00, c0110} = Sponsor, 
{C 14.00, c0040} = Traditional, AP and AT, 
{C 14.00, c0075} = No, 
{C 14.00, c0160} = Loans to corporates or Loans to SMEs (treated as corporates),
{C 14.00, c0070} = securitisation</t>
  </si>
  <si>
    <t>if(and({C 14.00, c0061} = N, {C 14.00, c0080}=A or D), {C 14.00, c0140}*{C 14.00, c0090}, if({C 14.00, c0061} ≠ N, {C 14.01, c0411})), where 
{C 14.00, c0060} = Banking book, 
{C 14.00, c0110} = Sponsor, 
{C 14.00, c0040} = Synthetic, 
{C 14.00, c0160} = Loans to corporates or Loans to SMEs (treated as corporates),
{C 14.00, c0070} = securitisation</t>
  </si>
  <si>
    <t>if(and({C 14.00, c0061} = N, {C 14.00, c0080}=A or D), {C 14.00, c0140}*{C 14.00, c0090}, if({C 14.00, c0061} ≠ N, {C 14.01, c0411})), where 
{C 14.00, c0060} = Banking book, 
{C 14.00, c0110} = Sponsor, 
{C 14.00, c0160} = Loans to corporates or Loans to SMEs (treated as corporates),
{C 14.00, c0070} = securitisation</t>
  </si>
  <si>
    <t>{C 14.01, c0411} where 
({C 14.01, c0450} = empty, 
{C 14.00, c0110} = Investor, 
{C 14.00, c0040} = Traditional, AP and AT, 
{C 14.00, c0075} = Yes, 
{C 14.00, c0160} = Loans to corporates or Loans to SMEs (treated as corporates),
{C 14.00, c0070} = securitisation)</t>
  </si>
  <si>
    <t>{C 14.01, c0411} where 
({C 14.01, c0450} = empty, 
{C 14.00, c0110} = Investor, 
{C 14.00, c0040} = Traditional, AP and AT, 
{C 14.00, c0075} = No, 
{C 14.00, c0160} = Loans to corporates or Loans to SMEs (treated as corporates),
{C 14.00, c0070} = securitisation)</t>
  </si>
  <si>
    <t>{C 14.01, c0411} where 
({C 14.01, c0450} = empty, 
{C 14.00, c0110} = Investor, 
{C 14.00, c0040} = Synthetic, 
{C 14.00, c0160} = Loans to corporates or Loans to SMEs (treated as corporates),
{C 14.00, c0070} = securitisation)</t>
  </si>
  <si>
    <t>{C 14.01, c0411} where 
({C 14.01, c0450} = empty, 
{C 14.00, c0110} = Investor, 
{C 14.00, c0160} = Loans to corporates or Loans to SMEs (treated as corporates),
{C 14.00, c0070} = securitisation)</t>
  </si>
  <si>
    <t xml:space="preserve">   commercial mortgage </t>
  </si>
  <si>
    <t>if(and({C 14.00, c0061} = N, {C 14.00, c0080}=A or D), {C 14.00, c0140}*{C 14.00, c0090}, if({C 14.00, c0061} ≠ N, {C 14.01, c0411})), where 
{C 14.00, c0060} = Banking book, 
{C 14.00, c0110} = Originator, 
{C 14.00, c0040} = Traditional, AP and AT, 
{C 14.00, c0075} = Yes, 
{C 14.00, c0160} = Commercial mortgages,
{C 14.00, c0070} = securitisation</t>
  </si>
  <si>
    <t>{C 14.01, c0411} where 
{C 14.00, c0060} = Banking book, 
{C 14.00, c0110} = Originator, 
{C 14.00, c0040} = Traditional, AP and AT, 
{C 14.00, c0075} = Yes, 
{C 14.00, c0160} = Commercial mortgages, 
{C 14.00, c0061} ≠ N, 
{C 14.00, c0070} = securitisation</t>
  </si>
  <si>
    <t>if(and({C 14.00, c0061} = N, {C 14.00, c0080}=A or D), {C 14.00, c0140}*{C 14.00, c0090}, if({C 14.00, c0061} ≠ N, {C 14.01, c0411})), where 
{C 14.00, c0060} = Banking book, 
{C 14.00, c0110} = Originator, 
{C 14.00, c0040} = Traditional, AP and AT, 
{C 14.00, c0075} = No, 
{C 14.00, c0160} = Commercial mortgages,
{C 14.00, c0070} = securitisation</t>
  </si>
  <si>
    <t>{C 14.01, c0411} where 
{C 14.00, c0060} = Banking book, 
{C 14.00, c0110} = Originator, 
{C 14.00, c0040} = Traditional, AP and AT, 
{C 14.00, c0075} = No, 
{C 14.00, c0160} = Commercial mortgages, 
{C 14.00, c0061} ≠ N, 
{C 14.00, c0070} = securitisation</t>
  </si>
  <si>
    <t>if(and({C 14.00, c0061} = N, {C 14.00, c0080}=A or D), {C 14.00, c0140}*{C 14.00, c0090}, if({C 14.00, c0061} ≠ N, {C 14.01, c0411})), where 
{C 14.00, c0060} = Banking book, 
{C 14.00, c0110} = Originator, 
{C 14.00, c0040} = Synthetic, 
{C 14.00, c0160} = Commercial mortgages,
{C 14.00, c0070} = securitisation</t>
  </si>
  <si>
    <t>{C 14.01, c0411} where 
{C 14.00, c0060} = Banking book, 
{C 14.00, c0110} = Originator, 
{C 14.00, c0040} = Synthetic, 
{C 14.00, c0160} = Commercial mortgages, 
{C 14.00, c0061} ≠ N, 
{C 14.00, c0070} = securitisation</t>
  </si>
  <si>
    <t>if(and({C 14.00, c0061} = N, {C 14.00, c0080}=A or D), {C 14.00, c0140}*{C 14.00, c0090}, if({C 14.00, c0061} ≠ N, {C 14.01, c0411})), where 
{C 14.00, c0060} = Banking book, 
{C 14.00, c0110} = Originator, 
{C 14.00, c0160} = Commercial mortgages,
{C 14.00, c0070} = securitisation</t>
  </si>
  <si>
    <t>if(and({C 14.00, c0061} = N, {C 14.00, c0080}=A or D), {C 14.00, c0140}*{C 14.00, c0090}, if({C 14.00, c0061} ≠ N, {C 14.01, c0411})), where 
{C 14.00, c0060} = Banking book, 
{C 14.00, c0110} = Sponsor, 
{C 14.00, c0040} = Traditional, AP and AT, 
{C 14.00, c0075} = Yes, 
{C 14.00, c0160} = Commercial mortgages,
{C 14.00, c0070} = securitisation</t>
  </si>
  <si>
    <t>if(and({C 14.00, c0061} = N, {C 14.00, c0080}=A or D), {C 14.00, c0140}*{C 14.00, c0090}, if({C 14.00, c0061} ≠ N, {C 14.01, c0411})), where 
{C 14.00, c0060} = Banking book, 
{C 14.00, c0110} = Sponsor, 
{C 14.00, c0040} = Traditional, AP and AT, 
{C 14.00, c0075} = No, 
{C 14.00, c0160} = Commercial mortgages,
{C 14.00, c0070} = securitisation</t>
  </si>
  <si>
    <t>if(and({C 14.00, c0061} = N, {C 14.00, c0080}=A or D), {C 14.00, c0140}*{C 14.00, c0090}, if({C 14.00, c0061} ≠ N, {C 14.01, c0411})), where 
{C 14.00, c0060} = Banking book, 
{C 14.00, c0110} = Sponsor, 
{C 14.00, c0040} = Synthetic, 
{C 14.00, c0160} = Commercial mortgages,
{C 14.00, c0070} = securitisation</t>
  </si>
  <si>
    <t>if(and({C 14.00, c0061} = N, {C 14.00, c0080}=A or D), {C 14.00, c0140}*{C 14.00, c0090}, if({C 14.00, c0061} ≠ N, {C 14.01, c0411})), where 
{C 14.00, c0060} = Banking book, 
{C 14.00, c0110} = Sponsor, 
{C 14.00, c0160} = Commercial mortgages,
{C 14.00, c0070} = securitisation</t>
  </si>
  <si>
    <t>{C 14.01, c0411} where 
({C 14.01, c0450} = empty, 
{C 14.00, c0110} = Investor, 
{C 14.00, c0040} = Traditional, AP and AT, 
{C 14.00, c0075} = Yes, 
{C 14.00, c0160} = Commercial mortgages,
{C 14.00, c0070} = securitisation)</t>
  </si>
  <si>
    <t>{C 14.01, c0411} where 
({C 14.01, c0450} = empty, 
{C 14.00, c0110} = Investor, 
{C 14.00, c0040} = Traditional, AP and AT, 
{C 14.00, c0075} = No, 
{C 14.00, c0160} = Commercial mortgages,
{C 14.00, c0070} = securitisation)</t>
  </si>
  <si>
    <t>{C 14.01, c0411} where 
({C 14.01, c0450} = empty, 
{C 14.00, c0110} = Investor, 
{C 14.00, c0040} = Synthetic, 
{C 14.00, c0160} = Commercial mortgages,
{C 14.00, c0070} = securitisation)</t>
  </si>
  <si>
    <t>{C 14.01, c0411} where 
({C 14.01, c0450} = empty, 
{C 14.00, c0110} = Investor, 
{C 14.00, c0160} = Commercial mortgages,
{C 14.00, c0070} = securitisation)</t>
  </si>
  <si>
    <t xml:space="preserve">   lease and receivables</t>
  </si>
  <si>
    <t>if(and({C 14.00, c0061} = N, {C 14.00, c0080}=A or D), {C 14.00, c0140}*{C 14.00, c0090}, if({C 14.00, c0061} ≠ N, {C 14.01, c0411})), where 
{C 14.00, c0060} = Banking book, 
{C 14.00, c0110} = Originator, 
{C 14.00, c0040} = Traditional, AP and AT, 
{C 14.00, c0075} = Yes, 
{C 14.00, c0160} = Leasing or Trade receivables,
{C 14.00, c0070} = securitisation</t>
  </si>
  <si>
    <t>{C 14.01, c0411} where 
{C 14.00, c0060} = Banking book, 
{C 14.00, c0110} = Originator, 
{C 14.00, c0040} = Traditional, AP and AT, 
{C 14.00, c0075} = Yes, 
{C 14.00, c0160} =  Leasing or Trade receivables,
{C 14.00, c0061} ≠ N, 
{C 14.00, c0070} = securitisation</t>
  </si>
  <si>
    <t>if(and({C 14.00, c0061} = N, {C 14.00, c0080}=A or D), {C 14.00, c0140}*{C 14.00, c0090}, if({C 14.00, c0061} ≠ N, {C 14.01, c0411})), where 
{C 14.00, c0060} = Banking book, 
{C 14.00, c0110} = Originator, 
{C 14.00, c0040} = Traditional, AP and AT, 
{C 14.00, c0075} = No, 
{C 14.00, c0160} = Leasing or Trade receivables,
{C 14.00, c0070} = securitisation</t>
  </si>
  <si>
    <t>{C 14.01, c0411} where 
{C 14.00, c0060} = Banking book, 
{C 14.00, c0110} = Originator, 
{C 14.00, c0040} = Traditional, AP and AT, 
{C 14.00, c0075} = No, 
{C 14.00, c0160} =  Leasing or Trade receivables,
{C 14.00, c0061} ≠ N, 
{C 14.00, c0070} = securitisation</t>
  </si>
  <si>
    <t>if(and({C 14.00, c0061} = N, {C 14.00, c0080}=A or D), {C 14.00, c0140}*{C 14.00, c0090}, if({C 14.00, c0061} ≠ N, {C 14.01, c0411})), where 
{C 14.00, c0060} = Banking book, 
{C 14.00, c0110} = Originator, 
{C 14.00, c0040} = Synthetic, 
{C 14.00, c0160} = Leasing or Trade receivables,
{C 14.00, c0070} = securitisation</t>
  </si>
  <si>
    <t>{C 14.01, c0411} where 
{C 14.00, c0060} = Banking book, 
{C 14.00, c0110} = Originator, 
{C 14.00, c0040} = Synthetic, 
{C 14.00, c0160} =  Leasing or Trade receivables,
{C 14.00, c0061} ≠ N, 
{C 14.00, c0070} = securitisation</t>
  </si>
  <si>
    <t>if(and({C 14.00, c0061} = N, {C 14.00, c0080}=A or D), {C 14.00, c0140}*{C 14.00, c0090}, if({C 14.00, c0061} ≠ N, {C 14.01, c0411})), where 
{C 14.00, c0060} = Banking book, 
{C 14.00, c0110} = Originator, 
{C 14.00, c0160} = Leasing or Trade receivables,
{C 14.00, c0070} = securitisation</t>
  </si>
  <si>
    <t>if(and({C 14.00, c0061} = N, {C 14.00, c0080}=A or D), {C 14.00, c0140}*{C 14.00, c0090}, if({C 14.00, c0061} ≠ N, {C 14.01, c0411})), where 
{C 14.00, c0060} = Banking book, 
{C 14.00, c0110} = Sponsor, 
{C 14.00, c0040} = Traditional, AP and AT, 
{C 14.00, c0075} = Yes, 
{C 14.00, c0160} = Leasing or Trade receivables,
{C 14.00, c0070} = securitisation</t>
  </si>
  <si>
    <t>if(and({C 14.00, c0061} = N, {C 14.00, c0080}=A or D), {C 14.00, c0140}*{C 14.00, c0090}, if({C 14.00, c0061} ≠ N, {C 14.01, c0411})), where 
{C 14.00, c0060} = Banking book, 
{C 14.00, c0110} = Sponsor, 
{C 14.00, c0040} = Traditional, AP and AT, 
{C 14.00, c0075} = No, 
{C 14.00, c0160} = Leasing or Trade receivables,
{C 14.00, c0070} = securitisation</t>
  </si>
  <si>
    <t>if(and({C 14.00, c0061} = N, {C 14.00, c0080}=A or D), {C 14.00, c0140}*{C 14.00, c0090}, if({C 14.00, c0061} ≠ N, {C 14.01, c0411})), where 
{C 14.00, c0060} = Banking book, 
{C 14.00, c0110} = Sponsor, 
{C 14.00, c0040} = Synthetic, 
{C 14.00, c0160} = Leasing or Trade receivables,
{C 14.00, c0070} = securitisation</t>
  </si>
  <si>
    <t>if(and({C 14.00, c0061} = N, {C 14.00, c0080}=A or D), {C 14.00, c0140}*{C 14.00, c0090}, if({C 14.00, c0061} ≠ N, {C 14.01, c0411})), where 
{C 14.00, c0060} = Banking book, 
{C 14.00, c0110} = Sponsor, 
{C 14.00, c0160} = Leasing or Trade receivables,
{C 14.00, c0070} = securitisation</t>
  </si>
  <si>
    <t>{C 14.01, c0411} where 
({C 14.01, c0450} = empty, 
{C 14.00, c0110} = Investor, 
{C 14.00, c0040} = Traditional, AP and AT, 
{C 14.00, c0075} = Yes, 
{C 14.00, c0160} = Leasing or Trade receivables,
{C 14.00, c0070} = securitisation)</t>
  </si>
  <si>
    <t>{C 14.01, c0411} where 
({C 14.01, c0450} = empty, 
{C 14.00, c0110} = Investor, 
{C 14.00, c0040} = Traditional, AP and AT, 
{C 14.00, c0075} = No, 
{C 14.00, c0160} = Leasing or Trade receivables,
{C 14.00, c0070} = securitisation)</t>
  </si>
  <si>
    <t>{C 14.01, c0411} where 
({C 14.01, c0450} = empty, 
{C 14.00, c0110} = Investor, 
{C 14.00, c0040} = Synthetic, 
{C 14.00, c0160} = Leasing or Trade receivables,
{C 14.00, c0070} = securitisation)</t>
  </si>
  <si>
    <t>{C 14.01, c0411} where 
({C 14.01, c0450} = empty, 
{C 14.00, c0110} = Investor, 
{C 14.00, c0160} = Leasing or Trade receivables,
{C 14.00, c0070} = securitisation)</t>
  </si>
  <si>
    <t xml:space="preserve">   other wholesale</t>
  </si>
  <si>
    <t>if(and({C 14.00, c0061} = N, {C 14.00, c0080}=A or D), {C 14.00, c0140}*{C 14.00, c0090}, if({C 14.00, c0061} ≠ N, {C 14.01, c0411})), where 
{C 14.00, c0060} = Banking book, 
{C 14.00, c0110} = Originator, 
{C 14.00, c0040} = Traditional, AP and AT, 
{C 14.00, c0075} = Yes, 
{C 14.00, c0160} = Other wholesale exposures,
{C 14.00, c0070} = securitisation</t>
  </si>
  <si>
    <t>{C 14.01, c0411} where 
{C 14.00, c0060} = Banking book, 
{C 14.00, c0110} = Originator, 
{C 14.00, c0040} = Traditional, AP and AT, 
{C 14.00, c0075} = Yes, 
{C 14.00, c0160} =  Other wholesale exposures,
{C 14.00, c0061} ≠ N, 
{C 14.00, c0070} = securitisation</t>
  </si>
  <si>
    <t>if(and({C 14.00, c0061} = N, {C 14.00, c0080}=A or D), {C 14.00, c0140}*{C 14.00, c0090}, if({C 14.00, c0061} ≠ N, {C 14.01, c0411})), where 
{C 14.00, c0060} = Banking book, 
{C 14.00, c0110} = Originator, 
{C 14.00, c0040} = Traditional, AP and AT, 
{C 14.00, c0075} = No, 
{C 14.00, c0160} = Other wholesale exposures,
{C 14.00, c0070} = securitisation</t>
  </si>
  <si>
    <t>{C 14.01, c0411} where 
{C 14.00, c0060} = Banking book, 
{C 14.00, c0110} = Originator, 
{C 14.00, c0040} = Traditional, AP and AT, 
{C 14.00, c0075} = No, 
{C 14.00, c0160} =  Other wholesale exposures,
{C 14.00, c0061} ≠ N, 
{C 14.00, c0070} = securitisation</t>
  </si>
  <si>
    <t>if(and({C 14.00, c0061} = N, {C 14.00, c0080}=A or D), {C 14.00, c0140}*{C 14.00, c0090}, if({C 14.00, c0061} ≠ N, {C 14.01, c0411})), where 
{C 14.00, c0060} = Banking book, 
{C 14.00, c0110} = Originator, 
{C 14.00, c0040} = Synthetic, 
{C 14.00, c0160} = Other wholesale exposures,
{C 14.00, c0070} = securitisation</t>
  </si>
  <si>
    <t>{C 14.01, c0411} where 
{C 14.00, c0060} = Banking book, 
{C 14.00, c0110} = Originator, 
{C 14.00, c0040} = Synthetic, 
{C 14.00, c0160} =  Other wholesale exposures,
{C 14.00, c0061} ≠ N, 
{C 14.00, c0070} = securitisation</t>
  </si>
  <si>
    <t>if(and({C 14.00, c0061} = N, {C 14.00, c0080}=A or D), {C 14.00, c0140}*{C 14.00, c0090}, if({C 14.00, c0061} ≠ N, {C 14.01, c0411})), where 
{C 14.00, c0060} = Banking book, 
{C 14.00, c0110} = Originator, 
{C 14.00, c0160} = Other wholesale exposures,
{C 14.00, c0070} = securitisation</t>
  </si>
  <si>
    <t>if(and({C 14.00, c0061} = N, {C 14.00, c0080}=A or D), {C 14.00, c0140}*{C 14.00, c0090}, if({C 14.00, c0061} ≠ N, {C 14.01, c0411})), where 
{C 14.00, c0060} = Banking book, 
{C 14.00, c0110} = Sponsor, 
{C 14.00, c0040} = Traditional, AP and AT, 
{C 14.00, c0075} = Yes, 
{C 14.00, c0160} = Other wholesale exposures,
{C 14.00, c0070} = securitisation</t>
  </si>
  <si>
    <t>if(and({C 14.00, c0061} = N, {C 14.00, c0080}=A or D), {C 14.00, c0140}*{C 14.00, c0090}, if({C 14.00, c0061} ≠ N, {C 14.01, c0411})), where 
{C 14.00, c0060} = Banking book, 
{C 14.00, c0110} = Sponsor, 
{C 14.00, c0040} = Traditional, AP and AT, 
{C 14.00, c0075} = No, 
{C 14.00, c0160} = Other wholesale exposures,
{C 14.00, c0070} = securitisation</t>
  </si>
  <si>
    <t>if(and({C 14.00, c0061} = N, {C 14.00, c0080}=A or D), {C 14.00, c0140}*{C 14.00, c0090}, if({C 14.00, c0061} ≠ N, {C 14.01, c0411})), where 
{C 14.00, c0060} = Banking book, 
{C 14.00, c0110} = Sponsor, 
{C 14.00, c0040} = Synthetic, 
{C 14.00, c0160} = Other wholesale exposures,
{C 14.00, c0070} = securitisation</t>
  </si>
  <si>
    <t>if(and({C 14.00, c0061} = N, {C 14.00, c0080}=A or D), {C 14.00, c0140}*{C 14.00, c0090}, if({C 14.00, c0061} ≠ N, {C 14.01, c0411})), where 
{C 14.00, c0060} = Banking book, 
{C 14.00, c0110} = Sponsor, 
{C 14.00, c0160} = Other wholesale exposures,
{C 14.00, c0070} = securitisation</t>
  </si>
  <si>
    <t>{C 14.01, c0411} where 
({C 14.01, c0450} = empty, 
{C 14.00, c0110} = Investor, 
{C 14.00, c0040} = Traditional, AP and AT, 
{C 14.00, c0075} = Yes, 
{C 14.00, c0160} = Other wholesale exposures,
{C 14.00, c0070} = securitisation)</t>
  </si>
  <si>
    <t>{C 14.01, c0411} where 
({C 14.01, c0450} = empty, 
{C 14.00, c0110} = Investor, 
{C 14.00, c0040} = Traditional, AP and AT, 
{C 14.00, c0075} = No, 
{C 14.00, c0160} = Other wholesale exposures,
{C 14.00, c0070} = securitisation)</t>
  </si>
  <si>
    <t>{C 14.01, c0411} where 
({C 14.01, c0450} = empty, 
{C 14.00, c0110} = Investor, 
{C 14.00, c0040} = Synthetic, 
{C 14.00, c0160} = Other wholesale exposures,
{C 14.00, c0070} = securitisation)</t>
  </si>
  <si>
    <t>{C 14.01, c0411} where 
({C 14.01, c0450} = empty, 
{C 14.00, c0110} = Investor, 
{C 14.00, c0160} = Other wholesale exposures,
{C 14.00, c0070} = securitisation)</t>
  </si>
  <si>
    <t>if(and({C 14.00, c0061} = N, {C 14.00, c0080}=A or D), {C 14.00, c0140}*{C 14.00, c0090}, if({C 14.00, c0061} ≠ N, {C 14.01, c0411})), where 
{C 14.00, c0060} = Banking book, 
{C 14.00, c0110} = Originator, 
{C 14.00, c0040} = Traditional, AP and AT, 
{C 14.00, c0075} = Yes, 
{C 14.00, c0160} = Commercial mortgages, Leasing, Loans to corporates, Loans to SMEs (treated as corporates), Trade receivables and Other wholesale exposures, 
{C 14.00, c0070} = re-securitisation</t>
  </si>
  <si>
    <t>{C 14.01, c0411} where 
{C 14.00, c0060} = Banking book, 
{C 14.00, c0110} = Originator, 
{C 14.00, c0040} = Traditional, AP and AT, 
{C 14.00, c0075} = Yes, 
{C 14.00, c0160} = Commercial mortgages, Leasing, Loans to corporates, Loans to SMEs (treated as corporates), Trade receivables and Other wholesale exposures, 
{C 14.00, c0061} ≠ N, 
{C 14.00, c0070} = re-securitisation</t>
  </si>
  <si>
    <t>if(and({C 14.00, c0061} = N, {C 14.00, c0080}=A or D), {C 14.00, c0140}*{C 14.00, c0090}, if({C 14.00, c0061} ≠ N, {C 14.01, c0411})), where 
{C 14.00, c0060} = Banking book, 
{C 14.00, c0110} = Originator, 
{C 14.00, c0040} = Traditional, AP and AT, 
{C 14.00, c0075} = No, 
{C 14.00, c0160} = Commercial mortgages, Leasing, Loans to corporates, Loans to SMEs (treated as corporates), Trade receivables and Other wholesale exposures, 
{C 14.00, c0070} = re-securitisation</t>
  </si>
  <si>
    <t>{C 14.01, c0411} where 
{C 14.00, c0060} = Banking book, 
{C 14.00, c0110} = Originator, 
{C 14.00, c0040} = Traditional, AP and AT, 
{C 14.00, c0075} = No, 
{C 14.00, c0160} = Commercial mortgages, Leasing, Loans to corporates, Loans to SMEs (treated as corporates), Trade receivables and Other wholesale exposures, 
{C 14.00, c0061} ≠ N, 
{C 14.00, c0070} = re-securitisation</t>
  </si>
  <si>
    <t>if(and({C 14.00, c0061} = N, {C 14.00, c0080}=A or D), {C 14.00, c0140}*{C 14.00, c0090}, if({C 14.00, c0061} ≠ N, {C 14.01, c0411})), where 
{C 14.00, c0060} = Banking book, 
{C 14.00, c0110} = Originator, 
{C 14.00, c0040} = Synthetic, 
{C 14.00, c0160} = Commercial mortgages, Leasing, Loans to corporates, Loans to SMEs (treated as corporates), Trade receivables and Other wholesale exposures, 
{C 14.00, c0070} = re-securitisation</t>
  </si>
  <si>
    <t>{C 14.01, c0411} where 
{C 14.00, c0060} = Banking book, 
{C 14.00, c0110} = Originator, 
{C 14.00, c0040} = Synthetic, 
{C 14.00, c0160} = Commercial mortgages, Leasing, Loans to corporates, Loans to SMEs (treated as corporates), Trade receivables and Other wholesale exposures, 
{C 14.00, c0061} ≠ N, 
{C 14.00, c0070} = re-securitisation</t>
  </si>
  <si>
    <t>if(and({C 14.00, c0061} = N, {C 14.00, c0080}=A or D), {C 14.00, c0140}*{C 14.00, c0090}, if({C 14.00, c0061} ≠ N, {C 14.01, c0411})), where 
{C 14.00, c0060} = Banking book, 
{C 14.00, c0110} = Originator, 
{C 14.00, c0160} = Commercial mortgages, Leasing, Loans to corporates, Loans to SMEs (treated as corporates), Trade receivables and Other wholesale exposures, 
{C 14.00, c0070} = re-securitisation</t>
  </si>
  <si>
    <t>if(and({C 14.00, c0061} = N, {C 14.00, c0080}=A or D), {C 14.00, c0140}*{C 14.00, c0090}, if({C 14.00, c0061} ≠ N, {C 14.01, c0411})), where 
{C 14.00, c0060} = Banking book, 
{C 14.00, c0110} = Sponsor, 
{C 14.00, c0040} = Traditional, AP and AT, 
{C 14.00, c0075} = Yes, 
{C 14.00, c0160} = Commercial mortgages, Leasing, Loans to corporates, Loans to SMEs (treated as corporates), Trade receivables and Other wholesale exposures, 
{C 14.00, c0070} = re-securitisation</t>
  </si>
  <si>
    <t>if(and({C 14.00, c0061} = N, {C 14.00, c0080}=A or D), {C 14.00, c0140}*{C 14.00, c0090}, if({C 14.00, c0061} ≠ N, {C 14.01, c0411})), where 
{C 14.00, c0060} = Banking book, 
{C 14.00, c0110} = Sponsor, 
{C 14.00, c0040} = Traditional, AP and AT, 
{C 14.00, c0075} = No, 
{C 14.00, c0160} = Commercial mortgages, Leasing, Loans to corporates, Loans to SMEs (treated as corporates), Trade receivables and Other wholesale exposures, 
{C 14.00, c0070} = re-securitisation</t>
  </si>
  <si>
    <t>if(and({C 14.00, c0061} = N, {C 14.00, c0080}=A or D), {C 14.00, c0140}*{C 14.00, c0090}, if({C 14.00, c0061} ≠ N, {C 14.01, c0411})), where 
{C 14.00, c0060} = Banking book, 
{C 14.00, c0110} = Sponsor, 
{C 14.00, c0040} = Synthetic, 
{C 14.00, c0160} = Commercial mortgages, Leasing, Loans to corporates, Loans to SMEs (treated as corporates), Trade receivables and Other wholesale exposures, 
{C 14.00, c0070} = re-securitisation</t>
  </si>
  <si>
    <t>if(and({C 14.00, c0061} = N, {C 14.00, c0080}=A or D), {C 14.00, c0140}*{C 14.00, c0090}, if({C 14.00, c0061} ≠ N, {C 14.01, c0411})), where 
{C 14.00, c0060} = Banking book, 
{C 14.00, c0110} = Sponsor, 
{C 14.00, c0160} = Commercial mortgages, Leasing, Loans to corporates, Loans to SMEs (treated as corporates), Trade receivables and Other wholesale exposures, 
{C 14.00, c0070} = re-securitisation</t>
  </si>
  <si>
    <t>{C 14.01, c0411} where 
({C 14.01, c0450} = empty, 
{C 14.00, c0110} = Investor, 
{C 14.00, c0040} = Traditional, AP and AT, 
{C 14.00, c0075} = Yes, 
{C 14.00, c0160} = Commercial mortgages, Leasing, Loans to corporates, Loans to SMEs (treated as corporates), Trade receivables and Other wholesale exposures, 
{C 14.00, c0070} = re-securitisation)</t>
  </si>
  <si>
    <t>{C 14.01, c0411} where 
({C 14.01, c0450} = empty, 
{C 14.00, c0110} = Investor, 
{C 14.00, c0040} = Traditional, AP and AT, 
{C 14.00, c0075} = No, 
{C 14.00, c0160} = Commercial mortgages, Leasing, Loans to corporates, Loans to SMEs (treated as corporates), Trade receivables and Other wholesale exposures, 
{C 14.00, c0070} = re-securitisation)</t>
  </si>
  <si>
    <t>{C 14.01, c0411} where 
({C 14.01, c0450} = empty, 
{C 14.00, c0110} = Investor, 
{C 14.00, c0040} = Synthetic, 
{C 14.00, c0160} = Commercial mortgages, Leasing, Loans to corporates, Loans to SMEs (treated as corporates), Trade receivables and Other wholesale exposures, 
{C 14.00, c0070} = re-securitisation)</t>
  </si>
  <si>
    <t>{C 14.01, c0411} where 
({C 14.01, c0450} = empty, 
{C 14.00, c0110} = Investor, 
{C 14.00, c0160} = Commercial mortgages, Leasing, Loans to corporates, Loans to SMEs (treated as corporates), Trade receivables and Other wholesale exposures, 
{C 14.00, c0070} = re-securitisation)</t>
  </si>
  <si>
    <t>Template EU-SEC2 - Securitisation exposures in the trading book</t>
  </si>
  <si>
    <t>Template EU-SEC3 - Securitisation exposures in the non-trading book and associated regulatory capital requirements - institution acting as originator or as sponsor</t>
  </si>
  <si>
    <t>EU-p</t>
  </si>
  <si>
    <t>EU-q</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</si>
  <si>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</si>
  <si>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</si>
  <si>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</si>
  <si>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</si>
  <si>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</si>
  <si>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</si>
  <si>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</si>
  <si>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</si>
  <si>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</si>
  <si>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</si>
  <si>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</si>
  <si>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</si>
  <si>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RW / deductions</t>
  </si>
  <si>
    <t>{C 14.01, c0411} where 
({C 14.00, c0060} = Banking book, 
{C 14.00, c0110} = Originator or Sponsor, 
{C 14.01, c0430}/{C 14.01, c0411} ≤20%)</t>
  </si>
  <si>
    <t>{C 14.01, c0411} where 
({C 14.00, c0060} = Banking book, 
{C 14.00, c0110} = Originator or Sponsor, 
{C 14.01, c0430}/{C 14.01, c0411} &gt;20% to 50%)</t>
  </si>
  <si>
    <t>{C 14.01, c0411} where 
({C 14.00, c0060} = Banking book, 
{C 14.00, c0110} = Originator or Sponsor, 
{C 14.01, c0430}/{C 14.01, c0411} &gt;50% to 100%)</t>
  </si>
  <si>
    <t>{C 14.01, c0411} where 
({C 14.00, c0060} = Banking book, 
{C 14.00, c0110} = Originator or Sponsor, 
{C 14.01, c0430}/{C 14.01, c0411} &gt;100% to &lt;1250%)</t>
  </si>
  <si>
    <t>({C 14.01, c0411} where ({C 14.01, c0430}/{C 14.01, c0411} = 1250%) - {C 14.01, c0420}) where 
({C 14.00, c0060} = Banking book, 
{C 14.00, c0110} = Originator or Sponsor)</t>
  </si>
  <si>
    <t>{C 14.01, c0411, s(SEC-IRBA)} where
({C 14.00, c0060} = Banking book, 
{C 14.00, c0110} = Originator or Sponsor)</t>
  </si>
  <si>
    <t>{C 14.01, c0411, s(SEC-ERBA)} where
({C 14.00, c0060} = Banking book, 
{C 14.00, c0110} = Originator or Sponsor)</t>
  </si>
  <si>
    <t>{C 14.01, c0411, s(SEC-SA)} where
({C 14.00, c0060} = Banking book, 
{C 14.00, c0110} = Originator or Sponsor)</t>
  </si>
  <si>
    <t>({C 14.01, c0411, s(1250%)} - {C 14.01, c0420}) where 
({C 14.00, c0060} = Banking book, 
{C 14.00, c0110} = Originator or Sponsor)</t>
  </si>
  <si>
    <t>{C 14.01, c0430, s(SEC-IRBA)} where
({C 14.00, c0060} = Banking book, 
{C 14.00, c0110} = Originator or Sponsor)</t>
  </si>
  <si>
    <t>{C 14.01, c0430, s(SEC-ERBA)} where
({C 14.00, c0060} = Banking book, 
{C 14.00, c0110} = Originator or Sponsor)</t>
  </si>
  <si>
    <t>{C 14.01, c0430, s(SEC-SA)} where
({C 14.00, c0060} = Banking book, 
{C 14.00, c0110} = Originator or Sponsor)</t>
  </si>
  <si>
    <t>{C 14.01, c0430, s(1250%)} where
({C 14.00, c0060} = Banking book, 
{C 14.00, c0110} = Originator or Sponsor)</t>
  </si>
  <si>
    <t>{C 14.01, c0440, s(SEC-IRBA)}*8% where
({C 14.00, c0060} = Banking book, 
{C 14.00, c0110} = Originator or Sponsor)</t>
  </si>
  <si>
    <t>{C 14.01, c0440, s(SEC-ERBA)}*8% where
({C 14.00, c0060} = Banking book, 
{C 14.00, c0110} = Originator or Sponsor)</t>
  </si>
  <si>
    <t>{C 14.01, c0440, s(SEC-SA)}*8% where
({C 14.00, c0060} = Banking book, 
{C 14.00, c0110} = Originator or Sponsor)</t>
  </si>
  <si>
    <t>{C 14.01, c0440, s(1250%)}*8% where
({C 14.00, c0060} = Banking book, 
{C 14.00, c0110} = Originator or Sponsor)</t>
  </si>
  <si>
    <t xml:space="preserve">Traditional) transactions </t>
  </si>
  <si>
    <t>{C 14.01, c0411} where 
({C 14.00, c0060} = Banking book, 
{C 14.00, c0110} = Originator or Sponsor, 
{C 14.01, c0430}/{C 14.01, c0411} ≤20%,
{C 14.00, c0040} = Traditional)</t>
  </si>
  <si>
    <t>{C 14.01, c0411} where 
({C 14.00, c0060} = Banking book, 
{C 14.00, c0110} = Originator or Sponsor, 
{C 14.01, c0430}/{C 14.01, c0411} &gt;20% to 50%,
{C 14.00, c0040} = Traditional)</t>
  </si>
  <si>
    <t>{C 14.01, c0411} where 
({C 14.00, c0060} = Banking book, 
{C 14.00, c0110} = Originator or Sponsor, 
{C 14.01, c0430}/{C 14.01, c0411} &gt;50% to 100%,
{C 14.00, c0040} = Traditional)</t>
  </si>
  <si>
    <t>{C 14.01, c0411} where 
({C 14.00, c0060} = Banking book, 
{C 14.00, c0110} = Originator or Sponsor, 
{C 14.01, c0430}/{C 14.01, c0411} &gt;100% to &lt;1250%,
{C 14.00, c0040} = Traditional)</t>
  </si>
  <si>
    <t>({C 14.01, c0411} where ({C 14.01, c0430}/{C 14.01, c0411} =1250%) - {C 14.01, c0420})  where 
({C 14.00, c0060} = Banking book, 
{C 14.00, c0110} = Originator or Sponsor, 
{C 14.00, c0040} = Traditional)</t>
  </si>
  <si>
    <t>{C 14.01, c0411, s(SEC-IRBA)} where 
({C 14.00, c0060} = Banking book, 
{C 14.00, c0110} = Originator or Sponsor, 
{C 14.00, c0040} = Traditional)</t>
  </si>
  <si>
    <t>{C 14.01, c0411, s(SEC-ERBA)} where 
({C 14.00, c0060} = Banking book, 
{C 14.00, c0110} = Originator or Sponsor, 
{C 14.00, c0040} = Traditional)</t>
  </si>
  <si>
    <t>{C 14.01, c0411, s(SEC-SA)} where 
({C 14.00, c0060} = Banking book, 
{C 14.00, c0110} = Originator or Sponsor, 
{C 14.00, c0040} = Traditional)</t>
  </si>
  <si>
    <t>({C 14.01, c0411, s(1250%)} - {C 14.01, c0420})  where 
({C 14.00, c0060} = Banking book, 
{C 14.00, c0110} = Originator or Sponsor, 
{C 14.00, c0040} = Traditional)</t>
  </si>
  <si>
    <t>{C 14.01, c0430, s(SEC-IRBA)} where 
({C 14.00, c0060} = Banking book, 
{C 14.00, c0110} = Originator or Sponsor, 
{C 14.00, c0040} = Traditional)</t>
  </si>
  <si>
    <t>{C 14.01, c0430, s(SEC-ERBA)} where 
({C 14.00, c0060} = Banking book, 
{C 14.00, c0110} = Originator or Sponsor, 
{C 14.00, c0040} = Traditional)</t>
  </si>
  <si>
    <t>{C 14.01, c0430, s(SEC-SA)} where 
({C 14.00, c0060} = Banking book, 
{C 14.00, c0110} = Originator or Sponsor, 
{C 14.00, c0040} = Traditional)</t>
  </si>
  <si>
    <t>{C 14.01, c0430, s(1250%)} where 
({C 14.00, c0060} = Banking book, 
{C 14.00, c0110} = Originator or Sponsor, 
{C 14.00, c0040} = Traditional)</t>
  </si>
  <si>
    <t>{C 14.01, c0440, s(SEC-IRBA)}*8% where 
({C 14.00, c0060} = Banking book, 
{C 14.00, c0110} = Originator or Sponsor, 
{C 14.00, c0040} = Traditional)</t>
  </si>
  <si>
    <t>{C 14.01, c0440, s(SEC-ERBA)}*8% where 
({C 14.00, c0060} = Banking book, 
{C 14.00, c0110} = Originator or Sponsor, 
{C 14.00, c0040} = Traditional)</t>
  </si>
  <si>
    <t>{C 14.01, c0440, s(SEC-SA)}*8% where 
({C 14.00, c0060} = Banking book, 
{C 14.00, c0110} = Originator or Sponsor, 
{C 14.00, c0040} = Traditional)</t>
  </si>
  <si>
    <t>{C 14.01, c0440, s(1250%)}*8% where 
({C 14.00, c0060} = Banking book, 
{C 14.00, c0110} = Originator or Sponsor, 
{C 14.00, c0040} = Traditional)</t>
  </si>
  <si>
    <t xml:space="preserve">   Securitisation</t>
  </si>
  <si>
    <t>{C 14.01, c0411} where 
({C 14.00, c0060} = Banking book, 
{C 14.00, c0110} = Originator or Sponsor, 
{C 14.01, c0430}/{C 14.01, c0411} ≤20%,
{C 14.00, c0040} = Traditional,
{C 14.00, c0070} = securitisation))</t>
  </si>
  <si>
    <t>{C 14.01, c0411} where 
({C 14.00, c0060} = Banking book, 
{C 14.00, c0110} = Originator or Sponsor, 
{C 14.01, c0430}/{C 14.01, c0411} &gt;20% to 50%,
{C 14.00, c0040} = Traditional,
{C 14.00, c0070} = securitisation)</t>
  </si>
  <si>
    <t>{C 14.01, c0411} where 
({C 14.00, c0060} = Banking book, 
{C 14.00, c0110} = Originator or Sponsor, 
{C 14.01, c0430}/{C 14.01, c0411} &gt;50% to 100%,
{C 14.00, c0040} = Traditional,
{C 14.00, c0070} = securitisation)</t>
  </si>
  <si>
    <t>{C 14.01, c0411} where 
({C 14.00, c0060} = Banking book, 
{C 14.00, c0110} = Originator or Sponsor, 
{C 14.01, c0430}/{C 14.01, c0411} &gt;100% to &lt;1250%,
{C 14.00, c0040} = Traditional,
{C 14.00, c0070} = securitisation)</t>
  </si>
  <si>
    <t>({C 14.01, c0411} where ({C 14.01, c0430}/{C 14.01, c0411} =1250%) - {C 14.01, c0420})  where 
({C 14.00, c0060} = Banking book, 
{C 14.00, c0110} = Originator or Sponsor, 
{C 14.00, c0040} = Traditional,
{C 14.00, c0070} = securitisation)</t>
  </si>
  <si>
    <t>{C 14.01, c0411, s(SEC-IRBA)} where 
({C 14.00, c0060} = Banking book, 
{C 14.00, c0110} = Originator or Sponsor, 
{C 14.00, c0040} = Traditional,
{C 14.00, c0070} = securitisation)</t>
  </si>
  <si>
    <t>{C 14.01, c0411, s(SEC-ERBA)} where 
({C 14.00, c0060} = Banking book, 
{C 14.00, c0110} = Originator or Sponsor, 
{C 14.00, c0040} = Traditional,
{C 14.00, c0070} = securitisation)</t>
  </si>
  <si>
    <t>{C 14.01, c0411, s(SEC-SA)} where 
({C 14.00, c0060} = Banking book, 
{C 14.00, c0110} = Originator or Sponsor, 
{C 14.00, c0040} = Traditional,
{C 14.00, c0070} = securitisation)</t>
  </si>
  <si>
    <t>({C 14.01, c0411, s(1250%)} - {C 14.01, c0420}) where 
({C 14.00, c0060} = Banking book, 
{C 14.00, c0110} = Originator or Sponsor, 
{C 14.00, c0040} = Traditional,
{C 14.00, c0070} = securitisation)</t>
  </si>
  <si>
    <t>{C 14.01, c0430, s(SEC-IRBA)} where 
({C 14.00, c0060} = Banking book, 
{C 14.00, c0110} = Originator or Sponsor, 
{C 14.00, c0040} = Traditional,
{C 14.00, c0070} = securitisation)</t>
  </si>
  <si>
    <t>{C 14.01, c0430, s(SEC-ERBA)} where 
({C 14.00, c0060} = Banking book, 
{C 14.00, c0110} = Originator or Sponsor, 
{C 14.00, c0040} = Traditional,
{C 14.00, c0070} = securitisation)</t>
  </si>
  <si>
    <t>{C 14.01, c0430, s(SEC-SA)} where 
({C 14.00, c0060} = Banking book, 
{C 14.00, c0110} = Originator or Sponsor, 
{C 14.00, c0040} = Traditional,
{C 14.00, c0070} = securitisation)</t>
  </si>
  <si>
    <t>{C 14.01, c0430, s(1250%)} where 
({C 14.00, c0060} = Banking book, 
{C 14.00, c0110} = Originator or Sponsor, 
{C 14.00, c0040} = Traditional,
{C 14.00, c0070} = securitisation)</t>
  </si>
  <si>
    <t>{C 14.01, c0440, s(SEC-IRBA)}*8% where 
({C 14.00, c0060} = Banking book, 
{C 14.00, c0110} = Originator or Sponsor, 
{C 14.00, c0040} = Traditional,
{C 14.00, c0070} = securitisation)</t>
  </si>
  <si>
    <t>{C 14.01, c0440, s(SEC-ERBA)}*8% where 
({C 14.00, c0060} = Banking book, 
{C 14.00, c0110} = Originator or Sponsor, 
{C 14.00, c0040} = Traditional,
{C 14.00, c0070} = securitisation)</t>
  </si>
  <si>
    <t>{C 14.01, c0440, s(SEC-SA)}*8% where 
({C 14.00, c0060} = Banking book, 
{C 14.00, c0110} = Originator or Sponsor, 
{C 14.00, c0040} = Traditional,
{C 14.00, c0070} = securitisation)</t>
  </si>
  <si>
    <t>{C 14.01, c0440, s(1250%)}*8% where 
({C 14.00, c0060} = Banking book, 
{C 14.00, c0110} = Originator or Sponsor, 
{C 14.00, c0040} = Traditional,
{C 14.00, c0070} = securitisation)</t>
  </si>
  <si>
    <t xml:space="preserve">       Retail</t>
  </si>
  <si>
    <t>{C 14.01, c0411} where 
({C 14.00, c0060} = Banking book, 
{C 14.00, c0110} = Originator or Sponsor, 
{C 14.01, c0430}/{C 14.01, c0411} ≤20%,
{C 14.00, c0040} = Traditional,
{C 14.00, c0070} = securitisation,
{C 14.00, c0160} = Residential mortgages, Credit card receivables, Consumer loans, Loans to SMEs (treated as retail) and Other retail exposures)</t>
  </si>
  <si>
    <t>{C 14.01, c0411} where 
({C 14.00, c0060} = Banking book, 
{C 14.00, c0110} = Originator or Sponsor, 
{C 14.01, c0430}/{C 14.01, c0411} &gt;20% to 50%,
{C 14.00, c0040} = Traditional,
{C 14.00, c0070} = securitisation,
{C 14.00, c0160} = Residential mortgages, Credit card receivables, Consumer loans, Loans to SMEs (treated as retail) and Other retail exposures)</t>
  </si>
  <si>
    <t>{C 14.01, c0411} where 
({C 14.00, c0060} = Banking book, 
{C 14.00, c0110} = Originator or Sponsor, 
{C 14.01, c0430}/{C 14.01, c0411} &gt;50% to 100%,
{C 14.00, c0040} = Traditional,
{C 14.00, c0070} = securitisation,
{C 14.00, c0160} = Residential mortgages, Credit card receivables, Consumer loans, Loans to SMEs (treated as retail) and Other retail exposures)</t>
  </si>
  <si>
    <t>{C 14.01, c0411} where 
({C 14.00, c0060} = Banking book, 
{C 14.00, c0110} = Originator or Sponsor, 
{C 14.01, c0430}/{C 14.01, c0411} &gt;100% to &lt;1250%,
{C 14.00, c0040} = Traditional,
{C 14.00, c0070} = securitisation,
{C 14.00, c0160} = Residential mortgages, Credit card receivables, Consumer loans, Loans to SMEs (treated as retail) and Other retail exposures)</t>
  </si>
  <si>
    <t>({C 14.01, c0411} where ({C 14.01, c0430}/{C 14.01, c0411} =1250%) - {C 14.01, c0420})  where 
({C 14.00, c0060} = Banking book, 
{C 14.00, c0110} = Originator or Sponsor, 
{C 14.00, c0040} = Traditional,
{C 14.00, c0070} = securitisation,
{C 14.00, c0160} = Residential mortgages, Credit card receivables, Consumer loans, Loans to SMEs (treated as retail) and Other retail exposures)</t>
  </si>
  <si>
    <t>{C 14.01, c0411, s(SEC-IRBA)} where 
({C 14.00, c0060} = Banking book, 
{C 14.00, c0110} = Originator or Sponsor, 
{C 14.00, c0040} = Traditional,
{C 14.00, c0070} = securitisation,
{C 14.00, c0160} = Residential mortgages, Credit card receivables, Consumer loans, Loans to SMEs (treated as retail) and Other retail exposures)</t>
  </si>
  <si>
    <t>{C 14.01, c0411, s(SEC-ERBA)} where 
({C 14.00, c0060} = Banking book, 
{C 14.00, c0110} = Originator or Sponsor, 
{C 14.00, c0040} = Traditional,
{C 14.00, c0070} = securitisation,
{C 14.00, c0160} = Residential mortgages, Credit card receivables, Consumer loans, Loans to SMEs (treated as retail) and Other retail exposures)</t>
  </si>
  <si>
    <t>{C 14.01, c0411, s(SEC-SA)} where 
({C 14.00, c0060} = Banking book, 
{C 14.00, c0110} = Originator or Sponsor, 
{C 14.00, c0040} = Traditional,
{C 14.00, c0070} = securitisation,
{C 14.00, c0160} = Residential mortgages, Credit card receivables, Consumer loans, Loans to SMEs (treated as retail) and Other retail exposures)</t>
  </si>
  <si>
    <t>({C 14.01, c0411, s(1250%)} - {C 14.01, c0420}) where 
({C 14.00, c0060} = Banking book, 
{C 14.00, c0110} = Originator or Sponsor, 
{C 14.00, c0040} = Traditional,
{C 14.00, c0070} = securitisation,
{C 14.00, c0160} = Residential mortgages, Credit card receivables, Consumer loans, Loans to SMEs (treated as retail) and Other retail exposures)</t>
  </si>
  <si>
    <t>{C 14.01, c0430, s(SEC-IRBA)} where 
({C 14.00, c0060} = Banking book, 
{C 14.00, c0110} = Originator or Sponsor, 
{C 14.00, c0040} = Traditional,
{C 14.00, c0070} = securitisation,
{C 14.00, c0160} = Residential mortgages, Credit card receivables, Consumer loans, Loans to SMEs (treated as retail) and Other retail exposures)</t>
  </si>
  <si>
    <t>{C 14.01, c0430, s(SEC-ERBA)} where 
({C 14.00, c0060} = Banking book, 
{C 14.00, c0110} = Originator or Sponsor, 
{C 14.00, c0040} = Traditional,
{C 14.00, c0070} = securitisation,
{C 14.00, c0160} = Residential mortgages, Credit card receivables, Consumer loans, Loans to SMEs (treated as retail) and Other retail exposures)</t>
  </si>
  <si>
    <t>{C 14.01, c0430, s(SEC-SA)} where 
({C 14.00, c0060} = Banking book, 
{C 14.00, c0110} = Originator or Sponsor, 
{C 14.00, c0040} = Traditional,
{C 14.00, c0070} = securitisation,
{C 14.00, c0160} = Residential mortgages, Credit card receivables, Consumer loans, Loans to SMEs (treated as retail) and Other retail exposures)</t>
  </si>
  <si>
    <t>{C 14.01, c0430, s(1250%)} where 
({C 14.00, c0060} = Banking book, 
{C 14.00, c0110} = Originator or Sponsor, 
{C 14.00, c0040} = Traditional,
{C 14.00, c0070} = securitisation,
{C 14.00, c0160} = Residential mortgages, Credit card receivables, Consumer loans, Loans to SMEs (treated as retail) and Other retail exposures)</t>
  </si>
  <si>
    <t>{C 14.01, c0440, s(SEC-IRBA)}*8% where 
({C 14.00, c0060} = Banking book, 
{C 14.00, c0110} = Originator or Sponsor, 
{C 14.00, c0040} = Traditional,
{C 14.00, c0070} = securitisation,
{C 14.00, c0160} = Residential mortgages, Credit card receivables, Consumer loans, Loans to SMEs (treated as retail) and Other retail exposures)</t>
  </si>
  <si>
    <t>{C 14.01, c0440, s(SEC-ERBA)}*8% where 
({C 14.00, c0060} = Banking book, 
{C 14.00, c0110} = Originator or Sponsor, 
{C 14.00, c0040} = Traditional,
{C 14.00, c0070} = securitisation,
{C 14.00, c0160} = Residential mortgages, Credit card receivables, Consumer loans, Loans to SMEs (treated as retail) and Other retail exposures)</t>
  </si>
  <si>
    <t>{C 14.01, c0440, s(SEC-SA)}*8% where 
({C 14.00, c0060} = Banking book, 
{C 14.00, c0110} = Originator or Sponsor, 
{C 14.00, c0040} = Traditional,
{C 14.00, c0070} = securitisation,
{C 14.00, c0160} = Residential mortgages, Credit card receivables, Consumer loans, Loans to SMEs (treated as retail) and Other retail exposures)</t>
  </si>
  <si>
    <t>{C 14.01, c0440, s(1250%)}*8% where 
({C 14.00, c0060} = Banking book, 
{C 14.00, c0110} = Originator or Sponsor, 
{C 14.00, c0040} = Traditional,
{C 14.00, c0070} = securitisation,
{C 14.00, c0160} = Residential mortgages, Credit card receivables, Consumer loans, Loans to SMEs (treated as retail) and Other retail exposures)</t>
  </si>
  <si>
    <t xml:space="preserve">       Of which STS</t>
  </si>
  <si>
    <t>{C 14.01, c0411} where 
({C 14.00, c0060} = Banking book, 
{C 14.00, c0110} = Originator or Sponsor, 
{C 14.01, c0430}/{C 14.01, c0411} ≤20%,
{C 14.00, c0040} = Traditional,
{C 14.00, c0070} = securitisation,
{C 14.00, c0160} = Residential mortgages, Credit card receivables, Consumer loans, Loans to SMEs (treated as retail) or Other retail exposures,
{C 14.00, c0075} = Yes)</t>
  </si>
  <si>
    <t>{C 14.01, c0411} where 
({C 14.00, c0060} = Banking book, 
{C 14.00, c0110} = Originator or Sponsor, 
{C 14.01, c0430}/{C 14.01, c0411} &gt;20% to 50%,
{C 14.00, c0040} = Traditional,
{C 14.00, c0070} = securitisation,
{C 14.00, c0160} = Residential mortgages, Credit card receivables, Consumer loans, Loans to SMEs (treated as retail) or Other retail exposures,
{C 14.00, c0075} = Yes)</t>
  </si>
  <si>
    <t>{C 14.01, c0411} where 
({C 14.00, c0060} = Banking book, 
{C 14.00, c0110} = Originator or Sponsor, 
{C 14.01, c0430}/{C 14.01, c0411} &gt;50% to 100%,
{C 14.00, c0040} = Traditional,
{C 14.00, c0070} = securitisation,
{C 14.00, c0160} = Residential mortgages, Credit card receivables, Consumer loans, Loans to SMEs (treated as retail) or Other retail exposures,
{C 14.00, c0075} = Yes)</t>
  </si>
  <si>
    <t>{C 14.01, c0411} where 
({C 14.00, c0060} = Banking book, 
{C 14.00, c0110} = Originator or Sponsor, 
{C 14.01, c0430}/{C 14.01, c0411} &gt;100% to &lt;1250%,
{C 14.00, c0040} = Traditional,
{C 14.00, c0070} = securitisation,
{C 14.00, c0160} = Residential mortgages, Credit card receivables, Consumer loans, Loans to SMEs (treated as retail) or Other retail exposures,
{C 14.00, c0075} = Yes)</t>
  </si>
  <si>
    <t>({C 14.01, c0411} where ({C 14.01, c0430}/{C 14.01, c0411} =1250%) - {C 14.01, c0420})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</si>
  <si>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c0411, s(SEC-IRBA)}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</si>
  <si>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c0411, s(SEC-ERBA)}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</si>
  <si>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c0411, s(SEC-SA)}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</si>
  <si>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c0411, s(1250%)} - {C 14.01, c0420})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</si>
  <si>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c0430, s(SEC-IRBA)}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</si>
  <si>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c0430, s(SEC-ERBA)}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</si>
  <si>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c0430, s(SEC-SA)}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</si>
  <si>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c0430, s(1250%)}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</si>
  <si>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c0440, s(SEC-IRBA)}*8%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</si>
  <si>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c0440, s(SEC-ERBA)}*8%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</si>
  <si>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c0440, s(SEC-SA)}*8%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</si>
  <si>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c0440, s(1250%)}*8%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</si>
  <si>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 xml:space="preserve">       Wholesale</t>
  </si>
  <si>
    <t>{C 14.01, c0411} where 
({C 14.00, c0060} = Banking book, 
{C 14.00, c0110} = Originator or Sponsor, 
{C 14.01, c0430}/{C 14.01, c0411} ≤20%,
{C 14.00, c0040} = Traditional,
{C 14.00, c0070} = securitisation,
{C 14.00, c0160} = Commercial mortgages, Leasing, Loans to corporates, Loans to SMEs (treated as corporates), Trade receivables and Other wholesale exposures)</t>
  </si>
  <si>
    <t>{C 14.01, c0411} where 
({C 14.00, c0060} = Banking book, 
{C 14.00, c0110} = Originator or Sponsor, 
{C 14.01, c0430}/{C 14.01, c0411} &gt;20% to 50%,
{C 14.00, c0040} = Traditional,
{C 14.00, c0070} = securitisation,
{C 14.00, c0160} = Commercial mortgages, Leasing, Loans to corporates, Loans to SMEs (treated as corporates), Trade receivables and Other wholesale exposures)</t>
  </si>
  <si>
    <t>{C 14.01, c0411} where 
({C 14.00, c0060} = Banking book, 
{C 14.00, c0110} = Originator or Sponsor, 
{C 14.01, c0430}/{C 14.01, c0411} &gt;50% to 100%,
{C 14.00, c0040} = Traditional,
{C 14.00, c0070} = securitisation,
{C 14.00, c0160} = Commercial mortgages, Leasing, Loans to corporates, Loans to SMEs (treated as corporates), Trade receivables and Other wholesale exposures)</t>
  </si>
  <si>
    <t>{C 14.01, c0411} where 
({C 14.00, c0060} = Banking book, 
{C 14.00, c0110} = Originator or Sponsor, 
{C 14.01, c0430}/{C 14.01, c0411} &gt;100% to &lt;1250%,
{C 14.00, c0040} = Traditional,
{C 14.00, c0070} = securitisation,
{C 14.00, c0160} = Commercial mortgages, Leasing, Loans to corporates, Loans to SMEs (treated as corporates), Trade receivables and Other wholesale exposures)</t>
  </si>
  <si>
    <t>({C 14.01, c0411} where ({C 14.01, c0430}/{C 14.01, c0411} =1250%) - {C 14.01, c0420})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</si>
  <si>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c0411, s(SEC-IRBA)}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</si>
  <si>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c0411, s(SEC-ERBA)}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</si>
  <si>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c0411, s(SEC-SA)}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</si>
  <si>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c0411, s(1250%)} - {C 14.01, c0420})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</si>
  <si>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c0430, s(SEC-IRBA)}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</si>
  <si>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c0430, s(SEC-ERBA)}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</si>
  <si>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c0430, s(SEC-SA)}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</si>
  <si>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c0430, s(1250%)}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</si>
  <si>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c0440, s(SEC-IRBA)}*8%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</si>
  <si>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c0440, s(SEC-ERBA)}*8%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</si>
  <si>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c0440, s(SEC-SA)}*8%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</si>
  <si>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c0440, s(1250%)}*8%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</si>
  <si>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c0411} where 
({C 14.00, c0060} = Banking book, 
{C 14.00, c0110} = Originator or Sponsor, 
{C 14.01, c0430}/{C 14.01, c0411} ≤20%,
{C 14.00, c0040} = Traditional,
{C 14.00, c0070} = securitisation,
{C 14.00, c0160} =Commercial mortgages, Leasing, Loans to corporates, Loans to SMEs (treated as corporates), Trade receivables and Other wholesale exposures,
{C 14.00, c0075} = Yes)</t>
  </si>
  <si>
    <t>{C 14.01, c0411} where 
({C 14.00, c0060} = Banking book, 
{C 14.00, c0110} = Originator or Sponsor, 
{C 14.01, c0430}/{C 14.01, c0411} &gt;20% to 50%,
{C 14.00, c0040} = Traditional,
{C 14.00, c0070} = securitisation,
{C 14.00, c0160} =Commercial mortgages, Leasing, Loans to corporates, Loans to SMEs (treated as corporates), Trade receivables and Other wholesale exposures,
{C 14.00, c0075} = Yes)</t>
  </si>
  <si>
    <t>{C 14.01, c0411} where 
({C 14.00, c0060} = Banking book, 
{C 14.00, c0110} = Originator or Sponsor, 
{C 14.01, c0430}/{C 14.01, c0411} &gt;50% to 100%,
{C 14.00, c0040} = Traditional,
{C 14.00, c0070} = securitisation,
{C 14.00, c0160} =Commercial mortgages, Leasing, Loans to corporates, Loans to SMEs (treated as corporates), Trade receivables and Other wholesale exposures,
{C 14.00, c0075} = Yes)</t>
  </si>
  <si>
    <t>{C 14.01, c0411} where 
({C 14.00, c0060} = Banking book, 
{C 14.00, c0110} = Originator or Sponsor, 
{C 14.01, c0430}/{C 14.01, c0411} &gt;100% to &lt;1250%,
{C 14.00, c0040} = Traditional,
{C 14.00, c0070} = securitisation,
{C 14.00, c0160} =Commercial mortgages, Leasing, Loans to corporates, Loans to SMEs (treated as corporates), Trade receivables and Other wholesale exposures,
{C 14.00, c0075} = Yes)</t>
  </si>
  <si>
    <t>({C 14.01, c0411} where ({C 14.01, c0430}/{C 14.01, c0411} =1250%) - {C 14.01, c0420})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</si>
  <si>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c0411, s(SEC-IRBA)}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</si>
  <si>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c0411, s(SEC-ERBA)}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</si>
  <si>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c0411, s(SEC-SA)}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</si>
  <si>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c0411, s(1250%)} - {C 14.01, c0420})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</si>
  <si>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c0430, s(SEC-IRBA)}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</si>
  <si>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c0430, s(SEC-ERBA)}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</si>
  <si>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c0430, s(SEC-SA)}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</si>
  <si>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c0430, s(1250%)}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</si>
  <si>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c0440, s(SEC-IRBA)}*8%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</si>
  <si>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c0440, s(SEC-ERBA)}*8%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</si>
  <si>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c0440, s(SEC-SA)}*8%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</si>
  <si>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c0440, s(1250%)}*8%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</si>
  <si>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 xml:space="preserve">   Re-securitisation</t>
  </si>
  <si>
    <t>{C 14.01, c0411} where 
({C 14.00, c0060} = Banking book, 
{C 14.00, c0110} = Originator or Sponsor, 
{C 14.01, c0430}/{C 14.01, c0411} ≤20%,
{C 14.00, c0040} = Traditional,
{C 14.00, c0070} = re-securitisation)</t>
  </si>
  <si>
    <t>{C 14.01, c0411} where 
({C 14.00, c0060} = Banking book, 
{C 14.00, c0110} = Originator or Sponsor, 
{C 14.01, c0430}/{C 14.01, c0411} &gt;20% to 50%,
{C 14.00, c0040} = Traditional,
{C 14.00, c0070} = re-securitisation)</t>
  </si>
  <si>
    <t>{C 14.01, c0411} where 
({C 14.00, c0060} = Banking book, 
{C 14.00, c0110} = Originator or Sponsor, 
{C 14.01, c0430}/{C 14.01, c0411} &gt;50% to 100%,
{C 14.00, c0040} = Traditional,
{C 14.00, c0070} = re-securitisation)</t>
  </si>
  <si>
    <t>{C 14.01, c0411} where 
({C 14.00, c0060} = Banking book, 
{C 14.00, c0110} = Originator or Sponsor, 
{C 14.01, c0430}/{C 14.01, c0411} &gt;100% to &lt;1250%,
{C 14.00, c0040} = Traditional,
{C 14.00, c0070} = re-securitisation)</t>
  </si>
  <si>
    <t>({C 14.01, c0411} where ({C 14.01, c0430}/{C 14.01, c0411} =1250%) - {C 14.01, c0420})  where 
({C 14.00, c0060} = Banking book, 
{C 14.00, c0110} = Originator or Sponsor, 
{C 14.00, c0040} = Traditional,
{C 14.00, c0070} = re-securitisation)</t>
  </si>
  <si>
    <t>{C 14.01, c0411, s(SEC-IRBA)} where 
({C 14.00, c0060} = Banking book, 
{C 14.00, c0110} = Originator or Sponsor, 
{C 14.00, c0040} = Traditional,
{C 14.00, c0070} = re-securitisation)</t>
  </si>
  <si>
    <t>{C 14.01, c0411, s(SEC-ERBA)} where 
({C 14.00, c0060} = Banking book, 
{C 14.00, c0110} = Originator or Sponsor, 
{C 14.00, c0040} = Traditional,
{C 14.00, c0070} = re-securitisation)</t>
  </si>
  <si>
    <t>{C 14.01, c0411, s(SEC-SA)} where 
({C 14.00, c0060} = Banking book, 
{C 14.00, c0110} = Originator or Sponsor, 
{C 14.00, c0040} = Traditional,
{C 14.00, c0070} = re-securitisation)</t>
  </si>
  <si>
    <t>({C 14.01, c0411, s(1250%)} - {C 14.01, c0420}) where 
({C 14.00, c0060} = Banking book, 
{C 14.00, c0110} = Originator or Sponsor, 
{C 14.00, c0040} = Traditional,
{C 14.00, c0070} = re-securitisation)</t>
  </si>
  <si>
    <t>{C 14.01, c0430, s(SEC-IRBA)} where 
({C 14.00, c0060} = Banking book, 
{C 14.00, c0110} = Originator or Sponsor, 
{C 14.00, c0040} = Traditional,
{C 14.00, c0070} = re-securitisation)</t>
  </si>
  <si>
    <t>{C 14.01, c0430, s(SEC-ERBA)} where 
({C 14.00, c0060} = Banking book, 
{C 14.00, c0110} = Originator or Sponsor, 
{C 14.00, c0040} = Traditional,
{C 14.00, c0070} = re-securitisation)</t>
  </si>
  <si>
    <t>{C 14.01, c0430, s(SEC-SA)} where 
({C 14.00, c0060} = Banking book, 
{C 14.00, c0110} = Originator or Sponsor, 
{C 14.00, c0040} = Traditional,
{C 14.00, c0070} = re-securitisation)</t>
  </si>
  <si>
    <t>{C 14.01, c0430, s(1250%)} where 
({C 14.00, c0060} = Banking book, 
{C 14.00, c0110} = Originator or Sponsor, 
{C 14.00, c0040} = Traditional,
{C 14.00, c0070} = re-securitisation)</t>
  </si>
  <si>
    <t>{C 14.01, c0440, s(SEC-IRBA)}*8% where 
({C 14.00, c0060} = Banking book, 
{C 14.00, c0110} = Originator or Sponsor, 
{C 14.00, c0040} = Traditional,
{C 14.00, c0070} = re-securitisation)</t>
  </si>
  <si>
    <t>{C 14.01, c0440, s(SEC-ERBA)}*8% where 
({C 14.00, c0060} = Banking book, 
{C 14.00, c0110} = Originator or Sponsor, 
{C 14.00, c0040} = Traditional,
{C 14.00, c0070} = re-securitisation)</t>
  </si>
  <si>
    <t>{C 14.01, c0440, s(SEC-SA)}*8% where 
({C 14.00, c0060} = Banking book, 
{C 14.00, c0110} = Originator or Sponsor, 
{C 14.00, c0040} = Traditional,
{C 14.00, c0070} = re-securitisation)</t>
  </si>
  <si>
    <t>{C 14.01, c0440, s(1250%)}*8% where 
({C 14.00, c0060} = Banking book, 
{C 14.00, c0110} = Originator or Sponsor, 
{C 14.00, c0040} = Traditional,
{C 14.00, c0070} = re-securitisation)</t>
  </si>
  <si>
    <t xml:space="preserve">Synthetic transactions </t>
  </si>
  <si>
    <t>{C 14.01, c0411} where 
({C 14.00, c0060} = Banking book, 
{C 14.00, c0110} = Originator or Sponsor, 
{C 14.01, c0430}/{C 14.01, c0411} ≤20%,
{C 14.00, c0040} = Synthetic)</t>
  </si>
  <si>
    <t>{C 14.01, c0411} where 
({C 14.00, c0060} = Banking book, 
{C 14.00, c0110} = Originator or Sponsor, 
{C 14.01, c0430}/{C 14.01, c0411} &gt;20% to 50%,
{C 14.00, c0040} = Synthetic)</t>
  </si>
  <si>
    <t>{C 14.01, c0411} where 
({C 14.00, c0060} = Banking book, 
{C 14.00, c0110} = Originator or Sponsor, 
{C 14.01, c0430}/{C 14.01, c0411} &gt;50% to 100%,
{C 14.00, c0040} = Synthetic)</t>
  </si>
  <si>
    <t>{C 14.01, c0411} where 
({C 14.00, c0060} = Banking book, 
{C 14.00, c0110} = Originator or Sponsor, 
{C 14.01, c0430}/{C 14.01, c0411} &gt;100% to &lt;1250%,
{C 14.00, c0040} = Synthetic)</t>
  </si>
  <si>
    <t>({C 14.01, c0411} where ({C 14.01, c0430}/{C 14.01, c0411} =1250%) - {C 14.01, c0420})  where 
({C 14.00, c0060} = Banking book, 
{C 14.00, c0110} = Originator or Sponsor, 
{C 14.00, c0040} = Synthetic)</t>
  </si>
  <si>
    <t>{C 14.01, c0411, s(SEC-IRBA)} where 
({C 14.00, c0060} = Banking book, 
{C 14.00, c0110} = Originator or Sponsor, 
{C 14.00, c0040} = Synthetic)</t>
  </si>
  <si>
    <t>{C 14.01, c0411, s(SEC-ERBA)} where 
({C 14.00, c0060} = Banking book, 
{C 14.00, c0110} = Originator or Sponsor, 
{C 14.00, c0040} = Synthetic)</t>
  </si>
  <si>
    <t>{C 14.01, c0411, s(SEC-SA)} where 
({C 14.00, c0060} = Banking book, 
{C 14.00, c0110} = Originator or Sponsor, 
{C 14.00, c0040} = Synthetic)</t>
  </si>
  <si>
    <t>({C 14.01, c0411, s(1250%)} - {C 14.01, c0420}) where 
({C 14.00, c0060} = Banking book, 
{C 14.00, c0110} = Originator or Sponsor, 
{C 14.00, c0040} = Synthetic)</t>
  </si>
  <si>
    <t>{C 14.01, c0430, s(SEC-IRBA)} where 
({C 14.00, c0060} = Banking book, 
{C 14.00, c0110} = Originator or Sponsor, 
{C 14.00, c0040} = Synthetic)</t>
  </si>
  <si>
    <t>{C 14.01, c0430, s(SEC-ERBA)} where 
({C 14.00, c0060} = Banking book, 
{C 14.00, c0110} = Originator or Sponsor, 
{C 14.00, c0040} = Synthetic)</t>
  </si>
  <si>
    <t>{C 14.01, c0430, s(SEC-SA)} where 
({C 14.00, c0060} = Banking book, 
{C 14.00, c0110} = Originator or Sponsor, 
{C 14.00, c0040} = Synthetic)</t>
  </si>
  <si>
    <t>{C 14.01, c0430, s(1250%)} where 
({C 14.00, c0060} = Banking book, 
{C 14.00, c0110} = Originator or Sponsor, 
{C 14.00, c0040} = Synthetic)</t>
  </si>
  <si>
    <t>{C 14.01, c0440, s(SEC-IRBA)}*8% where 
({C 14.00, c0060} = Banking book, 
{C 14.00, c0110} = Originator or Sponsor, 
{C 14.00, c0040} = Synthetic)</t>
  </si>
  <si>
    <t>{C 14.01, c0440, s(SEC-ERBA)}*8% where 
({C 14.00, c0060} = Banking book, 
{C 14.00, c0110} = Originator or Sponsor, 
{C 14.00, c0040} = Synthetic)</t>
  </si>
  <si>
    <t>{C 14.01, c0440, s(SEC-SA)}*8% where 
({C 14.00, c0060} = Banking book, 
{C 14.00, c0110} = Originator or Sponsor, 
{C 14.00, c0040} = Synthetic)</t>
  </si>
  <si>
    <t>{C 14.01, c0440, s(1250%)}*8% where 
({C 14.00, c0060} = Banking book, 
{C 14.00, c0110} = Originator or Sponsor, 
{C 14.00, c0040} = Synthetic)</t>
  </si>
  <si>
    <t>{C 14.01, c0411} where 
({C 14.00, c0060} = Banking book, 
{C 14.00, c0110} = Originator or Sponsor, 
{C 14.01, c0430}/{C 14.01, c0411} ≤20%,
{C 14.00, c0040} = Synthetic,
{C 14.00, c0070} = securitisation)</t>
  </si>
  <si>
    <t>{C 14.01, c0411} where 
({C 14.00, c0060} = Banking book, 
{C 14.00, c0110} = Originator or Sponsor, 
{C 14.01, c0430}/{C 14.01, c0411} &gt;20% to 50%,
{C 14.00, c0040} = Synthetic,
{C 14.00, c0070} = securitisation)</t>
  </si>
  <si>
    <t>{C 14.01, c0411} where 
({C 14.00, c0060} = Banking book, 
{C 14.00, c0110} = Originator or Sponsor, 
{C 14.01, c0430}/{C 14.01, c0411} &gt;50% to 100%,
{C 14.00, c0040} = Synthetic,
{C 14.00, c0070} = securitisation)</t>
  </si>
  <si>
    <t>{C 14.01, c0411} where 
({C 14.00, c0060} = Banking book, 
{C 14.00, c0110} = Originator or Sponsor, 
{C 14.01, c0430}/{C 14.01, c0411} &gt;100% to &lt;1250%,
{C 14.00, c0040} = Synthetic,
{C 14.00, c0070} = securitisation)</t>
  </si>
  <si>
    <t>({C 14.01, c0411} where ({C 14.01, c0430}/{C 14.01, c0411} =1250%) - {C 14.01, c0420})  where 
({C 14.00, c0060} = Banking book, 
{C 14.00, c0110} = Originator or Sponsor, 
{C 14.00, c0040} = Synthetic,
{C 14.00, c0070} = securitisation)</t>
  </si>
  <si>
    <t>{C 14.01, c0411, s(SEC-IRBA)} where 
({C 14.00, c0060} = Banking book, 
{C 14.00, c0110} = Originator or Sponsor, 
{C 14.00, c0040} = Synthetic,
{C 14.00, c0070} = securitisation)</t>
  </si>
  <si>
    <t>{C 14.01, c0411, s(SEC-ERBA)} where 
({C 14.00, c0060} = Banking book, 
{C 14.00, c0110} = Originator or Sponsor, 
{C 14.00, c0040} = Synthetic,
{C 14.00, c0070} = securitisation)</t>
  </si>
  <si>
    <t>{C 14.01, c0411, s(SEC-SA)} where 
({C 14.00, c0060} = Banking book, 
{C 14.00, c0110} = Originator or Sponsor, 
{C 14.00, c0040} = Synthetic,
{C 14.00, c0070} = securitisation)</t>
  </si>
  <si>
    <t>({C 14.01, c0411, s(1250%)} - {C 14.01, c0420}) where 
({C 14.00, c0060} = Banking book, 
{C 14.00, c0110} = Originator or Sponsor, 
{C 14.00, c0040} = Synthetic,
{C 14.00, c0070} = securitisation)</t>
  </si>
  <si>
    <t>{C 14.01, c0430, s(SEC-IRBA)} where 
({C 14.00, c0060} = Banking book, 
{C 14.00, c0110} = Originator or Sponsor, 
{C 14.00, c0040} = Synthetic,
{C 14.00, c0070} = securitisation)</t>
  </si>
  <si>
    <t>{C 14.01, c0430, s(SEC-ERBA)} where 
({C 14.00, c0060} = Banking book, 
{C 14.00, c0110} = Originator or Sponsor, 
{C 14.00, c0040} = Synthetic,
{C 14.00, c0070} = securitisation)</t>
  </si>
  <si>
    <t>{C 14.01, c0430, s(SEC-SA)} where 
({C 14.00, c0060} = Banking book, 
{C 14.00, c0110} = Originator or Sponsor, 
{C 14.00, c0040} = Synthetic,
{C 14.00, c0070} = securitisation)</t>
  </si>
  <si>
    <t>{C 14.01, c0430, s(1250%)} where 
({C 14.00, c0060} = Banking book, 
{C 14.00, c0110} = Originator or Sponsor, 
{C 14.00, c0040} = Synthetic,
{C 14.00, c0070} = securitisation)</t>
  </si>
  <si>
    <t>{C 14.01, c0440, s(SEC-IRBA)}*8% where 
({C 14.00, c0060} = Banking book, 
{C 14.00, c0110} = Originator or Sponsor, 
{C 14.00, c0040} = Synthetic,
{C 14.00, c0070} = securitisation)</t>
  </si>
  <si>
    <t>{C 14.01, c0440, s(SEC-ERBA)}*8% where 
({C 14.00, c0060} = Banking book, 
{C 14.00, c0110} = Originator or Sponsor, 
{C 14.00, c0040} = Synthetic,
{C 14.00, c0070} = securitisation)</t>
  </si>
  <si>
    <t>{C 14.01, c0440, s(SEC-SA)}*8% where 
({C 14.00, c0060} = Banking book, 
{C 14.00, c0110} = Originator or Sponsor, 
{C 14.00, c0040} = Synthetic,
{C 14.00, c0070} = securitisation)</t>
  </si>
  <si>
    <t>{C 14.01, c0440, s(1250%)}*8% where 
({C 14.00, c0060} = Banking book, 
{C 14.00, c0110} = Originator or Sponsor, 
{C 14.00, c0040} = Synthetic,
{C 14.00, c0070} = securitisation)</t>
  </si>
  <si>
    <t xml:space="preserve">       Retail underlying</t>
  </si>
  <si>
    <t>{C 14.01, c0411} where 
({C 14.00, c0060} = Banking book, 
{C 14.00, c0110} = Originator or Sponsor, 
{C 14.01, c0430}/{C 14.01, c0411} ≤20%,
{C 14.00, c0040} = Synthetic,
{C 14.00, c0070} = securitisation,
{C 14.00, c0160} = Residential mortgages, Credit card receivables, Consumer loans, Loans to SMEs (treated as retail) and Other retail exposures)</t>
  </si>
  <si>
    <t>{C 14.01, c0411} where 
({C 14.00, c0060} = Banking book, 
{C 14.00, c0110} = Originator or Sponsor, 
{C 14.01, c0430}/{C 14.01, c0411} &gt;20% to 50%,
{C 14.00, c0040} = Synthetic,
{C 14.00, c0070} = securitisation,
{C 14.00, c0160} = Residential mortgages, Credit card receivables, Consumer loans, Loans to SMEs (treated as retail) and Other retail exposures)</t>
  </si>
  <si>
    <t>{C 14.01, c0411} where 
({C 14.00, c0060} = Banking book, 
{C 14.00, c0110} = Originator or Sponsor, 
{C 14.01, c0430}/{C 14.01, c0411} &gt;50% to 100%,
{C 14.00, c0040} = Synthetic,
{C 14.00, c0070} = securitisation,
{C 14.00, c0160} = Residential mortgages, Credit card receivables, Consumer loans, Loans to SMEs (treated as retail) and Other retail exposures)</t>
  </si>
  <si>
    <t>{C 14.01, c0411} where 
({C 14.00, c0060} = Banking book, 
{C 14.00, c0110} = Originator or Sponsor, 
{C 14.01, c0430}/{C 14.01, c0411} &gt;100% to &lt;1250%,
{C 14.00, c0040} = Synthetic,
{C 14.00, c0070} = securitisation,
{C 14.00, c0160} = Residential mortgages, Credit card receivables, Consumer loans, Loans to SMEs (treated as retail) and Other retail exposures)</t>
  </si>
  <si>
    <t>({C 14.01, c0411} where ({C 14.01, c0430}/{C 14.01, c0411} =1250%) - {C 14.01, c0420})  where 
({C 14.00, c0060} = Banking book, 
{C 14.00, c0110} = Originator or Sponsor, 
{C 14.00, c0040} = Synthetic,
{C 14.00, c0070} = securitisation,
{C 14.00, c0160} = Residential mortgages, Credit card receivables, Consumer loans, Loans to SMEs (treated as retail) and Other retail exposures)</t>
  </si>
  <si>
    <t>{C 14.01, c0411, s(SEC-IRBA)} where 
({C 14.00, c0060} = Banking book, 
{C 14.00, c0110} = Originator or Sponsor, 
{C 14.00, c0040} = Synthetic,
{C 14.00, c0070} = securitisation,
{C 14.00, c0160} = Residential mortgages, Credit card receivables, Consumer loans, Loans to SMEs (treated as retail) and Other retail exposures)</t>
  </si>
  <si>
    <t>{C 14.01, c0411, s(SEC-ERBA)} where 
({C 14.00, c0060} = Banking book, 
{C 14.00, c0110} = Originator or Sponsor, 
{C 14.00, c0040} = Synthetic,
{C 14.00, c0070} = securitisation,
{C 14.00, c0160} = Residential mortgages, Credit card receivables, Consumer loans, Loans to SMEs (treated as retail) and Other retail exposures)</t>
  </si>
  <si>
    <t>{C 14.01, c0411, s(SEC-SA)} where 
({C 14.00, c0060} = Banking book, 
{C 14.00, c0110} = Originator or Sponsor, 
{C 14.00, c0040} = Synthetic,
{C 14.00, c0070} = securitisation,
{C 14.00, c0160} = Residential mortgages, Credit card receivables, Consumer loans, Loans to SMEs (treated as retail) and Other retail exposures)</t>
  </si>
  <si>
    <t>({C 14.01, c0411, s(1250%)} - {C 14.01, c0420}) where 
({C 14.00, c0060} = Banking book, 
{C 14.00, c0110} = Originator or Sponsor, 
{C 14.00, c0040} = Synthetic,
{C 14.00, c0070} = securitisation,
{C 14.00, c0160} = Residential mortgages, Credit card receivables, Consumer loans, Loans to SMEs (treated as retail) and Other retail exposures)</t>
  </si>
  <si>
    <t>{C 14.01, c0430, s(SEC-IRBA)} where 
({C 14.00, c0060} = Banking book, 
{C 14.00, c0110} = Originator or Sponsor, 
{C 14.00, c0040} = Synthetic,
{C 14.00, c0070} = securitisation,
{C 14.00, c0160} = Residential mortgages, Credit card receivables, Consumer loans, Loans to SMEs (treated as retail) and Other retail exposures)</t>
  </si>
  <si>
    <t>{C 14.01, c0430, s(SEC-ERBA)} where 
({C 14.00, c0060} = Banking book, 
{C 14.00, c0110} = Originator or Sponsor, 
{C 14.00, c0040} = Synthetic,
{C 14.00, c0070} = securitisation,
{C 14.00, c0160} = Residential mortgages, Credit card receivables, Consumer loans, Loans to SMEs (treated as retail) and Other retail exposures)</t>
  </si>
  <si>
    <t>{C 14.01, c0430, s(SEC-SA)} where 
({C 14.00, c0060} = Banking book, 
{C 14.00, c0110} = Originator or Sponsor, 
{C 14.00, c0040} = Synthetic,
{C 14.00, c0070} = securitisation,
{C 14.00, c0160} = Residential mortgages, Credit card receivables, Consumer loans, Loans to SMEs (treated as retail) and Other retail exposures)</t>
  </si>
  <si>
    <t>{C 14.01, c0430, s(1250%)} where 
({C 14.00, c0060} = Banking book, 
{C 14.00, c0110} = Originator or Sponsor, 
{C 14.00, c0040} = Synthetic,
{C 14.00, c0070} = securitisation,
{C 14.00, c0160} = Residential mortgages, Credit card receivables, Consumer loans, Loans to SMEs (treated as retail) and Other retail exposures)</t>
  </si>
  <si>
    <t>{C 14.01, c0440, s(SEC-IRBA)}*8% where 
({C 14.00, c0060} = Banking book, 
{C 14.00, c0110} = Originator or Sponsor, 
{C 14.00, c0040} = Synthetic,
{C 14.00, c0070} = securitisation,
{C 14.00, c0160} = Residential mortgages, Credit card receivables, Consumer loans, Loans to SMEs (treated as retail) and Other retail exposures)</t>
  </si>
  <si>
    <t>{C 14.01, c0440, s(SEC-ERBA)}*8% where 
({C 14.00, c0060} = Banking book, 
{C 14.00, c0110} = Originator or Sponsor, 
{C 14.00, c0040} = Synthetic,
{C 14.00, c0070} = securitisation,
{C 14.00, c0160} = Residential mortgages, Credit card receivables, Consumer loans, Loans to SMEs (treated as retail) and Other retail exposures)</t>
  </si>
  <si>
    <t>{C 14.01, c0440, s(SEC-SA)}*8% where 
({C 14.00, c0060} = Banking book, 
{C 14.00, c0110} = Originator or Sponsor, 
{C 14.00, c0040} = Synthetic,
{C 14.00, c0070} = securitisation,
{C 14.00, c0160} = Residential mortgages, Credit card receivables, Consumer loans, Loans to SMEs (treated as retail) and Other retail exposures)</t>
  </si>
  <si>
    <t>{C 14.01, c0440, s(1250%)}*8% where 
({C 14.00, c0060} = Banking book, 
{C 14.00, c0110} = Originator or Sponsor, 
{C 14.00, c0040} = Synthetic,
{C 14.00, c0070} = securitisation,
{C 14.00, c0160} = Residential mortgages, Credit card receivables, Consumer loans, Loans to SMEs (treated as retail) and Other retail exposures)</t>
  </si>
  <si>
    <t>{C 14.01, c0411} where 
({C 14.00, c0060} = Banking book, 
{C 14.00, c0110} = Originator or Sponsor, 
{C 14.01, c0430}/{C 14.01, c0411} ≤20%,
{C 14.00, c0040} = Synthetic,
{C 14.00, c0070} = securitisation,
{C 14.00, c0160} = Commercial mortgages, Leasing, Loans to corporates, Loans to SMEs (treated as corporates), Trade receivables and Other wholesale exposures)</t>
  </si>
  <si>
    <t>{C 14.01, c0411} where 
({C 14.00, c0060} = Banking book, 
{C 14.00, c0110} = Originator or Sponsor, 
{C 14.01, c0430}/{C 14.01, c0411} &gt;20% to 50%,
{C 14.00, c0040} = Synthetic,
{C 14.00, c0070} = securitisation,
{C 14.00, c0160} = Commercial mortgages, Leasing, Loans to corporates, Loans to SMEs (treated as corporates), Trade receivables and Other wholesale exposures)</t>
  </si>
  <si>
    <t>{C 14.01, c0411} where 
({C 14.00, c0060} = Banking book, 
{C 14.00, c0110} = Originator or Sponsor, 
{C 14.01, c0430}/{C 14.01, c0411} &gt;50% to 100%,
{C 14.00, c0040} = Synthetic,
{C 14.00, c0070} = securitisation,
{C 14.00, c0160} = Commercial mortgages, Leasing, Loans to corporates, Loans to SMEs (treated as corporates), Trade receivables and Other wholesale exposures)</t>
  </si>
  <si>
    <t>{C 14.01, c0411} where 
({C 14.00, c0060} = Banking book, 
{C 14.00, c0110} = Originator or Sponsor, 
{C 14.01, c0430}/{C 14.01, c0411} &gt;100% to &lt;1250%,
{C 14.00, c0040} = Synthetic,
{C 14.00, c0070} = securitisation,
{C 14.00, c0160} = Commercial mortgages, Leasing, Loans to corporates, Loans to SMEs (treated as corporates), Trade receivables and Other wholesale exposures)</t>
  </si>
  <si>
    <t>({C 14.01, c0411} where ({C 14.01, c0430}/{C 14.01, c0411} =1250%) - {C 14.01, c0420})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</si>
  <si>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c0411, s(SEC-IRBA)}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</si>
  <si>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c0411, s(SEC-ERBA)}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</si>
  <si>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c0411, s(SEC-SA)}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</si>
  <si>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c0411, s(1250%)} - {C 14.01, c0420})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</si>
  <si>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c0430, s(SEC-IRBA)}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</si>
  <si>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c0430, s(SEC-ERBA)}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</si>
  <si>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c0430, s(SEC-SA)}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</si>
  <si>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c0430, s(1250%)}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</si>
  <si>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c0440, s(SEC-IRBA)}*8%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</si>
  <si>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c0440, s(SEC-ERBA)}*8%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</si>
  <si>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c0440, s(SEC-SA)}*8%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</si>
  <si>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c0440, s(1250%)}*8%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</si>
  <si>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c0411} where 
({C 14.00, c0060} = Banking book, 
{C 14.00, c0110} = Originator or Sponsor, 
{C 14.01, c0430}/{C 14.01, c0411} ≤20%,
{C 14.00, c0040} = Synthetic,
{C 14.00, c0070} = re-securitisation)</t>
  </si>
  <si>
    <t>{C 14.01, c0411} where 
({C 14.00, c0060} = Banking book, 
{C 14.00, c0110} = Originator or Sponsor, 
{C 14.01, c0430}/{C 14.01, c0411} &gt;20% to 50%,
{C 14.00, c0040} = Synthetic,
{C 14.00, c0070} = re-securitisation)</t>
  </si>
  <si>
    <t>{C 14.01, c0411} where 
({C 14.00, c0060} = Banking book, 
{C 14.00, c0110} = Originator or Sponsor, 
{C 14.01, c0430}/{C 14.01, c0411} &gt;50% to 100%,
{C 14.00, c0040} = Synthetic,
{C 14.00, c0070} = re-securitisation)</t>
  </si>
  <si>
    <t>{C 14.01, c0411} where 
({C 14.00, c0060} = Banking book, 
{C 14.00, c0110} = Originator or Sponsor, 
{C 14.01, c0430}/{C 14.01, c0411} &gt;100% to &lt;1250%,
{C 14.00, c0040} = Synthetic,
{C 14.00, c0070} = re-securitisation)</t>
  </si>
  <si>
    <t>({C 14.01, c0411} where ({C 14.01, c0430}/{C 14.01, c0411} =1250%) - {C 14.01, c0420})  where 
({C 14.00, c0060} = Banking book, 
{C 14.00, c0110} = Originator or Sponsor, 
{C 14.00, c0040} = Synthetic,
{C 14.00, c0070} = re-securitisation)</t>
  </si>
  <si>
    <t>{C 14.01, c0411, s(SEC-IRBA)} where 
({C 14.00, c0060} = Banking book, 
{C 14.00, c0110} = Originator or Sponsor,
{C 14.00, c0040} = Synthetic,
{C 14.00, c0070} = re-securitisation)</t>
  </si>
  <si>
    <t>{C 14.01, c0411, s(SEC-ERBA)} where 
({C 14.00, c0060} = Banking book, 
{C 14.00, c0110} = Originator or Sponsor,
{C 14.00, c0040} = Synthetic,
{C 14.00, c0070} = re-securitisation)</t>
  </si>
  <si>
    <t>{C 14.01, c0411, s(SEC-SA)} where 
({C 14.00, c0060} = Banking book, 
{C 14.00, c0110} = Originator or Sponsor,
{C 14.00, c0040} = Synthetic,
{C 14.00, c0070} = re-securitisation)</t>
  </si>
  <si>
    <t>({C 14.01, c0411, s(1250%)} - {C 14.01, c0420}) where 
({C 14.00, c0060} = Banking book, 
{C 14.00, c0110} = Originator or Sponsor, 
{C 14.00, c0040} = Synthetic,
{C 14.00, c0070} = re-securitisation)</t>
  </si>
  <si>
    <t>{C 14.01, c0430, s(SEC-IRBA)} where 
({C 14.00, c0060} = Banking book, 
{C 14.00, c0110} = Originator or Sponsor,
{C 14.00, c0040} = Synthetic,
{C 14.00, c0070} = re-securitisation)</t>
  </si>
  <si>
    <t>{C 14.01, c0430, s(SEC-ERBA)} where 
({C 14.00, c0060} = Banking book, 
{C 14.00, c0110} = Originator or Sponsor,
{C 14.00, c0040} = Synthetic,
{C 14.00, c0070} = re-securitisation)</t>
  </si>
  <si>
    <t>{C 14.01, c0430, s(SEC-SA)} where 
({C 14.00, c0060} = Banking book, 
{C 14.00, c0110} = Originator or Sponsor,
{C 14.00, c0040} = Synthetic,
{C 14.00, c0070} = re-securitisation)</t>
  </si>
  <si>
    <t>{C 14.01, c0430, s(1250%)} where 
({C 14.00, c0060} = Banking book, 
{C 14.00, c0110} = Originator or Sponsor,
{C 14.00, c0040} = Synthetic,
{C 14.00, c0070} = re-securitisation)</t>
  </si>
  <si>
    <t>{C 14.01, c0440, s(SEC-IRBA)}*8% where 
({C 14.00, c0060} = Banking book, 
{C 14.00, c0110} = Originator or Sponsor,
{C 14.00, c0040} = Synthetic,
{C 14.00, c0070} = re-securitisation)</t>
  </si>
  <si>
    <t>{C 14.01, c0440, s(SEC-ERBA)}*8% where 
({C 14.00, c0060} = Banking book, 
{C 14.00, c0110} = Originator or Sponsor,
{C 14.00, c0040} = Synthetic,
{C 14.00, c0070} = re-securitisation)</t>
  </si>
  <si>
    <t>{C 14.01, c0440, s(SEC-SA)}*8% where 
({C 14.00, c0060} = Banking book, 
{C 14.00, c0110} = Originator or Sponsor,
{C 14.00, c0040} = Synthetic,
{C 14.00, c0070} = re-securitisation)</t>
  </si>
  <si>
    <t>{C 14.01, c0440, s(1250%)}*8% where 
({C 14.00, c0060} = Banking book, 
{C 14.00, c0110} = Originator or Sponsor,
{C 14.00, c0040} = Synthetic,
{C 14.00, c0070} = re-securitisation)</t>
  </si>
  <si>
    <t>Template EU-SEC4 - Securitisation exposures in the non-trading book and associated regulatory capital requirements - institution acting as investor</t>
  </si>
  <si>
    <t xml:space="preserve"> &gt;50% to 100% RW</t>
  </si>
  <si>
    <t xml:space="preserve"> &gt;100% to &lt;1250% RW</t>
  </si>
  <si>
    <t>{C 14.01, c0411} where 
({C 14.01, c0450} = empty, 
{C 14.00, c0110} = Investor, 
{C 14.01, c0430}/{C 14.01, c0411} ≤20%)</t>
  </si>
  <si>
    <t>{C 14.01, c0411} where 
({C 14.01, c0450} = empty, 
{C 14.00, c0110} = Investor, 
{C 14.01, c0430}/{C 14.01, c0411} &gt;20% to 50%)</t>
  </si>
  <si>
    <t>{C 14.01, c0411} where 
({C 14.01, c0450} = empty, 
{C 14.00, c0110} = Investor, 
{C 14.01, c0430}/{C 14.01, c0411} &gt;50% to 100%)</t>
  </si>
  <si>
    <t>{C 14.01, c0411} where 
({C 14.01, c0450} = empty, 
{C 14.00, c0110} = Investor, 
{C 14.01, c0430}/{C 14.01, c0411} &gt;100% to &lt;1250%)</t>
  </si>
  <si>
    <t>({C 14.01, c0411} where ({C 14.01, c0430}/{C 14.01, c0411} = 1250%) - {C 14.01, c0420}) where 
({C 14.01, c0450} = empty, 
{C 14.00, c0110} = Investor)</t>
  </si>
  <si>
    <t>{C 14.01, c0411, s(SEC-IRBA)} where
({C 14.01, c0450} = empty, 
{C 14.00, c0110} = Investor)</t>
  </si>
  <si>
    <t>{C 14.01, c0411, s(SEC-ERBA)} where
({C 14.01, c0450} = empty, 
{C 14.00, c0110} = Investor)</t>
  </si>
  <si>
    <t>{C 14.01, c0411, s(SEC-SA)} where
({C 14.01, c0450} = empty, 
{C 14.00, c0110} = Investor)</t>
  </si>
  <si>
    <t>({C 14.01, c0411, s(1250%)} - {C 14.01, c0420}) where 
({C 14.01, c0450} = empty, 
{C 14.00, c0110} = Investor)</t>
  </si>
  <si>
    <t>{C 14.01, c0430, s(SEC-IRBA)} where
({C 14.01, c0450} = empty, 
{C 14.00, c0110} = Investor)</t>
  </si>
  <si>
    <t>{C 14.01, c0430, s(SEC-ERBA)} where
({C 14.01, c0450} = empty, 
{C 14.00, c0110} = Investor)</t>
  </si>
  <si>
    <t>{C 14.01, c0430, s(SEC-SA)} where
({C 14.01, c0450} = empty, 
{C 14.00, c0110} = Investor)</t>
  </si>
  <si>
    <t>{C 14.01, c0430, s(1250%)} where
({C 14.01, c0450} = empty, 
{C 14.00, c0110} = Investor)</t>
  </si>
  <si>
    <t>{C 14.01, c0440, s(SEC-IRBA)}*8% where
({C 14.01, c0450} = empty, 
{C 14.00, c0110} = Investor)</t>
  </si>
  <si>
    <t>{C 14.01, c0440, s(SEC-ERBA)}*8% where
({C 14.01, c0450} = empty, 
{C 14.00, c0110} = Investor)</t>
  </si>
  <si>
    <t>{C 14.01, c0440, s(SEC-SA)}*8% where
({C 14.01, c0450} = empty, 
{C 14.00, c0110} = Investor)</t>
  </si>
  <si>
    <t>{C 14.01, c0440, s(1250%)}*8% where
({C 14.01, c0450} = empty, 
{C 14.00, c0110} = Investor)</t>
  </si>
  <si>
    <t xml:space="preserve">Traditional) securitisation </t>
  </si>
  <si>
    <t>{C 14.01, c0411} where 
({C 14.01, c0450} = empty, 
{C 14.00, c0110} = Investor, 
{C 14.01, c0430}/{C 14.01, c0411} ≤20%,
{C 14.00, c0040} = Traditional)</t>
  </si>
  <si>
    <t>{C 14.01, c0411} where 
({C 14.01, c0450} = empty, 
{C 14.00, c0110} = Investor, 
{C 14.01, c0430}/{C 14.01, c0411} &gt;20% to 50%,
{C 14.00, c0040} = Traditional)</t>
  </si>
  <si>
    <t>{C 14.01, c0411} where 
({C 14.01, c0450} = empty, 
{C 14.00, c0110} = Investor, 
{C 14.01, c0430}/{C 14.01, c0411} &gt;50% to 100%,
{C 14.00, c0040} = Traditional)</t>
  </si>
  <si>
    <t>{C 14.01, c0411} where 
({C 14.01, c0450} = empty, 
{C 14.00, c0110} = Investor, 
{C 14.01, c0430}/{C 14.01, c0411} &gt;100% to &lt;1250%,
{C 14.00, c0040} = Traditional)</t>
  </si>
  <si>
    <t>({C 14.01, c0411} where ({C 14.01, c0430}/{C 14.01, c0411} = 1250%) - {C 14.01, c0420})  where 
({C 14.01, c0450} = empty, 
{C 14.00, c0110} = Investor, 
{C 14.00, c0040} = Traditional)</t>
  </si>
  <si>
    <t>{C 14.01, c0411, s(SEC-IRBA)} where 
({C 14.01, c0450} = empty, 
{C 14.00, c0110} = Investor, 
{C 14.00, c0040} = Traditional)</t>
  </si>
  <si>
    <t>{C 14.01, c0411, s(SEC-ERBA)} where 
({C 14.01, c0450} = empty, 
{C 14.00, c0110} = Investor, 
{C 14.00, c0040} = Traditional)</t>
  </si>
  <si>
    <t>{C 14.01, c0411, s(SEC-SA)} where 
({C 14.01, c0450} = empty, 
{C 14.00, c0110} = Investor, 
{C 14.00, c0040} = Traditional)</t>
  </si>
  <si>
    <t>({C 14.01, c0411, s(1250%)} - {C 14.01, c0420})  where 
({C 14.01, c0450} = empty, 
{C 14.00, c0110} = Investor, 
{C 14.00, c0040} = Traditional)</t>
  </si>
  <si>
    <t>{C 14.01, c0430, s(SEC-IRBA)} where 
({C 14.01, c0450} = empty, 
{C 14.00, c0110} = Investor, 
{C 14.00, c0040} = Traditional)</t>
  </si>
  <si>
    <t>{C 14.01, c0430, s(SEC-ERBA)} where 
({C 14.01, c0450} = empty, 
{C 14.00, c0110} = Investor, 
{C 14.00, c0040} = Traditional)</t>
  </si>
  <si>
    <t>{C 14.01, c0430, s(SEC-SA)} where 
({C 14.01, c0450} = empty, 
{C 14.00, c0110} = Investor, 
{C 14.00, c0040} = Traditional)</t>
  </si>
  <si>
    <t>{C 14.01, c0430, s(1250%)} where 
({C 14.01, c0450} = empty, 
{C 14.00, c0110} = Investor, 
{C 14.00, c0040} = Traditional)</t>
  </si>
  <si>
    <t>{C 14.01, c0440, s(SEC-IRBA)}*8% where 
({C 14.01, c0450} = empty, 
{C 14.00, c0110} = Investor, 
{C 14.00, c0040} = Traditional)</t>
  </si>
  <si>
    <t>{C 14.01, c0440, s(SEC-ERBA)}*8% where 
({C 14.01, c0450} = empty, 
{C 14.00, c0110} = Investor, 
{C 14.00, c0040} = Traditional)</t>
  </si>
  <si>
    <t>{C 14.01, c0440, s(SEC-SA)}*8% where 
({C 14.01, c0450} = empty, 
{C 14.00, c0110} = Investor, 
{C 14.00, c0040} = Traditional)</t>
  </si>
  <si>
    <t>{C 14.01, c0440, s(1250%)}*8% where 
({C 14.01, c0450} = empty, 
{C 14.00, c0110} = Investor, 
{C 14.00, c0040} = Traditional)</t>
  </si>
  <si>
    <t xml:space="preserve">   securitisation</t>
  </si>
  <si>
    <t>{C 14.01, c0411} where 
({C 14.01, c0450} = empty, 
{C 14.00, c0110} = Investor, 
{C 14.01, c0430}/{C 14.01, c0411} ≤20%,
{C 14.00, c0040} = Traditional,
{C 14.00, c0070} = securitisation)</t>
  </si>
  <si>
    <t>{C 14.01, c0411} where 
({C 14.01, c0450} = empty, 
{C 14.00, c0110} = Investor, 
{C 14.01, c0430}/{C 14.01, c0411} &gt;20% to 50%,
{C 14.00, c0040} = Traditional,
{C 14.00, c0070} = securitisation)</t>
  </si>
  <si>
    <t>{C 14.01, c0411} where 
({C 14.01, c0450} = empty, 
{C 14.00, c0110} = Investor, 
{C 14.01, c0430}/{C 14.01, c0411} &gt;50% to 100%,
{C 14.00, c0040} = Traditional,
{C 14.00, c0070} = securitisation)</t>
  </si>
  <si>
    <t>{C 14.01, c0411} where 
({C 14.01, c0450} = empty, 
{C 14.00, c0110} = Investor, 
{C 14.01, c0430}/{C 14.01, c0411} &gt;100% to &lt;1250%,
{C 14.00, c0040} = Traditional,
{C 14.00, c0070} = securitisation)</t>
  </si>
  <si>
    <t>({C 14.01, c0411} where ({C 14.01, c0430}/{C 14.01, c0411} = 1250%) - {C 14.01, c0420}) where 
({C 14.01, c0450} = empty, 
{C 14.00, c0110} = Investor, 
{C 14.00, c0040} = Traditional,
{C 14.00, c0070} = securitisation)</t>
  </si>
  <si>
    <t>{C 14.01, c0411, s(SEC-IRBA)} where 
({C 14.01, c0450} = empty, 
{C 14.00, c0110} = Investor, 
{C 14.00, c0040} = Traditional,
{C 14.00, c0070} = securitisation)</t>
  </si>
  <si>
    <t>{C 14.01, c0411, s(SEC-ERBA)} where 
({C 14.01, c0450} = empty, 
{C 14.00, c0110} = Investor, 
{C 14.00, c0040} = Traditional,
{C 14.00, c0070} = securitisation)</t>
  </si>
  <si>
    <t>{C 14.01, c0411, s(SEC-SA)} where 
({C 14.01, c0450} = empty, 
{C 14.00, c0110} = Investor, 
{C 14.00, c0040} = Traditional,
{C 14.00, c0070} = securitisation)</t>
  </si>
  <si>
    <t>({C 14.01, c0411, s(1250%)} - {C 14.01, c0420}) where 
({C 14.01, c0450} = empty, 
{C 14.00, c0110} = Investor, 
{C 14.00, c0040} = Traditional,
{C 14.00, c0070} = securitisation)</t>
  </si>
  <si>
    <t>{C 14.01, c0430, s(SEC-IRBA)} where 
({C 14.01, c0450} = empty, 
{C 14.00, c0110} = Investor, 
{C 14.00, c0040} = Traditional,
{C 14.00, c0070} = securitisation)</t>
  </si>
  <si>
    <t>{C 14.01, c0430, s(SEC-ERBA)} where 
({C 14.01, c0450} = empty, 
{C 14.00, c0110} = Investor, 
{C 14.00, c0040} = Traditional,
{C 14.00, c0070} = securitisation)</t>
  </si>
  <si>
    <t>{C 14.01, c0430, s(SEC-SA)} where 
({C 14.01, c0450} = empty, 
{C 14.00, c0110} = Investor, 
{C 14.00, c0040} = Traditional,
{C 14.00, c0070} = securitisation)</t>
  </si>
  <si>
    <t>{C 14.01, c0430, s(1250%)} where 
({C 14.01, c0450} = empty, 
{C 14.00, c0110} = Investor, 
{C 14.00, c0040} = Traditional,
{C 14.00, c0070} = securitisation)</t>
  </si>
  <si>
    <t>{C 14.01, c0440, s(SEC-IRBA)}*8% where 
({C 14.01, c0450} = empty, 
{C 14.00, c0110} = Investor, 
{C 14.00, c0040} = Traditional,
{C 14.00, c0070} = securitisation)</t>
  </si>
  <si>
    <t>{C 14.01, c0440, s(SEC-ERBA)}*8% where 
({C 14.01, c0450} = empty, 
{C 14.00, c0110} = Investor, 
{C 14.00, c0040} = Traditional,
{C 14.00, c0070} = securitisation)</t>
  </si>
  <si>
    <t>{C 14.01, c0440, s(SEC-SA)}*8% where 
({C 14.01, c0450} = empty, 
{C 14.00, c0110} = Investor, 
{C 14.00, c0040} = Traditional,
{C 14.00, c0070} = securitisation)</t>
  </si>
  <si>
    <t>{C 14.01, c0440, s(1250%)}*8% where 
({C 14.01, c0450} = empty, 
{C 14.00, c0110} = Investor, 
{C 14.00, c0040} = Traditional,
{C 14.00, c0070} = securitisation)</t>
  </si>
  <si>
    <t>{C 14.01, c0411} where 
({C 14.01, c0450} = empty, 
{C 14.00, c0110} = Investor, 
{C 14.01, c0430}/{C 14.01, c0411} ≤20%,
{C 14.00, c0040} = Traditional,
{C 14.00, c0070} = securitisation,
{C 14.00, c0160} = Residential mortgages, Credit card receivables, Consumer loans, Loans to SMEs (treated as retail) and Other retail exposures)</t>
  </si>
  <si>
    <t>{C 14.01, c0411} where 
({C 14.01, c0450} = empty, 
{C 14.00, c0110} = Investor, 
{C 14.01, c0430}/{C 14.01, c0411} &gt;20% to 50%,
{C 14.00, c0040} = Traditional,
{C 14.00, c0070} = securitisation,
{C 14.00, c0160} = Residential mortgages, Credit card receivables, Consumer loans, Loans to SMEs (treated as retail) and Other retail exposures)</t>
  </si>
  <si>
    <t>{C 14.01, c0411} where 
({C 14.01, c0450} = empty, 
{C 14.00, c0110} = Investor, 
{C 14.01, c0430}/{C 14.01, c0411} &gt;50% to 100%,
{C 14.00, c0040} = Traditional,
{C 14.00, c0070} = securitisation,
{C 14.00, c0160} = Residential mortgages, Credit card receivables, Consumer loans, Loans to SMEs (treated as retail) and Other retail exposures)</t>
  </si>
  <si>
    <t>{C 14.01, c0411} where 
({C 14.01, c0450} = empty, 
{C 14.00, c0110} = Investor, 
{C 14.01, c0430}/{C 14.01, c0411} &gt;100% to &lt;1250%,
{C 14.00, c0040} = Traditional,
{C 14.00, c0070} = securitisation,
{C 14.00, c0160} = Residential mortgages, Credit card receivables, Consumer loans, Loans to SMEs (treated as retail) and Other retail exposures)</t>
  </si>
  <si>
    <t>({C 14.01, c0411} where ({C 14.01, c0430}/{C 14.01, c0411} = 1250%) - {C 14.01, c0420}) where 
({C 14.01, c0450} = empty, 
{C 14.00, c0110} = Investor, 
{C 14.00, c0040} = Traditional,
{C 14.00, c0070} = securitisation,
{C 14.00, c0160} = Residential mortgages, Credit card receivables, Consumer loans, Loans to SMEs (treated as retail) and Other retail exposures)</t>
  </si>
  <si>
    <t>{C 14.01, c0411, s(SEC-IRBA)} where 
({C 14.01, c0450} = empty, 
{C 14.00, c0110} = Investor, 
{C 14.00, c0040} = Traditional,
{C 14.00, c0070} = securitisation,
{C 14.00, c0160} = Residential mortgages, Credit card receivables, Consumer loans, Loans to SMEs (treated as retail) and Other retail exposures)</t>
  </si>
  <si>
    <t>{C 14.01, c0411, s(SEC-ERBA)} where 
({C 14.01, c0450} = empty, 
{C 14.00, c0110} = Investor, 
{C 14.00, c0040} = Traditional,
{C 14.00, c0070} = securitisation,
{C 14.00, c0160} = Residential mortgages, Credit card receivables, Consumer loans, Loans to SMEs (treated as retail) and Other retail exposures)</t>
  </si>
  <si>
    <t>{C 14.01, c0411, s(SEC-SA)} where 
({C 14.01, c0450} = empty, 
{C 14.00, c0110} = Investor, 
{C 14.00, c0040} = Traditional,
{C 14.00, c0070} = securitisation,
{C 14.00, c0160} = Residential mortgages, Credit card receivables, Consumer loans, Loans to SMEs (treated as retail) and Other retail exposures)</t>
  </si>
  <si>
    <t>({C 14.01, c0411, s(1250%)} - {C 14.01, c0420}) where 
({C 14.01, c0450} = empty, 
{C 14.00, c0110} = Investor, 
{C 14.00, c0040} = Traditional,
{C 14.00, c0070} = securitisation,
{C 14.00, c0160} = Residential mortgages, Credit card receivables, Consumer loans, Loans to SMEs (treated as retail) and Other retail exposures)</t>
  </si>
  <si>
    <t>{C 14.01, c0430, s(SEC-IRBA)} where 
({C 14.01, c0450} = empty, 
{C 14.00, c0110} = Investor, 
{C 14.00, c0040} = Traditional,
{C 14.00, c0070} = securitisation,
{C 14.00, c0160} = Residential mortgages, Credit card receivables, Consumer loans, Loans to SMEs (treated as retail) and Other retail exposures)</t>
  </si>
  <si>
    <t>{C 14.01, c0430, s(SEC-ERBA)} where 
({C 14.01, c0450} = empty, 
{C 14.00, c0110} = Investor, 
{C 14.00, c0040} = Traditional,
{C 14.00, c0070} = securitisation,
{C 14.00, c0160} = Residential mortgages, Credit card receivables, Consumer loans, Loans to SMEs (treated as retail) and Other retail exposures)</t>
  </si>
  <si>
    <t>{C 14.01, c0430, s(SEC-SA)} where 
({C 14.01, c0450} = empty, 
{C 14.00, c0110} = Investor, 
{C 14.00, c0040} = Traditional,
{C 14.00, c0070} = securitisation,
{C 14.00, c0160} = Residential mortgages, Credit card receivables, Consumer loans, Loans to SMEs (treated as retail) and Other retail exposures)</t>
  </si>
  <si>
    <t>{C 14.01, c0430, s(1250%)} where 
({C 14.01, c0450} = empty, 
{C 14.00, c0110} = Investor, 
{C 14.00, c0040} = Traditional,
{C 14.00, c0070} = securitisation,
{C 14.00, c0160} = Residential mortgages, Credit card receivables, Consumer loans, Loans to SMEs (treated as retail) and Other retail exposures)</t>
  </si>
  <si>
    <t>{C 14.01, c0440, s(SEC-IRBA)}*8% where 
({C 14.01, c0450} = empty, 
{C 14.00, c0110} = Investor, 
{C 14.00, c0040} = Traditional,
{C 14.00, c0070} = securitisation,
{C 14.00, c0160} = Residential mortgages, Credit card receivables, Consumer loans, Loans to SMEs (treated as retail) and Other retail exposures)</t>
  </si>
  <si>
    <t>{C 14.01, c0440, s(SEC-ERBA)}*8% where 
({C 14.01, c0450} = empty, 
{C 14.00, c0110} = Investor, 
{C 14.00, c0040} = Traditional,
{C 14.00, c0070} = securitisation,
{C 14.00, c0160} = Residential mortgages, Credit card receivables, Consumer loans, Loans to SMEs (treated as retail) and Other retail exposures)</t>
  </si>
  <si>
    <t>{C 14.01, c0440, s(SEC-SA)}*8% where 
({C 14.01, c0450} = empty, 
{C 14.00, c0110} = Investor, 
{C 14.00, c0040} = Traditional,
{C 14.00, c0070} = securitisation,
{C 14.00, c0160} = Residential mortgages, Credit card receivables, Consumer loans, Loans to SMEs (treated as retail) and Other retail exposures)</t>
  </si>
  <si>
    <t>{C 14.01, c0440, s(1250%)}*8% where 
({C 14.01, c0450} = empty, 
{C 14.00, c0110} = Investor, 
{C 14.00, c0040} = Traditional,
{C 14.00, c0070} = securitisation,
{C 14.00, c0160} = Residential mortgages, Credit card receivables, Consumer loans, Loans to SMEs (treated as retail) and Other retail exposures)</t>
  </si>
  <si>
    <t>{C 14.01, c0411} where 
({C 14.01, c0450} = empty, 
{C 14.00, c0110} = Investor, 
{C 14.01, c0430}/{C 14.01, c0411} ≤20%,
{C 14.00, c0040} = Traditional,
{C 14.00, c0070} = securitisation,
{C 14.00, c0160} = Residential mortgages, Credit card receivables, Consumer loans, Loans to SMEs (treated as retail) or Other retail exposures,
{C 14.00, c0075} = Yes)</t>
  </si>
  <si>
    <t>{C 14.01, c0411} where 
({C 14.01, c0450} = empty, 
{C 14.00, c0110} = Investor, 
{C 14.01, c0430}/{C 14.01, c0411} &gt;20% to 50%,
{C 14.00, c0040} = Traditional,
{C 14.00, c0070} = securitisation,
{C 14.00, c0160} = Residential mortgages, Credit card receivables, Consumer loans, Loans to SMEs (treated as retail) or Other retail exposures,
{C 14.00, c0075} = Yes)</t>
  </si>
  <si>
    <t>{C 14.01, c0411} where 
({C 14.01, c0450} = empty, 
{C 14.00, c0110} = Investor, 
{C 14.01, c0430}/{C 14.01, c0411} &gt;50% to 100%,
{C 14.00, c0040} = Traditional,
{C 14.00, c0070} = securitisation,
{C 14.00, c0160} = Residential mortgages, Credit card receivables, Consumer loans, Loans to SMEs (treated as retail) or Other retail exposures,
{C 14.00, c0075} = Yes)</t>
  </si>
  <si>
    <t>{C 14.01, c0411} where 
({C 14.01, c0450} = empty, 
{C 14.00, c0110} = Investor, 
{C 14.01, c0430}/{C 14.01, c0411} &gt;100% to &lt;1250%,
{C 14.00, c0040} = Traditional,
{C 14.00, c0070} = securitisation,
{C 14.00, c0160} = Residential mortgages, Credit card receivables, Consumer loans, Loans to SMEs (treated as retail) or Other retail exposures,
{C 14.00, c0075} = Yes)</t>
  </si>
  <si>
    <t>({C 14.01, c0411} where ({C 14.01, c0430}/{C 14.01, c0411} = 1250%) - {C 14.01, c0420}) where 
({C 14.01, c0450} = empty, 
{C 14.00, c0110} = Investor, 
{C 14.00, c0040} = Traditional,
{C 14.00, c0070} = securitisation,
{C 14.00, c0160} = Residential mortgages, Credit card receivables, Consumer loans, Loans to SMEs (treated as retail) or Other retail exposures,
{C 14.00, c0075} = Yes)</t>
  </si>
  <si>
    <t>{C 14.01, c0411, s(SEC-IRBA)} where 
({C 14.01, c0450} = empty, 
{C 14.00, c0110} = Investor, 
{C 14.00, c0040} = Traditional,
{C 14.00, c0070} = securitisation,
{C 14.00, c0160} = Residential mortgages, Credit card receivables, Consumer loans, Loans to SMEs (treated as retail) or Other retail exposures,
{C 14.00, c0075} = Yes)</t>
  </si>
  <si>
    <t>{C 14.01, c0411, s(SEC-ERBA)} where 
({C 14.01, c0450} = empty, 
{C 14.00, c0110} = Investor, 
{C 14.00, c0040} = Traditional,
{C 14.00, c0070} = securitisation,
{C 14.00, c0160} = Residential mortgages, Credit card receivables, Consumer loans, Loans to SMEs (treated as retail) or Other retail exposures,
{C 14.00, c0075} = Yes)</t>
  </si>
  <si>
    <t>{C 14.01, c0411, s(SEC-SA)} where 
({C 14.01, c0450} = empty, 
{C 14.00, c0110} = Investor, 
{C 14.00, c0040} = Traditional,
{C 14.00, c0070} = securitisation,
{C 14.00, c0160} = Residential mortgages, Credit card receivables, Consumer loans, Loans to SMEs (treated as retail) or Other retail exposures,
{C 14.00, c0075} = Yes)</t>
  </si>
  <si>
    <t>({C 14.01, c0411, s(1250%)} - {C 14.01, c0420}) where 
({C 14.01, c0450} = empty, 
{C 14.00, c0110} = Investor, 
{C 14.00, c0040} = Traditional,
{C 14.00, c0070} = securitisation,
{C 14.00, c0160} = Residential mortgages, Credit card receivables, Consumer loans, Loans to SMEs (treated as retail) or Other retail exposures,
{C 14.00, c0075} = Yes)</t>
  </si>
  <si>
    <t>{C 14.01, c0430, s(SEC-IRBA)} where 
({C 14.01, c0450} = empty, 
{C 14.00, c0110} = Investor, 
{C 14.00, c0040} = Traditional,
{C 14.00, c0070} = securitisation,
{C 14.00, c0160} = Residential mortgages, Credit card receivables, Consumer loans, Loans to SMEs (treated as retail) or Other retail exposures,
{C 14.00, c0075} = Yes)</t>
  </si>
  <si>
    <t>{C 14.01, c0430, s(SEC-ERBA)} where 
({C 14.01, c0450} = empty, 
{C 14.00, c0110} = Investor, 
{C 14.00, c0040} = Traditional,
{C 14.00, c0070} = securitisation,
{C 14.00, c0160} = Residential mortgages, Credit card receivables, Consumer loans, Loans to SMEs (treated as retail) or Other retail exposures,
{C 14.00, c0075} = Yes)</t>
  </si>
  <si>
    <t>{C 14.01, c0430, s(SEC-SA)} where 
({C 14.01, c0450} = empty, 
{C 14.00, c0110} = Investor, 
{C 14.00, c0040} = Traditional,
{C 14.00, c0070} = securitisation,
{C 14.00, c0160} = Residential mortgages, Credit card receivables, Consumer loans, Loans to SMEs (treated as retail) or Other retail exposures,
{C 14.00, c0075} = Yes)</t>
  </si>
  <si>
    <t>{C 14.01, c0430, s(1250%)} where 
({C 14.01, c0450} = empty, 
{C 14.00, c0110} = Investor, 
{C 14.00, c0040} = Traditional,
{C 14.00, c0070} = securitisation,
{C 14.00, c0160} = Residential mortgages, Credit card receivables, Consumer loans, Loans to SMEs (treated as retail) or Other retail exposures,
{C 14.00, c0075} = Yes)</t>
  </si>
  <si>
    <t>{C 14.01, c0440, s(SEC-IRBA)}*8% where 
({C 14.01, c0450} = empty, 
{C 14.00, c0110} = Investor, 
{C 14.00, c0040} = Traditional,
{C 14.00, c0070} = securitisation,
{C 14.00, c0160} = Residential mortgages, Credit card receivables, Consumer loans, Loans to SMEs (treated as retail) or Other retail exposures,
{C 14.00, c0075} = Yes)</t>
  </si>
  <si>
    <t>{C 14.01, c0440, s(SEC-ERBA)}*8% where 
({C 14.01, c0450} = empty, 
{C 14.00, c0110} = Investor, 
{C 14.00, c0040} = Traditional,
{C 14.00, c0070} = securitisation,
{C 14.00, c0160} = Residential mortgages, Credit card receivables, Consumer loans, Loans to SMEs (treated as retail) or Other retail exposures,
{C 14.00, c0075} = Yes)</t>
  </si>
  <si>
    <t>{C 14.01, c0440, s(SEC-SA)}*8% where 
({C 14.01, c0450} = empty, 
{C 14.00, c0110} = Investor, 
{C 14.00, c0040} = Traditional,
{C 14.00, c0070} = securitisation,
{C 14.00, c0160} = Residential mortgages, Credit card receivables, Consumer loans, Loans to SMEs (treated as retail) or Other retail exposures,
{C 14.00, c0075} = Yes)</t>
  </si>
  <si>
    <t>{C 14.01, c0440, s(1250%)}*8% where 
({C 14.01, c0450} = empty, 
{C 14.00, c0110} = Investor, 
{C 14.00, c0040} = Traditional,
{C 14.00, c0070} = securitisation,
{C 14.00, c0160} = Residential mortgages, Credit card receivables, Consumer loans, Loans to SMEs (treated as retail) or Other retail exposures,
{C 14.00, c0075} = Yes)</t>
  </si>
  <si>
    <t>{C 14.01, c0411} where 
({C 14.01, c0450} = empty, 
{C 14.00, c0110} = Investor, 
{C 14.01, c0430}/{C 14.01, c0411} ≤20%,
{C 14.00, c0040} = Traditional,
{C 14.00, c0070} = securitisation,
{C 14.00, c0160} = Commercial mortgages, Leasing, Loans to corporates, Loans to SMEs (treated as corporates), Trade receivables and Other wholesale exposures)</t>
  </si>
  <si>
    <t>{C 14.01, c0411} where 
({C 14.01, c0450} = empty, 
{C 14.00, c0110} = Investor, 
{C 14.01, c0430}/{C 14.01, c0411} &gt;20% to 50%,
{C 14.00, c0040} = Traditional,
{C 14.00, c0070} = securitisation,
{C 14.00, c0160} = Commercial mortgages, Leasing, Loans to corporates, Loans to SMEs (treated as corporates), Trade receivables and Other wholesale exposures)</t>
  </si>
  <si>
    <t>{C 14.01, c0411} where 
({C 14.01, c0450} = empty, 
{C 14.00, c0110} = Investor, 
{C 14.01, c0430}/{C 14.01, c0411} &gt;50% to 100%,
{C 14.00, c0040} = Traditional,
{C 14.00, c0070} = securitisation,
{C 14.00, c0160} = Commercial mortgages, Leasing, Loans to corporates, Loans to SMEs (treated as corporates), Trade receivables and Other wholesale exposures)</t>
  </si>
  <si>
    <t>{C 14.01, c0411} where 
({C 14.01, c0450} = empty, 
{C 14.00, c0110} = Investor, 
{C 14.01, c0430}/{C 14.01, c0411} &gt;100% to &lt;1250%,
{C 14.00, c0040} = Traditional,
{C 14.00, c0070} = securitisation,
{C 14.00, c0160} = Commercial mortgages, Leasing, Loans to corporates, Loans to SMEs (treated as corporates), Trade receivables and Other wholesale exposures)</t>
  </si>
  <si>
    <t>({C 14.01, c0411} where ({C 14.01, c0430}/{C 14.01, c0411} = 1250%) - {C 14.01, c0420}) where 
({C 14.01, c0450} = empty, 
{C 14.00, c0110} = Investor, 
{C 14.00, c0040} = Traditional,
{C 14.00, c0070} = securitisation,
{C 14.00, c0160} = Commercial mortgages, Leasing, Loans to corporates, Loans to SMEs (treated as corporates), Trade receivables and Other wholesale exposures)</t>
  </si>
  <si>
    <t>{C 14.01, c0411, s(SEC-IRBA)} where 
({C 14.01, c0450} = empty, 
{C 14.00, c0110} = Investor, 
{C 14.00, c0040} = Traditional,
{C 14.00, c0070} = securitisation,
{C 14.00, c0160} = Commercial mortgages, Leasing, Loans to corporates, Loans to SMEs (treated as corporates), Trade receivables and Other wholesale exposures)</t>
  </si>
  <si>
    <t>{C 14.01, c0411, s(SEC-ERBA)} where 
({C 14.01, c0450} = empty, 
{C 14.00, c0110} = Investor, 
{C 14.00, c0040} = Traditional,
{C 14.00, c0070} = securitisation,
{C 14.00, c0160} = Commercial mortgages, Leasing, Loans to corporates, Loans to SMEs (treated as corporates), Trade receivables and Other wholesale exposures)</t>
  </si>
  <si>
    <t>{C 14.01, c0411, s(SEC-SA)} where 
({C 14.01, c0450} = empty, 
{C 14.00, c0110} = Investor, 
{C 14.00, c0040} = Traditional,
{C 14.00, c0070} = securitisation,
{C 14.00, c0160} = Commercial mortgages, Leasing, Loans to corporates, Loans to SMEs (treated as corporates), Trade receivables and Other wholesale exposures)</t>
  </si>
  <si>
    <t>({C 14.01, c0411, s(1250%)} - {C 14.01, c0420}) where 
({C 14.01, c0450} = empty, 
{C 14.00, c0110} = Investor, 
{C 14.00, c0040} = Traditional,
{C 14.00, c0070} = securitisation,
{C 14.00, c0160} = Commercial mortgages, Leasing, Loans to corporates, Loans to SMEs (treated as corporates), Trade receivables and Other wholesale exposures)</t>
  </si>
  <si>
    <t>{C 14.01, c0430, s(SEC-IRBA)} where 
({C 14.01, c0450} = empty, 
{C 14.00, c0110} = Investor, 
{C 14.00, c0040} = Traditional,
{C 14.00, c0070} = securitisation,
{C 14.00, c0160} = Commercial mortgages, Leasing, Loans to corporates, Loans to SMEs (treated as corporates), Trade receivables and Other wholesale exposures)</t>
  </si>
  <si>
    <t>{C 14.01, c0430, s(SEC-ERBA)} where 
({C 14.01, c0450} = empty, 
{C 14.00, c0110} = Investor, 
{C 14.00, c0040} = Traditional,
{C 14.00, c0070} = securitisation,
{C 14.00, c0160} = Commercial mortgages, Leasing, Loans to corporates, Loans to SMEs (treated as corporates), Trade receivables and Other wholesale exposures)</t>
  </si>
  <si>
    <t>{C 14.01, c0430, s(SEC-SA)} where 
({C 14.01, c0450} = empty, 
{C 14.00, c0110} = Investor, 
{C 14.00, c0040} = Traditional,
{C 14.00, c0070} = securitisation,
{C 14.00, c0160} = Commercial mortgages, Leasing, Loans to corporates, Loans to SMEs (treated as corporates), Trade receivables and Other wholesale exposures)</t>
  </si>
  <si>
    <t>{C 14.01, c0430, s(1250%)} where 
({C 14.01, c0450} = empty, 
{C 14.00, c0110} = Investor, 
{C 14.00, c0040} = Traditional,
{C 14.00, c0070} = securitisation,
{C 14.00, c0160} = Commercial mortgages, Leasing, Loans to corporates, Loans to SMEs (treated as corporates), Trade receivables and Other wholesale exposures)</t>
  </si>
  <si>
    <t>{C 14.01, c0440, s(SEC-IRBA)}*8% where 
({C 14.01, c0450} = empty, 
{C 14.00, c0110} = Investor, 
{C 14.00, c0040} = Traditional,
{C 14.00, c0070} = securitisation,
{C 14.00, c0160} = Commercial mortgages, Leasing, Loans to corporates, Loans to SMEs (treated as corporates), Trade receivables and Other wholesale exposures)</t>
  </si>
  <si>
    <t>{C 14.01, c0440, s(SEC-ERBA)}*8% where 
({C 14.01, c0450} = empty, 
{C 14.00, c0110} = Investor, 
{C 14.00, c0040} = Traditional,
{C 14.00, c0070} = securitisation,
{C 14.00, c0160} = Commercial mortgages, Leasing, Loans to corporates, Loans to SMEs (treated as corporates), Trade receivables and Other wholesale exposures)</t>
  </si>
  <si>
    <t>{C 14.01, c0440, s(SEC-SA)}*8% where 
({C 14.01, c0450} = empty, 
{C 14.00, c0110} = Investor, 
{C 14.00, c0040} = Traditional,
{C 14.00, c0070} = securitisation,
{C 14.00, c0160} = Commercial mortgages, Leasing, Loans to corporates, Loans to SMEs (treated as corporates), Trade receivables and Other wholesale exposures)</t>
  </si>
  <si>
    <t>{C 14.01, c0440, s(1250%)}*8% where 
({C 14.01, c0450} = empty, 
{C 14.00, c0110} = Investor, 
{C 14.00, c0040} = Traditional,
{C 14.00, c0070} = securitisation,
{C 14.00, c0160} = Commercial mortgages, Leasing, Loans to corporates, Loans to SMEs (treated as corporates), Trade receivables and Other wholesale exposures)</t>
  </si>
  <si>
    <t>{C 14.01, c0411} where 
({C 14.01, c0450} = empty, 
{C 14.00, c0110} = Investor, 
{C 14.01, c0430}/{C 14.01, c0411} ≤20%,
{C 14.00, c0040} = Traditional,
{C 14.00, c0070} = securitisation,
{C 14.00, c0160} =Commercial mortgages, Leasing, Loans to corporates, Loans to SMEs (treated as corporates), Trade receivables and Other wholesale exposures,
{C 14.00, c0075} = Yes)</t>
  </si>
  <si>
    <t>{C 14.01, c0411} where 
({C 14.01, c0450} = empty, 
{C 14.00, c0110} = Investor, 
{C 14.01, c0430}/{C 14.01, c0411} &gt;20% to 50%,
{C 14.00, c0040} = Traditional,
{C 14.00, c0070} = securitisation,
{C 14.00, c0160} =Commercial mortgages, Leasing, Loans to corporates, Loans to SMEs (treated as corporates), Trade receivables and Other wholesale exposures,
{C 14.00, c0075} = Yes)</t>
  </si>
  <si>
    <t>{C 14.01, c0411} where 
({C 14.01, c0450} = empty, 
{C 14.00, c0110} = Investor, 
{C 14.01, c0430}/{C 14.01, c0411} &gt;50% to 100%,
{C 14.00, c0040} = Traditional,
{C 14.00, c0070} = securitisation,
{C 14.00, c0160} =Commercial mortgages, Leasing, Loans to corporates, Loans to SMEs (treated as corporates), Trade receivables and Other wholesale exposures,
{C 14.00, c0075} = Yes)</t>
  </si>
  <si>
    <t>{C 14.01, c0411} where 
({C 14.01, c0450} = empty, 
{C 14.00, c0110} = Investor, 
{C 14.01, c0430}/{C 14.01, c0411} &gt;100% to &lt;1250%,
{C 14.00, c0040} = Traditional,
{C 14.00, c0070} = securitisation,
{C 14.00, c0160} =Commercial mortgages, Leasing, Loans to corporates, Loans to SMEs (treated as corporates), Trade receivables and Other wholesale exposures,
{C 14.00, c0075} = Yes)</t>
  </si>
  <si>
    <t>({C 14.01, c0411} where ({C 14.01, c0430}/{C 14.01, c0411} = 1250%) - {C 14.01, c0420})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</si>
  <si>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c0411, s(SEC-IRBA)}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</si>
  <si>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c0411, s(SEC-ERBA)}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</si>
  <si>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c0411, s(SEC-SA)}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</si>
  <si>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c0411, s(1250%)} - {C 14.01, c0420})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</si>
  <si>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c0430, s(SEC-IRBA)}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</si>
  <si>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c0430, s(SEC-ERBA)}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</si>
  <si>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c0430, s(SEC-SA)}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</si>
  <si>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c0430, s(1250%)}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</si>
  <si>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c0440, s(SEC-IRBA)}*8%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</si>
  <si>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c0440, s(SEC-ERBA)}*8%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</si>
  <si>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c0440, s(SEC-SA)}*8%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</si>
  <si>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c0440, s(1250%)}*8%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</si>
  <si>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c0411} where 
({C 14.01, c0450} = empty, 
{C 14.00, c0110} = Investor, 
{C 14.01, c0430}/{C 14.01, c0411} ≤20%,
{C 14.00, c0040} = Traditional,
{C 14.00, c0070} = re-securitisation)</t>
  </si>
  <si>
    <t>{C 14.01, c0411} where 
({C 14.01, c0450} = empty, 
{C 14.00, c0110} = Investor, 
{C 14.01, c0430}/{C 14.01, c0411} &gt;20% to 50%,
{C 14.00, c0040} = Traditional,
{C 14.00, c0070} = re-securitisation)</t>
  </si>
  <si>
    <t>{C 14.01, c0411} where 
({C 14.01, c0450} = empty, 
{C 14.00, c0110} = Investor, 
{C 14.01, c0430}/{C 14.01, c0411} &gt;50% to 100%,
{C 14.00, c0040} = Traditional,
{C 14.00, c0070} = re-securitisation)</t>
  </si>
  <si>
    <t>{C 14.01, c0411} where 
({C 14.01, c0450} = empty, 
{C 14.00, c0110} = Investor, 
{C 14.01, c0430}/{C 14.01, c0411} &gt;100% to &lt;1250%,
{C 14.00, c0040} = Traditional,
{C 14.00, c0070} = re-securitisation)</t>
  </si>
  <si>
    <t>({C 14.01, c0411} where ({C 14.01, c0430}/{C 14.01, c0411} = 1250%) - {C 14.01, c0420}) where 
({C 14.01, c0450} = empty, 
{C 14.00, c0110} = Investor, 
{C 14.00, c0040} = Traditional,
{C 14.00, c0070} = re-securitisation)</t>
  </si>
  <si>
    <t>{C 14.01, c0411, s(SEC-IRBA)} where 
({C 14.01, c0450} = empty, 
{C 14.00, c0110} = Investor, 
{C 14.00, c0040} = Traditional,
{C 14.00, c0070} = re-securitisation)</t>
  </si>
  <si>
    <t>{C 14.01, c0411, s(SEC-ERBA)} where 
({C 14.01, c0450} = empty, 
{C 14.00, c0110} = Investor, 
{C 14.00, c0040} = Traditional,
{C 14.00, c0070} = re-securitisation)</t>
  </si>
  <si>
    <t>{C 14.01, c0411, s(SEC-SA)} where 
({C 14.01, c0450} = empty, 
{C 14.00, c0110} = Investor, 
{C 14.00, c0040} = Traditional,
{C 14.00, c0070} = re-securitisation)</t>
  </si>
  <si>
    <t>({C 14.01, c0411, s(1250%)} - {C 14.01, c0420}) where 
({C 14.01, c0450} = empty, 
{C 14.00, c0110} = Investor, 
{C 14.00, c0040} = Traditional,
{C 14.00, c0070} = re-securitisation)</t>
  </si>
  <si>
    <t>{C 14.01, c0430, s(SEC-IRBA)} where 
({C 14.01, c0450} = empty, 
{C 14.00, c0110} = Investor, 
{C 14.00, c0040} = Traditional,
{C 14.00, c0070} = re-securitisation)</t>
  </si>
  <si>
    <t>{C 14.01, c0430, s(SEC-ERBA)} where 
({C 14.01, c0450} = empty, 
{C 14.00, c0110} = Investor, 
{C 14.00, c0040} = Traditional,
{C 14.00, c0070} = re-securitisation)</t>
  </si>
  <si>
    <t>{C 14.01, c0430, s(SEC-SA)} where 
({C 14.01, c0450} = empty, 
{C 14.00, c0110} = Investor, 
{C 14.00, c0040} = Traditional,
{C 14.00, c0070} = re-securitisation)</t>
  </si>
  <si>
    <t>{C 14.01, c0430, s(1250%)} where 
({C 14.01, c0450} = empty, 
{C 14.00, c0110} = Investor, 
{C 14.00, c0040} = Traditional,
{C 14.00, c0070} = re-securitisation)</t>
  </si>
  <si>
    <t>{C 14.01, c0440, s(SEC-IRBA)}*8% where 
({C 14.01, c0450} = empty, 
{C 14.00, c0110} = Investor, 
{C 14.00, c0040} = Traditional,
{C 14.00, c0070} = re-securitisation)</t>
  </si>
  <si>
    <t>{C 14.01, c0440, s(SEC-ERBA)}*8% where 
({C 14.01, c0450} = empty, 
{C 14.00, c0110} = Investor, 
{C 14.00, c0040} = Traditional,
{C 14.00, c0070} = re-securitisation)</t>
  </si>
  <si>
    <t>{C 14.01, c0440, s(SEC-SA)}*8% where 
({C 14.01, c0450} = empty, 
{C 14.00, c0110} = Investor, 
{C 14.00, c0040} = Traditional,
{C 14.00, c0070} = re-securitisation)</t>
  </si>
  <si>
    <t>{C 14.01, c0440, s(1250%)}*8% where 
({C 14.01, c0450} = empty, 
{C 14.00, c0110} = Investor, 
{C 14.00, c0040} = Traditional,
{C 14.00, c0070} = re-securitisation)</t>
  </si>
  <si>
    <t xml:space="preserve">Synthetic securitisation </t>
  </si>
  <si>
    <t>{C 14.01, c0411} where 
({C 14.01, c0450} = empty, 
{C 14.00, c0110} = Investor, 
{C 14.01, c0430}/{C 14.01, c0411} ≤20%,
{C 14.00, c0040} = Synthetic)</t>
  </si>
  <si>
    <t>{C 14.01, c0411} where 
({C 14.01, c0450} = empty, 
{C 14.00, c0110} = Investor, 
{C 14.01, c0430}/{C 14.01, c0411} &gt;20% to 50%,
{C 14.00, c0040} = Synthetic)</t>
  </si>
  <si>
    <t>{C 14.01, c0411} where 
({C 14.01, c0450} = empty, 
{C 14.00, c0110} = Investor, 
{C 14.01, c0430}/{C 14.01, c0411} &gt;50% to 100%,
{C 14.00, c0040} = Synthetic)</t>
  </si>
  <si>
    <t>{C 14.01, c0411} where 
({C 14.01, c0450} = empty, 
{C 14.00, c0110} = Investor, 
{C 14.01, c0430}/{C 14.01, c0411} &gt;100% to &lt;1250%,
{C 14.00, c0040} = Synthetic)</t>
  </si>
  <si>
    <t>({C 14.01, c0411} where ({C 14.01, c0430}/{C 14.01, c0411} = 1250%) - {C 14.01, c0420}) where 
({C 14.01, c0450} = empty, 
{C 14.00, c0110} = Investor, 
{C 14.00, c0040} = Synthetic)</t>
  </si>
  <si>
    <t>{C 14.01, c0411, s(SEC-IRBA)} where 
({C 14.01, c0450} = empty, 
{C 14.00, c0110} = Investor, 
{C 14.00, c0040} = Synthetic)</t>
  </si>
  <si>
    <t>{C 14.01, c0411, s(SEC-ERBA)} where 
({C 14.01, c0450} = empty, 
{C 14.00, c0110} = Investor, 
{C 14.00, c0040} = Synthetic)</t>
  </si>
  <si>
    <t>{C 14.01, c0411, s(SEC-SA)} where 
({C 14.01, c0450} = empty, 
{C 14.00, c0110} = Investor, 
{C 14.00, c0040} = Synthetic)</t>
  </si>
  <si>
    <t>({C 14.01, c0411, s(1250%)} - {C 14.01, c0420}) where 
({C 14.01, c0450} = empty, 
{C 14.00, c0110} = Investor, 
{C 14.00, c0040} = Synthetic)</t>
  </si>
  <si>
    <t>{C 14.01, c0430, s(SEC-IRBA)} where 
({C 14.01, c0450} = empty, 
{C 14.00, c0110} = Investor, 
{C 14.00, c0040} = Synthetic)</t>
  </si>
  <si>
    <t>{C 14.01, c0430, s(SEC-ERBA)} where 
({C 14.01, c0450} = empty, 
{C 14.00, c0110} = Investor, 
{C 14.00, c0040} = Synthetic)</t>
  </si>
  <si>
    <t>{C 14.01, c0430, s(SEC-SA)} where 
({C 14.01, c0450} = empty, 
{C 14.00, c0110} = Investor, 
{C 14.00, c0040} = Synthetic)</t>
  </si>
  <si>
    <t>{C 14.01, c0430, s(1250%)} where 
({C 14.01, c0450} = empty, 
{C 14.00, c0110} = Investor, 
{C 14.00, c0040} = Synthetic)</t>
  </si>
  <si>
    <t>{C 14.01, c0440, s(SEC-IRBA)}*8% where 
({C 14.01, c0450} = empty, 
{C 14.00, c0110} = Investor, 
{C 14.00, c0040} = Synthetic)</t>
  </si>
  <si>
    <t>{C 14.01, c0440, s(SEC-ERBA)}*8% where 
({C 14.01, c0450} = empty, 
{C 14.00, c0110} = Investor, 
{C 14.00, c0040} = Synthetic)</t>
  </si>
  <si>
    <t>{C 14.01, c0440, s(SEC-SA)}*8% where 
({C 14.01, c0450} = empty, 
{C 14.00, c0110} = Investor, 
{C 14.00, c0040} = Synthetic)</t>
  </si>
  <si>
    <t>{C 14.01, c0440, s(1250%)}*8% where 
({C 14.01, c0450} = empty, 
{C 14.00, c0110} = Investor, 
{C 14.00, c0040} = Synthetic)</t>
  </si>
  <si>
    <t>{C 14.01, c0411} where 
({C 14.01, c0450} = empty, 
{C 14.00, c0110} = Investor, 
{C 14.01, c0430}/{C 14.01, c0411} ≤20%,
{C 14.00, c0040} = Synthetic,
{C 14.00, c0070} = securitisation)</t>
  </si>
  <si>
    <t>{C 14.01, c0411} where 
({C 14.01, c0450} = empty, 
{C 14.00, c0110} = Investor, 
{C 14.01, c0430}/{C 14.01, c0411} &gt;20% to 50%,
{C 14.00, c0040} = Synthetic,
{C 14.00, c0070} = securitisation)</t>
  </si>
  <si>
    <t>{C 14.01, c0411} where 
({C 14.01, c0450} = empty, 
{C 14.00, c0110} = Investor, 
{C 14.01, c0430}/{C 14.01, c0411} &gt;50% to 100%,
{C 14.00, c0040} = Synthetic,
{C 14.00, c0070} = securitisation)</t>
  </si>
  <si>
    <t>{C 14.01, c0411} where 
({C 14.01, c0450} = empty, 
{C 14.00, c0110} = Investor, 
{C 14.01, c0430}/{C 14.01, c0411} &gt;100% to &lt;1250%,
{C 14.00, c0040} = Synthetic,
{C 14.00, c0070} = securitisation)</t>
  </si>
  <si>
    <t>({C 14.01, c0411} where ({C 14.01, c0430}/{C 14.01, c0411} = 1250%) - {C 14.01, c0420}) where 
({C 14.01, c0450} = empty, 
{C 14.00, c0110} = Investor, 
{C 14.00, c0040} = Synthetic,
{C 14.00, c0070} = securitisation)</t>
  </si>
  <si>
    <t>{C 14.01, c0411, s(SEC-IRBA)} where 
({C 14.01, c0450} = empty, 
{C 14.00, c0110} = Investor, 
{C 14.00, c0040} = Synthetic,
{C 14.00, c0070} = securitisation)</t>
  </si>
  <si>
    <t>{C 14.01, c0411, s(SEC-ERBA)} where 
({C 14.01, c0450} = empty, 
{C 14.00, c0110} = Investor, 
{C 14.00, c0040} = Synthetic,
{C 14.00, c0070} = securitisation)</t>
  </si>
  <si>
    <t>{C 14.01, c0411, s(SEC-SA)} where 
({C 14.01, c0450} = empty, 
{C 14.00, c0110} = Investor, 
{C 14.00, c0040} = Synthetic,
{C 14.00, c0070} = securitisation)</t>
  </si>
  <si>
    <t>({C 14.01, c0411, s(1250%)} - {C 14.01, c0420}) where 
({C 14.01, c0450} = empty, 
{C 14.00, c0110} = Investor, 
{C 14.00, c0040} = Synthetic,
{C 14.00, c0070} = securitisation)</t>
  </si>
  <si>
    <t>{C 14.01, c0430, s(SEC-IRBA)} where 
({C 14.01, c0450} = empty, 
{C 14.00, c0110} = Investor, 
{C 14.00, c0040} = Synthetic,
{C 14.00, c0070} = securitisation)</t>
  </si>
  <si>
    <t>{C 14.01, c0430, s(SEC-ERBA)} where 
({C 14.01, c0450} = empty, 
{C 14.00, c0110} = Investor, 
{C 14.00, c0040} = Synthetic,
{C 14.00, c0070} = securitisation)</t>
  </si>
  <si>
    <t>{C 14.01, c0430, s(SEC-SA)} where 
({C 14.01, c0450} = empty, 
{C 14.00, c0110} = Investor, 
{C 14.00, c0040} = Synthetic,
{C 14.00, c0070} = securitisation)</t>
  </si>
  <si>
    <t>{C 14.01, c0430, s(1250%)} where 
({C 14.01, c0450} = empty, 
{C 14.00, c0110} = Investor, 
{C 14.00, c0040} = Synthetic,
{C 14.00, c0070} = securitisation)</t>
  </si>
  <si>
    <t>{C 14.01, c0440, s(SEC-IRBA)}*8% where 
({C 14.01, c0450} = empty, 
{C 14.00, c0110} = Investor, 
{C 14.00, c0040} = Synthetic,
{C 14.00, c0070} = securitisation)</t>
  </si>
  <si>
    <t>{C 14.01, c0440, s(SEC-ERBA)}*8% where 
({C 14.01, c0450} = empty, 
{C 14.00, c0110} = Investor, 
{C 14.00, c0040} = Synthetic,
{C 14.00, c0070} = securitisation)</t>
  </si>
  <si>
    <t>{C 14.01, c0440, s(SEC-SA)}*8% where 
({C 14.01, c0450} = empty, 
{C 14.00, c0110} = Investor, 
{C 14.00, c0040} = Synthetic,
{C 14.00, c0070} = securitisation)</t>
  </si>
  <si>
    <t>{C 14.01, c0440, s(1250%)}*8% where 
({C 14.01, c0450} = empty, 
{C 14.00, c0110} = Investor, 
{C 14.00, c0040} = Synthetic,
{C 14.00, c0070} = securitisation)</t>
  </si>
  <si>
    <t>{C 14.01, c0411} where 
({C 14.01, c0450} = empty, 
{C 14.00, c0110} = Investor, 
{C 14.01, c0430}/{C 14.01, c0411} ≤20%,
{C 14.00, c0040} = Synthetic,
{C 14.00, c0070} = securitisation,
{C 14.00, c0160} = Residential mortgages, Credit card receivables, Consumer loans, Loans to SMEs (treated as retail) and Other retail exposures)</t>
  </si>
  <si>
    <t>{C 14.01, c0411} where 
({C 14.01, c0450} = empty, 
{C 14.00, c0110} = Investor, 
{C 14.01, c0430}/{C 14.01, c0411} &gt;20% to 50%,
{C 14.00, c0040} = Synthetic,
{C 14.00, c0070} = securitisation,
{C 14.00, c0160} = Residential mortgages, Credit card receivables, Consumer loans, Loans to SMEs (treated as retail) and Other retail exposures)</t>
  </si>
  <si>
    <t>{C 14.01, c0411} where 
({C 14.01, c0450} = empty, 
{C 14.00, c0110} = Investor, 
{C 14.01, c0430}/{C 14.01, c0411} &gt;50% to 100%,
{C 14.00, c0040} = Synthetic,
{C 14.00, c0070} = securitisation,
{C 14.00, c0160} = Residential mortgages, Credit card receivables, Consumer loans, Loans to SMEs (treated as retail) and Other retail exposures)</t>
  </si>
  <si>
    <t>{C 14.01, c0411} where 
({C 14.01, c0450} = empty, 
{C 14.00, c0110} = Investor, 
{C 14.01, c0430}/{C 14.01, c0411} &gt;100% to &lt;1250%,
{C 14.00, c0040} = Synthetic,
{C 14.00, c0070} = securitisation,
{C 14.00, c0160} = Residential mortgages, Credit card receivables, Consumer loans, Loans to SMEs (treated as retail) and Other retail exposures)</t>
  </si>
  <si>
    <t>({C 14.01, c0411} where ({C 14.01, c0430}/{C 14.01, c0411} = 1250%) - {C 14.01, c0420}) where 
({C 14.01, c0450} = empty, 
{C 14.00, c0110} = Investor, 
{C 14.00, c0040} = Synthetic,
{C 14.00, c0070} = securitisation,
{C 14.00, c0160} = Residential mortgages, Credit card receivables, Consumer loans, Loans to SMEs (treated as retail) and Other retail exposures)</t>
  </si>
  <si>
    <t>{C 14.01, c0411, s(SEC-IRBA)} where 
({C 14.01, c0450} = empty, 
{C 14.00, c0110} = Investor, 
{C 14.00, c0040} = Synthetic,
{C 14.00, c0070} = securitisation,
{C 14.00, c0160} = Residential mortgages, Credit card receivables, Consumer loans, Loans to SMEs (treated as retail) and Other retail exposures)</t>
  </si>
  <si>
    <t>{C 14.01, c0411, s(SEC-ERBA)} where 
({C 14.01, c0450} = empty, 
{C 14.00, c0110} = Investor, 
{C 14.00, c0040} = Synthetic,
{C 14.00, c0070} = securitisation,
{C 14.00, c0160} = Residential mortgages, Credit card receivables, Consumer loans, Loans to SMEs (treated as retail) and Other retail exposures)</t>
  </si>
  <si>
    <t>{C 14.01, c0411, s(SEC-SA)} where 
({C 14.01, c0450} = empty, 
{C 14.00, c0110} = Investor, 
{C 14.00, c0040} = Synthetic,
{C 14.00, c0070} = securitisation,
{C 14.00, c0160} = Residential mortgages, Credit card receivables, Consumer loans, Loans to SMEs (treated as retail) and Other retail exposures)</t>
  </si>
  <si>
    <t>({C 14.01, c0411, s(1250%)} - {C 14.01, c0420}) where 
({C 14.01, c0450} = empty, 
{C 14.00, c0110} = Investor, 
{C 14.00, c0040} = Synthetic,
{C 14.00, c0070} = securitisation,
{C 14.00, c0160} = Residential mortgages, Credit card receivables, Consumer loans, Loans to SMEs (treated as retail) and Other retail exposures)</t>
  </si>
  <si>
    <t>{C 14.01, c0430, s(SEC-IRBA)} where 
({C 14.01, c0450} = empty, 
{C 14.00, c0110} = Investor, 
{C 14.00, c0040} = Synthetic,
{C 14.00, c0070} = securitisation,
{C 14.00, c0160} = Residential mortgages, Credit card receivables, Consumer loans, Loans to SMEs (treated as retail) and Other retail exposures)</t>
  </si>
  <si>
    <t>{C 14.01, c0430, s(SEC-ERBA)} where 
({C 14.01, c0450} = empty, 
{C 14.00, c0110} = Investor, 
{C 14.00, c0040} = Synthetic,
{C 14.00, c0070} = securitisation,
{C 14.00, c0160} = Residential mortgages, Credit card receivables, Consumer loans, Loans to SMEs (treated as retail) and Other retail exposures)</t>
  </si>
  <si>
    <t>{C 14.01, c0430, s(SEC-SA)} where 
({C 14.01, c0450} = empty, 
{C 14.00, c0110} = Investor, 
{C 14.00, c0040} = Synthetic,
{C 14.00, c0070} = securitisation,
{C 14.00, c0160} = Residential mortgages, Credit card receivables, Consumer loans, Loans to SMEs (treated as retail) and Other retail exposures)</t>
  </si>
  <si>
    <t>{C 14.01, c0430, s(1250%)} where 
({C 14.01, c0450} = empty, 
{C 14.00, c0110} = Investor, 
{C 14.00, c0040} = Synthetic,
{C 14.00, c0070} = securitisation,
{C 14.00, c0160} = Residential mortgages, Credit card receivables, Consumer loans, Loans to SMEs (treated as retail) and Other retail exposures)</t>
  </si>
  <si>
    <t>{C 14.01, c0440, s(SEC-IRBA)}*8% where 
({C 14.01, c0450} = empty, 
{C 14.00, c0110} = Investor, 
{C 14.00, c0040} = Synthetic,
{C 14.00, c0070} = securitisation,
{C 14.00, c0160} = Residential mortgages, Credit card receivables, Consumer loans, Loans to SMEs (treated as retail) and Other retail exposures)</t>
  </si>
  <si>
    <t>{C 14.01, c0440, s(SEC-ERBA)}*8% where 
({C 14.01, c0450} = empty, 
{C 14.00, c0110} = Investor, 
{C 14.00, c0040} = Synthetic,
{C 14.00, c0070} = securitisation,
{C 14.00, c0160} = Residential mortgages, Credit card receivables, Consumer loans, Loans to SMEs (treated as retail) and Other retail exposures)</t>
  </si>
  <si>
    <t>{C 14.01, c0440, s(SEC-SA)}*8% where 
({C 14.01, c0450} = empty, 
{C 14.00, c0110} = Investor, 
{C 14.00, c0040} = Synthetic,
{C 14.00, c0070} = securitisation,
{C 14.00, c0160} = Residential mortgages, Credit card receivables, Consumer loans, Loans to SMEs (treated as retail) and Other retail exposures)</t>
  </si>
  <si>
    <t>{C 14.01, c0440, s(1250%)}*8% where 
({C 14.01, c0450} = empty, 
{C 14.00, c0110} = Investor, 
{C 14.00, c0040} = Synthetic,
{C 14.00, c0070} = securitisation,
{C 14.00, c0160} = Residential mortgages, Credit card receivables, Consumer loans, Loans to SMEs (treated as retail) and Other retail exposures)</t>
  </si>
  <si>
    <t>{C 14.01, c0411} where 
({C 14.01, c0450} = empty, 
{C 14.00, c0110} = Investor, 
{C 14.01, c0430}/{C 14.01, c0411} ≤20%,
{C 14.00, c0040} = Synthetic,
{C 14.00, c0070} = securitisation,
{C 14.00, c0160} = Commercial mortgages, Leasing, Loans to corporates, Loans to SMEs (treated as corporates), Trade receivables and Other wholesale exposures)</t>
  </si>
  <si>
    <t>{C 14.01, c0411} where 
({C 14.01, c0450} = empty, 
{C 14.00, c0110} = Investor, 
{C 14.01, c0430}/{C 14.01, c0411} &gt;20% to 50%,
{C 14.00, c0040} = Synthetic,
{C 14.00, c0070} = securitisation,
{C 14.00, c0160} = Commercial mortgages, Leasing, Loans to corporates, Loans to SMEs (treated as corporates), Trade receivables and Other wholesale exposures)</t>
  </si>
  <si>
    <t>{C 14.01, c0411} where 
({C 14.01, c0450} = empty, 
{C 14.00, c0110} = Investor, 
{C 14.01, c0430}/{C 14.01, c0411} &gt;50% to 100%,
{C 14.00, c0040} = Synthetic,
{C 14.00, c0070} = securitisation,
{C 14.00, c0160} = Commercial mortgages, Leasing, Loans to corporates, Loans to SMEs (treated as corporates), Trade receivables and Other wholesale exposures)</t>
  </si>
  <si>
    <t>{C 14.01, c0411} where 
({C 14.01, c0450} = empty, 
{C 14.00, c0110} = Investor, 
{C 14.01, c0430}/{C 14.01, c0411} &gt;100% to &lt;1250%,
{C 14.00, c0040} = Synthetic,
{C 14.00, c0070} = securitisation,
{C 14.00, c0160} = Commercial mortgages, Leasing, Loans to corporates, Loans to SMEs (treated as corporates), Trade receivables and Other wholesale exposures)</t>
  </si>
  <si>
    <t>({C 14.01, c0411} where ({C 14.01, c0430}/{C 14.01, c0411} = 1250%) - {C 14.01, c0420}) where 
({C 14.01, c0450} = empty, 
{C 14.00, c0110} = Investor, 
{C 14.00, c0040} = Synthetic,
{C 14.00, c0070} = securitisation,
{C 14.00, c0160} = Commercial mortgages, Leasing, Loans to corporates, Loans to SMEs (treated as corporates), Trade receivables and Other wholesale exposures)</t>
  </si>
  <si>
    <t>{C 14.01, c0411, s(SEC-IRBA)} where 
({C 14.01, c0450} = empty, 
{C 14.00, c0110} = Investor,
{C 14.00, c0040} = Synthetic,
{C 14.00, c0070} = securitisation,
{C 14.00, c0160} = Commercial mortgages, Leasing, Loans to corporates, Loans to SMEs (treated as corporates), Trade receivables and Other wholesale exposures)</t>
  </si>
  <si>
    <t>{C 14.01, c0411, s(SEC-ERBA)} where 
({C 14.01, c0450} = empty, 
{C 14.00, c0110} = Investor,
{C 14.00, c0040} = Synthetic,
{C 14.00, c0070} = securitisation,
{C 14.00, c0160} = Commercial mortgages, Leasing, Loans to corporates, Loans to SMEs (treated as corporates), Trade receivables and Other wholesale exposures)</t>
  </si>
  <si>
    <t>{C 14.01, c0411, s(SEC-SA)} where 
({C 14.01, c0450} = empty, 
{C 14.00, c0110} = Investor,
{C 14.00, c0040} = Synthetic,
{C 14.00, c0070} = securitisation,
{C 14.00, c0160} = Commercial mortgages, Leasing, Loans to corporates, Loans to SMEs (treated as corporates), Trade receivables and Other wholesale exposures)</t>
  </si>
  <si>
    <t>({C 14.01, c0411, s(1250%)} - {C 14.01, c0420}) where 
({C 14.01, c0450} = empty, 
{C 14.00, c0110} = Investor, 
{C 14.00, c0040} = Synthetic,
{C 14.00, c0070} = securitisation,
{C 14.00, c0160} = Commercial mortgages, Leasing, Loans to corporates, Loans to SMEs (treated as corporates), Trade receivables and Other wholesale exposures)</t>
  </si>
  <si>
    <t>{C 14.01, c0430, s(SEC-IRBA)} where 
({C 14.01, c0450} = empty, 
{C 14.00, c0110} = Investor,
{C 14.00, c0040} = Synthetic,
{C 14.00, c0070} = securitisation,
{C 14.00, c0160} = Commercial mortgages, Leasing, Loans to corporates, Loans to SMEs (treated as corporates), Trade receivables and Other wholesale exposures)</t>
  </si>
  <si>
    <t>{C 14.01, c0430, s(SEC-ERBA)} where 
({C 14.01, c0450} = empty, 
{C 14.00, c0110} = Investor,
{C 14.00, c0040} = Synthetic,
{C 14.00, c0070} = securitisation,
{C 14.00, c0160} = Commercial mortgages, Leasing, Loans to corporates, Loans to SMEs (treated as corporates), Trade receivables and Other wholesale exposures)</t>
  </si>
  <si>
    <t>{C 14.01, c0430, s(SEC-SA)} where 
({C 14.01, c0450} = empty, 
{C 14.00, c0110} = Investor,
{C 14.00, c0040} = Synthetic,
{C 14.00, c0070} = securitisation,
{C 14.00, c0160} = Commercial mortgages, Leasing, Loans to corporates, Loans to SMEs (treated as corporates), Trade receivables and Other wholesale exposures)</t>
  </si>
  <si>
    <t>{C 14.01, c0430, s(1250%)} where 
({C 14.01, c0450} = empty, 
{C 14.00, c0110} = Investor,
{C 14.00, c0040} = Synthetic,
{C 14.00, c0070} = securitisation,
{C 14.00, c0160} = Commercial mortgages, Leasing, Loans to corporates, Loans to SMEs (treated as corporates), Trade receivables and Other wholesale exposures)</t>
  </si>
  <si>
    <t>{C 14.01, c0440, s(SEC-IRBA)}*8% where 
({C 14.01, c0450} = empty, 
{C 14.00, c0110} = Investor,
{C 14.00, c0040} = Synthetic,
{C 14.00, c0070} = securitisation,
{C 14.00, c0160} = Commercial mortgages, Leasing, Loans to corporates, Loans to SMEs (treated as corporates), Trade receivables and Other wholesale exposures)</t>
  </si>
  <si>
    <t>{C 14.01, c0440, s(SEC-ERBA)}*8% where 
({C 14.01, c0450} = empty, 
{C 14.00, c0110} = Investor,
{C 14.00, c0040} = Synthetic,
{C 14.00, c0070} = securitisation,
{C 14.00, c0160} = Commercial mortgages, Leasing, Loans to corporates, Loans to SMEs (treated as corporates), Trade receivables and Other wholesale exposures)</t>
  </si>
  <si>
    <t>{C 14.01, c0440, s(SEC-SA)}*8% where 
({C 14.01, c0450} = empty, 
{C 14.00, c0110} = Investor,
{C 14.00, c0040} = Synthetic,
{C 14.00, c0070} = securitisation,
{C 14.00, c0160} = Commercial mortgages, Leasing, Loans to corporates, Loans to SMEs (treated as corporates), Trade receivables and Other wholesale exposures)</t>
  </si>
  <si>
    <t>{C 14.01, c0440, s(1250%)}*8% where 
({C 14.01, c0450} = empty, 
{C 14.00, c0110} = Investor,
{C 14.00, c0040} = Synthetic,
{C 14.00, c0070} = securitisation,
{C 14.00, c0160} = Commercial mortgages, Leasing, Loans to corporates, Loans to SMEs (treated as corporates), Trade receivables and Other wholesale exposures)</t>
  </si>
  <si>
    <t>{C 14.01, c0411} where 
({C 14.01, c0450} = empty, 
{C 14.00, c0110} = Investor, 
{C 14.01, c0430}/{C 14.01, c0411} ≤20%,
{C 14.00, c0040} = Synthetic,
{C 14.00, c0070} = re-securitisation)</t>
  </si>
  <si>
    <t>{C 14.01, c0411} where 
({C 14.01, c0450} = empty, 
{C 14.00, c0110} = Investor, 
{C 14.01, c0430}/{C 14.01, c0411} &gt;20% to 50%,
{C 14.00, c0040} = Synthetic,
{C 14.00, c0070} = re-securitisation)</t>
  </si>
  <si>
    <t>{C 14.01, c0411} where 
({C 14.01, c0450} = empty, 
{C 14.00, c0110} = Investor, 
{C 14.01, c0430}/{C 14.01, c0411} &gt;50% to 100%,
{C 14.00, c0040} = Synthetic,
{C 14.00, c0070} = re-securitisation)</t>
  </si>
  <si>
    <t>{C 14.01, c0411} where 
({C 14.01, c0450} = empty, 
{C 14.00, c0110} = Investor, 
{C 14.01, c0430}/{C 14.01, c0411} &gt;100% to &lt;1250%,
{C 14.00, c0040} = Synthetic,
{C 14.00, c0070} = re-securitisation)</t>
  </si>
  <si>
    <t>({C 14.01, c0411} where ({C 14.01, c0430}/{C 14.01, c0411} = 1250%) - {C 14.01, c0420}) where 
({C 14.01, c0450} = empty, 
{C 14.00, c0110} = Investor, 
{C 14.00, c0040} = Synthetic,
{C 14.00, c0070} = re-securitisation)</t>
  </si>
  <si>
    <t>{C 14.01, c0411, s(SEC-IRBA)} where 
({C 14.01, c0450} = empty, 
{C 14.00, c0110} = Investor,
{C 14.00, c0040} = Synthetic,
{C 14.00, c0070} = re-securitisation)</t>
  </si>
  <si>
    <t>{C 14.01, c0411, s(SEC-ERBA)} where 
({C 14.01, c0450} = empty, 
{C 14.00, c0110} = Investor,
{C 14.00, c0040} = Synthetic,
{C 14.00, c0070} = re-securitisation)</t>
  </si>
  <si>
    <t>{C 14.01, c0411, s(SEC-SA)} where 
({C 14.01, c0450} = empty, 
{C 14.00, c0110} = Investor,
{C 14.00, c0040} = Synthetic,
{C 14.00, c0070} = re-securitisation)</t>
  </si>
  <si>
    <t>({C 14.01, c0411, s(1250%)} - {C 14.01, c0420}) where 
({C 14.01, c0450} = empty, 
{C 14.00, c0110} = Investor, 
{C 14.00, c0040} = Synthetic,
{C 14.00, c0070} = re-securitisation)</t>
  </si>
  <si>
    <t>{C 14.01, c0430, s(SEC-IRBA)} where 
({C 14.01, c0450} = empty, 
{C 14.00, c0110} = Investor,
{C 14.00, c0040} = Synthetic,
{C 14.00, c0070} = re-securitisation)</t>
  </si>
  <si>
    <t>{C 14.01, c0430, s(SEC-ERBA)} where 
({C 14.01, c0450} = empty, 
{C 14.00, c0110} = Investor,
{C 14.00, c0040} = Synthetic,
{C 14.00, c0070} = re-securitisation)</t>
  </si>
  <si>
    <t>{C 14.01, c0430, s(SEC-SA)} where 
({C 14.01, c0450} = empty, 
{C 14.00, c0110} = Investor,
{C 14.00, c0040} = Synthetic,
{C 14.00, c0070} = re-securitisation)</t>
  </si>
  <si>
    <t>{C 14.01, c0430, s(1250%)} where 
({C 14.01, c0450} = empty, 
{C 14.00, c0110} = Investor,
{C 14.00, c0040} = Synthetic,
{C 14.00, c0070} = re-securitisation)</t>
  </si>
  <si>
    <t>{C 14.01, c0440, s(SEC-IRBA)}*8% where 
({C 14.01, c0450} = empty, 
{C 14.00, c0110} = Investor,
{C 14.00, c0040} = Synthetic,
{C 14.00, c0070} = re-securitisation)</t>
  </si>
  <si>
    <t>{C 14.01, c0440, s(SEC-ERBA)}*8% where 
({C 14.01, c0450} = empty, 
{C 14.00, c0110} = Investor,
{C 14.00, c0040} = Synthetic,
{C 14.00, c0070} = re-securitisation)</t>
  </si>
  <si>
    <t>{C 14.01, c0440, s(SEC-SA)}*8% where 
({C 14.01, c0450} = empty, 
{C 14.00, c0110} = Investor,
{C 14.00, c0040} = Synthetic,
{C 14.00, c0070} = re-securitisation)</t>
  </si>
  <si>
    <t>{C 14.01, c0440, s(1250%)}*8% where 
({C 14.01, c0450} = empty, 
{C 14.00, c0110} = Investor,
{C 14.00, c0040} = Synthetic,
{C 14.00, c0070} = re-securitisation)</t>
  </si>
  <si>
    <t>Template EU-SEC5 - Exposures securitised by the institution - Exposures in default and specific credit risk adjustments</t>
  </si>
  <si>
    <t>Exposures securitised by the institution - Institution acts as originator or as sponsor</t>
  </si>
  <si>
    <t>Total outstanding nominal amount</t>
  </si>
  <si>
    <t>Total amount of specific credit risk adjustments made during the period</t>
  </si>
  <si>
    <t>Of which exposures in default</t>
  </si>
  <si>
    <t>{C 14.00, c0140} when  
{C 14.00, c0110} = Originator or Sponsor</t>
  </si>
  <si>
    <t>{C 14.00, c0140}*{C 14.00, c0181} when 
{C 14.00, c0110} = Originator or Sponsor</t>
  </si>
  <si>
    <t>{C 14.00, c0225} when 
{C 14.00, c0110} = Originator or Sponsor</t>
  </si>
  <si>
    <t>{C 14.00, c0140} when 
{C 14.00, c0110} = Originator or Sponsor, 
{C 14.00, c0160} = Residential mortgages, Credit card receivables, Consumer loans, Loans to SMEs (treated as retail) or Other retail exposures.</t>
  </si>
  <si>
    <t>{C 14.00, c0140}*{C 14.00, c0181} when 
{C 14.00, c0110} = Originator or Sponsor, 
{C 14.00, c0160} = Residential mortgages, Credit card receivables, Consumer loans, Loans to SMEs (treated as retail) or Other retail exposures.</t>
  </si>
  <si>
    <t>{C 14.00, c0225} when 
{C 14.00, c0110} = Originator or Sponsor, 
{C 14.00, c0160} = Residential mortgages, Credit card receivables, Consumer loans, Loans to SMEs (treated as retail) or Other retail exposures.</t>
  </si>
  <si>
    <t>{C 14.00, c0140} when 
{C 14.00, c0110} = Originator or Sponsor, 
{C 14.00, c0160} = Residential mortgages, 
{C 14.00, c0070} = securitisation</t>
  </si>
  <si>
    <t>{C 14.00, c0140}*{C 14.00, c0181} when 
{C 14.00, c0110} = Originator or Sponsor, 
{C 14.00, c0160} = Residential mortgages, 
{C 14.00, c0070} = securitisation</t>
  </si>
  <si>
    <t>{C 14.00, c0225} when 
{C 14.00, c0110} = Originator or Sponsor, 
{C 14.00, c0160} = Residential mortgages, 
{C 14.00, c0070} = securitisation</t>
  </si>
  <si>
    <t>{C 14.00, c0140} when 
{C 14.00, c0110} = Originator or Sponsor, 
{C 14.00, c0160} = Credit card receivables, 
{C 14.00, c0070} = securitisation</t>
  </si>
  <si>
    <t>{C 14.00, c0140}*{C 14.00, c0181} when 
{C 14.00, c0110} = Originator or Sponsor, 
{C 14.00, c0160} = Credit card receivables, 
{C 14.00, c0070} = securitisation</t>
  </si>
  <si>
    <t>{C 14.00, c0225} when 
{C 14.00, c0110} = Originator or Sponsor, 
{C 14.00, c0160} = Credit card receivables, 
{C 14.00, c0070} = securitisation</t>
  </si>
  <si>
    <t>{C 14.00, c0140} when 
{C 14.00, c0110} = Originator or Sponsor, 
{C 14.00, c0160} = Consumer loans, Loans to SMEs (treated as retail) or Other retail exposures, 
{C 14.00, c0070} = securitisation</t>
  </si>
  <si>
    <t>{C 14.00, c0140}*{C 14.00, c0181} when 
{C 14.00, c0110} = Originator or Sponsor, 
{C 14.00, c0160} = Consumer loans, Loans to SMEs (treated as retail) or Other retail exposures, 
{C 14.00, c0070} = securitisation</t>
  </si>
  <si>
    <t>{C 14.00, c0225} when 
{C 14.00, c0110} = Originator or Sponsor, 
{C 14.00, c0160} = Consumer loans, Loans to SMEs (treated as retail) or Other retail exposures, 
{C 14.00, c0070} = securitisation</t>
  </si>
  <si>
    <t>{C 14.00, c0140} when 
{C 14.00, c0110} = Originator or Sponsor, 
{C 14.00, c0160} = Residential mortgages, Credit card receivables, Consumer loans, Loans to SMEs (treated as retail) or Other retail exposures, 
{C 14.00, c0070} = re-securitisation</t>
  </si>
  <si>
    <t>{C 14.00, c0140}*{C 14.00, c0181} when 
{C 14.00, c0110} = Originator or Sponsor, 
{C 14.00, c0160} = Residential mortgages, Credit card receivables, Consumer loans, Loans to SMEs (treated as retail) or Other retail exposures, 
{C 14.00, c0070} = re-securitisation</t>
  </si>
  <si>
    <t>{C 14.00, c0225} when 
{C 14.00, c0110} = Originator or Sponsor, 
{C 14.00, c0160} = Residential mortgages, Credit card receivables, Consumer loans, Loans to SMEs (treated as retail) or Other retail exposures, 
{C 14.00, c0070} = re-securitisation</t>
  </si>
  <si>
    <t>{C 14.00, c0140} when 
{C 14.00, c0110} = Originator or Sponsor, 
{C 14.00, c0160} = Commercial mortgages, Leasing, Loans to corporates, Loans to SMEs (treated as corporates), Trade receivables or Other wholesale exposures.</t>
  </si>
  <si>
    <t>{C 14.00, c0140}*{C 14.00, c0181} when 
{C 14.00, c0110} = Originator or Sponsor, 
{C 14.00, c0160} = Commercial mortgages, Leasing, Loans to corporates, Loans to SMEs (treated as corporates), Trade receivables or Other wholesale exposures.</t>
  </si>
  <si>
    <t>{C 14.00, c0225} when 
{C 14.00, c0110} = Originator or Sponsor, 
{C 14.00, c0160} = Commercial mortgages, Leasing, Loans to corporates, Loans to SMEs (treated as corporates), Trade receivables or Other wholesale exposures.</t>
  </si>
  <si>
    <t>{C 14.00, c0140} when  
{C 14.00, c0110} = Originator or Sponsor, 
{C 14.00, c0160} = Loans to corporates or Loans to SMEs (treated as corporates),
{C 14.00, c0070} = securitisation</t>
  </si>
  <si>
    <t>{C 14.00, c0140}*{C 14.00, c0181} when 
{C 14.00, c0110} = Originator or Sponsor, 
{C 14.00, c0160} = Loans to corporates or Loans to SMEs (treated as corporates),
{C 14.00, c0070} = securitisation</t>
  </si>
  <si>
    <t>{C 14.00, c0225} when 
{C 14.00, c0110} = Originator or Sponsor, 
{C 14.00, c0160} = Loans to corporates or Loans to SMEs (treated as corporates),
{C 14.00, c0070} = securitisation</t>
  </si>
  <si>
    <t>{C 14.00, c0140} when 
{C 14.00, c0110} = Originator or Sponsor, 
{C 14.00, c0160} = Commercial mortgages,
{C 14.00, c0070} = securitisation</t>
  </si>
  <si>
    <t>{C 14.00, c0140}*{C 14.00, c0181} when 
{C 14.00, c0110} = Originator or Sponsor, 
{C 14.00, c0160} = Commercial mortgages,
{C 14.00, c0070} = securitisation</t>
  </si>
  <si>
    <t>{C 14.00, c0225} when 
{C 14.00, c0110} = Originator or Sponsor, 
{C 14.00, c0160} = Commercial mortgages,
{C 14.00, c0070} = securitisation</t>
  </si>
  <si>
    <t>{C 14.00, c0140} when 
{C 14.00, c0110} = Originator or Sponsor, 
{C 14.00, c0160} = Leasing or Trade receivables,
{C 14.00, c0070} = securitisation</t>
  </si>
  <si>
    <t>{C 14.00, c0140}*{C 14.00, c0181} when 
{C 14.00, c0110} = Originator or Sponsor, 
{C 14.00, c0160} = Leasing or Trade receivables,
{C 14.00, c0070} = securitisation</t>
  </si>
  <si>
    <t>{C 14.00, c0225} when 
{C 14.00, c0110} = Originator or Sponsor, 
{C 14.00, c0160} = Leasing or Trade receivables,
{C 14.00, c0070} = securitisation</t>
  </si>
  <si>
    <t>{C 14.00, c0140} when 
{C 14.00, c0110} = Originator or Sponsor, 
{C 14.00, c0160} = Other wholesale exposures,
{C 14.00, c0070} = securitisation</t>
  </si>
  <si>
    <t>{C 14.00, c0140}*{C 14.00, c0181} when 
{C 14.00, c0110} = Originator or Sponsor, 
{C 14.00, c0160} = Other wholesale exposures,
{C 14.00, c0070} = securitisation</t>
  </si>
  <si>
    <t>{C 14.00, c0225} when 
{C 14.00, c0110} = Originator or Sponsor, 
{C 14.00, c0160} = Other wholesale exposures,
{C 14.00, c0070} = securitisation</t>
  </si>
  <si>
    <t>{C 14.00, c0140} when 
{C 14.00, c0110} = Originator or Sponsor, 
{C 14.00, c0160} = Commercial mortgages, Leasing, Loans to corporates, Loans to SMEs (treated as corporates), Trade receivables or Other wholesale exposures, 
{C 14.00, c0070} = re-securitisation</t>
  </si>
  <si>
    <t>{C 14.00, c0140}*{C 14.00, c0181} when 
{C 14.00, c0110} = Originator or Sponsor, 
{C 14.00, c0160} = Commercial mortgages, Leasing, Loans to corporates, Loans to SMEs (treated as corporates), Trade receivables or Other wholesale exposures, 
{C 14.00, c0070} = re-securitisation</t>
  </si>
  <si>
    <t>{C 14.00, c0225} when 
{C 14.00, c0110} = Originator or Sponsor, 
{C 14.00, c0160} = Commercial mortgages, Leasing, Loans to corporates, Loans to SMEs (treated as corporates), Trade receivables or Other wholesale exposures, 
{C 14.00, c0070} = re-securitisation</t>
  </si>
  <si>
    <t>Template EU CQ1: Credit quality of forborne exposures</t>
  </si>
  <si>
    <t>Gross carrying amount/ Nominal amount of exposures with forbearance measures</t>
  </si>
  <si>
    <t>Collaterals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</si>
  <si>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</si>
  <si>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</si>
  <si>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</si>
  <si>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</si>
  <si>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</si>
  <si>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</si>
  <si>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</si>
  <si>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 xml:space="preserve">     Central banks</t>
  </si>
  <si>
    <t xml:space="preserve">     General governments</t>
  </si>
  <si>
    <t xml:space="preserve">     Credit institutions</t>
  </si>
  <si>
    <t xml:space="preserve">     Other financial corporations</t>
  </si>
  <si>
    <t xml:space="preserve">     Non-financial corporations</t>
  </si>
  <si>
    <t xml:space="preserve">     Households</t>
  </si>
  <si>
    <t>Loan commitments given</t>
  </si>
  <si>
    <t>Template EU CQ2: Quality of forbearance</t>
  </si>
  <si>
    <t>Gross carrying amount of forborne exposures</t>
  </si>
  <si>
    <t>Loans and advances that have been forborne more than twice</t>
  </si>
  <si>
    <t>{F 26.00, r0110, c0010}</t>
  </si>
  <si>
    <t>Non-performing forborne loans and advances that failed to meet the non-performing exit criteria</t>
  </si>
  <si>
    <t>{F 26.00, r0130, c0010}</t>
  </si>
  <si>
    <t>Template EU CQ3: Credit quality of performing and non-performing exposures by past due days</t>
  </si>
  <si>
    <t>Gross carrying amount / Nominal amount</t>
  </si>
  <si>
    <t>Not past due or Past due &lt; 30 days</t>
  </si>
  <si>
    <t>Past due &gt; 30 days &lt; 90 days</t>
  </si>
  <si>
    <t>Unlikely to pay that are not past-due or past-due &lt; = 90 days</t>
  </si>
  <si>
    <t>Past due &gt; 90 days &lt;= 180 days</t>
  </si>
  <si>
    <t>Past due &gt; 180 days &lt; =1 year</t>
  </si>
  <si>
    <t>Past due &gt; 1 year &lt;= 2 years</t>
  </si>
  <si>
    <t>Past due &gt; 2 year &lt;= 5 years</t>
  </si>
  <si>
    <t>Past due &gt; 5 year &lt;= 7 years</t>
  </si>
  <si>
    <t>Past due &gt; 7 years</t>
  </si>
  <si>
    <t xml:space="preserve">      Of which SMEs</t>
  </si>
  <si>
    <t>Template EU CQ4: Quality of non-performing exposures by geography </t>
  </si>
  <si>
    <t>Gross carrying/Nominal amount</t>
  </si>
  <si>
    <t>Accumulated impairment</t>
  </si>
  <si>
    <t>Accumulated negative changes in fair value due to credit risk on non-performing exposures</t>
  </si>
  <si>
    <t>of which: non-performing</t>
  </si>
  <si>
    <t>of which: subject to impairment</t>
  </si>
  <si>
    <t>of which: defaulted</t>
  </si>
  <si>
    <t>On balance sheet exposures</t>
  </si>
  <si>
    <t xml:space="preserve">{F 20.04, sum(r0080, r0140), c0010} - {F20.04, sum(r0080, r0140), c0011} </t>
  </si>
  <si>
    <t>{F 20.04, sum(r0080, r0140), c0025}</t>
  </si>
  <si>
    <t>{F 20.04, sum(r0080, r0140), c0026}</t>
  </si>
  <si>
    <t>{F 20.04, sum(r0080, r0140), c0012}</t>
  </si>
  <si>
    <t>{F 20.04, sum(r0080, r0140), c0031}</t>
  </si>
  <si>
    <t>{F 20.04, sum(r0080, r0140), c0040}</t>
  </si>
  <si>
    <t>Country 1</t>
  </si>
  <si>
    <t>Country 2</t>
  </si>
  <si>
    <t>Country 3</t>
  </si>
  <si>
    <t>Country 4</t>
  </si>
  <si>
    <t>Country N</t>
  </si>
  <si>
    <t>Other countries</t>
  </si>
  <si>
    <t>Off balance sheet exposures</t>
  </si>
  <si>
    <t>{F 20.05, sum(r0010, r0020, r0030), c0010}</t>
  </si>
  <si>
    <t>{F 20.05, sum(r0010, r0020, r0030), c0025}</t>
  </si>
  <si>
    <t>{F 20.05, sum(r0010, r0020, r0030), c0026}</t>
  </si>
  <si>
    <t>{F 20.05, sum(r0010, r0020, r0030), c0030}</t>
  </si>
  <si>
    <t>= {F 20.04, sum(r0080, r0140), c0010} - {F20.04, sum(r0080, r0140), c0011} + {F 20.05, sum(r0010, r0020, r0030), c0010}</t>
  </si>
  <si>
    <t>{F 20.04, sum(r0080, r0140), c0025} + {F 20.05, sum(r0010, r0020, r0030), c0025}</t>
  </si>
  <si>
    <t>{F 20.04, sum(r0080, r0140), c0026} + {F 20.05, sum(r0010, r0020, r0030), c0026}</t>
  </si>
  <si>
    <t>Template EU CQ5: Credit quality of loans and advances to non-financial corporations by industry</t>
  </si>
  <si>
    <t>of which: loans and advances subject to impairment</t>
  </si>
  <si>
    <t>Agriculture, forestry and fishing</t>
  </si>
  <si>
    <t xml:space="preserve"> {F 06.01, r0010, c0010}</t>
  </si>
  <si>
    <t xml:space="preserve"> {F 06.01, r0010, c0012}</t>
  </si>
  <si>
    <t xml:space="preserve"> {F 06.01, r0010, c0013}</t>
  </si>
  <si>
    <t xml:space="preserve"> {F 06.01, r0010, c0011}</t>
  </si>
  <si>
    <t xml:space="preserve"> {F 06.01, r0010, c0021}</t>
  </si>
  <si>
    <t xml:space="preserve"> {F 06.01, r0010, c0022}</t>
  </si>
  <si>
    <t>Mining and quarrying</t>
  </si>
  <si>
    <t xml:space="preserve"> {F 06.01, r0020, c0010}</t>
  </si>
  <si>
    <t xml:space="preserve"> {F 06.01, r0020, c0012}</t>
  </si>
  <si>
    <t xml:space="preserve"> {F 06.01, r0020, c0013}</t>
  </si>
  <si>
    <t xml:space="preserve"> {F 06.01, r0020, c0011}</t>
  </si>
  <si>
    <t xml:space="preserve"> {F 06.01, r0020, c0021}</t>
  </si>
  <si>
    <t xml:space="preserve"> {F 06.01, r0020, c0022}</t>
  </si>
  <si>
    <t>Manufacturing</t>
  </si>
  <si>
    <t xml:space="preserve"> {F 06.01, r0030, c0010}</t>
  </si>
  <si>
    <t xml:space="preserve"> {F 06.01, r0030, c0012}</t>
  </si>
  <si>
    <t xml:space="preserve"> {F 06.01, r0030, c0013}</t>
  </si>
  <si>
    <t xml:space="preserve"> {F 06.01, r0030, c0011}</t>
  </si>
  <si>
    <t xml:space="preserve"> {F 06.01, r0030, c0021}</t>
  </si>
  <si>
    <t xml:space="preserve"> {F 06.01, r0030, c0022}</t>
  </si>
  <si>
    <t>Electricity, gas, steam and air conditioning supply</t>
  </si>
  <si>
    <t xml:space="preserve"> {F 06.01, r0040, c0010}</t>
  </si>
  <si>
    <t xml:space="preserve"> {F 06.01, r0040, c0012}</t>
  </si>
  <si>
    <t xml:space="preserve"> {F 06.01, r0040, c0013}</t>
  </si>
  <si>
    <t xml:space="preserve"> {F 06.01, r0040, c0011}</t>
  </si>
  <si>
    <t xml:space="preserve"> {F 06.01, r0040, c0021}</t>
  </si>
  <si>
    <t xml:space="preserve"> {F 06.01, r0040, c0022}</t>
  </si>
  <si>
    <t>Water supply</t>
  </si>
  <si>
    <t xml:space="preserve"> {F 06.01, r0050, c0010}</t>
  </si>
  <si>
    <t xml:space="preserve"> {F 06.01, r0050, c0012}</t>
  </si>
  <si>
    <t xml:space="preserve"> {F 06.01, r0050, c0013}</t>
  </si>
  <si>
    <t xml:space="preserve"> {F 06.01, r0050, c0011}</t>
  </si>
  <si>
    <t xml:space="preserve"> {F 06.01, r0050, c0021}</t>
  </si>
  <si>
    <t xml:space="preserve"> {F 06.01, r0050, c0022}</t>
  </si>
  <si>
    <t>Construction</t>
  </si>
  <si>
    <t xml:space="preserve"> {F 06.01, r0060, c0010}</t>
  </si>
  <si>
    <t xml:space="preserve"> {F 06.01, r0060, c0012}</t>
  </si>
  <si>
    <t xml:space="preserve"> {F 06.01, r0060, c0013}</t>
  </si>
  <si>
    <t xml:space="preserve"> {F 06.01, r0060, c0011}</t>
  </si>
  <si>
    <t xml:space="preserve"> {F 06.01, r0060, c0021}</t>
  </si>
  <si>
    <t xml:space="preserve"> {F 06.01, r0060, c0022}</t>
  </si>
  <si>
    <t>Wholesale and retail trade</t>
  </si>
  <si>
    <t xml:space="preserve"> {F 06.01, r0070, c0010}</t>
  </si>
  <si>
    <t xml:space="preserve"> {F 06.01, r0070, c0012}</t>
  </si>
  <si>
    <t xml:space="preserve"> {F 06.01, r0070, c0013}</t>
  </si>
  <si>
    <t xml:space="preserve"> {F 06.01, r0070, c0011}</t>
  </si>
  <si>
    <t xml:space="preserve"> {F 06.01, r0070, c0021}</t>
  </si>
  <si>
    <t xml:space="preserve"> {F 06.01, r0070, c0022}</t>
  </si>
  <si>
    <t>Transport and storage</t>
  </si>
  <si>
    <t xml:space="preserve"> {F 06.01, r0080, c0010}</t>
  </si>
  <si>
    <t xml:space="preserve"> {F 06.01, r0080, c0012}</t>
  </si>
  <si>
    <t xml:space="preserve"> {F 06.01, r0080, c0013}</t>
  </si>
  <si>
    <t xml:space="preserve"> {F 06.01, r0080, c0011}</t>
  </si>
  <si>
    <t xml:space="preserve"> {F 06.01, r0080, c0021}</t>
  </si>
  <si>
    <t xml:space="preserve"> {F 06.01, r0080, c0022}</t>
  </si>
  <si>
    <t>Accommodation and food service activities</t>
  </si>
  <si>
    <t xml:space="preserve"> {F 06.01, r0090, c0010}</t>
  </si>
  <si>
    <t xml:space="preserve"> {F 06.01, r0090, c0012}</t>
  </si>
  <si>
    <t xml:space="preserve"> {F 06.01, r0090, c0013}</t>
  </si>
  <si>
    <t xml:space="preserve"> {F 06.01, r0090, c0011}</t>
  </si>
  <si>
    <t xml:space="preserve"> {F 06.01, r0090, c0021}</t>
  </si>
  <si>
    <t xml:space="preserve"> {F 06.01, r0090, c0022}</t>
  </si>
  <si>
    <t>Information and communication</t>
  </si>
  <si>
    <t xml:space="preserve"> {F 06.01, r0100, c0010}</t>
  </si>
  <si>
    <t xml:space="preserve"> {F 06.01, r0100, c0012}</t>
  </si>
  <si>
    <t xml:space="preserve"> {F 06.01, r0100, c0013}</t>
  </si>
  <si>
    <t xml:space="preserve"> {F 06.01, r0100, c0011}</t>
  </si>
  <si>
    <t xml:space="preserve"> {F 06.01, r0100, c0021}</t>
  </si>
  <si>
    <t xml:space="preserve"> {F 06.01, r0100, c0022}</t>
  </si>
  <si>
    <t>Real estate activities</t>
  </si>
  <si>
    <t xml:space="preserve"> {F 06.01, r0110, c0010}</t>
  </si>
  <si>
    <t xml:space="preserve"> {F 06.01, r0110, c0012}</t>
  </si>
  <si>
    <t xml:space="preserve"> {F 06.01, r0110, c0013}</t>
  </si>
  <si>
    <t xml:space="preserve"> {F 06.01, r0110, c0011}</t>
  </si>
  <si>
    <t xml:space="preserve"> {F 06.01, r0110, c0021}</t>
  </si>
  <si>
    <t xml:space="preserve"> {F 06.01, r0110, c0022}</t>
  </si>
  <si>
    <t>Financial and insurance actvities</t>
  </si>
  <si>
    <t xml:space="preserve"> {F 06.01, r0105, c0010}</t>
  </si>
  <si>
    <t xml:space="preserve"> {F 06.01, r0105, c0012}</t>
  </si>
  <si>
    <t xml:space="preserve"> {F 06.01, r0105, c0013}</t>
  </si>
  <si>
    <t xml:space="preserve"> {F 06.01, r0105, c0011}</t>
  </si>
  <si>
    <t xml:space="preserve"> {F 06.01, r0105, c0021}</t>
  </si>
  <si>
    <t xml:space="preserve"> {F 06.01, r0105, c0022}</t>
  </si>
  <si>
    <t>Professional, scientific and technical activities</t>
  </si>
  <si>
    <t xml:space="preserve"> {F 06.01, r0120, c0010}</t>
  </si>
  <si>
    <t xml:space="preserve"> {F 06.01, r0120, c0012}</t>
  </si>
  <si>
    <t xml:space="preserve"> {F 06.01, r0120, c0013}</t>
  </si>
  <si>
    <t xml:space="preserve"> {F 06.01, r0120, c0011}</t>
  </si>
  <si>
    <t xml:space="preserve"> {F 06.01, r0120, c0021}</t>
  </si>
  <si>
    <t xml:space="preserve"> {F 06.01, r0120, c0022}</t>
  </si>
  <si>
    <t>Administrative and support service activities</t>
  </si>
  <si>
    <t xml:space="preserve"> {F 06.01, r0130, c0010}</t>
  </si>
  <si>
    <t xml:space="preserve"> {F 06.01, r0130, c0012}</t>
  </si>
  <si>
    <t xml:space="preserve"> {F 06.01, r0130, c0013}</t>
  </si>
  <si>
    <t xml:space="preserve"> {F 06.01, r0130, c0011}</t>
  </si>
  <si>
    <t xml:space="preserve"> {F 06.01, r0130, c0021}</t>
  </si>
  <si>
    <t xml:space="preserve"> {F 06.01, r0130, c0022}</t>
  </si>
  <si>
    <t>Public administration and defense, compulsory social security</t>
  </si>
  <si>
    <t xml:space="preserve"> {F 06.01, r0140, c0010}</t>
  </si>
  <si>
    <t xml:space="preserve"> {F 06.01, r0140, c0012}</t>
  </si>
  <si>
    <t xml:space="preserve"> {F 06.01, r0140, c0013}</t>
  </si>
  <si>
    <t xml:space="preserve"> {F 06.01, r0140, c0011}</t>
  </si>
  <si>
    <t xml:space="preserve"> {F 06.01, r0140, c0021}</t>
  </si>
  <si>
    <t xml:space="preserve"> {F 06.01, r0140, c0022}</t>
  </si>
  <si>
    <t>Education</t>
  </si>
  <si>
    <t xml:space="preserve"> {F 06.01, r0150, c0010}</t>
  </si>
  <si>
    <t xml:space="preserve"> {F 06.01, r0150, c0012}</t>
  </si>
  <si>
    <t xml:space="preserve"> {F 06.01, r0150, c0013}</t>
  </si>
  <si>
    <t xml:space="preserve"> {F 06.01, r0150, c0011}</t>
  </si>
  <si>
    <t xml:space="preserve"> {F 06.01, r0150, c0021}</t>
  </si>
  <si>
    <t xml:space="preserve"> {F 06.01, r0150, c0022}</t>
  </si>
  <si>
    <t>Human health services and social work activities</t>
  </si>
  <si>
    <t xml:space="preserve"> {F 06.01, r0160, c0010}</t>
  </si>
  <si>
    <t xml:space="preserve"> {F 06.01, r0160, c0012}</t>
  </si>
  <si>
    <t xml:space="preserve"> {F 06.01, r0160, c0013}</t>
  </si>
  <si>
    <t xml:space="preserve"> {F 06.01, r0160, c0011}</t>
  </si>
  <si>
    <t xml:space="preserve"> {F 06.01, r0160, c0021}</t>
  </si>
  <si>
    <t xml:space="preserve"> {F 06.01, r0160, c0022}</t>
  </si>
  <si>
    <t>Arts, entertainment and recreation</t>
  </si>
  <si>
    <t xml:space="preserve"> {F 06.01, r0170, c0010}</t>
  </si>
  <si>
    <t xml:space="preserve"> {F 06.01, r0170, c0012}</t>
  </si>
  <si>
    <t xml:space="preserve"> {F 06.01, r0170, c0013}</t>
  </si>
  <si>
    <t xml:space="preserve"> {F 06.01, r0170, c0011}</t>
  </si>
  <si>
    <t xml:space="preserve"> {F 06.01, r0170, c0021}</t>
  </si>
  <si>
    <t xml:space="preserve"> {F 06.01, r0170, c0022}</t>
  </si>
  <si>
    <t>Other services</t>
  </si>
  <si>
    <t xml:space="preserve"> {F 06.01, r0180, c0010}</t>
  </si>
  <si>
    <t xml:space="preserve"> {F 06.01, r0180, c0012}</t>
  </si>
  <si>
    <t xml:space="preserve"> {F 06.01, r0180, c0013}</t>
  </si>
  <si>
    <t xml:space="preserve"> {F 06.01, r0180, c0011}</t>
  </si>
  <si>
    <t xml:space="preserve"> {F 06.01, r0180, c0021}</t>
  </si>
  <si>
    <t xml:space="preserve"> {F 06.01, r0180, c0022}</t>
  </si>
  <si>
    <t xml:space="preserve"> {F 06.01, r0190, c0010}</t>
  </si>
  <si>
    <t xml:space="preserve"> {F 06.01, r0190, c0012}</t>
  </si>
  <si>
    <t xml:space="preserve"> {F 06.01, r0190, c0013}</t>
  </si>
  <si>
    <t xml:space="preserve"> {F 06.01, r0190, c0011}</t>
  </si>
  <si>
    <t xml:space="preserve"> {F 06.01, r0190, c0021}</t>
  </si>
  <si>
    <t xml:space="preserve"> {F 06.01, r0190, c0022}</t>
  </si>
  <si>
    <t xml:space="preserve">Template EU CQ6: Collateral valuation - loans and advances </t>
  </si>
  <si>
    <t xml:space="preserve">  Loans and advances</t>
  </si>
  <si>
    <t xml:space="preserve">  Performing</t>
  </si>
  <si>
    <t xml:space="preserve">  Non Performing</t>
  </si>
  <si>
    <t>Unlikely to pay that are not past due or past due &lt;= 90 days</t>
  </si>
  <si>
    <t xml:space="preserve">  Past due &gt; 90 days</t>
  </si>
  <si>
    <r>
      <t xml:space="preserve">of which past due &gt; 30 days </t>
    </r>
    <r>
      <rPr>
        <sz val="8"/>
        <rFont val="Verdana"/>
        <family val="2"/>
      </rPr>
      <t>&lt;= 90 days</t>
    </r>
  </si>
  <si>
    <t>of which Past due &gt; 90 days &lt;= 180 days</t>
  </si>
  <si>
    <t>of which Past due &gt; 180 days &lt;= 1 year</t>
  </si>
  <si>
    <t>of which Past due &gt; 1 years &lt;=2 years</t>
  </si>
  <si>
    <t>of which Past due &gt; 2 years &lt;=5 years</t>
  </si>
  <si>
    <t>of which Past due &gt; 5 years &lt;=7 years</t>
  </si>
  <si>
    <t>of which Past due &gt; 7 years</t>
  </si>
  <si>
    <t xml:space="preserve"> {F 23.02, r0010, c0010} </t>
  </si>
  <si>
    <t xml:space="preserve"> {F 23.02, r0010, c0030} </t>
  </si>
  <si>
    <t xml:space="preserve"> {F 23.02, r0010, c0040} </t>
  </si>
  <si>
    <t xml:space="preserve"> {F 23.02, r0010, c0060} </t>
  </si>
  <si>
    <t xml:space="preserve"> {F 23.02, r0010, c0080} </t>
  </si>
  <si>
    <t xml:space="preserve"> {F 23.02, r0010, c0100} </t>
  </si>
  <si>
    <t xml:space="preserve"> {F 23.02, r0010, c0120} </t>
  </si>
  <si>
    <t xml:space="preserve"> {F 23.02, r0010, c0130} </t>
  </si>
  <si>
    <t xml:space="preserve"> {F 23.02, r0010, c0140} </t>
  </si>
  <si>
    <t xml:space="preserve"> {F 23.02, r0010, c0150} </t>
  </si>
  <si>
    <t xml:space="preserve"> {F 23.02, r0010, c0160} </t>
  </si>
  <si>
    <t xml:space="preserve"> {F 23.02, r0010, c0170} </t>
  </si>
  <si>
    <t xml:space="preserve">     Of which: secured</t>
  </si>
  <si>
    <t xml:space="preserve"> {F 23.02, r0010, c0010} - {F 23.02, r0290, c0010}</t>
  </si>
  <si>
    <t xml:space="preserve"> {F 23.02, r0010, c0030} - {F 23.02, r0290, c0030}</t>
  </si>
  <si>
    <t xml:space="preserve"> {F 23.02, r0010, c0040} - {F 23.02, r0290, c0040}</t>
  </si>
  <si>
    <t xml:space="preserve"> {F 23.02, r0010, c0060} - {F 23.02, r0290, c0060}</t>
  </si>
  <si>
    <t xml:space="preserve"> {F 23.02, r0010, c0080} - {F 23.02, r0290, c0080}</t>
  </si>
  <si>
    <t xml:space="preserve"> {F 23.02, r0010, c0100} - {F 23.02, r0290, c0100}</t>
  </si>
  <si>
    <t xml:space="preserve"> {F 23.02, r0010, c0120} - {F 23.02, r0290, c0120}</t>
  </si>
  <si>
    <t xml:space="preserve"> {F 23.02, r0010, c0130} - {F23.02, r0290, c0130}</t>
  </si>
  <si>
    <t xml:space="preserve"> {F 23.02, r0010, c0140} - {F23.02, r0290, c0140}</t>
  </si>
  <si>
    <t xml:space="preserve"> {F 23.02, r0010, c0150} - {F23.02, r0290, c0150}</t>
  </si>
  <si>
    <t xml:space="preserve"> {F 23.02, r0010, c0160} - {F23.02, r0290, c0160}</t>
  </si>
  <si>
    <t xml:space="preserve"> {F 23.02, r0010, c0170} - {F23.02, r0290, c0170}</t>
  </si>
  <si>
    <t xml:space="preserve">          Of which: secured with Immovable property</t>
  </si>
  <si>
    <t xml:space="preserve"> {F 23.03, r0010, c0010} </t>
  </si>
  <si>
    <t xml:space="preserve"> {F 23.03, r0010, c0030} </t>
  </si>
  <si>
    <t xml:space="preserve"> {F 23.03, r0010, c0040} </t>
  </si>
  <si>
    <t xml:space="preserve"> {F 23.03, r0010, c0060} </t>
  </si>
  <si>
    <t xml:space="preserve"> {F 23.03, r0010, c0080} </t>
  </si>
  <si>
    <t xml:space="preserve"> {F 23.03, r0010, c0100} </t>
  </si>
  <si>
    <t xml:space="preserve"> {F 23.03, r0010, c0120} </t>
  </si>
  <si>
    <t xml:space="preserve"> {F 23.03, r0010, c0130} </t>
  </si>
  <si>
    <t xml:space="preserve"> {F 23.03, r0010, c0140} </t>
  </si>
  <si>
    <t xml:space="preserve"> {F 23.03, r0010, c0150} </t>
  </si>
  <si>
    <t xml:space="preserve"> {F 23.03, r0010, c0160} </t>
  </si>
  <si>
    <t xml:space="preserve"> {F 23.03, r0010, c0170} </t>
  </si>
  <si>
    <t xml:space="preserve">               Of which: instruments</t>
  </si>
  <si>
    <t xml:space="preserve"> {F 23.03, r0020, c0010} </t>
  </si>
  <si>
    <t xml:space="preserve"> {F 23.03, r0020, c0030} </t>
  </si>
  <si>
    <t xml:space="preserve"> {F 23.03, r0020, c0060} </t>
  </si>
  <si>
    <t xml:space="preserve"> {F 23.03, r0020, c0080} </t>
  </si>
  <si>
    <t xml:space="preserve"> {F 23.03, r0020, c0100} </t>
  </si>
  <si>
    <t xml:space="preserve">               with LTV higher than</t>
  </si>
  <si>
    <t xml:space="preserve">               60% and lower or equal to 80%</t>
  </si>
  <si>
    <t xml:space="preserve"> {F 23.03, r0030, c0010} </t>
  </si>
  <si>
    <t xml:space="preserve"> {F 23.03, r0030, c0030} </t>
  </si>
  <si>
    <t xml:space="preserve"> {F 23.03, r0030, c0060} </t>
  </si>
  <si>
    <t xml:space="preserve"> {F 23.03, r0030, c0080} </t>
  </si>
  <si>
    <t xml:space="preserve"> {F 23.03, r0030, c0100} </t>
  </si>
  <si>
    <t xml:space="preserve">               with LTV higher than 80%</t>
  </si>
  <si>
    <t xml:space="preserve">               and lower or equal to 100%</t>
  </si>
  <si>
    <t xml:space="preserve"> {F 23.03, r0040, c0010} </t>
  </si>
  <si>
    <t xml:space="preserve"> {F 23.03, r0040, c0030} </t>
  </si>
  <si>
    <t xml:space="preserve"> {F 23.03, r0040, c0060} </t>
  </si>
  <si>
    <t xml:space="preserve"> {F 23.03, r0040, c0080} </t>
  </si>
  <si>
    <t xml:space="preserve"> {F 23.03, r0040, c0100} </t>
  </si>
  <si>
    <t xml:space="preserve">               with LTV higher than 100%</t>
  </si>
  <si>
    <t>Accumulated impairment for secured assets</t>
  </si>
  <si>
    <t xml:space="preserve"> {F 23.04, r0010, c0010} - {F 23.04, r0150, c0010}</t>
  </si>
  <si>
    <t xml:space="preserve"> {F 23.04, r0010, c0030} - {F 23.04, r0150, c0030}</t>
  </si>
  <si>
    <t xml:space="preserve"> {F 23.04, r0010, c0040} - {F 23.04, r0150, c0040}</t>
  </si>
  <si>
    <t xml:space="preserve"> {F 23.04, r0010, c0060} - {F 23.04, r0150, c0060}</t>
  </si>
  <si>
    <t xml:space="preserve"> {F 23.04, r0010, c0080} - {F 23.04, r0150, c0080}</t>
  </si>
  <si>
    <t xml:space="preserve"> {F 23.04, r0010, c0100} - {F 23.04, r0150, c0100}</t>
  </si>
  <si>
    <t xml:space="preserve"> {F 23.04, r0010, c0120} - {F 23.04, r0150, c0120}</t>
  </si>
  <si>
    <t xml:space="preserve"> {F 23.04, r0010, c0130} - {F23.04, r0150, c0130}</t>
  </si>
  <si>
    <t xml:space="preserve"> {F 23.04, r0010, c0140} - {F23.04, r0150, c0140}</t>
  </si>
  <si>
    <t xml:space="preserve"> {F 23.04, r0010, c0150} - {F23.04, r0150, c0150}</t>
  </si>
  <si>
    <t xml:space="preserve"> {F 23.04, r0010, c0160} - {F23.04, r0150, c0160}</t>
  </si>
  <si>
    <t xml:space="preserve"> {F 23.04, r0010, c0170} - {F23.04, r0150, c0170}</t>
  </si>
  <si>
    <t>Collateral</t>
  </si>
  <si>
    <t>Of which value capped at the value of exposure</t>
  </si>
  <si>
    <t xml:space="preserve"> {F 23.05, r0080, c0010} </t>
  </si>
  <si>
    <t xml:space="preserve"> {F 23.05, r0080, c0030} </t>
  </si>
  <si>
    <t xml:space="preserve"> {F 23.05, r0080, c0040} </t>
  </si>
  <si>
    <t xml:space="preserve"> {F 23.05, r0080, c0060} </t>
  </si>
  <si>
    <t xml:space="preserve"> {F 23.05, r0080, c0080} </t>
  </si>
  <si>
    <t xml:space="preserve"> {F 23.05, r0080, c0100} </t>
  </si>
  <si>
    <t xml:space="preserve"> {F 23.05, r0080, c0120} </t>
  </si>
  <si>
    <t xml:space="preserve"> {F 23.05, r0080, c0130} </t>
  </si>
  <si>
    <t xml:space="preserve"> {F 23.05, r0080, c0140} </t>
  </si>
  <si>
    <t xml:space="preserve"> {F 23.05, r0080, c0150} </t>
  </si>
  <si>
    <t xml:space="preserve"> {F 23.05, r0080, c0160} </t>
  </si>
  <si>
    <t xml:space="preserve"> {F 23.05, r0080, c0170} </t>
  </si>
  <si>
    <t>Of which: Immovable property</t>
  </si>
  <si>
    <t xml:space="preserve"> {F 23.05, r0150, c0010} </t>
  </si>
  <si>
    <t xml:space="preserve"> {F 23.05, r0150, c0030} </t>
  </si>
  <si>
    <t xml:space="preserve"> {F 23.05, r0150, c0040} </t>
  </si>
  <si>
    <t xml:space="preserve"> {F 23.05, r0150, c0060} </t>
  </si>
  <si>
    <t xml:space="preserve"> {F 23.05, r0150, c0080} </t>
  </si>
  <si>
    <t xml:space="preserve"> {F 23.05, r0150, c0100} </t>
  </si>
  <si>
    <t xml:space="preserve"> {F 23.05, r0150, c0120} </t>
  </si>
  <si>
    <t xml:space="preserve"> {F 23.05, r0150, c0130} </t>
  </si>
  <si>
    <t xml:space="preserve"> {F 23.05, r0150, c0140} </t>
  </si>
  <si>
    <t xml:space="preserve"> {F 23.05, r0150, c0150} </t>
  </si>
  <si>
    <t xml:space="preserve"> {F 23.05, r0150, c0160} </t>
  </si>
  <si>
    <t xml:space="preserve"> {F 23.05, r0150, c0170} </t>
  </si>
  <si>
    <t>Of which value above the cap</t>
  </si>
  <si>
    <t xml:space="preserve"> {F23.05, r0220, c0010} - {F 23.05, r0080, c0010} </t>
  </si>
  <si>
    <t xml:space="preserve"> {F23.05, r0220, c0030} -{F 23.05, r0080, c0030} </t>
  </si>
  <si>
    <t xml:space="preserve"> {F23.05, r0220, c0040} -{F 23.05, r0080, c0040} </t>
  </si>
  <si>
    <t xml:space="preserve"> {F23.05, r0220, c0060} -{F 23.05, r0080, c0060} </t>
  </si>
  <si>
    <t xml:space="preserve"> {F23.05, r0220, c0080} -{F 23.05, r0080, c0080} </t>
  </si>
  <si>
    <t xml:space="preserve"> {F23.05, r0220, c0100} -{F 23.05, r0080, c0100} </t>
  </si>
  <si>
    <t xml:space="preserve">{F23.05, r0230, c0010} - {F 23.05, r0150, c0010} </t>
  </si>
  <si>
    <t xml:space="preserve"> {F23.05, r0230, c0030} -{F 23.05, r0150, c0030} </t>
  </si>
  <si>
    <t xml:space="preserve"> {F23.05, r0230, c0040} -{F 23.05, r0150, c0040} </t>
  </si>
  <si>
    <t xml:space="preserve"> {F23.05, r0230, c0060} -{F 23.05, r0150, c0060} </t>
  </si>
  <si>
    <t xml:space="preserve"> {F23.05, r0230, c0080} -{F 23.05, r0150, c0080} </t>
  </si>
  <si>
    <t xml:space="preserve"> {F23.05, r0230, c0100} -{F 23.05, r0150, c0100} </t>
  </si>
  <si>
    <t>Financial guarantees received</t>
  </si>
  <si>
    <t xml:space="preserve"> {F 23.05, r0010, c0010} </t>
  </si>
  <si>
    <t xml:space="preserve"> {F 23.05, r0010, c0030} </t>
  </si>
  <si>
    <t xml:space="preserve"> {F 23.05, r0010, c0040} </t>
  </si>
  <si>
    <t xml:space="preserve"> {F 23.05, r0010, c0060} </t>
  </si>
  <si>
    <t xml:space="preserve"> {F 23.05, r0010, c0080} </t>
  </si>
  <si>
    <t xml:space="preserve"> {F 23.05, r0010, c0100} </t>
  </si>
  <si>
    <t xml:space="preserve"> {F 23.05, r0010, c0120} </t>
  </si>
  <si>
    <t xml:space="preserve"> {F 23.05, r0010, c0130} </t>
  </si>
  <si>
    <t xml:space="preserve"> {F 23.05, r0010, c0140} </t>
  </si>
  <si>
    <t xml:space="preserve"> {F 23.05, r0010, c0150} </t>
  </si>
  <si>
    <t xml:space="preserve"> {F 23.05, r0010, c0160} </t>
  </si>
  <si>
    <t xml:space="preserve"> {F 23.05, r0010, c0170} </t>
  </si>
  <si>
    <t>Accumulated partial write-off</t>
  </si>
  <si>
    <t xml:space="preserve"> {F 23.06, r0010, c0010} </t>
  </si>
  <si>
    <t xml:space="preserve"> {F 23.06, r0010, c0030} </t>
  </si>
  <si>
    <t xml:space="preserve"> {F 23.06, r0010, c0040} </t>
  </si>
  <si>
    <t xml:space="preserve"> {F 23.06, r0010, c0060} </t>
  </si>
  <si>
    <t xml:space="preserve"> {F 23.06, r0010, c0080} </t>
  </si>
  <si>
    <t xml:space="preserve"> {F 23.06, r0010, c0100} </t>
  </si>
  <si>
    <t xml:space="preserve"> {F 23.06, r0010, c0120} </t>
  </si>
  <si>
    <t xml:space="preserve"> {F 23.06, r0010, c0130} </t>
  </si>
  <si>
    <t xml:space="preserve"> {F 23.06, r0010, c0140} </t>
  </si>
  <si>
    <t xml:space="preserve"> {F 23.06, r0010, c0150} </t>
  </si>
  <si>
    <t xml:space="preserve"> {F 23.06, r0010, c0160} </t>
  </si>
  <si>
    <t xml:space="preserve"> {F 23.06, r0010, c0170} </t>
  </si>
  <si>
    <t xml:space="preserve">Template EU CQ7: Collateral obtained by taking possession and execution processes </t>
  </si>
  <si>
    <t>Value at initial recognition</t>
  </si>
  <si>
    <t>Accumulated negative changes</t>
  </si>
  <si>
    <t>Property Plant and Equipment (PP&amp;E)</t>
  </si>
  <si>
    <t xml:space="preserve">     Residential immovable property</t>
  </si>
  <si>
    <t xml:space="preserve">     Commercial Immovable property</t>
  </si>
  <si>
    <t xml:space="preserve">     Movable property (auto, shipping, etc.)</t>
  </si>
  <si>
    <t xml:space="preserve">     Equity and debt instruments</t>
  </si>
  <si>
    <t>Template EU CQ8: Collateral obtained by taking possession and execution processes – vintage breakdown</t>
  </si>
  <si>
    <t>Debt balance reduction</t>
  </si>
  <si>
    <t>Total collateral obtained by taking possession</t>
  </si>
  <si>
    <t>Foreclosed &lt;=2 years</t>
  </si>
  <si>
    <t>Foreclosed &gt;2 years &lt;=5 years</t>
  </si>
  <si>
    <t>Foreclosed &gt;5 years</t>
  </si>
  <si>
    <t>Of which: Non-current assets held-for-sale</t>
  </si>
  <si>
    <t>= {F 25.03, r0010, c0010}</t>
  </si>
  <si>
    <t>= {F 25.03, r0010, c0020}</t>
  </si>
  <si>
    <t>= {F 25.03, r0010, c0030}</t>
  </si>
  <si>
    <t>= {F 25.03, r0010, c0050}</t>
  </si>
  <si>
    <t xml:space="preserve">= {F 25.02, r0110, c0010} </t>
  </si>
  <si>
    <t xml:space="preserve">= {F 25.02, r0110, c0020} </t>
  </si>
  <si>
    <t xml:space="preserve">= {F 25.02, r0110, c0030} </t>
  </si>
  <si>
    <t xml:space="preserve">= {F 25.02, r0110, c0050} </t>
  </si>
  <si>
    <t xml:space="preserve">= {F 25.02, r0110, c0060} </t>
  </si>
  <si>
    <t xml:space="preserve">= {F 25.02, r0110, c0080} </t>
  </si>
  <si>
    <t xml:space="preserve">= {F 25.02, r0110, c0090} </t>
  </si>
  <si>
    <t xml:space="preserve">= {F 25.02, r0110, c0110} </t>
  </si>
  <si>
    <t xml:space="preserve">= {F 25.02, r0110, c0120} </t>
  </si>
  <si>
    <t xml:space="preserve">= {F 25.02, r0110, c0140} </t>
  </si>
  <si>
    <t xml:space="preserve">= {F 25.02, r0110, c0150} </t>
  </si>
  <si>
    <t xml:space="preserve">= {F 25.02, r0110, c0160} - '{F 25.02, r0110, c0150} </t>
  </si>
  <si>
    <t xml:space="preserve">     Residential immovable</t>
  </si>
  <si>
    <t xml:space="preserve">= {F 25.02, r0010, c0010} </t>
  </si>
  <si>
    <t xml:space="preserve">= {F 25.02, r0010, c0020} </t>
  </si>
  <si>
    <t xml:space="preserve">= {F 25.02, r0010, c0030} </t>
  </si>
  <si>
    <t xml:space="preserve">= {F 25.02, r0010, c0050} </t>
  </si>
  <si>
    <t xml:space="preserve">= {F 25.02, r0010, c0060} </t>
  </si>
  <si>
    <t xml:space="preserve">= {F 25.02, r0010, c0080} </t>
  </si>
  <si>
    <t xml:space="preserve">= {F 25.02, r0010, c0090} </t>
  </si>
  <si>
    <t xml:space="preserve">= {F 25.02, r0010, c0110} </t>
  </si>
  <si>
    <t xml:space="preserve">= {F 25.02, r0010, c0120} </t>
  </si>
  <si>
    <t xml:space="preserve">= {F 25.02, r0010, c0140} </t>
  </si>
  <si>
    <t xml:space="preserve">= {F 25.02, r0010, c0150} </t>
  </si>
  <si>
    <t xml:space="preserve">= {F 25.02, r0010, c0160} - '{F 25.02, r0010, c0150} </t>
  </si>
  <si>
    <t xml:space="preserve">     property</t>
  </si>
  <si>
    <t xml:space="preserve">     Commercial Immovable Property</t>
  </si>
  <si>
    <t xml:space="preserve">= {F 25.02, r0030, c0010} </t>
  </si>
  <si>
    <t xml:space="preserve">= {F 25.02, r0030, c0020} </t>
  </si>
  <si>
    <t xml:space="preserve">= {F 25.02, r0030, c0030} </t>
  </si>
  <si>
    <t xml:space="preserve">= {F 25.02, r0030, c0050} </t>
  </si>
  <si>
    <t xml:space="preserve">= {F 25.02, r0030, c0060} </t>
  </si>
  <si>
    <t xml:space="preserve">= {F 25.02, r0030, c0080} </t>
  </si>
  <si>
    <t xml:space="preserve">= {F 25.02, r0030, c0090} </t>
  </si>
  <si>
    <t xml:space="preserve">= {F 25.02, r0030, c0110} </t>
  </si>
  <si>
    <t xml:space="preserve">= {F 25.02, r0030, c0120} </t>
  </si>
  <si>
    <t xml:space="preserve">= {F 25.02, r0030, c0140} </t>
  </si>
  <si>
    <t xml:space="preserve">= {F 25.02, r0030, c0150} </t>
  </si>
  <si>
    <t xml:space="preserve">= {F 25.02, r0030, c0160} - '{F 25.02, r0030, c0150} </t>
  </si>
  <si>
    <t xml:space="preserve">     Movable property (auto,</t>
  </si>
  <si>
    <t xml:space="preserve">= {F 25.02, r0080, c0010} </t>
  </si>
  <si>
    <t xml:space="preserve">= {F 25.02, r0080, c0020} </t>
  </si>
  <si>
    <t xml:space="preserve">= {F 25.02, r0080, c0030} </t>
  </si>
  <si>
    <t xml:space="preserve">= {F 25.02, r0080, c0050} </t>
  </si>
  <si>
    <t xml:space="preserve">= {F 25.02, r0080, c0060} </t>
  </si>
  <si>
    <t xml:space="preserve">= {F 25.02, r0080, c0080} </t>
  </si>
  <si>
    <t xml:space="preserve">= {F 25.02, r0080, c0090} </t>
  </si>
  <si>
    <t xml:space="preserve">= {F 25.02, r0080, c0110} </t>
  </si>
  <si>
    <t xml:space="preserve">= {F 25.02, r0080, c0120} </t>
  </si>
  <si>
    <t xml:space="preserve">= {F 25.02, r0080, c0140} </t>
  </si>
  <si>
    <t xml:space="preserve">= {F 25.02, r0080, c0150} </t>
  </si>
  <si>
    <t xml:space="preserve">= {F 25.02, r0080, c0160} - '{F 25.02, r0080, c0150} </t>
  </si>
  <si>
    <t xml:space="preserve">     shipping, etc.)</t>
  </si>
  <si>
    <t xml:space="preserve">= {F 25.02, r0090, c0010} </t>
  </si>
  <si>
    <t xml:space="preserve">= {F 25.02, r0090, c0020} </t>
  </si>
  <si>
    <t xml:space="preserve">= {F 25.02, r0090, c0030} </t>
  </si>
  <si>
    <t xml:space="preserve">= {F 25.02, r0090, c0050} </t>
  </si>
  <si>
    <t xml:space="preserve">= {F 25.02, r0090, c0060} </t>
  </si>
  <si>
    <t xml:space="preserve">= {F 25.02, r0090, c0080} </t>
  </si>
  <si>
    <t xml:space="preserve">= {F 25.02, r0090, c0090} </t>
  </si>
  <si>
    <t xml:space="preserve">= {F 25.02, r0090, c0110} </t>
  </si>
  <si>
    <t xml:space="preserve">= {F 25.02, r0090, c0120} </t>
  </si>
  <si>
    <t xml:space="preserve">= {F 25.02, r0090, c0140} </t>
  </si>
  <si>
    <t xml:space="preserve">= {F 25.02, r0090, c0150} </t>
  </si>
  <si>
    <t xml:space="preserve">= {F 25.02, r0090, c0160} - '{F 25.02, r0090, c0150} </t>
  </si>
  <si>
    <t xml:space="preserve">= {F 25.02, r0100, c0010} </t>
  </si>
  <si>
    <t xml:space="preserve">= {F 25.02, r0100, c0020} </t>
  </si>
  <si>
    <t xml:space="preserve">= {F 25.02, r0100, c0030} </t>
  </si>
  <si>
    <t xml:space="preserve">= {F 25.02, r0100, c0050} </t>
  </si>
  <si>
    <t xml:space="preserve">= {F 25.02, r0100, c0060} </t>
  </si>
  <si>
    <t xml:space="preserve">= {F 25.02, r0100, c0080} </t>
  </si>
  <si>
    <t xml:space="preserve">= {F 25.02, r0100, c0090} </t>
  </si>
  <si>
    <t xml:space="preserve">= {F 25.02, r0100, c0110} </t>
  </si>
  <si>
    <t xml:space="preserve">= {F 25.02, r0100, c0120} </t>
  </si>
  <si>
    <t xml:space="preserve">= {F 25.02, r0100, c0140} </t>
  </si>
  <si>
    <t xml:space="preserve">= {F 25.02, r0100, c0150} </t>
  </si>
  <si>
    <t xml:space="preserve">= {F 25.02, r0100, c0160} - '{F 25.02, r0100, c0150} </t>
  </si>
  <si>
    <t>=c(a) [r1+r2]</t>
  </si>
  <si>
    <t>=c(b) [r1+r2]</t>
  </si>
  <si>
    <t>=c(c) [r1+r2]</t>
  </si>
  <si>
    <t>=c(d) [r1+r2]</t>
  </si>
  <si>
    <t>=c(e) [r1+r2]</t>
  </si>
  <si>
    <t>=c(f) [r1+r2]</t>
  </si>
  <si>
    <t>=c(g) [r1+r2]</t>
  </si>
  <si>
    <t>=c(h) [r1+r2]</t>
  </si>
  <si>
    <t>=c(i) [r1+r2]</t>
  </si>
  <si>
    <t>=c(j) [r1+r2]</t>
  </si>
  <si>
    <t>=c(k) [r1+r2]</t>
  </si>
  <si>
    <t>=c(l) [r1+r2]</t>
  </si>
  <si>
    <t xml:space="preserve"> Template EU OR1 - Operational risk own funds requirements and risk-weighted exposure amounts</t>
  </si>
  <si>
    <t>Banking activities</t>
  </si>
  <si>
    <t>Relevant indicator</t>
  </si>
  <si>
    <t>Own funds requirements</t>
  </si>
  <si>
    <t>Risk exposure amount</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</si>
  <si>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</si>
  <si>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</si>
  <si>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</si>
  <si>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</si>
  <si>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</si>
  <si>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</si>
  <si>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</si>
  <si>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</si>
  <si>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Template EU MR1 - Market risk under the standardised approach</t>
  </si>
  <si>
    <t>RWEAs</t>
  </si>
  <si>
    <t>Outright products</t>
  </si>
  <si>
    <t>Interest rate risk (general and specific)</t>
  </si>
  <si>
    <t xml:space="preserve"> [{C 18.00, r0010, c0060, s0001} - {C 18.00, r0325, c0060, s0001} - {C 18.00, r0330, c0060, s0001} - {C 18.00, r0350, c0060, s0001}] *12.5 + {C 02.00, r0556, c0010}</t>
  </si>
  <si>
    <t>Equity risk (general and specific)</t>
  </si>
  <si>
    <t>[{C 21.00, r0010, c0060, s0001} - {C 21.00, r0090, c0060, s0001}]*12.5 + {C 02.00, r0557, c0010}</t>
  </si>
  <si>
    <t>Foreign exchange risk</t>
  </si>
  <si>
    <t>[{C 22.00, r0010, c0090} - {C 22.00, r0050, c0090}]*12.5</t>
  </si>
  <si>
    <t xml:space="preserve">Commodity risk </t>
  </si>
  <si>
    <t>[{C 23.00, r0010, c0060} - {C 23.00, r0100, c0060}]*12.5</t>
  </si>
  <si>
    <t>Options</t>
  </si>
  <si>
    <t>Simplified approach</t>
  </si>
  <si>
    <t>[{C 18.00, r0360, c0060, s0001} + {C 21.00, r0100, c0060, s0001} + {C 22.00, r0060, c0090} + {C 23.00, r0110, c0060}]*12.5</t>
  </si>
  <si>
    <t>Delta-plus approach</t>
  </si>
  <si>
    <t>[{C 18.00, r0370, c0060, s0001} + {C 18.00, r0380, c0060, s0001} + {C 18.00, r0385, c0060, s0001} + {C 21.00, r0110, c0060, s0001} + {C 21.00, r0120, c0060, s0001} + {C 21.00, r0125, c0060, s0001} + {C 22.00, r0070, c0090} +{C 22.00, r0080, c0090} + {C 22.00, r0085, c0090} + {C 23.00, r0120, c0060} + {C 23.00, r0130, c0060} + {C 23.00, r0135, c0060}]*12.5</t>
  </si>
  <si>
    <t>Scenario approach</t>
  </si>
  <si>
    <t>[{C 18.00, r0390, c0060, s0001} + {C 21.00, r0130, c0060, s0001} + {C 22.00, r0090, c0090} + {C 23.00, r0140, c0060}]*12.5</t>
  </si>
  <si>
    <r>
      <t xml:space="preserve">Securitisation </t>
    </r>
    <r>
      <rPr>
        <sz val="10"/>
        <color theme="1"/>
        <rFont val="Arial"/>
        <family val="2"/>
      </rPr>
      <t>(specific risk)</t>
    </r>
  </si>
  <si>
    <t>[{C 18.00, r0330, c0060, s0001} + {C 18.00, r0325, c0060, s0001}]*12,5</t>
  </si>
  <si>
    <t>{C 02.00, r0530, c0010} OR sum of rows 1 to 8</t>
  </si>
  <si>
    <t>Template EU MR2-A - Market risk under the internal Model Approach (IMA)</t>
  </si>
  <si>
    <r>
      <t>RW</t>
    </r>
    <r>
      <rPr>
        <sz val="10"/>
        <color rgb="FF00B050"/>
        <rFont val="Arial"/>
        <family val="2"/>
      </rPr>
      <t>E</t>
    </r>
    <r>
      <rPr>
        <sz val="10"/>
        <color theme="1"/>
        <rFont val="Arial"/>
        <family val="2"/>
      </rPr>
      <t>As</t>
    </r>
  </si>
  <si>
    <r>
      <t>VaR</t>
    </r>
    <r>
      <rPr>
        <sz val="10"/>
        <color theme="1"/>
        <rFont val="Arial"/>
        <family val="2"/>
      </rPr>
      <t xml:space="preserve"> (higher of values a and b)</t>
    </r>
  </si>
  <si>
    <t>[column b]*12.5</t>
  </si>
  <si>
    <t>max([row 1(a)], [row 1(b)])</t>
  </si>
  <si>
    <t>(a)</t>
  </si>
  <si>
    <r>
      <t>Previous day’s VaR (VaR</t>
    </r>
    <r>
      <rPr>
        <sz val="8"/>
        <color theme="1"/>
        <rFont val="Arial"/>
        <family val="2"/>
      </rPr>
      <t>t-1</t>
    </r>
    <r>
      <rPr>
        <sz val="10"/>
        <color theme="1"/>
        <rFont val="Arial"/>
        <family val="2"/>
      </rPr>
      <t xml:space="preserve">) </t>
    </r>
  </si>
  <si>
    <t>{C 24.00, r0010, c0040}</t>
  </si>
  <si>
    <t>Multiplication factor (mc)  x average of previous 60 working days (VaRavg)</t>
  </si>
  <si>
    <t>{C 24.00, r0010, c0030}</t>
  </si>
  <si>
    <r>
      <t xml:space="preserve">SVaR </t>
    </r>
    <r>
      <rPr>
        <sz val="10"/>
        <color theme="1"/>
        <rFont val="Arial"/>
        <family val="2"/>
      </rPr>
      <t>(higher of values a and b)</t>
    </r>
  </si>
  <si>
    <t>max([row 2(a)], [row 2(b)])</t>
  </si>
  <si>
    <r>
      <t>Latest available SVaR (SVaR</t>
    </r>
    <r>
      <rPr>
        <sz val="8"/>
        <color theme="1"/>
        <rFont val="Arial"/>
        <family val="2"/>
      </rPr>
      <t>t-1</t>
    </r>
    <r>
      <rPr>
        <sz val="10"/>
        <color theme="1"/>
        <rFont val="Arial"/>
        <family val="2"/>
      </rPr>
      <t>))</t>
    </r>
  </si>
  <si>
    <t>{C 24.00, r0010, c0060}</t>
  </si>
  <si>
    <r>
      <t>Multiplication factor (ms)  x average of previous 60 working days (sVaR</t>
    </r>
    <r>
      <rPr>
        <sz val="8"/>
        <color theme="1"/>
        <rFont val="Arial"/>
        <family val="2"/>
      </rPr>
      <t>avg</t>
    </r>
    <r>
      <rPr>
        <sz val="10"/>
        <color theme="1"/>
        <rFont val="Arial"/>
        <family val="2"/>
      </rPr>
      <t>)</t>
    </r>
  </si>
  <si>
    <t>{C 24.00, r0010, c0050}</t>
  </si>
  <si>
    <r>
      <t xml:space="preserve">IRC </t>
    </r>
    <r>
      <rPr>
        <sz val="10"/>
        <color theme="1"/>
        <rFont val="Arial"/>
        <family val="2"/>
      </rPr>
      <t>(higher of values a and b)</t>
    </r>
  </si>
  <si>
    <t>max([row 3(a)], [row 3(b)])</t>
  </si>
  <si>
    <t>Most recent IRC measure</t>
  </si>
  <si>
    <t>{C 24.00, r0010, c0080}</t>
  </si>
  <si>
    <t>12 weeks average IRC measure</t>
  </si>
  <si>
    <t>{C 24.00, r0010, c0070}</t>
  </si>
  <si>
    <r>
      <rPr>
        <b/>
        <sz val="10"/>
        <color theme="1"/>
        <rFont val="Arial"/>
        <family val="2"/>
      </rPr>
      <t xml:space="preserve">Comprehensive risk measure </t>
    </r>
    <r>
      <rPr>
        <sz val="10"/>
        <color theme="1"/>
        <rFont val="Arial"/>
        <family val="2"/>
      </rPr>
      <t>(higher of values a, b and c)</t>
    </r>
  </si>
  <si>
    <t>max([row 4(a)], [row 4(b)], [row 4(c)])</t>
  </si>
  <si>
    <t>Most recent risk measure of comprehensive risk measure</t>
  </si>
  <si>
    <t>{C 24.00, r0010, c0110}</t>
  </si>
  <si>
    <t>12 weeks average of comprehensive risk measure</t>
  </si>
  <si>
    <t>{C 24.00, r0010, c0100}</t>
  </si>
  <si>
    <t>(c)</t>
  </si>
  <si>
    <r>
      <t xml:space="preserve">Comprehensive risk measure </t>
    </r>
    <r>
      <rPr>
        <sz val="10"/>
        <color rgb="FF00B050"/>
        <rFont val="Arial"/>
        <family val="2"/>
      </rPr>
      <t xml:space="preserve">- </t>
    </r>
    <r>
      <rPr>
        <sz val="10"/>
        <color theme="1"/>
        <rFont val="Arial"/>
        <family val="2"/>
      </rPr>
      <t>Floor</t>
    </r>
  </si>
  <si>
    <t>{C 24.00, r0010, c0090}</t>
  </si>
  <si>
    <t xml:space="preserve">Other </t>
  </si>
  <si>
    <t>row 1 + row 2 + row 3 + row 4 + row 5</t>
  </si>
  <si>
    <t>Template EU MR2-B - RWA flow statements of market risk exposures under the IMA</t>
  </si>
  <si>
    <t>VaR</t>
  </si>
  <si>
    <t>SVaR</t>
  </si>
  <si>
    <t>IRC</t>
  </si>
  <si>
    <t>Comprehensive risk measure</t>
  </si>
  <si>
    <t>Total RWAs</t>
  </si>
  <si>
    <r>
      <t>RW</t>
    </r>
    <r>
      <rPr>
        <b/>
        <sz val="10"/>
        <color rgb="FF00B050"/>
        <rFont val="Arial"/>
        <family val="2"/>
      </rPr>
      <t>E</t>
    </r>
    <r>
      <rPr>
        <b/>
        <sz val="10"/>
        <color rgb="FF000000"/>
        <rFont val="Arial"/>
        <family val="2"/>
      </rPr>
      <t xml:space="preserve">As at previous period end </t>
    </r>
  </si>
  <si>
    <t>max({C 24.00, r0010, c0040}*12.5, {C 24.00, r0010, c0030}*12.5)
Data as of the preceding reference date</t>
  </si>
  <si>
    <t>max({C 24.00, r0010, c0060}*12.5, {C 24.00, r0010, c0050}*12.5)
Data as of the preceding reference date</t>
  </si>
  <si>
    <t>max({C 24.00, r0010, c0080}*12.5, {C 24.00, r0010, c0070}*12.5)
Data as of the preceding reference date</t>
  </si>
  <si>
    <t>max({C 24.00, r0010, c0110}*12.5, 
{C 24.00, r0010, c0100}*12.5, 
{C 24.00, r0010, c0090}*12.5)
Data as of the preceding reference date</t>
  </si>
  <si>
    <t>Column a + Column b + column c+ Column d+ Column e</t>
  </si>
  <si>
    <t>Column f * 8%</t>
  </si>
  <si>
    <t>1a</t>
  </si>
  <si>
    <t>Regulatory adjustment</t>
  </si>
  <si>
    <t>min([{C 24.00, r0010, c0040}*12.5 - {C 24.00, r0010, c0030}*12.5], 0)
Data as of the preceding reference date</t>
  </si>
  <si>
    <t>min([{C 24.00, r0010, c0060}*12.5 - {C 24.00, r0010, c0050}*12.5], 0)
Data as of the preceding reference date</t>
  </si>
  <si>
    <t>min([{C 24.00, r0010, c0080}*12.5 - {C 24.00, r0010, c0070}*12.5], 0)
Data as of the preceding reference date</t>
  </si>
  <si>
    <t>min([{C 24.00, r0010, c0110}*12.5 - max({C 24.00, r0010, c0100}*12.5, {C 24.00, r0010, c0090}*12.5)], 0]
Data as of the preceding reference date</t>
  </si>
  <si>
    <t>1b</t>
  </si>
  <si>
    <r>
      <t>RW</t>
    </r>
    <r>
      <rPr>
        <i/>
        <sz val="10"/>
        <color rgb="FF00B050"/>
        <rFont val="Arial"/>
        <family val="2"/>
      </rPr>
      <t>E</t>
    </r>
    <r>
      <rPr>
        <i/>
        <sz val="10"/>
        <color theme="1"/>
        <rFont val="Arial"/>
        <family val="2"/>
      </rPr>
      <t xml:space="preserve">As at the previous quarter-end (end of the day) </t>
    </r>
  </si>
  <si>
    <t>{C 24.00, r0010, c0040}*12.5
Data as of the preceding reference date</t>
  </si>
  <si>
    <t>{C 24.00, r0010, c0060}*12.5
Data as of the preceding reference date</t>
  </si>
  <si>
    <t>{C 24.00, r0010, c0080}*12.5
Data as of the preceding reference date</t>
  </si>
  <si>
    <t>{C 24.00, r0010, c0110}*12.5
Data as of the preceding reference date</t>
  </si>
  <si>
    <t xml:space="preserve">Movement in risk levels </t>
  </si>
  <si>
    <t xml:space="preserve">Model updates/changes </t>
  </si>
  <si>
    <t>Methodology and policy</t>
  </si>
  <si>
    <t xml:space="preserve">Acquisitions and disposals </t>
  </si>
  <si>
    <t xml:space="preserve">Foreign exchange movements </t>
  </si>
  <si>
    <t>8a</t>
  </si>
  <si>
    <r>
      <t>RW</t>
    </r>
    <r>
      <rPr>
        <i/>
        <sz val="10"/>
        <color rgb="FF00B050"/>
        <rFont val="Arial"/>
        <family val="2"/>
      </rPr>
      <t>E</t>
    </r>
    <r>
      <rPr>
        <i/>
        <sz val="10"/>
        <color theme="1"/>
        <rFont val="Arial"/>
        <family val="2"/>
      </rPr>
      <t xml:space="preserve">As at the end of the reporting period (end of the day) </t>
    </r>
  </si>
  <si>
    <t>{C 24.00, r0010, c0040}*12.5</t>
  </si>
  <si>
    <t>{C 24.00, r0010, c0060}*12.5</t>
  </si>
  <si>
    <t>{C 24.00, r0010, c0080}*12.5</t>
  </si>
  <si>
    <t>{C 24.00, r0010, c0110}*12.5</t>
  </si>
  <si>
    <t>8b</t>
  </si>
  <si>
    <t>max([{C 24.00, r0010, c0030}*12.5 - {C 24.00, r0010, c0040}*12.5], 0)</t>
  </si>
  <si>
    <t>max([{C 24.00, r0010, c0050}*12.5 - {C 24.00, r0010, c0060}*12.5], 0)</t>
  </si>
  <si>
    <t>max([{C 24.00, r0010, c0070}*12.5 - {C 24.00, r0010, c0080}*12.5], 0)</t>
  </si>
  <si>
    <t>max([max({C 24.00, r0010, c0100}*12.5, {C 24.00, r0010, c0090}*12.5) - {C 24.00, r0010, c0110}*12.5], 0]</t>
  </si>
  <si>
    <r>
      <t>RW</t>
    </r>
    <r>
      <rPr>
        <b/>
        <sz val="10"/>
        <color rgb="FF00B050"/>
        <rFont val="Arial"/>
        <family val="2"/>
      </rPr>
      <t>E</t>
    </r>
    <r>
      <rPr>
        <b/>
        <sz val="10"/>
        <color rgb="FF000000"/>
        <rFont val="Arial"/>
        <family val="2"/>
      </rPr>
      <t xml:space="preserve">As at the end of the reporting period </t>
    </r>
  </si>
  <si>
    <t>max({C 24.00, r0010, c0040}*12.5, {C 24.00, r0010, c0030}*12.5)</t>
  </si>
  <si>
    <t>max({C 24.00, r0010, c0060}*12.5, {C 24.00, r0010, c0050}*12.5)</t>
  </si>
  <si>
    <t>max({C 24.00, r0010, c0080}*12.5, {C 24.00, r0010, c0070}*12.5)</t>
  </si>
  <si>
    <t>max({C 24.00, r0010, c0110}*12.5, 
{C 24.00, r0010, c0100}*12.5, 
{C 24.00, r0010, c0090}*12.5)</t>
  </si>
  <si>
    <t>Template EU MR3 - IMA values for trading portfolios</t>
  </si>
  <si>
    <t xml:space="preserve">VaR (10 day 99%) </t>
  </si>
  <si>
    <t>Maximum value</t>
  </si>
  <si>
    <t>Average value</t>
  </si>
  <si>
    <t xml:space="preserve">Minimum value </t>
  </si>
  <si>
    <t>Period end</t>
  </si>
  <si>
    <t>SVaR (10 day 99%)</t>
  </si>
  <si>
    <t xml:space="preserve">{C 24.00, r0010, c0060} </t>
  </si>
  <si>
    <t>IRC (99.9%)</t>
  </si>
  <si>
    <t xml:space="preserve">Comprehensive risk measure (99.9%) </t>
  </si>
  <si>
    <t>Template EU LR1 - LRSum: Summary reconciliation of accounting assets and leverage ratio exposures</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</si>
  <si>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</si>
  <si>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</si>
  <si>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</si>
  <si>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</si>
  <si>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</si>
  <si>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</si>
  <si>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</si>
  <si>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</si>
  <si>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</si>
  <si>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</si>
  <si>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</si>
  <si>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</si>
  <si>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</si>
  <si>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 of Article 429a(1) CRR)</t>
  </si>
  <si>
    <t>EU-11b</t>
  </si>
  <si>
    <t>(Adjustment for exposures excluded from the total exposure measure in accordance with point (j) of Article 429a(1) CRR)</t>
  </si>
  <si>
    <t>Other adjustments</t>
  </si>
  <si>
    <t>Template EU LR2 - LRCom: Leverage ratio common disclosure</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</si>
  <si>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</si>
  <si>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</si>
  <si>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</si>
  <si>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</si>
  <si>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</si>
  <si>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</si>
  <si>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</si>
  <si>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</si>
  <si>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</si>
  <si>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</si>
  <si>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</si>
  <si>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</si>
  <si>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</si>
  <si>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</si>
  <si>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</si>
  <si>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</si>
  <si>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</si>
  <si>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</si>
  <si>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</si>
  <si>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</si>
  <si>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</si>
  <si>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</si>
  <si>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</si>
  <si>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</si>
  <si>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</si>
  <si>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</si>
  <si>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</si>
  <si>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</si>
  <si>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</si>
  <si>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</si>
  <si>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 xml:space="preserve">Derogation for SFTs: Counterparty credit risk exposure in accordance with Articles 429e(5) and 222 CRR </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</si>
  <si>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</si>
  <si>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</si>
  <si>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</si>
  <si>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</si>
  <si>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</si>
  <si>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</si>
  <si>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</si>
  <si>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with off-balance sheet exposures)</t>
  </si>
  <si>
    <r>
      <t xml:space="preserve">Excluded exposures </t>
    </r>
    <r>
      <rPr>
        <b/>
        <strike/>
        <sz val="11"/>
        <color rgb="FFFF0000"/>
        <rFont val="SpareBank 1"/>
        <family val="2"/>
        <scheme val="minor"/>
      </rPr>
      <t/>
    </r>
  </si>
  <si>
    <t>EU-22a</t>
  </si>
  <si>
    <t>EU-22b</t>
  </si>
  <si>
    <t>(Exposures exempted in accordance with point (j) of Article 429a (1) CRR (on and off balance sheet))</t>
  </si>
  <si>
    <t>EU-22c</t>
  </si>
  <si>
    <t>(Excluded exposures of public development banks (or units) - Public sector investments)</t>
  </si>
  <si>
    <t>EU-22d</t>
  </si>
  <si>
    <t>EU-22e</t>
  </si>
  <si>
    <t>EU-22f</t>
  </si>
  <si>
    <t>(Excluded guaranteed parts of exposures arising from export credits )</t>
  </si>
  <si>
    <t>EU-22g</t>
  </si>
  <si>
    <t>(Excluded excess collateral deposited at triparty agents )</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</si>
  <si>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</si>
  <si>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</si>
  <si>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</si>
  <si>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</si>
  <si>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</si>
  <si>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 )</t>
  </si>
  <si>
    <t>EU-22k</t>
  </si>
  <si>
    <t>Capital and total exposure measure</t>
  </si>
  <si>
    <t>Tier 1 capital</t>
  </si>
  <si>
    <t>EU-25</t>
  </si>
  <si>
    <t>Leverage ratio (excluding the impact of the exemption of public sector investments and promotional loans) (%)</t>
  </si>
  <si>
    <t>25a</t>
  </si>
  <si>
    <t>Leverage ratio (excluding the impact of any applicable temporary exemption of
central bank reserves)</t>
  </si>
  <si>
    <t>Regulatory minimum leverage ratio requirement (%)</t>
  </si>
  <si>
    <t>EU-26a</t>
  </si>
  <si>
    <t>EU-26b</t>
  </si>
  <si>
    <t>EU-27a</t>
  </si>
  <si>
    <t>Overall leverage ratio requirement (%)</t>
  </si>
  <si>
    <t>Choice on transitional arrangements and relevant exposures</t>
  </si>
  <si>
    <t>EU-27b</t>
  </si>
  <si>
    <t>Choice on transitional arrangements for the definition of the capital measure</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</si>
  <si>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</si>
  <si>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</si>
  <si>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</si>
  <si>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</si>
  <si>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</si>
  <si>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</si>
  <si>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</si>
  <si>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</si>
  <si>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</si>
  <si>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Template EU LR3 -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</si>
  <si>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</si>
  <si>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</si>
  <si>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</si>
  <si>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</si>
  <si>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</si>
  <si>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</si>
  <si>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</si>
  <si>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Exposures treated as sovereigns</t>
  </si>
  <si>
    <t>EU-6</t>
  </si>
  <si>
    <t>EU-7</t>
  </si>
  <si>
    <t>EU-8</t>
  </si>
  <si>
    <t>Secured by mortgages of immovable properties</t>
  </si>
  <si>
    <t>EU-9</t>
  </si>
  <si>
    <t>Retail exposures</t>
  </si>
  <si>
    <t>EU-10</t>
  </si>
  <si>
    <t>EU-11</t>
  </si>
  <si>
    <t>EU-12</t>
  </si>
  <si>
    <t>Other exposures (eg equity, securitisations, and other non-credit obligation assets)</t>
  </si>
  <si>
    <t>Template EU LIQ1 - Quantitative information of LCR</t>
  </si>
  <si>
    <t>EU 1a</t>
  </si>
  <si>
    <t>Quarter ending on (DD Month YYY)</t>
  </si>
  <si>
    <t>EU 1b</t>
  </si>
  <si>
    <t>Number of data points used in the calculation of averages</t>
  </si>
  <si>
    <t>HIGH-QUALITY LIQUID ASSETS</t>
  </si>
  <si>
    <t>Total high-quality liquid assets (HQLA), after application of haircuts in line with Article 9 of regulation (EU) 2015/61</t>
  </si>
  <si>
    <t>CASH - OUTFLOWS</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</si>
  <si>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</si>
  <si>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</si>
  <si>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</si>
  <si>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</si>
  <si>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</si>
  <si>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</si>
  <si>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</si>
  <si>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</si>
  <si>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</si>
  <si>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</si>
  <si>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</si>
  <si>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</si>
  <si>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</si>
  <si>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</si>
  <si>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</si>
  <si>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</si>
  <si>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</si>
  <si>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</si>
  <si>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</si>
  <si>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</si>
  <si>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</si>
  <si>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</si>
  <si>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</si>
  <si>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</si>
  <si>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</si>
  <si>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</si>
  <si>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</si>
  <si>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LIQUIDITY BUFFER</t>
  </si>
  <si>
    <t>TOTAL NET CASH OUTFLOWS</t>
  </si>
  <si>
    <t>LIQUIDITY COVERAGE RATIO</t>
  </si>
  <si>
    <t xml:space="preserve">Template EU LIQ2: Net Stable Funding Ratio </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</si>
  <si>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</si>
  <si>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</si>
  <si>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</si>
  <si>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</si>
  <si>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</si>
  <si>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</si>
  <si>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</si>
  <si>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</si>
  <si>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</si>
  <si>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</si>
  <si>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</si>
  <si>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</si>
  <si>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</si>
  <si>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</si>
  <si>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</si>
  <si>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</si>
  <si>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</si>
  <si>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</si>
  <si>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</si>
  <si>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Total high-quality liquid assets (HQLA)</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</si>
  <si>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</si>
  <si>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</si>
  <si>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</si>
  <si>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</si>
  <si>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</si>
  <si>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</si>
  <si>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</si>
  <si>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</si>
  <si>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</si>
  <si>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</si>
  <si>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</si>
  <si>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</si>
  <si>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</si>
  <si>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</si>
  <si>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</si>
  <si>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</si>
  <si>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</si>
  <si>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</si>
  <si>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</si>
  <si>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</si>
  <si>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</si>
  <si>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</si>
  <si>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</si>
  <si>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</si>
  <si>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</si>
  <si>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reporting institution</t>
  </si>
  <si>
    <t>Equity instruments</t>
  </si>
  <si>
    <t>Debt securities</t>
  </si>
  <si>
    <t>of which: covered bonds</t>
  </si>
  <si>
    <t>of which: securitisations</t>
  </si>
  <si>
    <t>of which: issued by general governments</t>
  </si>
  <si>
    <t>of which: issued by financial corporations</t>
  </si>
  <si>
    <t>of which: issued by non-financial corporations</t>
  </si>
  <si>
    <t>Other assets</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</si>
  <si>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</si>
  <si>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</si>
  <si>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</si>
  <si>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</si>
  <si>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Loans on demand</t>
  </si>
  <si>
    <t>Loans and advances other than loans on demand</t>
  </si>
  <si>
    <t>Other collateral received</t>
  </si>
  <si>
    <t xml:space="preserve">Own debt securities issued other than own covered bonds or securitisations </t>
  </si>
  <si>
    <t>Template EU AE3 - Sources of encumbrance</t>
  </si>
  <si>
    <t>Matching liabilities, contingent liabilities or securities lent</t>
  </si>
  <si>
    <t>Assets, collateral received and own
debt securities issued other than covered bonds and securitisations encumbered</t>
  </si>
  <si>
    <t>debt securities issued other than covered bonds and ABSs encumbered</t>
  </si>
  <si>
    <t>Carrying amount of selected financial liabilities</t>
  </si>
  <si>
    <t>Note: The mapping below assumes that institutions do not simultaneously hold positions in one and the same securitisation in both the trading and the banking book. Where that assumption does not hold, the mapping is not direct and institutions will need to do some additional assessment of the part of the securitisation that relates to the trading and to the banking book.  
The same applies for when institutions hold positions with different risk weights in the same transactions for columns a to e.</t>
  </si>
  <si>
    <t>Provisions on off-balance sheet commitments and financial guarantees given</t>
  </si>
  <si>
    <t>Of which 1250%</t>
  </si>
  <si>
    <t>1250% RW</t>
  </si>
  <si>
    <t>Collateral obtained by taking possession</t>
  </si>
  <si>
    <t>Other than PP&amp;E</t>
  </si>
  <si>
    <t xml:space="preserve">     Other collateral</t>
  </si>
  <si>
    <r>
      <t>Collateral obtained by taking possession other than classified</t>
    </r>
    <r>
      <rPr>
        <sz val="9"/>
        <rFont val="SpareBank 1"/>
        <family val="2"/>
        <charset val="238"/>
        <scheme val="minor"/>
      </rPr>
      <t xml:space="preserve"> </t>
    </r>
    <r>
      <rPr>
        <sz val="9"/>
        <rFont val="SpareBank 1"/>
        <family val="2"/>
        <scheme val="minor"/>
      </rPr>
      <t>as</t>
    </r>
    <r>
      <rPr>
        <sz val="9"/>
        <rFont val="SpareBank 1"/>
        <family val="2"/>
        <charset val="238"/>
        <scheme val="minor"/>
      </rPr>
      <t xml:space="preserve"> PP&amp;E</t>
    </r>
    <r>
      <rPr>
        <sz val="9"/>
        <rFont val="SpareBank 1"/>
        <family val="2"/>
        <scheme val="minor"/>
      </rPr>
      <t xml:space="preserve"> </t>
    </r>
  </si>
  <si>
    <t>Collateral obtained by taking possession classified as PP&amp;E</t>
  </si>
  <si>
    <t>( Excluded passing-through promotional loan exposures by non-public development banks (or units))</t>
  </si>
  <si>
    <t>(Total exempted exposures)</t>
  </si>
  <si>
    <t>Performing securities financing transactions with financial customerscollateralised by Level 1 HQLA subject to 0% haircut</t>
  </si>
  <si>
    <t xml:space="preserve">TOTAL COLLATERAL RECEIVED AND OWN DEBT SECURITIES ISSUED </t>
  </si>
  <si>
    <t xml:space="preserve"> Own covered bonds and securitisation issued and not yet pledged</t>
  </si>
  <si>
    <t>Common Equity Tier 1 ratio (%)</t>
  </si>
  <si>
    <t>Number of obligors at the end of the previous year</t>
  </si>
  <si>
    <t>{C 08.05.1, c0006, s0001}</t>
  </si>
  <si>
    <t>{C 08.05.1, c0005, s0002}</t>
  </si>
  <si>
    <t>{C 08.05.1, c0020, s0002}</t>
  </si>
  <si>
    <t>{C 08.05.1, c0040, s0002}</t>
  </si>
  <si>
    <t>{C 08.05.1, c0010, s0002}</t>
  </si>
  <si>
    <t>{C 14.01,  (c0460+c0470)} where 
({C 14.01, c0450} != empty, 
{C 14.00, c0110} = Investor, 
{C 14.00, c0160} = Commercial mortgages, Leasing, Loans to corporates, Loans to SMEs (treated as corporates), Trade receivables and Other wholesale exposures)</t>
  </si>
  <si>
    <t>if(and({C 14.00, c0061} = N, {C 14.00, c0080}=A or D), {C 14.00, c0140}*{C 14.00, c0090}, 
if({C 14.00, c0061} ≠ N, {C 14.01, (c0460+c0470)})), where 
{C 14.00, c0060} = Trading book, 
{C 14.00, c0110} = Originator, 
{C 14.00, c0040} = Traditional, AP and AT, 
{C 14.00, c0075} = Yes</t>
  </si>
  <si>
    <t>if(and({C 14.00, c0061} = N, {C 14.00, c0080}=A or D), {C 14.00, c0140}*{C 14.00, c0090}, if({C 14.00, c0061} ≠ N, {C 14.01, (c0460+c0470)})), where 
{C 14.00, c0060} = Trading book, 
{C 14.00, c0110} = Originator, 
{C 14.00, c0040} = Traditional, AP and AT, 
{C 14.00, c0075} = No</t>
  </si>
  <si>
    <t>if(and({C 14.00, c0061} = N, {C 14.00, c0080}=A or D), {C 14.00, c0140}*{C 14.00, c0090}, if({C 14.00, c0061} ≠ N, {C 14.01, (c0460+c0470)})), where 
{C 14.00, c0060} = Trading book, 
{C 14.00, c0110} = Originator, 
{C 14.00, c0040} = Synthetic</t>
  </si>
  <si>
    <t>if(and({C 14.00, c0061} = N, {C 14.00, c0080}=A or D), {C 14.00, c0140}*{C 14.00, c0090}, if({C 14.00, c0061} ≠ N, {C 14.01, (c0460+c0470)})), where 
{C 14.00, c0060} = Trading book, 
{C 14.00, c0110} = Originator</t>
  </si>
  <si>
    <t>if(and({C 14.00, c0061} = N, {C 14.00, c0080}=A or D), {C 14.00, c0140}*{C 14.00, c0090}, if({C 14.00, c0061} ≠ N, {C 14.01,(c0460+c0470)})), where 
{C 14.00, c0060} = Trading book, 
{C 14.00, c0110} = Sponsor, 
{C 14.00, c0040} = Traditional, AP and AT, 
{C 14.00, c0075} = Yes</t>
  </si>
  <si>
    <t>if(and({C 14.00, c0061} = N, {C 14.00, c0080}=A or D), {C 14.00, c0140}*{C 14.00, c0090}, if({C 14.00, c0061} ≠ N, {C 14.01, (c0460+c0470)})), where 
{C 14.00, c0060} = Trading book, 
{C 14.00, c0110} = Sponsor, 
{C 14.00, c0040} = Traditional, AP and AT, 
{C 14.00, c0075} = No</t>
  </si>
  <si>
    <t>if(and({C 14.00, c0061} = N, {C 14.00, c0080}=A or D), {C 14.00, c0140}*{C 14.00, c0090}, if({C 14.00, c0061} ≠ N, {C 14.01,(c0460+c0470)})), where 
{C 14.00, c0060} = Trading book, 
{C 14.00, c0110} = Sponsor, 
{C 14.00, c0040} = Synthetic</t>
  </si>
  <si>
    <t>if(and({C 14.00, c0061} = N, {C 14.00, c0080}=A or D), {C 14.00, c0140}*{C 14.00, c0090}, if({C 14.00, c0061} ≠ N, {C 14.01, (c0460+c0470)})), where 
{C 14.00, c0060} = Trading book, 
{C 14.00, c0110} = Sponsor</t>
  </si>
  <si>
    <t>{C 14.01, (c0460+c0470)} where 
({C 14.01, c0450} != empty, 
{C 14.00, c0110} = Investor, 
{C 14.00, c0040} = Traditional, AP and AT, 
{C 14.00, c0075} = Yes)</t>
  </si>
  <si>
    <t>{C 14.01, (c0460+c0470)} where 
({C 14.01, c0450} != empty, 
{C 14.00, c0110} = Investor, 
{C 14.00, c0040} = Traditional, AP and AT, 
{C 14.00, c0075} = No)</t>
  </si>
  <si>
    <t>{C 14.01, (c0460+c0470)} where 
({C 14.01, c0450} != empty, 
{C 14.00, c0110} = Investor, 
{C 14.00, c0040} = Synthetic)</t>
  </si>
  <si>
    <t>{C 14.01, (c0460+c0470)} where 
({C 14.01, c0450} != empty, 
{C 14.00, c0110} = Investor)</t>
  </si>
  <si>
    <t>if(and({C 14.00, c0061} = N, {C 14.00, c0080}=A or D), {C 14.00, c0140}*{C 14.00, c0090}, if({C 14.00, c0061} ≠ N, {C 14.01, (c0460+c0470)})), where 
{C 14.00, c0060} = Trading book, 
{C 14.00, c0110} = Originator, 
{C 14.00, c0040} = Traditional, AP and AT, 
{C 14.00, c0075} = Yes, 
{C 14.00, c0160} = Residential mortgages, Credit card receivables, Consumer loans, Loans to SMEs (treated as retail) and Other retail exposures.</t>
  </si>
  <si>
    <t>if(and({C 14.00, c0061} = N, {C 14.00, c0080}=A or D), {C 14.00, c0140}*{C 14.00, c0090}, if({C 14.00, c0061} ≠ N, {C 14.01, (c0460+c0470)})), where 
{C 14.00, c0060} = Trading book, 
{C 14.00, c0110} = Originator, 
{C 14.00, c0040} = Traditional, AP and AT, 
{C 14.00, c0075} = No, 
{C 14.00, c0160} = Residential mortgages, Credit card receivables, Consumer loans, Loans to SMEs (treated as retail) and Other retail exposures.</t>
  </si>
  <si>
    <t>if(and({C 14.00, c0061} = N, {C 14.00, c0080}=A or D), {C 14.00, c0140}*{C 14.00, c0090}, if({C 14.00, c0061} ≠ N, {C 14.01, (c0460+c0470)})), where 
{C 14.00, c0060} = Trading book, 
{C 14.00, c0110} = Originator, 
{C 14.00, c0040} = Synthetic, 
{C 14.00, c0160} = Residential mortgages, Credit card receivables, Consumer loans, Loans to SMEs (treated as retail) and Other retail exposures.</t>
  </si>
  <si>
    <t>if(and({C 14.00, c0061} = N, {C 14.00, c0080}=A or D), {C 14.00, c0140}*{C 14.00, c0090}, if({C 14.00, c0061} ≠ N, {C 14.01, (c0460+c0470)})), where 
{C 14.00, c0060} = Trading book, 
{C 14.00, c0110} = Originator, 
{C 14.00, c0160} = Residential mortgages, Credit card receivables, Consumer loans, Loans to SMEs (treated as retail) and Other retail exposures.</t>
  </si>
  <si>
    <t>if(and({C 14.00, c0061} = N, {C 14.00, c0080}=A or D), {C 14.00, c0140}*{C 14.00, c0090}, if({C 14.00, c0061} ≠ N, {C 14.01, (c0460+c0470)})), where 
{C 14.00, c0060} = Trading book, 
{C 14.00, c0110} = Sponsor, 
{C 14.00, c0040} = Traditional, AP and AT, 
{C 14.00, c0075} = Yes, 
{C 14.00, c0160} = Residential mortgages, Credit card receivables, Consumer loans, Loans to SMEs (treated as retail) and Other retail exposures.</t>
  </si>
  <si>
    <t>if(and({C 14.00, c0061} = N, {C 14.00, c0080}=A or D), {C 14.00, c0140}*{C 14.00, c0090}, if({C 14.00, c0061} ≠ N, {C 14.01, (c0460+c0470)})), where 
{C 14.00, c0060} = Trading book, 
{C 14.00, c0110} = Sponsor, 
{C 14.00, c0040} = Traditional, AP and AT, 
{C 14.00, c0075} = No, 
{C 14.00, c0160} = Residential mortgages, Credit card receivables, Consumer loans, Loans to SMEs (treated as retail) and Other retail exposures.</t>
  </si>
  <si>
    <t>if(and({C 14.00, c0061} = N, {C 14.00, c0080}=A or D), {C 14.00, c0140}*{C 14.00, c0090}, if({C 14.00, c0061} ≠ N, {C 14.01, (c0460+c0470)})), where 
{C 14.00, c0060} = Trading book, 
{C 14.00, c0110} = Sponsor, 
{C 14.00, c0040} = Synthetic, 
{C 14.00, c0160} = Residential mortgages, Credit card receivables, Consumer loans, Loans to SMEs (treated as retail) and Other retail exposures.</t>
  </si>
  <si>
    <t>if(and({C 14.00, c0061} = N, {C 14.00, c0080}=A or D), {C 14.00, c0140}*{C 14.00, c0090}, if({C 14.00, c0061} ≠ N, {C 14.01, (c0460+c0470)})), where 
{C 14.00, c0060} = Trading book, 
{C 14.00, c0110} = Sponsor, 
{C 14.00, c0160} = Residential mortgages, Credit card receivables, Consumer loans, Loans to SMEs (treated as retail) and Other retail exposures.</t>
  </si>
  <si>
    <t>{C 14.01, (c0460+c0470)} where 
({C 14.01, c0450} != empty, 
{C 14.00, c0110} = Investor, 
{C 14.00, c0040} = Traditional, AP and AT, 
{C 14.00, c0075} = Yes, 
{C 14.00, c0160} = Residential mortgages, Credit card receivables, Consumer loans, Loans to SMEs (treated as retail) and Other retail exposures)</t>
  </si>
  <si>
    <t>{C 14.01, (c0460+c0470)} where 
({C 14.01, c0450} != empty, 
{C 14.00, c0110} = Investor, 
{C 14.00, c0040} = Traditional, AP and AT, 
{C 14.00, c0075} = No, 
{C 14.00, c0160} = Residential mortgages, Credit card receivables, Consumer loans, Loans to SMEs (treated as retail) and Other retail exposures)</t>
  </si>
  <si>
    <t>{C 14.01,(c0460+c0470)} where 
({C 14.01, c0450} != empty, 
{C 14.00, c0110} = Investor, 
{C 14.00, c0040} = Synthetic, 
{C 14.00, c0160} = Residential mortgages, Credit card receivables, Consumer loans, Loans to SMEs (treated as retail) and Other retail exposures)</t>
  </si>
  <si>
    <t>{C 14.01,(c0460+c0470)} where 
({C 14.01, c0450} != empty, 
{C 14.00, c0110} = Investor, 
{C 14.00, c0160} = Residential mortgages, Credit card receivables, Consumer loans, Loans to SMEs (treated as retail) and Other retail exposures)</t>
  </si>
  <si>
    <t>if(and({C 14.00, c0061} = N, {C 14.00, c0080}=A or D), {C 14.00, c0140}*{C 14.00, c0090}, if({C 14.00, c0061} ≠ N, {C 14.01, (c0460+c0470)})), where 
{C 14.00, c0060} = Trading book, 
{C 14.00, c0110} = Originator, 
{C 14.00, c0040} = Traditional, AP and AT, 
{C 14.00, c0075} = Yes, 
{C 14.00, c0160} = Residential mortgages, 
{C 14.00, c0070} = securitisation</t>
  </si>
  <si>
    <t>if(and({C 14.00, c0061} = N, {C 14.00, c0080}=A or D), {C 14.00, c0140}*{C 14.00, c0090}, if({C 14.00, c0061} ≠ N, {C 14.01, (c0460+c0470)})), where 
{C 14.00, c0060} = Trading book, 
{C 14.00, c0110} = Originator, 
{C 14.00, c0040} = Traditional, AP and AT, 
{C 14.00, c0075} = No, 
{C 14.00, c0160} = Residential mortgages, 
{C 14.00, c0070} = securitisation</t>
  </si>
  <si>
    <t>if(and({C 14.00, c0061} = N, {C 14.00, c0080}=A or D), {C 14.00, c0140}*{C 14.00, c0090}, if({C 14.00, c0061} ≠ N, {C 14.01, (c0460+c0470)})), where 
{C 14.00, c0060} = Trading book, 
{C 14.00, c0110} = Originator, 
{C 14.00, c0040} = Synthetic, 
{C 14.00, c0160} = Residential mortgages, 
{C 14.00, c0070} = securitisation</t>
  </si>
  <si>
    <t>if(and({C 14.00, c0061} = N, {C 14.00, c0080}=A or D), {C 14.00, c0140}*{C 14.00, c0090}, if({C 14.00, c0061} ≠ N, {C 14.01, (c0460+c0470)})), where 
{C 14.00, c0060} = Trading book, 
{C 14.00, c0110} = Originator, 
{C 14.00, c0160} = Residential mortgages, 
{C 14.00, c0070} = securitisation</t>
  </si>
  <si>
    <t>if(and({C 14.00, c0061} = N, {C 14.00, c0080}=A or D), {C 14.00, c0140}*{C 14.00, c0090}, if({C 14.00, c0061} ≠ N, {C 14.01, (c0460+c0470)})), where 
{C 14.00, c0060} = Trading book, 
{C 14.00, c0110} = Sponsor, 
{C 14.00, c0040} = Traditional, AP and AT, 
{C 14.00, c0075} = Yes, 
{C 14.00, c0160} = Residential mortgages, 
{C 14.00, c0070} = securitisation</t>
  </si>
  <si>
    <t>if(and({C 14.00, c0061} = N, {C 14.00, c0080}=A or D), {C 14.00, c0140}*{C 14.00, c0090}, if({C 14.00, c0061} ≠ N, {C 14.01, (c0460+c0470)})), where 
{C 14.00, c0060} = Trading book, 
{C 14.00, c0110} = Sponsor, 
{C 14.00, c0040} = Traditional, AP and AT, 
{C 14.00, c0075} = No, 
{C 14.00, c0160} = Residential mortgages, 
{C 14.00, c0070} = securitisation</t>
  </si>
  <si>
    <t>if(and({C 14.00, c0061} = N, {C 14.00, c0080}=A or D), {C 14.00, c0140}*{C 14.00, c0090}, if({C 14.00, c0061} ≠ N, {C 14.01, (c0460+c0470)})), where 
{C 14.00, c0060} = Trading book, 
{C 14.00, c0110} = Sponsor, 
{C 14.00, c0040} = Synthetic, 
{C 14.00, c0160} = Residential mortgages, 
{C 14.00, c0070} = securitisation</t>
  </si>
  <si>
    <t>if(and({C 14.00, c0061} = N, {C 14.00, c0080}=A or D), {C 14.00, c0140}*{C 14.00, c0090}, if({C 14.00, c0061} ≠ N, {C 14.01, (c0460+c0470)})), where 
{C 14.00, c0060} = Trading book, 
{C 14.00, c0110} = Sponsor, 
{C 14.00, c0160} = Residential mortgages, 
{C 14.00, c0070} = securitisation</t>
  </si>
  <si>
    <t>{C 14.01, (c0460+c0470)} where 
({C 14.01, c0450} != empty, 
{C 14.00, c0110} = Investor, 
{C 14.00, c0040} = Traditional, AP and AT, 
{C 14.00, c0075} = Yes, 
{C 14.00, c0160} = Residential mortgages, 
{C 14.00, c0070} = securitisation)</t>
  </si>
  <si>
    <t>{C 14.01, (c0460+c0470)} where 
({C 14.01, c0450} != empty, 
{C 14.00, c0110} = Investor, 
{C 14.00, c0040} = Traditional, AP and AT, 
{C 14.00, c0075} = No, 
{C 14.00, c0160} = Residential mortgages, 
{C 14.00, c0070} = securitisation)</t>
  </si>
  <si>
    <t>{C 14.01, (c0460+c0470)} where 
({C 14.01, c0450} != empty, 
{C 14.00, c0110} = Investor, 
{C 14.00, c0040} = Synthetic, 
{C 14.00, c0160} = Residential mortgages, 
{C 14.00, c0070} = securitisation)</t>
  </si>
  <si>
    <t>{C 14.01, (c0460+c0470)} where 
({C 14.01, c0450} != empty, 
{C 14.00, c0110} = Investor, 
{C 14.00, c0160} = Residential mortgages, 
{C 14.00, c0070} = securitisation)</t>
  </si>
  <si>
    <t>if(and({C 14.00, c0061} = N, {C 14.00, c0080}=A or D), {C 14.00, c0140}*{C 14.00, c0090}, if({C 14.00, c0061} ≠ N, {C 14.01, (c0460+c0470)})), where 
{C 14.00, c0060} = Trading book, 
{C 14.00, c0110} = Originator, 
{C 14.00, c0040} = Traditional, AP and AT, 
{C 14.00, c0075} = Yes, 
{C 14.00, c0160} = Credit card receivables, 
{C 14.00, c0070} = securitisation</t>
  </si>
  <si>
    <t>if(and({C 14.00, c0061} = N, {C 14.00, c0080}=A or D), {C 14.00, c0140}*{C 14.00, c0090}, if({C 14.00, c0061} ≠ N, {C 14.01, (c0460+c0470)})), where 
{C 14.00, c0060} = Trading book, 
{C 14.00, c0110} = Originator, 
{C 14.00, c0040} = Traditional, AP and AT, 
{C 14.00, c0075} = No, 
{C 14.00, c0160} = Credit card receivables, 
{C 14.00, c0070} = securitisation</t>
  </si>
  <si>
    <t>if(and({C 14.00, c0061} = N, {C 14.00, c0080}=A or D), {C 14.00, c0140}*{C 14.00, c0090}, if({C 14.00, c0061} ≠ N, {C 14.01, (c0460+c0470)})), where 
{C 14.00, c0060} = Trading book, 
{C 14.00, c0110} = Originator, 
{C 14.00, c0040} = Synthetic, 
{C 14.00, c0160} = Credit card receivables, 
{C 14.00, c0070} = securitisation</t>
  </si>
  <si>
    <t>if(and({C 14.00, c0061} = N, {C 14.00, c0080}=A or D), {C 14.00, c0140}*{C 14.00, c0090}, if({C 14.00, c0061} ≠ N, {C 14.01, (c0460+c0470)})), where 
{C 14.00, c0060} = Trading book, 
{C 14.00, c0110} = Originator, 
{C 14.00, c0160} = Credit card receivables, 
{C 14.00, c0070} = securitisation</t>
  </si>
  <si>
    <t>if(and({C 14.00, c0061} = N, {C 14.00, c0080}=A or D), {C 14.00, c0140}*{C 14.00, c0090}, if({C 14.00, c0061} ≠ N, {C 14.01, (c0460+c0470)})), where 
{C 14.00, c0060} = Trading book, 
{C 14.00, c0110} = Sponsor, 
{C 14.00, c0040} = Traditional, AP and AT, 
{C 14.00, c0075} = Yes, 
{C 14.00, c0160} = Credit card receivables, 
{C 14.00, c0070} = securitisation</t>
  </si>
  <si>
    <t>if(and({C 14.00, c0061} = N, {C 14.00, c0080}=A or D), {C 14.00, c0140}*{C 14.00, c0090}, if({C 14.00, c0061} ≠ N, {C 14.01, (c0460+c0470)})), where 
{C 14.00, c0060} = Trading book, 
{C 14.00, c0110} = Sponsor, 
{C 14.00, c0040} = Traditional, AP and AT, 
{C 14.00, c0075} = No, 
{C 14.00, c0160} = Credit card receivables, 
{C 14.00, c0070} = securitisation</t>
  </si>
  <si>
    <t>if(and({C 14.00, c0061} = N, {C 14.00, c0080}=A or D), {C 14.00, c0140}*{C 14.00, c0090}, if({C 14.00, c0061} ≠ N, {C 14.01, (c0460+c0470)})), where 
{C 14.00, c0060} = Trading book, 
{C 14.00, c0110} = Sponsor, 
{C 14.00, c0040} = Synthetic, 
{C 14.00, c0160} = Credit card receivables, 
{C 14.00, c0070} = securitisation</t>
  </si>
  <si>
    <t>if(and({C 14.00, c0061} = N, {C 14.00, c0080}=A or D), {C 14.00, c0140}*{C 14.00, c0090}, if({C 14.00, c0061} ≠ N, {C 14.01, (c0460+c0470)})), where 
{C 14.00, c0060} = Trading book, 
{C 14.00, c0110} = Sponsor, 
{C 14.00, c0160} = Credit card receivables, 
{C 14.00, c0070} = securitisation</t>
  </si>
  <si>
    <t>{C 14.01, (c0460+c0470)} where 
({C 14.01, c0450} != empty, 
{C 14.00, c0110} = Investor, 
{C 14.00, c0040} = Traditional, AP and AT, 
{C 14.00, c0075} = Yes, 
{C 14.00, c0160} = Credit card receivables, 
{C 14.00, c0070} = securitisation)</t>
  </si>
  <si>
    <t>{C 14.01, (c0460+c0470)} where 
({C 14.01, c0450} != empty, 
{C 14.00, c0110} = Investor, 
{C 14.00, c0040} = Traditional, AP and AT, 
{C 14.00, c0075} = No, 
{C 14.00, c0160} = Credit card receivables, 
{C 14.00, c0070} = securitisation)</t>
  </si>
  <si>
    <t>{C 14.01, (c0460+c0470)} where 
({C 14.01, c0450} != empty, 
{C 14.00, c0110} = Investor, 
{C 14.00, c0040} = Synthetic, 
{C 14.00, c0160} = Credit card receivables, 
{C 14.00, c0070} = securitisation)</t>
  </si>
  <si>
    <t>{C 14.01, (c0460+c0470)} where 
({C 14.01, c0450} != empty, 
{C 14.00, c0110} = Investor, 
{C 14.00, c0160} = Credit card receivables, 
{C 14.00, c0070} = securitisation)</t>
  </si>
  <si>
    <t>if(and({C 14.00, c0061} = N, {C 14.00, c0080}=A or D), {C 14.00, c0140}*{C 14.00, c0090}, if({C 14.00, c0061} ≠ N, {C 14.01,  (c0460+c0470)})), where 
{C 14.00, c0060} = Trading book, 
{C 14.00, c0110} = Originator, 
{C 14.00, c0040} = Traditional, AP and AT, 
{C 14.00, c0075} = Yes, 
{C 14.00, c0160} = Consumer loans, Loans to SMEs (treated as retail) and Other retail exposures, 
{C 14.00, c0070} = securitisation</t>
  </si>
  <si>
    <t>if(and({C 14.00, c0061} = N, {C 14.00, c0080}=A or D), {C 14.00, c0140}*{C 14.00, c0090}, if({C 14.00, c0061} ≠ N, {C 14.01, (c0460+c0470)})), where 
{C 14.00, c0060} = Trading book, 
{C 14.00, c0110} = Originator, 
{C 14.00, c0040} = Traditional, AP and AT, 
{C 14.00, c0075} = No, 
{C 14.00, c0160} = Consumer loans, Loans to SMEs (treated as retail) and Other retail exposures, 
{C 14.00, c0070} = securitisation</t>
  </si>
  <si>
    <t>if(and({C 14.00, c0061} = N, {C 14.00, c0080}=A or D), {C 14.00, c0140}*{C 14.00, c0090}, if({C 14.00, c0061} ≠ N, {C 14.01, (c0460+c0470)})), where 
{C 14.00, c0060} = Trading book, 
{C 14.00, c0110} = Originator, 
{C 14.00, c0040} = Synthetic, 
{C 14.00, c0160} = Consumer loans, Loans to SMEs (treated as retail) and Other retail exposures, 
{C 14.00, c0070} = securitisation</t>
  </si>
  <si>
    <t>if(and({C 14.00, c0061} = N, {C 14.00, c0080}=A or D), {C 14.00, c0140}*{C 14.00, c0090}, if({C 14.00, c0061} ≠ N, {C 14.01, (c0460+c0470)})), where 
{C 14.00, c0060} = Trading book, 
{C 14.00, c0110} = Originator, 
{C 14.00, c0160} = Consumer loans, Loans to SMEs (treated as retail) and Other retail exposures, 
{C 14.00, c0070} = securitisation</t>
  </si>
  <si>
    <t>if(and({C 14.00, c0061} = N, {C 14.00, c0080}=A or D), {C 14.00, c0140}*{C 14.00, c0090}, if({C 14.00, c0061} ≠ N, {C 14.01, (c0460+c0470)})), where 
{C 14.00, c0060} = Trading book, 
{C 14.00, c0110} = Sponsor, 
{C 14.00, c0040} = Traditional, AP and AT, 
{C 14.00, c0075} = Yes, 
{C 14.00, c0160} = Consumer loans, Loans to SMEs (treated as retail) and Other retail exposures, 
{C 14.00, c0070} = securitisation</t>
  </si>
  <si>
    <t>if(and({C 14.00, c0061} = N, {C 14.00, c0080}=A or D), {C 14.00, c0140}*{C 14.00, c0090}, if({C 14.00, c0061} ≠ N, {C 14.01, (c0460+c0470)})), where 
{C 14.00, c0060} = Trading book, 
{C 14.00, c0110} = Sponsor, 
{C 14.00, c0040} = Traditional, AP and AT, 
{C 14.00, c0075} = No, 
{C 14.00, c0160} = Consumer loans, Loans to SMEs (treated as retail) and Other retail exposures, 
{C 14.00, c0070} = securitisation</t>
  </si>
  <si>
    <t>if(and({C 14.00, c0061} = N, {C 14.00, c0080}=A or D), {C 14.00, c0140}*{C 14.00, c0090}, if({C 14.00, c0061} ≠ N, {C 14.01, (c0460+c0470)})), where 
{C 14.00, c0060} = Trading book, 
{C 14.00, c0110} = Sponsor, 
{C 14.00, c0040} = Synthetic, 
{C 14.00, c0160} = Consumer loans, Loans to SMEs (treated as retail) and Other retail exposures, 
{C 14.00, c0070} = securitisation</t>
  </si>
  <si>
    <t>if(and({C 14.00, c0061} = N, {C 14.00, c0080}=A or D), {C 14.00, c0140}*{C 14.00, c0090}, if({C 14.00, c0061} ≠ N, {C 14.01, (c0460+c0470)})), where 
{C 14.00, c0060} = Trading book, 
{C 14.00, c0110} = Sponsor, 
{C 14.00, c0160} = Consumer loans, Loans to SMEs (treated as retail) and Other retail exposures, 
{C 14.00, c0070} = securitisation</t>
  </si>
  <si>
    <t>{C 14.01, (c0460+c0470)} where 
({C 14.01, c0450} != empty, 
{C 14.00, c0110} = Investor, 
{C 14.00, c0040} = Traditional, AP and AT, 
{C 14.00, c0075} = Yes, 
{C 14.00, c0160} = Consumer loans, Loans to SMEs (treated as retail) and Other retail exposures, 
{C 14.00, c0070} = securitisation)</t>
  </si>
  <si>
    <t>{C 14.01, (c0460+c0470)} where 
({C 14.01, c0450} != empty, 
{C 14.00, c0110} = Investor, 
{C 14.00, c0040} = Traditional, AP and AT, 
{C 14.00, c0075} = No, 
{C 14.00, c0160} = Consumer loans, Loans to SMEs (treated as retail) and Other retail exposures, 
{C 14.00, c0070} = securitisation)</t>
  </si>
  <si>
    <t>{C 14.01, (c0460+c0470)} where 
({C 14.01, c0450} != empty, 
{C 14.00, c0110} = Investor, 
{C 14.00, c0040} = Synthetic, 
{C 14.00, c0160} = Consumer loans, Loans to SMEs (treated as retail) and Other retail exposures, 
{C 14.00, c0070} = securitisation)</t>
  </si>
  <si>
    <t>{C 14.01, (c0460+c0470)} where 
({C 14.01, c0450} != empty, 
{C 14.00, c0110} = Investor, 
{C 14.00, c0160} = Consumer loans, Loans to SMEs (treated as retail) and Other retail exposures, 
{C 14.00, c0070} = securitisation)</t>
  </si>
  <si>
    <t>if(and({C 14.00, c0061} = N, {C 14.00, c0080}=A or D), {C 14.00, c0140}*{C 14.00, c0090}, if({C 14.00, c0061} ≠ N, {C 14.01, (c0460+c0470)})), where 
{C 14.00, c0060} = Trading book, 
{C 14.00, c0110} = Originator, 
{C 14.00, c0040} = Traditional, AP and AT, 
{C 14.00, c0075} = Yes, 
{C 14.00, c0160} = Residential mortgages, Credit card receivables, Consumer loans, Loans to SMEs (treated as retail) and Other retail exposures, 
{C 14.00, c0070} = re-securitisation</t>
  </si>
  <si>
    <t>if(and({C 14.00, c0061} = N, {C 14.00, c0080}=A or D), {C 14.00, c0140}*{C 14.00, c0090}, if({C 14.00, c0061} ≠ N, {C 14.01, (c0460+c0470)})), where 
{C 14.00, c0060} = Trading book, 
{C 14.00, c0110} = Originator, 
{C 14.00, c0040} = Traditional, AP and AT, 
{C 14.00, c0075} = No, 
{C 14.00, c0160} = Residential mortgages, Credit card receivables, Consumer loans, Loans to SMEs (treated as retail) and Other retail exposures, 
{C 14.00, c0070} = re-securitisation</t>
  </si>
  <si>
    <t>if(and({C 14.00, c0061} = N, {C 14.00, c0080}=A or D), {C 14.00, c0140}*{C 14.00, c0090}, if({C 14.00, c0061} ≠ N, {C 14.01, (c0460+c0470)})), where 
{C 14.00, c0060} = Trading book, 
{C 14.00, c0110} = Originator, 
{C 14.00, c0040} = Synthetic, 
{C 14.00, c0160} = Residential mortgages, Credit card receivables, Consumer loans, Loans to SMEs (treated as retail) and Other retail exposures, 
{C 14.00, c0070} = re-securitisation</t>
  </si>
  <si>
    <t>if(and({C 14.00, c0061} = N, {C 14.00, c0080}=A or D), {C 14.00, c0140}*{C 14.00, c0090}, if({C 14.00, c0061} ≠ N, {C 14.01, (c0460+c0470)})), where 
{C 14.00, c0060} = Trading book, 
{C 14.00, c0110} = Originator, 
{C 14.00, c0160} = Residential mortgages, Credit card receivables, Consumer loans, Loans to SMEs (treated as retail) and Other retail exposures, 
{C 14.00, c0070} = re-securitisation</t>
  </si>
  <si>
    <t>if(and({C 14.00, c0061} = N, {C 14.00, c0080}=A or D), {C 14.00, c0140}*{C 14.00, c0090}, if({C 14.00, c0061} ≠ N, {C 14.01, (c0460+c0470)})), where 
{C 14.00, c0060} = Trading book, 
{C 14.00, c0110} = Sponsor, 
{C 14.00, c0040} = Traditional, AP and AT, 
{C 14.00, c0075} = Yes, 
{C 14.00, c0160} = Residential mortgages, Credit card receivables, Consumer loans, Loans to SMEs (treated as retail) and Other retail exposures, 
{C 14.00, c0070} = re-securitisation</t>
  </si>
  <si>
    <t>if(and({C 14.00, c0061} = N, {C 14.00, c0080}=A or D), {C 14.00, c0140}*{C 14.00, c0090}, if({C 14.00, c0061} ≠ N, {C 14.01, (c0460+c0470)})), where 
{C 14.00, c0060} = Trading book, 
{C 14.00, c0110} = Sponsor, 
{C 14.00, c0040} = Traditional, AP and AT, 
{C 14.00, c0075} = No, 
{C 14.00, c0160} = Residential mortgages, Credit card receivables, Consumer loans, Loans to SMEs (treated as retail) and Other retail exposures, 
{C 14.00, c0070} = re-securitisation</t>
  </si>
  <si>
    <t>if(and({C 14.00, c0061} = N, {C 14.00, c0080}=A or D), {C 14.00, c0140}*{C 14.00, c0090}, if({C 14.00, c0061} ≠ N, {C 14.01, (c0460+c0470)})), where 
{C 14.00, c0060} = Trading book, 
{C 14.00, c0110} = Sponsor, 
{C 14.00, c0040} = Synthetic, 
{C 14.00, c0160} = Residential mortgages, Credit card receivables, Consumer loans, Loans to SMEs (treated as retail) and Other retail exposures, 
{C 14.00, c0070} = re-securitisation</t>
  </si>
  <si>
    <t>if(and({C 14.00, c0061} = N, {C 14.00, c0080}=A or D), {C 14.00, c0140}*{C 14.00, c0090}, if({C 14.00, c0061} ≠ N, {C 14.01, (c0460+c0470)})), where 
{C 14.00, c0060} = Trading book, 
{C 14.00, c0110} = Sponsor, 
{C 14.00, c0160} = Residential mortgages, Credit card receivables, Consumer loans, Loans to SMEs (treated as retail) and Other retail exposures, 
{C 14.00, c0070} = re-securitisation</t>
  </si>
  <si>
    <t>{C 14.01, (c0460+c0470)} where 
({C 14.01, c0450} != empty, 
{C 14.00, c0110} = Investor, 
{C 14.00, c0040} = Traditional, AP and AT, 
{C 14.00, c0075} = Yes, 
{C 14.00, c0160} = Residential mortgages, Credit card receivables, Consumer loans, Loans to SMEs (treated as retail) and Other retail exposures, 
{C 14.00, c0070} = re-securitisation)</t>
  </si>
  <si>
    <t>{C 14.01, (c0460+c0470)} where 
({C 14.01, c0450} != empty, 
{C 14.00, c0110} = Investor, 
{C 14.00, c0040} = Traditional, AP and AT, 
{C 14.00, c0075} = No, 
{C 14.00, c0160} = Residential mortgages, Credit card receivables, Consumer loans, Loans to SMEs (treated as retail) and Other retail exposures, 
{C 14.00, c0070} = re-securitisation)</t>
  </si>
  <si>
    <t>{C 14.01, (c0460+c0470)} where 
({C 14.01, c0450} != empty, 
{C 14.00, c0110} = Investor, 
{C 14.00, c0040} = Synthetic, 
{C 14.00, c0160} = Residential mortgages, Credit card receivables, Consumer loans, Loans to SMEs (treated as retail) and Other retail exposures, 
{C 14.00, c0070} = re-securitisation)</t>
  </si>
  <si>
    <t>{C 14.01, (c0460+c0470)} where 
({C 14.01, c0450} != empty, 
{C 14.00, c0110} = Investor, 
{C 14.00, c0160} = Residential mortgages, Credit card receivables, Consumer loans, Loans to SMEs (treated as retail) and Other retail exposures, 
{C 14.00, c0070} = re-securitisation)</t>
  </si>
  <si>
    <t>if(and({C 14.00, c0061} = N, {C 14.00, c0080}=A or D), {C 14.00, c0140}*{C 14.00, c0090}, if({C 14.00, c0061} ≠ N, {C 14.01,  (c0460+c0470)})), where 
{C 14.00, c0060} = Trading book, 
{C 14.00, c0110} = Originator, 
{C 14.00, c0040} = Traditional, AP and AT, 
{C 14.00, c0075} = Yes, 
{C 14.00, c0160} = Commercial mortgages, Leasing, Loans to corporates, Loans to SMEs (treated as corporates), Trade receivables and Other wholesale exposures.</t>
  </si>
  <si>
    <t>if(and({C 14.00, c0061} = N, {C 14.00, c0080}=A or D), {C 14.00, c0140}*{C 14.00, c0090}, if({C 14.00, c0061} ≠ N, {C 14.01,  (c0460+c0470)})), where 
{C 14.00, c0060} = Trading book, 
{C 14.00, c0110} = Originator, 
{C 14.00, c0040} = Traditional, AP and AT, 
{C 14.00, c0075} = No, 
{C 14.00, c0160} = Commercial mortgages, Leasing, Loans to corporates, Loans to SMEs (treated as corporates), Trade receivables and Other wholesale exposures.</t>
  </si>
  <si>
    <t>if(and({C 14.00, c0061} = N, {C 14.00, c0080}=A or D), {C 14.00, c0140}*{C 14.00, c0090}, if({C 14.00, c0061} ≠ N, {C 14.01,  (c0460+c0470)})), where 
{C 14.00, c0060} = Trading book, 
{C 14.00, c0110} = Originator, 
{C 14.00, c0040} = Synthetic, 
{C 14.00, c0160} = Commercial mortgages, Leasing, Loans to corporates, Loans to SMEs (treated as corporates), Trade receivables and Other wholesale exposures.</t>
  </si>
  <si>
    <t>if(and({C 14.00, c0061} = N, {C 14.00, c0080}=A or D), {C 14.00, c0140}*{C 14.00, c0090}, if({C 14.00, c0061} ≠ N, {C 14.01,  (c0460+c0470)})), where 
{C 14.00, c0060} = Trading book, 
{C 14.00, c0110} = Originator, 
{C 14.00, c0160} = Commercial mortgages, Leasing, Loans to corporates, Loans to SMEs (treated as corporates), Trade receivables and Other wholesale exposures.</t>
  </si>
  <si>
    <t>if(and({C 14.00, c0061} = N, {C 14.00, c0080}=A or D), {C 14.00, c0140}*{C 14.00, c0090}, if({C 14.00, c0061} ≠ N, {C 14.01,  (c0460+c0470)})), where 
{C 14.00, c0060} = Trading book, 
{C 14.00, c0110} = Sponsor, 
{C 14.00, c0040} = Traditional, AP and AT, 
{C 14.00, c0075} = Yes, 
{C 14.00, c0160} = Commercial mortgages, Leasing, Loans to corporates, Loans to SMEs (treated as corporates), Trade receivables and Other wholesale exposures.</t>
  </si>
  <si>
    <t>if(and({C 14.00, c0061} = N, {C 14.00, c0080}=A or D), {C 14.00, c0140}*{C 14.00, c0090}, if({C 14.00, c0061} ≠ N, {C 14.01, (c0460+c0470)})), where 
{C 14.00, c0060} = Trading book, 
{C 14.00, c0110} = Sponsor, 
{C 14.00, c0040} = Traditional, AP and AT, 
{C 14.00, c0075} = No, 
{C 14.00, c0160} = Commercial mortgages, Leasing, Loans to corporates, Loans to SMEs (treated as corporates), Trade receivables and Other wholesale exposures.</t>
  </si>
  <si>
    <t>if(and({C 14.00, c0061} = N, {C 14.00, c0080}=A or D), {C 14.00, c0140}*{C 14.00, c0090}, if({C 14.00, c0061} ≠ N, {C 14.01,  (c0460+c0470)})), where 
{C 14.00, c0060} = Trading book, 
{C 14.00, c0110} = Sponsor, 
{C 14.00, c0040} = Synthetic, 
{C 14.00, c0160} = Commercial mortgages, Leasing, Loans to corporates, Loans to SMEs (treated as corporates), Trade receivables and Other wholesale exposures.</t>
  </si>
  <si>
    <t>if(and({C 14.00, c0061} = N, {C 14.00, c0080}=A or D), {C 14.00, c0140}*{C 14.00, c0090}, if({C 14.00, c0061} ≠ N, {C 14.01, (c0460+c0470)})), where 
{C 14.00, c0060} = Trading book, 
{C 14.00, c0110} = Sponsor, 
{C 14.00, c0160} = Commercial mortgages, Leasing, Loans to corporates, Loans to SMEs (treated as corporates), Trade receivables and Other wholesale exposures.</t>
  </si>
  <si>
    <t>{C 14.01,  (c0460+c0470)} where 
({C 14.01, c0450} != empty, 
{C 14.00, c0110} = Investor, 
{C 14.00, c0040} = Traditional, AP and AT, 
{C 14.00, c0075} = Yes, 
{C 14.00, c0160} = Commercial mortgages, Leasing, Loans to corporates, Loans to SMEs (treated as corporates), Trade receivables and Other wholesale exposures)</t>
  </si>
  <si>
    <t>{C 14.01,  (c0460+c0470)} where 
({C 14.01, c0450} != empty, 
{C 14.00, c0110} = Investor, 
{C 14.00, c0040} = Traditional, AP and AT, 
{C 14.00, c0075} = No, 
{C 14.00, c0160} = Commercial mortgages, Leasing, Loans to corporates, Loans to SMEs (treated as corporates), Trade receivables and Other wholesale exposures)</t>
  </si>
  <si>
    <t>{C 14.01,  (c0460+c0470)} where 
({C 14.01, c0450} != empty, 
{C 14.00, c0110} = Investor, 
{C 14.00, c0040} = Synthetic, 
{C 14.00, c0160} = Commercial mortgages, Leasing, Loans to corporates, Loans to SMEs (treated as corporates), Trade receivables and Other wholesale exposures)</t>
  </si>
  <si>
    <t>if(and({C 14.00, c0061} = N, {C 14.00, c0080}=A or D), {C 14.00, c0140}*{C 14.00, c0090}, if({C 14.00, c0061} ≠ N, {C 14.01,  (c0460+c0470)})), where 
{C 14.00, c0060} = Trading book, 
{C 14.00, c0110} = Originator, 
{C 14.00, c0040} = Traditional, AP and AT, 
{C 14.00, c0075} = Yes, 
{C 14.00, c0160} = Loans to corporates or Loans to SMEs (treated as corporates),
{C 14.00, c0070} = securitisation</t>
  </si>
  <si>
    <t>if(and({C 14.00, c0061} = N, {C 14.00, c0080}=A or D), {C 14.00, c0140}*{C 14.00, c0090}, if({C 14.00, c0061} ≠ N, {C 14.01,  (c0460+c0470)})), where 
{C 14.00, c0060} = Trading book, 
{C 14.00, c0110} = Originator, 
{C 14.00, c0040} = Traditional, AP and AT, 
{C 14.00, c0075} = No, 
{C 14.00, c0160} = Loans to corporates or Loans to SMEs (treated as corporates),
{C 14.00, c0070} = securitisation</t>
  </si>
  <si>
    <t>if(and({C 14.00, c0061} = N, {C 14.00, c0080}=A or D), {C 14.00, c0140}*{C 14.00, c0090}, if({C 14.00, c0061} ≠ N, {C 14.01,(c0460+c0470)})), where 
{C 14.00, c0060} = Trading book, 
{C 14.00, c0110} = Originator, 
{C 14.00, c0040} = Synthetic, 
{C 14.00, c0160} = Loans to corporates or Loans to SMEs (treated as corporates),
{C 14.00, c0070} = securitisation</t>
  </si>
  <si>
    <t>if(and({C 14.00, c0061} = N, {C 14.00, c0080}=A or D), {C 14.00, c0140}*{C 14.00, c0090}, if({C 14.00, c0061} ≠ N, {C 14.01,  (c0460+c0470)})), where 
{C 14.00, c0060} = Trading book, 
{C 14.00, c0110} = Originator, 
{C 14.00, c0160} = Loans to corporates or Loans to SMEs (treated as corporates),
{C 14.00, c0070} = securitisation</t>
  </si>
  <si>
    <t>if(and({C 14.00, c0061} = N, {C 14.00, c0080}=A or D), {C 14.00, c0140}*{C 14.00, c0090}, if({C 14.00, c0061} ≠ N, {C 14.01,  (c0460+c0470)})), where 
{C 14.00, c0060} = Trading book, 
{C 14.00, c0110} = Sponsor, 
{C 14.00, c0040} = Traditional, AP and AT, 
{C 14.00, c0075} = Yes, 
{C 14.00, c0160} = Loans to corporates or Loans to SMEs (treated as corporates),
{C 14.00, c0070} = securitisation</t>
  </si>
  <si>
    <t>if(and({C 14.00, c0061} = N, {C 14.00, c0080}=A or D), {C 14.00, c0140}*{C 14.00, c0090}, if({C 14.00, c0061} ≠ N, {C 14.01, (c0460+c0470)})), where 
{C 14.00, c0060} = Trading book, 
{C 14.00, c0110} = Sponsor, 
{C 14.00, c0040} = Traditional, AP and AT, 
{C 14.00, c0075} = No, 
{C 14.00, c0160} = Loans to corporates or Loans to SMEs (treated as corporates),
{C 14.00, c0070} = securitisation</t>
  </si>
  <si>
    <t>if(and({C 14.00, c0061} = N, {C 14.00, c0080}=A or D), {C 14.00, c0140}*{C 14.00, c0090}, if({C 14.00, c0061} ≠ N, {C 14.01,  (c0460+c0470)})), where 
{C 14.00, c0060} = Trading book, 
{C 14.00, c0110} = Sponsor, 
{C 14.00, c0040} = Synthetic, 
{C 14.00, c0160} = Loans to corporates or Loans to SMEs (treated as corporates),
{C 14.00, c0070} = securitisation</t>
  </si>
  <si>
    <t>if(and({C 14.00, c0061} = N, {C 14.00, c0080}=A or D), {C 14.00, c0140}*{C 14.00, c0090}, if({C 14.00, c0061} ≠ N, {C 14.01, (c0460+c0470)})), where 
{C 14.00, c0060} = Trading book, 
{C 14.00, c0110} = Sponsor, 
{C 14.00, c0160} = Loans to corporates or Loans to SMEs (treated as corporates),
{C 14.00, c0070} = securitisation</t>
  </si>
  <si>
    <t>{C 14.01, (c0460+c0470)} where 
({C 14.01, c0450} != empty, 
{C 14.00, c0110} = Investor, 
{C 14.00, c0040} = Traditional, AP and AT, 
{C 14.00, c0075} = Yes, 
{C 14.00, c0160} = Loans to corporates or Loans to SMEs (treated as corporates),
{C 14.00, c0070} = securitisation)</t>
  </si>
  <si>
    <t>{C 14.01,  (c0460+c0470)} where 
({C 14.01, c0450} != empty, 
{C 14.00, c0110} = Investor, 
{C 14.00, c0040} = Traditional, AP and AT, 
{C 14.00, c0075} = No, 
{C 14.00, c0160} = Loans to corporates or Loans to SMEs (treated as corporates),
{C 14.00, c0070} = securitisation)</t>
  </si>
  <si>
    <t>{C 14.01,  (c0460+c0470)} where 
({C 14.01, c0450} != empty, 
{C 14.00, c0110} = Investor, 
{C 14.00, c0040} = Synthetic, 
{C 14.00, c0160} = Loans to corporates or Loans to SMEs (treated as corporates),
{C 14.00, c0070} = securitisation)</t>
  </si>
  <si>
    <t>{C 14.01,  (c0460+c0470)} where 
({C 14.01, c0450} != empty, 
{C 14.00, c0110} = Investor, 
{C 14.00, c0160} = Loans to corporates or Loans to SMEs (treated as corporates),
{C 14.00, c0070} = securitisation)</t>
  </si>
  <si>
    <t>if(and({C 14.00, c0061} = N, {C 14.00, c0080}=A or D), {C 14.00, c0140}*{C 14.00, c0090}, if({C 14.00, c0061} ≠ N, {C 14.01,  (c0460+c0470)})), where 
{C 14.00, c0060} = Trading book, 
{C 14.00, c0110} = Originator, 
{C 14.00, c0040} = Traditional, AP and AT, 
{C 14.00, c0075} = Yes, 
{C 14.00, c0160} = Commercial mortgages,
{C 14.00, c0070} = securitisation</t>
  </si>
  <si>
    <t>if(and({C 14.00, c0061} = N, {C 14.00, c0080}=A or D), {C 14.00, c0140}*{C 14.00, c0090}, if({C 14.00, c0061} ≠ N, {C 14.01, (c0460+c0470)})), where 
{C 14.00, c0060} = Trading book, 
{C 14.00, c0110} = Originator, 
{C 14.00, c0040} = Traditional, AP and AT, 
{C 14.00, c0075} = No, 
{C 14.00, c0160} = Commercial mortgages,
{C 14.00, c0070} = securitisation</t>
  </si>
  <si>
    <t>if(and({C 14.00, c0061} = N, {C 14.00, c0080}=A or D), {C 14.00, c0140}*{C 14.00, c0090}, if({C 14.00, c0061} ≠ N, {C 14.01,  (c0460+c0470)})), where 
{C 14.00, c0060} = Trading book, 
{C 14.00, c0110} = Originator, 
{C 14.00, c0040} = Synthetic, 
{C 14.00, c0160} = Commercial mortgages,
{C 14.00, c0070} = securitisation</t>
  </si>
  <si>
    <t>if(and({C 14.00, c0061} = N, {C 14.00, c0080}=A or D), {C 14.00, c0140}*{C 14.00, c0090}, if({C 14.00, c0061} ≠ N, {C 14.01,  (c0460+c0470)})), where 
{C 14.00, c0060} = Trading book, 
{C 14.00, c0110} = Originator, 
{C 14.00, c0160} = Commercial mortgages,
{C 14.00, c0070} = securitisation</t>
  </si>
  <si>
    <t>if(and({C 14.00, c0061} = N, {C 14.00, c0080}=A or D), {C 14.00, c0140}*{C 14.00, c0090}, if({C 14.00, c0061} ≠ N, {C 14.01, (c0460+c0470)})), where 
{C 14.00, c0060} = Trading book, 
{C 14.00, c0110} = Sponsor, 
{C 14.00, c0040} = Traditional, AP and AT, 
{C 14.00, c0075} = Yes, 
{C 14.00, c0160} = Commercial mortgages,
{C 14.00, c0070} = securitisation</t>
  </si>
  <si>
    <t>if(and({C 14.00, c0061} = N, {C 14.00, c0080}=A or D), {C 14.00, c0140}*{C 14.00, c0090}, if({C 14.00, c0061} ≠ N, {C 14.01,  (c0460+c0470)})), where 
{C 14.00, c0060} = Trading book, 
{C 14.00, c0110} = Sponsor, 
{C 14.00, c0040} = Traditional, AP and AT, 
{C 14.00, c0075} = No, 
{C 14.00, c0160} = Commercial mortgages,
{C 14.00, c0070} = securitisation</t>
  </si>
  <si>
    <t>if(and({C 14.00, c0061} = N, {C 14.00, c0080}=A or D), {C 14.00, c0140}*{C 14.00, c0090}, if({C 14.00, c0061} ≠ N, {C 14.01, (c0460+c0470)})), where 
{C 14.00, c0060} = Trading book, 
{C 14.00, c0110} = Sponsor, 
{C 14.00, c0040} = Synthetic, 
{C 14.00, c0160} = Commercial mortgages,
{C 14.00, c0070} = securitisation</t>
  </si>
  <si>
    <t>if(and({C 14.00, c0061} = N, {C 14.00, c0080}=A or D), {C 14.00, c0140}*{C 14.00, c0090}, if({C 14.00, c0061} ≠ N, {C 14.01,  (c0460+c0470)})), where 
{C 14.00, c0060} = Trading book, 
{C 14.00, c0110} = Sponsor, 
{C 14.00, c0160} = Commercial mortgages,
{C 14.00, c0070} = securitisation</t>
  </si>
  <si>
    <t>{C 14.01, (c0460+c0470)} where 
({C 14.01, c0450} != empty, 
{C 14.00, c0110} = Investor, 
{C 14.00, c0040} = Traditional, AP and AT, 
{C 14.00, c0075} = Yes, 
{C 14.00, c0160} = Commercial mortgages,
{C 14.00, c0070} = securitisation)</t>
  </si>
  <si>
    <t>{C 14.01,  (c0460+c0470)} where 
({C 14.01, c0450} != empty, 
{C 14.00, c0110} = Investor, 
{C 14.00, c0040} = Traditional, AP and AT, 
{C 14.00, c0075} = No, 
{C 14.00, c0160} = Commercial mortgages,
{C 14.00, c0070} = securitisation)</t>
  </si>
  <si>
    <t>{C 14.01, (c0460+c0470)} where 
({C 14.01, c0450} != empty, 
{C 14.00, c0110} = Investor, 
{C 14.00, c0040} = Synthetic, 
{C 14.00, c0160} = Commercial mortgages,
{C 14.00, c0070} = securitisation)</t>
  </si>
  <si>
    <t>{C 14.01,  (c0460+c0470)} where 
({C 14.01, c0450} != empty, 
{C 14.00, c0110} = Investor, 
{C 14.00, c0160} = Commercial mortgages,
{C 14.00, c0070} = securitisation)</t>
  </si>
  <si>
    <t>if(and({C 14.00, c0061} = N, {C 14.00, c0080}=A or D), {C 14.00, c0140}*{C 14.00, c0090}, if({C 14.00, c0061} ≠ N, {C 14.01, (c0460+c0470)})), where 
{C 14.00, c0060} = Trading book, 
{C 14.00, c0110} = Originator, 
{C 14.00, c0040} = Traditional, AP and AT, 
{C 14.00, c0075} = Yes, 
{C 14.00, c0160} = Leasing or Trade receivables,
{C 14.00, c0070} = securitisation</t>
  </si>
  <si>
    <t>if(and({C 14.00, c0061} = N, {C 14.00, c0080}=A or D), {C 14.00, c0140}*{C 14.00, c0090}, if({C 14.00, c0061} ≠ N, {C 14.01,  (c0460+c0470)})), where 
{C 14.00, c0060} = Trading book, 
{C 14.00, c0110} = Originator, 
{C 14.00, c0040} = Traditional, AP and AT, 
{C 14.00, c0075} = No, 
{C 14.00, c0160} = Leasing or Trade receivables,
{C 14.00, c0070} = securitisation</t>
  </si>
  <si>
    <t>if(and({C 14.00, c0061} = N, {C 14.00, c0080}=A or D), {C 14.00, c0140}*{C 14.00, c0090}, if({C 14.00, c0061} ≠ N, {C 14.01, (c0460+c0470)})), where 
{C 14.00, c0060} = Trading book, 
{C 14.00, c0110} = Originator, 
{C 14.00, c0040} = Synthetic, 
{C 14.00, c0160} = Leasing or Trade receivables,
{C 14.00, c0070} = securitisation</t>
  </si>
  <si>
    <t>if(and({C 14.00, c0061} = N, {C 14.00, c0080}=A or D), {C 14.00, c0140}*{C 14.00, c0090}, if({C 14.00, c0061} ≠ N, {C 14.01,  (c0460+c0470)})), where 
{C 14.00, c0060} = Trading book, 
{C 14.00, c0110} = Originator, 
{C 14.00, c0160} = Leasing or Trade receivables,
{C 14.00, c0070} = securitisation</t>
  </si>
  <si>
    <t>if(and({C 14.00, c0061} = N, {C 14.00, c0080}=A or D), {C 14.00, c0140}*{C 14.00, c0090}, if({C 14.00, c0061} ≠ N, {C 14.01, (c0460+c0470)})), where 
{C 14.00, c0060} = Trading book, 
{C 14.00, c0110} = Sponsor, 
{C 14.00, c0040} = Traditional, AP and AT, 
{C 14.00, c0075} = Yes, 
{C 14.00, c0160} = Leasing or Trade receivables,
{C 14.00, c0070} = securitisation</t>
  </si>
  <si>
    <t>if(and({C 14.00, c0061} = N, {C 14.00, c0080}=A or D), {C 14.00, c0140}*{C 14.00, c0090}, if({C 14.00, c0061} ≠ N, {C 14.01,  (c0460+c0470)})), where 
{C 14.00, c0060} = Trading book, 
{C 14.00, c0110} = Sponsor, 
{C 14.00, c0040} = Traditional, AP and AT, 
{C 14.00, c0075} = No, 
{C 14.00, c0160} = Leasing or Trade receivables,
{C 14.00, c0070} = securitisation</t>
  </si>
  <si>
    <t>if(and({C 14.00, c0061} = N, {C 14.00, c0080}=A or D), {C 14.00, c0140}*{C 14.00, c0090}, if({C 14.00, c0061} ≠ N, {C 14.01,  (c0460+c0470)})), where 
{C 14.00, c0060} = Trading book, 
{C 14.00, c0110} = Sponsor, 
{C 14.00, c0040} = Synthetic, 
{C 14.00, c0160} = Leasing or Trade receivables,
{C 14.00, c0070} = securitisation</t>
  </si>
  <si>
    <t>if(and({C 14.00, c0061} = N, {C 14.00, c0080}=A or D), {C 14.00, c0140}*{C 14.00, c0090}, if({C 14.00, c0061} ≠ N, {C 14.01, (c0460+c0470)})), where 
{C 14.00, c0060} = Trading book, 
{C 14.00, c0110} = Sponsor, 
{C 14.00, c0160} = Leasing or Trade receivables,
{C 14.00, c0070} = securitisation</t>
  </si>
  <si>
    <t>{C 14.01, (c0460+c0470)} where 
({C 14.01, c0450} != empty, 
{C 14.00, c0110} = Investor, 
{C 14.00, c0040} = Traditional, AP and AT, 
{C 14.00, c0075} = Yes, 
{C 14.00, c0160} = Leasing or Trade receivables,
{C 14.00, c0070} = securitisation)</t>
  </si>
  <si>
    <t>{C 14.01, (c0460+c0470)} where 
({C 14.01, c0450} != empty, 
{C 14.00, c0110} = Investor, 
{C 14.00, c0040} = Traditional, AP and AT, 
{C 14.00, c0075} = No, 
{C 14.00, c0160} = Leasing or Trade receivables,
{C 14.00, c0070} = securitisation)</t>
  </si>
  <si>
    <t>{C 14.01,  (c0460+c0470)} where 
({C 14.01, c0450} != empty, 
{C 14.00, c0110} = Investor, 
{C 14.00, c0040} = Synthetic, 
{C 14.00, c0160} = Leasing or Trade receivables,
{C 14.00, c0070} = securitisation)</t>
  </si>
  <si>
    <t>{C 14.01, (c0460+c0470)} where 
({C 14.01, c0450} != empty, 
{C 14.00, c0110} = Investor, 
{C 14.00, c0160} = Leasing or Trade receivables,
{C 14.00, c0070} = securitisation)</t>
  </si>
  <si>
    <t>if(and({C 14.00, c0061} = N, {C 14.00, c0080}=A or D), {C 14.00, c0140}*{C 14.00, c0090}, if({C 14.00, c0061} ≠ N, {C 14.01, (c0460+c0470)})), where 
{C 14.00, c0060} = Trading book, 
{C 14.00, c0110} = Originator, 
{C 14.00, c0040} = Traditional, AP and AT, 
{C 14.00, c0075} = Yes, 
{C 14.00, c0160} = Other wholesale exposures,
{C 14.00, c0070} = securitisation</t>
  </si>
  <si>
    <t>if(and({C 14.00, c0061} = N, {C 14.00, c0080}=A or D), {C 14.00, c0140}*{C 14.00, c0090}, if({C 14.00, c0061} ≠ N, {C 14.01,  (c0460+c0470)})), where 
{C 14.00, c0060} = Trading book, 
{C 14.00, c0110} = Originator, 
{C 14.00, c0040} = Traditional, AP and AT, 
{C 14.00, c0075} = No, 
{C 14.00, c0160} = Other wholesale exposures,
{C 14.00, c0070} = securitisation</t>
  </si>
  <si>
    <t>if(and({C 14.00, c0061} = N, {C 14.00, c0080}=A or D), {C 14.00, c0140}*{C 14.00, c0090}, if({C 14.00, c0061} ≠ N, {C 14.01,  (c0460+c0470)})), where 
{C 14.00, c0060} = Trading book, 
{C 14.00, c0110} = Originator, 
{C 14.00, c0040} = Synthetic, 
{C 14.00, c0160} = Other wholesale exposures,
{C 14.00, c0070} = securitisation</t>
  </si>
  <si>
    <t>if(and({C 14.00, c0061} = N, {C 14.00, c0080}=A or D), {C 14.00, c0140}*{C 14.00, c0090}, if({C 14.00, c0061} ≠ N, {C 14.01,  (c0460+c0470)})), where 
{C 14.00, c0060} = Trading book, 
{C 14.00, c0110} = Originator, 
{C 14.00, c0160} = Other wholesale exposures,
{C 14.00, c0070} = securitisation</t>
  </si>
  <si>
    <t>if(and({C 14.00, c0061} = N, {C 14.00, c0080}=A or D), {C 14.00, c0140}*{C 14.00, c0090}, if({C 14.00, c0061} ≠ N, {C 14.01,  (c0460+c0470)})), where 
{C 14.00, c0060} = Trading book, 
{C 14.00, c0110} = Sponsor, 
{C 14.00, c0040} = Traditional, AP and AT, 
{C 14.00, c0075} = Yes, 
{C 14.00, c0160} = Other wholesale exposures,
{C 14.00, c0070} = securitisation</t>
  </si>
  <si>
    <t>if(and({C 14.00, c0061} = N, {C 14.00, c0080}=A or D), {C 14.00, c0140}*{C 14.00, c0090}, if({C 14.00, c0061} ≠ N, {C 14.01, (c0460+c0470)})), where 
{C 14.00, c0060} = Trading book, 
{C 14.00, c0110} = Sponsor, 
{C 14.00, c0040} = Traditional, AP and AT, 
{C 14.00, c0075} = No, 
{C 14.00, c0160} = Other wholesale exposures,
{C 14.00, c0070} = securitisation</t>
  </si>
  <si>
    <t>if(and({C 14.00, c0061} = N, {C 14.00, c0080}=A or D), {C 14.00, c0140}*{C 14.00, c0090}, if({C 14.00, c0061} ≠ N, {C 14.01,  (c0460+c0470)})), where 
{C 14.00, c0060} = Trading book, 
{C 14.00, c0110} = Sponsor, 
{C 14.00, c0040} = Synthetic, 
{C 14.00, c0160} = Other wholesale exposures,
{C 14.00, c0070} = securitisation</t>
  </si>
  <si>
    <t>if(and({C 14.00, c0061} = N, {C 14.00, c0080}=A or D), {C 14.00, c0140}*{C 14.00, c0090}, if({C 14.00, c0061} ≠ N, {C 14.01,(c0460+c0470)})), where 
{C 14.00, c0060} = Trading book, 
{C 14.00, c0110} = Sponsor, 
{C 14.00, c0160} = Other wholesale exposures,
{C 14.00, c0070} = securitisation</t>
  </si>
  <si>
    <t>{C 14.01,  (c0460+c0470)} where 
({C 14.01, c0450} != empty, 
{C 14.00, c0110} = Investor, 
{C 14.00, c0040} = Traditional, AP and AT, 
{C 14.00, c0075} = Yes, 
{C 14.00, c0160} = Other wholesale exposures,
{C 14.00, c0070} = securitisation)</t>
  </si>
  <si>
    <t>{C 14.01,  (c0460+c0470)} where 
({C 14.01, c0450} != empty, 
{C 14.00, c0110} = Investor, 
{C 14.00, c0040} = Traditional, AP and AT, 
{C 14.00, c0075} = No, 
{C 14.00, c0160} = Other wholesale exposures,
{C 14.00, c0070} = securitisation)</t>
  </si>
  <si>
    <t>{C 14.01,  (c0460+c0470)} where 
({C 14.01, c0450} != empty, 
{C 14.00, c0110} = Investor, 
{C 14.00, c0040} = Synthetic, 
{C 14.00, c0160} = Other wholesale exposures,
{C 14.00, c0070} = securitisation)</t>
  </si>
  <si>
    <t>{C 14.01,  (c0460+c0470)} where 
({C 14.01, c0450} != empty, 
{C 14.00, c0110} = Investor, 
{C 14.00, c0160} = Other wholesale exposures,
{C 14.00, c0070} = securitisation)</t>
  </si>
  <si>
    <t>if(and({C 14.00, c0061} = N, {C 14.00, c0080}=A or D), {C 14.00, c0140}*{C 14.00, c0090}, if({C 14.00, c0061} ≠ N, {C 14.01, (c0460+c0470)})), where 
{C 14.00, c0060} = Trading book, 
{C 14.00, c0110} = Originator, 
{C 14.00, c0040} = Traditional, AP and AT, 
{C 14.00, c0075} = Yes, 
{C 14.00, c0160} = Commercial mortgages, Leasing, Loans to corporates, Loans to SMEs (treated as corporates), Trade receivables and Other wholesale exposures, 
{C 14.00, c0070} = re-securitisation</t>
  </si>
  <si>
    <t>if(and({C 14.00, c0061} = N, {C 14.00, c0080}=A or D), {C 14.00, c0140}*{C 14.00, c0090}, if({C 14.00, c0061} ≠ N, {C 14.01,  (c0460+c0470)})), where 
{C 14.00, c0060} = Trading book, 
{C 14.00, c0110} = Originator, 
{C 14.00, c0040} = Traditional, AP and AT, 
{C 14.00, c0075} = No, 
{C 14.00, c0160} = Commercial mortgages, Leasing, Loans to corporates, Loans to SMEs (treated as corporates), Trade receivables and Other wholesale exposures, 
{C 14.00, c0070} = re-securitisation</t>
  </si>
  <si>
    <t>if(and({C 14.00, c0061} = N, {C 14.00, c0080}=A or D), {C 14.00, c0140}*{C 14.00, c0090}, if({C 14.00, c0061} ≠ N, {C 14.01, (c0460+c0470)})), where 
{C 14.00, c0060} = Trading book, 
{C 14.00, c0110} = Originator, 
{C 14.00, c0040} = Synthetic, 
{C 14.00, c0160} = Commercial mortgages, Leasing, Loans to corporates, Loans to SMEs (treated as corporates), Trade receivables and Other wholesale exposures, 
{C 14.00, c0070} = re-securitisation</t>
  </si>
  <si>
    <t>if(and({C 14.00, c0061} = N, {C 14.00, c0080}=A or D), {C 14.00, c0140}*{C 14.00, c0090}, if({C 14.00, c0061} ≠ N, {C 14.01, (c0460+c0470)})), where 
{C 14.00, c0060} = Trading book, 
{C 14.00, c0110} = Originator, 
{C 14.00, c0160} = Commercial mortgages, Leasing, Loans to corporates, Loans to SMEs (treated as corporates), Trade receivables and Other wholesale exposures, 
{C 14.00, c0070} = re-securitisation</t>
  </si>
  <si>
    <t>if(and({C 14.00, c0061} = N, {C 14.00, c0080}=A or D), {C 14.00, c0140}*{C 14.00, c0090}, if({C 14.00, c0061} ≠ N, {C 14.01, (c0460+c0470)})), where 
{C 14.00, c0060} = Trading book, 
{C 14.00, c0110} = Sponsor, 
{C 14.00, c0040} = Traditional, AP and AT, 
{C 14.00, c0075} = Yes, 
{C 14.00, c0160} = Commercial mortgages, Leasing, Loans to corporates, Loans to SMEs (treated as corporates), Trade receivables and Other wholesale exposures, 
{C 14.00, c0070} = re-securitisation</t>
  </si>
  <si>
    <t>if(and({C 14.00, c0061} = N, {C 14.00, c0080}=A or D), {C 14.00, c0140}*{C 14.00, c0090}, if({C 14.00, c0061} ≠ N, {C 14.01, (c0460+c0470)})), where 
{C 14.00, c0060} = Trading book, 
{C 14.00, c0110} = Sponsor, 
{C 14.00, c0040} = Traditional, AP and AT, 
{C 14.00, c0075} = No, 
{C 14.00, c0160} = Commercial mortgages, Leasing, Loans to corporates, Loans to SMEs (treated as corporates), Trade receivables and Other wholesale exposures, 
{C 14.00, c0070} = re-securitisation</t>
  </si>
  <si>
    <t>if(and({C 14.00, c0061} = N, {C 14.00, c0080}=A or D), {C 14.00, c0140}*{C 14.00, c0090}, if({C 14.00, c0061} ≠ N, {C 14.01,  (c0460+c0470)})), where 
{C 14.00, c0060} = Trading book, 
{C 14.00, c0110} = Sponsor, 
{C 14.00, c0040} = Synthetic, 
{C 14.00, c0160} = Commercial mortgages, Leasing, Loans to corporates, Loans to SMEs (treated as corporates), Trade receivables and Other wholesale exposures, 
{C 14.00, c0070} = re-securitisation</t>
  </si>
  <si>
    <t>if(and({C 14.00, c0061} = N, {C 14.00, c0080}=A or D), {C 14.00, c0140}*{C 14.00, c0090}, if({C 14.00, c0061} ≠ N, {C 14.01,  (c0460+c0470)})), where 
{C 14.00, c0060} = Trading book, 
{C 14.00, c0110} = Sponsor, 
{C 14.00, c0160} = Commercial mortgages, Leasing, Loans to corporates, Loans to SMEs (treated as corporates), Trade receivables and Other wholesale exposures, 
{C 14.00, c0070} = re-securitisation</t>
  </si>
  <si>
    <t>{C 14.01, (c0460+c0470)} where 
({C 14.01, c0450} != empty, 
{C 14.00, c0110} = Investor, 
{C 14.00, c0040} = Traditional, AP and AT, 
{C 14.00, c0075} = Yes, 
{C 14.00, c0160} = Commercial mortgages, Leasing, Loans to corporates, Loans to SMEs (treated as corporates), Trade receivables and Other wholesale exposures, 
{C 14.00, c0070} = re-securitisation)</t>
  </si>
  <si>
    <t>{C 14.01, (c0460+c0470)} where 
({C 14.01, c0450} != empty, 
{C 14.00, c0110} = Investor, 
{C 14.00, c0040} = Traditional, AP and AT, 
{C 14.00, c0075} = No, 
{C 14.00, c0160} = Commercial mortgages, Leasing, Loans to corporates, Loans to SMEs (treated as corporates), Trade receivables and Other wholesale exposures, 
{C 14.00, c0070} = re-securitisation)</t>
  </si>
  <si>
    <t>{C 14.01, (c0460+c0470)} where 
({C 14.01, c0450} != empty, 
{C 14.00, c0110} = Investor, 
{C 14.00, c0040} = Synthetic, 
{C 14.00, c0160} = Commercial mortgages, Leasing, Loans to corporates, Loans to SMEs (treated as corporates), Trade receivables and Other wholesale exposures, 
{C 14.00, c0070} = re-securitisation)</t>
  </si>
  <si>
    <t>{C 14.01, (c0460+c0470)} where 
({C 14.01, c0450} != empty, 
{C 14.00, c0110} = Investor, 
{C 14.00, c0160} = Commercial mortgages, Leasing, Loans to corporates, Loans to SMEs (treated as corporates), Trade receivables and Other wholesale exposures, 
{C 14.00, c0070} = re-securitisation)</t>
  </si>
  <si>
    <t>Differences between accounting and regulatory scopes of consolidation and mapping of financial statement categories with regulatory risk categories</t>
  </si>
  <si>
    <t>Outline of the differences in the scopes of consolidation (entity by entity)</t>
  </si>
  <si>
    <t xml:space="preserve">Template EU LI1 - Differences between accounting and regulatory scopes of consolidation and mapping of financial statement categories with regulatory risk categories </t>
  </si>
  <si>
    <t xml:space="preserve"> </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</si>
  <si>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</si>
  <si>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</si>
  <si>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</si>
  <si>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</si>
  <si>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</si>
  <si>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</si>
  <si>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</si>
  <si>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</si>
  <si>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Breakdown by asset clases according to the balance sheet in the published financial statements</t>
  </si>
  <si>
    <t xml:space="preserve">Total assets </t>
  </si>
  <si>
    <t>Breakdown by liability classes according to the balance sheet in the published financial statements</t>
  </si>
  <si>
    <t xml:space="preserve">Total liabilities </t>
  </si>
  <si>
    <t xml:space="preserve">Template EU LI2 - Main sources of differences between regulatory exposure amounts and carrying values in financial statements </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</si>
  <si>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</si>
  <si>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</si>
  <si>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</si>
  <si>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</si>
  <si>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</si>
  <si>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</si>
  <si>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</si>
  <si>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</si>
  <si>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</si>
  <si>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</si>
  <si>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</si>
  <si>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</si>
  <si>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</si>
  <si>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</si>
  <si>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</si>
  <si>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</si>
  <si>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</si>
  <si>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 xml:space="preserve">Template EU LI3 - Outline of the differences in the scopes of consolidation (entity by entity) </t>
  </si>
  <si>
    <t>Name of the entity</t>
  </si>
  <si>
    <t>Method of accounting consolidation</t>
  </si>
  <si>
    <t>Method of regulatory consolidation</t>
  </si>
  <si>
    <t>Description of the entity</t>
  </si>
  <si>
    <t>Full consolidation</t>
  </si>
  <si>
    <t>Proportional consolidation</t>
  </si>
  <si>
    <t>Equity method</t>
  </si>
  <si>
    <t>Neither consolidated nor deducted</t>
  </si>
  <si>
    <t>Deducted</t>
  </si>
  <si>
    <t>X</t>
  </si>
  <si>
    <t>Table EU LIA - Explanations of differences between accounting and regulatory exposure amounts</t>
  </si>
  <si>
    <t>Free format text boxes for disclosure of qualitative information</t>
  </si>
  <si>
    <t>Legal basis</t>
  </si>
  <si>
    <t>Row number</t>
  </si>
  <si>
    <t>Qualitative information - Free format</t>
  </si>
  <si>
    <t>Article 436(b) CRR</t>
  </si>
  <si>
    <t>Differences between columns (a) and (b) in template EU LI1</t>
  </si>
  <si>
    <t>Article 436(d) CRR</t>
  </si>
  <si>
    <t>Qualitative information on the main sources of differences between the accounting and regulatoy scope of consolidation shown in template EU LI2</t>
  </si>
  <si>
    <t>Table EU LIB - Other qualitative information on the scope of application</t>
  </si>
  <si>
    <t>Article 436(f) CRR</t>
  </si>
  <si>
    <t>Impediment to the prompt transfer of own funds or to the repayment of liabilities within the group</t>
  </si>
  <si>
    <t>Article 436(g) CRR</t>
  </si>
  <si>
    <t xml:space="preserve">Subsidiaries not included in the consolidation with own funds less than required </t>
  </si>
  <si>
    <t>Article 436(h) CRR</t>
  </si>
  <si>
    <t>Use of derogation referred to in Article 7 CRR or individual consolidation method laid down in Article 9 CRR</t>
  </si>
  <si>
    <t>(d)</t>
  </si>
  <si>
    <t>Aggregate amount by which the actual own funds are less than required in all subsidiaries that are not included in the consolidation</t>
  </si>
  <si>
    <t>KM1</t>
  </si>
  <si>
    <t>Key metrics (at consolidated group level)</t>
  </si>
  <si>
    <t>Quarterly</t>
  </si>
  <si>
    <t>KM2</t>
  </si>
  <si>
    <t>Key metrics – total loss-absorbing capacity (TLAC) requirements (at resolution group level)</t>
  </si>
  <si>
    <t>Annual</t>
  </si>
  <si>
    <t>OV1</t>
  </si>
  <si>
    <t>Overview of risk-weighted assets (RWA)</t>
  </si>
  <si>
    <t>CCA</t>
  </si>
  <si>
    <t>CC1</t>
  </si>
  <si>
    <t>Composition of regulatory capital</t>
  </si>
  <si>
    <t>CC2</t>
  </si>
  <si>
    <t>Reconciliation of regulatory capital to balance sheet</t>
  </si>
  <si>
    <t>TLAC1</t>
  </si>
  <si>
    <t>TLAC composition for global systemically important banks (G-SIBs) (at resolution group level)</t>
  </si>
  <si>
    <t>TLAC2</t>
  </si>
  <si>
    <t>Material subgroup entity – creditor ranking at legal entity level</t>
  </si>
  <si>
    <t>TLAC3</t>
  </si>
  <si>
    <t>Resolution entity – creditor ranking at legal entity level</t>
  </si>
  <si>
    <t>LI1</t>
  </si>
  <si>
    <t>LI2</t>
  </si>
  <si>
    <t>Main sources of differences between regulatory exposure amounts and carrying values in financial statementsc</t>
  </si>
  <si>
    <t>PV1</t>
  </si>
  <si>
    <t>Prudent valuation adjustments (PVAs)</t>
  </si>
  <si>
    <t>Remuneration policy</t>
  </si>
  <si>
    <t>REM1</t>
  </si>
  <si>
    <t>Remuneration awarded during financial year</t>
  </si>
  <si>
    <t>REM2</t>
  </si>
  <si>
    <t>Special payments</t>
  </si>
  <si>
    <t>REM3</t>
  </si>
  <si>
    <t>Deferred remuneration</t>
  </si>
  <si>
    <t>CR1</t>
  </si>
  <si>
    <t>CR2</t>
  </si>
  <si>
    <t>CR3</t>
  </si>
  <si>
    <t>Credit risk mitigation techniques - overview</t>
  </si>
  <si>
    <t>CR4</t>
  </si>
  <si>
    <t>Standardised approach - Credit risk exposure and credit risk mitigation effects</t>
  </si>
  <si>
    <t>CR5</t>
  </si>
  <si>
    <t>Standardised approach - Exposures by asset classes and risk weights</t>
  </si>
  <si>
    <t>CR6</t>
  </si>
  <si>
    <t>IRB - Credit risk exposures by portfolio and probability of default (PD) range</t>
  </si>
  <si>
    <t>CR7</t>
  </si>
  <si>
    <t>IRB - Effect on RWA of credit derivatives used as credit risk mitigation (CRM) techniques</t>
  </si>
  <si>
    <t>CR8</t>
  </si>
  <si>
    <t>RWA flow statements of credit risk exposures under IRB</t>
  </si>
  <si>
    <t>CR9</t>
  </si>
  <si>
    <t>IRB - Backtesting of probability of default (PD) per portfolio</t>
  </si>
  <si>
    <t>CR10</t>
  </si>
  <si>
    <t>CCR1</t>
  </si>
  <si>
    <t>Analysis of CCR exposures by approach</t>
  </si>
  <si>
    <t>CCR3</t>
  </si>
  <si>
    <t>Standardised approach – CCR exposures by regulatory portfolio and risk weights</t>
  </si>
  <si>
    <t>CCR4</t>
  </si>
  <si>
    <t>IRB – CCR exposures by portfolio and probability-of-default (PD) scale</t>
  </si>
  <si>
    <t>CCR5</t>
  </si>
  <si>
    <t>CCR6</t>
  </si>
  <si>
    <t>CCR7</t>
  </si>
  <si>
    <t>RWA flow statements of CCR exposures under the internal models method (IMM)</t>
  </si>
  <si>
    <t>CCR8</t>
  </si>
  <si>
    <t>SEC1</t>
  </si>
  <si>
    <t>Securitisation exposures in the banking book</t>
  </si>
  <si>
    <t>SEC2</t>
  </si>
  <si>
    <t>SEC3</t>
  </si>
  <si>
    <t>Securitisation exposures in the banking book and associated regulatory capital requirements – bank acting as originator or as sponsor</t>
  </si>
  <si>
    <t>SEC4</t>
  </si>
  <si>
    <t>Securitisation exposures in the banking book and associated capital requirements – bank acting as investor</t>
  </si>
  <si>
    <t>MR1</t>
  </si>
  <si>
    <t>Market risk for banks using the IMA</t>
  </si>
  <si>
    <t>MR3</t>
  </si>
  <si>
    <t>OR1</t>
  </si>
  <si>
    <t>IRRBB1</t>
  </si>
  <si>
    <t>Quantitative information on IRRBB</t>
  </si>
  <si>
    <t>CCyB1</t>
  </si>
  <si>
    <t>Geographical distribution of credit exposures used in the calculation of the bank-specific countercyclical capital buffer requirement</t>
  </si>
  <si>
    <t>LR1</t>
  </si>
  <si>
    <t>Summary comparison of accounting assets vs leverage ratio exposure measure</t>
  </si>
  <si>
    <t>LR2</t>
  </si>
  <si>
    <t>Leverage ratio common disclosure template</t>
  </si>
  <si>
    <t>LIQ1</t>
  </si>
  <si>
    <t>Liquidity coverage ratio (LCR)</t>
  </si>
  <si>
    <t>LIQ2</t>
  </si>
  <si>
    <t>Net stable funding ratio (NSFR)</t>
  </si>
  <si>
    <t>LI3</t>
  </si>
  <si>
    <t>CR2a</t>
  </si>
  <si>
    <t>CCR2</t>
  </si>
  <si>
    <t>INS1</t>
  </si>
  <si>
    <t>CCyB2</t>
  </si>
  <si>
    <t>LR3</t>
  </si>
  <si>
    <t>CR1-A</t>
  </si>
  <si>
    <t>CQ1</t>
  </si>
  <si>
    <t>CQ2</t>
  </si>
  <si>
    <t>CQ3</t>
  </si>
  <si>
    <t>CQ4</t>
  </si>
  <si>
    <t>CQ5</t>
  </si>
  <si>
    <t>CQ6</t>
  </si>
  <si>
    <t>CQ7</t>
  </si>
  <si>
    <t>CQ8</t>
  </si>
  <si>
    <t>MR2-B</t>
  </si>
  <si>
    <t>MR4</t>
  </si>
  <si>
    <t>AE1</t>
  </si>
  <si>
    <t>AE2</t>
  </si>
  <si>
    <t>AE3</t>
  </si>
  <si>
    <t>SEC5</t>
  </si>
  <si>
    <t>Amount of institution-specific countercyclical capital buffer</t>
  </si>
  <si>
    <t>Maturity of exposures</t>
  </si>
  <si>
    <t>Collateral valuation - loans and advances</t>
  </si>
  <si>
    <t>Collateral obtained by taking possession and execution processes</t>
  </si>
  <si>
    <t>Comparison of VaR estimates with gains/losses</t>
  </si>
  <si>
    <t>INS2</t>
  </si>
  <si>
    <t>CR6-A</t>
  </si>
  <si>
    <t>CR7-A</t>
  </si>
  <si>
    <t>IRB approach – Back-testing of PD per exposure class (only for  PD estimates according to point (f) of Article 180(1) CRR)</t>
  </si>
  <si>
    <t>CR9.1</t>
  </si>
  <si>
    <t>REM4</t>
  </si>
  <si>
    <t>Remuneration of 1 million EUR or more per year</t>
  </si>
  <si>
    <t>REM5</t>
  </si>
  <si>
    <t>Information on remuneration of staff whose professional activities have a material impact on institutions’ risk profile (identified staff)</t>
  </si>
  <si>
    <t>Changes in the stock of non-performing loans and advances</t>
  </si>
  <si>
    <t>SNN uses the standardised apporach for calculating REA for equities and does not use the slotting approach for SL</t>
  </si>
  <si>
    <t>SNN has no credit derivatives as at December 31 2022</t>
  </si>
  <si>
    <t xml:space="preserve">Table EU IRRBBA - Qualitative information on interest rate risks of non-trading book activities </t>
  </si>
  <si>
    <t>A description of how the institution defines IRRBB for purposes of risk control and measurement.</t>
  </si>
  <si>
    <t>Article 448.1 (e), first paragraph</t>
  </si>
  <si>
    <t>A description of the institution's overall IRRBB management and mitigation strategies.</t>
  </si>
  <si>
    <t>Article 448.1 (f)</t>
  </si>
  <si>
    <t>The periodicity of the calculation of the institution's IRRBB measures, and a description of the specific measures that the institution uses to gauge its sensitivity to IRRBB.</t>
  </si>
  <si>
    <t>Article 448.1 (e) (i) and (v); Article 448.2</t>
  </si>
  <si>
    <t>A description of the interest rate shock and stress scenarios that the institution uses to estimate changes in the economic value and in net interest income (if applicable).</t>
  </si>
  <si>
    <t>Article 448.1 (e) (iii); 
Article 448.2</t>
  </si>
  <si>
    <t>(e )</t>
  </si>
  <si>
    <t>A description of the key modelling and parametric assumptions different from those used for disclosure of template EU IRRBB1 (if applicable).</t>
  </si>
  <si>
    <t>Article 448.1 (e) (ii);
Article 448.2</t>
  </si>
  <si>
    <t>(f)</t>
  </si>
  <si>
    <t>A high-level description of how the bank hedges its IRRBB, as well as the associated
accounting treatment (if applicable).</t>
  </si>
  <si>
    <t>Article 448.1 (e) (iv);
Article 448.2</t>
  </si>
  <si>
    <t>(g)</t>
  </si>
  <si>
    <t>A description of key modelling and parametric assumptions used for the IRRBB measures in template EU IRRBB1 (if applicable).</t>
  </si>
  <si>
    <t>Article 448.1 (c);
Article 448.2</t>
  </si>
  <si>
    <t>Explanation of the significance of the IRRBB measures and of their significant variations since previous disclosures</t>
  </si>
  <si>
    <t xml:space="preserve">Article 448.1 (d) </t>
  </si>
  <si>
    <t>Any other relevant information regarding the IRRBB measures disclosed in template EU IRRBB1 (optional)</t>
  </si>
  <si>
    <t>(1) (2)</t>
  </si>
  <si>
    <t>Disclosure of the average and longest repricing maturity assigned to non-maturity deposits</t>
  </si>
  <si>
    <t xml:space="preserve">Article 448.1 (g) </t>
  </si>
  <si>
    <t xml:space="preserve"> Template EU IRRBB1 - Interest rate risks of non-trading book activities</t>
  </si>
  <si>
    <t>Supervisory shock scenarios</t>
  </si>
  <si>
    <t>Changes of the economic value of equity</t>
  </si>
  <si>
    <t>Changes of the net interest income</t>
  </si>
  <si>
    <t>Current period</t>
  </si>
  <si>
    <t>Last period</t>
  </si>
  <si>
    <t>requirement</t>
  </si>
  <si>
    <t>Parallel up</t>
  </si>
  <si>
    <t xml:space="preserve">Parallel down </t>
  </si>
  <si>
    <t xml:space="preserve">Steepener </t>
  </si>
  <si>
    <t>Flattener</t>
  </si>
  <si>
    <t>Short rates up</t>
  </si>
  <si>
    <t>Short rates down</t>
  </si>
  <si>
    <t>The level of SNN's NPL-ratio is below 5%</t>
  </si>
  <si>
    <t>MR2-A</t>
  </si>
  <si>
    <t>Semi-annual</t>
  </si>
  <si>
    <t>Scope of application</t>
  </si>
  <si>
    <t>Key metrics and overview of risk-weighted exposure amounts</t>
  </si>
  <si>
    <t>Credit risk quality</t>
  </si>
  <si>
    <t>Credit risk mitigation techniques</t>
  </si>
  <si>
    <t>Use of standardised approach</t>
  </si>
  <si>
    <t>Use of the IRB approach to credit risk</t>
  </si>
  <si>
    <t>Specialised lending</t>
  </si>
  <si>
    <t>Counterparty credit risk</t>
  </si>
  <si>
    <t>Standardised approach and internal model for market risk</t>
  </si>
  <si>
    <t>Countercyclical capital buffers</t>
  </si>
  <si>
    <t>Liquidity requirements</t>
  </si>
  <si>
    <t>Interest rate risk in the banking book</t>
  </si>
  <si>
    <t>Securitisation positions</t>
  </si>
  <si>
    <t>EBA-template</t>
  </si>
  <si>
    <t>EBA-description</t>
  </si>
  <si>
    <t>SNN is not defined as a G-SIBs</t>
  </si>
  <si>
    <t>Reason for exclusion</t>
  </si>
  <si>
    <t>Specialised lending and equity exposures under the simple riskweighted approach</t>
  </si>
  <si>
    <t>Information about remuneration and remuneration policy can be found in the annual report</t>
  </si>
  <si>
    <t>SNN does not have any securitisation exposures as at December 31 2022</t>
  </si>
  <si>
    <t>SNN is not defined as a Financial conglomerate</t>
  </si>
  <si>
    <t>SNNs exposure is lower than thresholds in Article 94 of CRR. Exposure is therefor treated in accordance with point (a) of Article 92(3).</t>
  </si>
  <si>
    <t>SNN does not calculate CCR exposures according to IMM</t>
  </si>
  <si>
    <t>The following EU templates are not applicable for SNN as at 31 December 2022</t>
  </si>
  <si>
    <t>Issuer</t>
  </si>
  <si>
    <t>SpareBank 1 Nord-Norge</t>
  </si>
  <si>
    <t>SpareBank 1 Boligkreditt</t>
  </si>
  <si>
    <t>BN Bank ASA</t>
  </si>
  <si>
    <t>Share</t>
  </si>
  <si>
    <t>Unique identifier (eg CUSIP, ISIN or Bloomberg identifier for private placement)</t>
  </si>
  <si>
    <t>NO0006000801</t>
  </si>
  <si>
    <t>NO0010830342</t>
  </si>
  <si>
    <t>NO0010958127</t>
  </si>
  <si>
    <t>NO0010830334</t>
  </si>
  <si>
    <t>NO0010852262</t>
  </si>
  <si>
    <t>NO0010993009</t>
  </si>
  <si>
    <t>NO0010850621</t>
  </si>
  <si>
    <t>NO0010890825</t>
  </si>
  <si>
    <t>NO0010826696</t>
  </si>
  <si>
    <t>NO0010835408</t>
  </si>
  <si>
    <t>NO0010833908</t>
  </si>
  <si>
    <t>NO0010842222</t>
  </si>
  <si>
    <t>NO0010834930</t>
  </si>
  <si>
    <t>NO0010871445</t>
  </si>
  <si>
    <t>Public or private placement</t>
  </si>
  <si>
    <t>Public</t>
  </si>
  <si>
    <t>Governing law(s) of the instrument</t>
  </si>
  <si>
    <t>Norwegian law</t>
  </si>
  <si>
    <t>3a </t>
  </si>
  <si>
    <t>Contractual recognition of write down and conversion powers of resolution authorities</t>
  </si>
  <si>
    <t>Yes</t>
  </si>
  <si>
    <t>Regulatory treatment</t>
  </si>
  <si>
    <t xml:space="preserve">    Current treatment taking into account, where applicable, transitional CRR rules</t>
  </si>
  <si>
    <t>Additional Tier 1</t>
  </si>
  <si>
    <t>Tier 2</t>
  </si>
  <si>
    <t xml:space="preserve">     Post-transitional CRR rules</t>
  </si>
  <si>
    <t xml:space="preserve">     Eligible at solo/(sub-)consolidated/ solo&amp;(sub-)consolidated</t>
  </si>
  <si>
    <t>Solo and (Sub-) Consolidated</t>
  </si>
  <si>
    <t>(Sub-) Consolidated</t>
  </si>
  <si>
    <t xml:space="preserve">     Instrument type (types to be specified by each jurisdiction)</t>
  </si>
  <si>
    <t>Ordinary shares</t>
  </si>
  <si>
    <t>Hybrid capital</t>
  </si>
  <si>
    <t>Subordinated loan capital</t>
  </si>
  <si>
    <t>Amount recognised in regulatory capital or eligible liabilities  (Currency in million, as of most recent reporting date)</t>
  </si>
  <si>
    <t xml:space="preserve">Nominal amount of instrument </t>
  </si>
  <si>
    <t>Issue price (NOK)</t>
  </si>
  <si>
    <t>Various</t>
  </si>
  <si>
    <t>Redemption price (NOK)</t>
  </si>
  <si>
    <t>Accounting classification</t>
  </si>
  <si>
    <t>Shareholders' equity</t>
  </si>
  <si>
    <t>Other equity instrument</t>
  </si>
  <si>
    <t>Liabilites - amortised cost</t>
  </si>
  <si>
    <t>Original date of issuance</t>
  </si>
  <si>
    <t>Perpetual or dated</t>
  </si>
  <si>
    <t>Perpetual</t>
  </si>
  <si>
    <t>Dated</t>
  </si>
  <si>
    <t xml:space="preserve">     Original maturity date </t>
  </si>
  <si>
    <t>No maturity</t>
  </si>
  <si>
    <t>Issuer call subject to prior supervisory approval</t>
  </si>
  <si>
    <t>No</t>
  </si>
  <si>
    <t xml:space="preserve">     Optional call date, contingent call dates and redemption amount </t>
  </si>
  <si>
    <t>100 % of nominal. Tax- and regulatory call.</t>
  </si>
  <si>
    <t xml:space="preserve">     Subsequent call dates, if applicable</t>
  </si>
  <si>
    <t>Coupons / dividends</t>
  </si>
  <si>
    <t xml:space="preserve">Fixed or floating dividend/coupon </t>
  </si>
  <si>
    <t>Floating</t>
  </si>
  <si>
    <t xml:space="preserve">Coupon rate and any related index </t>
  </si>
  <si>
    <t>3 month NIBOR + 3,30 %</t>
  </si>
  <si>
    <t>3 month NIBOR + 0,90 %</t>
  </si>
  <si>
    <t>3 month NIBOR + 1,40 %</t>
  </si>
  <si>
    <t>3 month NIBOR + 2,50 %</t>
  </si>
  <si>
    <t>3 month NIBOR + 3,40 %</t>
  </si>
  <si>
    <t>3 month NIBOR + 3,00 %</t>
  </si>
  <si>
    <t>3 month NIBOR + 1,53 %</t>
  </si>
  <si>
    <t>3 month NIBOR + 1,67 %</t>
  </si>
  <si>
    <t>3 month NIBOR + 1,80 %</t>
  </si>
  <si>
    <t>3 month NIBOR + 1,92 %</t>
  </si>
  <si>
    <t>3 month NIBOR + 3,75 %</t>
  </si>
  <si>
    <t>3 month NIBOR + 1,37 %</t>
  </si>
  <si>
    <t xml:space="preserve">Existence of a dividend stopper </t>
  </si>
  <si>
    <t xml:space="preserve">     Fully discretionary, partially discretionary or mandatory (in terms of timing)</t>
  </si>
  <si>
    <t>Fully discretionary</t>
  </si>
  <si>
    <t>Mandatory</t>
  </si>
  <si>
    <t xml:space="preserve">     Fully discretionary, partially discretionary or mandatory (in terms of amount)</t>
  </si>
  <si>
    <t xml:space="preserve">     Existence of step up or other incentive to redeem</t>
  </si>
  <si>
    <t xml:space="preserve">     Noncumulative or cumulative</t>
  </si>
  <si>
    <t>Non-cumulative</t>
  </si>
  <si>
    <t>Convertible or non-convertible</t>
  </si>
  <si>
    <t>Non-convertible</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</si>
  <si>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</si>
  <si>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</si>
  <si>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</si>
  <si>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</si>
  <si>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</si>
  <si>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</si>
  <si>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</si>
  <si>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</si>
  <si>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When CET1 ratio falls below 5.125 on solo or consolidated level.</t>
  </si>
  <si>
    <t>When CET1 ratio falls below 5,125 % on solo or consolidated level.</t>
  </si>
  <si>
    <t xml:space="preserve">When CET1 falls below 5,125 % at solo or consolidated level. </t>
  </si>
  <si>
    <t xml:space="preserve">     If write-down, full or partial</t>
  </si>
  <si>
    <t>Either full or partial</t>
  </si>
  <si>
    <t xml:space="preserve">     If write-down, permanent or temporary</t>
  </si>
  <si>
    <t>Temporary</t>
  </si>
  <si>
    <t xml:space="preserve">        If temporary write-down, description of write-up mechanism</t>
  </si>
  <si>
    <t>Write-up by adding share of accumulated profits.</t>
  </si>
  <si>
    <t>34a </t>
  </si>
  <si>
    <t>Type of subordination (only for eligible liabilities)</t>
  </si>
  <si>
    <t>Statutory</t>
  </si>
  <si>
    <t>EU-34b</t>
  </si>
  <si>
    <t>Ranking of the instrument in normal insolvency proceedings</t>
  </si>
  <si>
    <t>Position in subordination hierarchy in liquidation (specify instrument type immediately senior to instrument)</t>
  </si>
  <si>
    <t>Senior non-preferred debt instruments</t>
  </si>
  <si>
    <t>Senior non-preferred bonds</t>
  </si>
  <si>
    <t>Senior unsecured debt instruments</t>
  </si>
  <si>
    <t>Non-compliant transitioned features</t>
  </si>
  <si>
    <t>If yes, specify non-compliant features</t>
  </si>
  <si>
    <t>37a</t>
  </si>
  <si>
    <t>Link to the full term and conditions of the intrument (signposting)</t>
  </si>
  <si>
    <t>https://nordictrustee.com/</t>
  </si>
  <si>
    <t>Performing and non-performing exposures and related provisions</t>
  </si>
  <si>
    <t>Total shareholders' equity</t>
  </si>
  <si>
    <t>Shareholders' Equity</t>
  </si>
  <si>
    <t>Total liabilities</t>
  </si>
  <si>
    <t>Total assets</t>
  </si>
  <si>
    <t>Under regulatory scope of consolidation</t>
  </si>
  <si>
    <t>Balance sheet as in published financial statements</t>
  </si>
  <si>
    <t>Template EU CC2 - reconciliation of regulatory own funds to balance sheet in the audited financial statements</t>
  </si>
  <si>
    <t>Total unweighted value (average)</t>
  </si>
  <si>
    <t>Total weighted value (average)</t>
  </si>
  <si>
    <t xml:space="preserve">Total exposure value </t>
  </si>
  <si>
    <t>Alpha used for computing regulatory exposure value</t>
  </si>
  <si>
    <t>EU-56a </t>
  </si>
  <si>
    <t>Collateral received by the disclosing institution</t>
  </si>
  <si>
    <r>
      <t>NSFR derivative assets</t>
    </r>
    <r>
      <rPr>
        <sz val="10"/>
        <rFont val="Calibri"/>
        <family val="2"/>
      </rPr>
      <t> </t>
    </r>
  </si>
  <si>
    <r>
      <t xml:space="preserve">Exposures to regional governments, MDB, international organisations and PSE </t>
    </r>
    <r>
      <rPr>
        <b/>
        <sz val="10"/>
        <color rgb="FF000000"/>
        <rFont val="Calibri"/>
        <family val="2"/>
      </rPr>
      <t xml:space="preserve">not </t>
    </r>
    <r>
      <rPr>
        <sz val="10"/>
        <color rgb="FF000000"/>
        <rFont val="Calibri"/>
        <family val="2"/>
      </rPr>
      <t>treated as sovereigns</t>
    </r>
  </si>
  <si>
    <r>
      <rPr>
        <strike/>
        <sz val="10"/>
        <rFont val="Calibri"/>
        <family val="2"/>
      </rPr>
      <t>(</t>
    </r>
    <r>
      <rPr>
        <sz val="10"/>
        <rFont val="Calibri"/>
        <family val="2"/>
      </rPr>
      <t>Adjustment for securities received under securities financing transactions that are recognised as an asset</t>
    </r>
    <r>
      <rPr>
        <strike/>
        <sz val="10"/>
        <rFont val="Calibri"/>
        <family val="2"/>
      </rPr>
      <t>)</t>
    </r>
  </si>
  <si>
    <r>
      <rPr>
        <strike/>
        <sz val="10"/>
        <rFont val="Calibri"/>
        <family val="2"/>
      </rPr>
      <t xml:space="preserve"> </t>
    </r>
    <r>
      <rPr>
        <sz val="10"/>
        <rFont val="Calibri"/>
        <family val="2"/>
      </rPr>
      <t>(Excluded exposures of public development banks (or units) - Promotional loans)</t>
    </r>
  </si>
  <si>
    <r>
      <rPr>
        <sz val="10"/>
        <rFont val="Calibri"/>
        <family val="2"/>
      </rPr>
      <t>Transactions subject to the Alternative approach (Based on the Original Exposure Method</t>
    </r>
    <r>
      <rPr>
        <u/>
        <sz val="10"/>
        <rFont val="Calibri"/>
        <family val="2"/>
      </rPr>
      <t>)</t>
    </r>
  </si>
  <si>
    <t>{C 08.05.1, c0005, s0001}</t>
  </si>
  <si>
    <t>{C 08.05.1, c0020, s0001}</t>
  </si>
  <si>
    <t>{C 08.05.1, c0030, s0001}</t>
  </si>
  <si>
    <t>{C 08.05.1, c0040, s0001}</t>
  </si>
  <si>
    <t>{C 08.05.1, c0010, s0001}</t>
  </si>
  <si>
    <t>{C 08.05.1, c0050, s0001}</t>
  </si>
  <si>
    <t>{C 08.05.1, c0006, s0002}</t>
  </si>
  <si>
    <t>{C 08.05.1, c0030, s0002}</t>
  </si>
  <si>
    <t>{C 08.05.1, c0050, s0002}</t>
  </si>
  <si>
    <r>
      <t xml:space="preserve">Risk weighted exposure amount after  </t>
    </r>
    <r>
      <rPr>
        <b/>
        <strike/>
        <sz val="10"/>
        <rFont val="Calibri"/>
        <family val="2"/>
      </rPr>
      <t xml:space="preserve"> </t>
    </r>
    <r>
      <rPr>
        <b/>
        <sz val="10"/>
        <rFont val="Calibri"/>
        <family val="2"/>
      </rPr>
      <t>supporting factor</t>
    </r>
  </si>
  <si>
    <r>
      <t xml:space="preserve">Assets - </t>
    </r>
    <r>
      <rPr>
        <i/>
        <sz val="10"/>
        <color rgb="FF000000"/>
        <rFont val="Calibri"/>
        <family val="2"/>
      </rPr>
      <t>Breakdown by asset clases according to the balance sheet in the published financial statements</t>
    </r>
  </si>
  <si>
    <r>
      <t>Liabilities</t>
    </r>
    <r>
      <rPr>
        <i/>
        <sz val="10"/>
        <color rgb="FF000000"/>
        <rFont val="Calibri"/>
        <family val="2"/>
      </rPr>
      <t xml:space="preserve"> - Breakdown by liability clases according to the balance sheet in the published financial statements</t>
    </r>
  </si>
  <si>
    <t>Frequency, if applicable</t>
  </si>
  <si>
    <t>Additional Pilar III disclosures</t>
  </si>
  <si>
    <t>Back to Contents page</t>
  </si>
  <si>
    <t>Template EU CR1-A: Maturity of exposures</t>
  </si>
  <si>
    <t>Net exposure value</t>
  </si>
  <si>
    <t>On demand</t>
  </si>
  <si>
    <t>&lt;= 1 year</t>
  </si>
  <si>
    <t>&gt; 1 year &lt;= 5 years</t>
  </si>
  <si>
    <t>&gt; 5 years</t>
  </si>
  <si>
    <t>No stated maturity</t>
  </si>
  <si>
    <t>Fredrik Langes gate 20 AS</t>
  </si>
  <si>
    <t>Rødbanken Holding AS</t>
  </si>
  <si>
    <t>Acquisition method</t>
  </si>
  <si>
    <t>SpareBank 1 Nord-Norge Portefølje AS</t>
  </si>
  <si>
    <t>EiendomsMegler 1 Nord-Norge AS</t>
  </si>
  <si>
    <t>SpareBank 1 Regnskapshuset Nord-Norge AS</t>
  </si>
  <si>
    <t>SpareBank 1 Kundepleie AS</t>
  </si>
  <si>
    <t>SpareBank 1 Bank og Regnskap AS</t>
  </si>
  <si>
    <t>SpareBank 1 Gruppen AS</t>
  </si>
  <si>
    <t>SpareBank 1 Betaling AS</t>
  </si>
  <si>
    <t>SpareBank 1 Kreditt AS</t>
  </si>
  <si>
    <t>SpareBank 1 Utvikling DA</t>
  </si>
  <si>
    <t>SpareBank 1 Boligkreditt AS</t>
  </si>
  <si>
    <t>SpareBank 1 Gjeldsinformasjon AS</t>
  </si>
  <si>
    <t>SpareBank 1 Forvaltning</t>
  </si>
  <si>
    <t>FVPL</t>
  </si>
  <si>
    <t>SpareBank 1 Næringskreditt AS</t>
  </si>
  <si>
    <t>SpareBank 1 Mobilitet Holding AS</t>
  </si>
  <si>
    <t>Parent bank</t>
  </si>
  <si>
    <t>Real estate company</t>
  </si>
  <si>
    <t>X*</t>
  </si>
  <si>
    <t>Real estate company (non-profit)</t>
  </si>
  <si>
    <t>Investment company</t>
  </si>
  <si>
    <t>Real estate broker</t>
  </si>
  <si>
    <t>Financing company</t>
  </si>
  <si>
    <t>Accounting and advisory services</t>
  </si>
  <si>
    <t>Software development</t>
  </si>
  <si>
    <t>Advisory services</t>
  </si>
  <si>
    <t>Financial holding company</t>
  </si>
  <si>
    <t>Software development and marketing</t>
  </si>
  <si>
    <t>Covered bond issuer</t>
  </si>
  <si>
    <t>NO0012428152</t>
  </si>
  <si>
    <t>3 month NIBOR + 2,60 %</t>
  </si>
  <si>
    <t>NO0012753591</t>
  </si>
  <si>
    <t>3 month NIBOR + 3,90 %</t>
  </si>
  <si>
    <t>NO0012451782</t>
  </si>
  <si>
    <t>NO0012451824</t>
  </si>
  <si>
    <t>3 month NIBOR + 1,55 %</t>
  </si>
  <si>
    <t>Cash and balances with Central Banks</t>
  </si>
  <si>
    <t>Loans and advances to credit institutions</t>
  </si>
  <si>
    <t>Net loans and advances to customers</t>
  </si>
  <si>
    <t>Shares</t>
  </si>
  <si>
    <t>Bonds and certificates</t>
  </si>
  <si>
    <t>Financial derivatives</t>
  </si>
  <si>
    <t>Investment in Group companies</t>
  </si>
  <si>
    <t>Investment in associated companies and joint ventures</t>
  </si>
  <si>
    <t>Property, plant and equipment</t>
  </si>
  <si>
    <t>Non-current assets held for sale</t>
  </si>
  <si>
    <t>Intangible assets</t>
  </si>
  <si>
    <t>Liabilities to credit institutions</t>
  </si>
  <si>
    <t>Deposits from customers</t>
  </si>
  <si>
    <t>Debt securities in issue</t>
  </si>
  <si>
    <t>Other liabilities</t>
  </si>
  <si>
    <t>Deferred tax liabilities</t>
  </si>
  <si>
    <t>3.3</t>
  </si>
  <si>
    <t>1.1</t>
  </si>
  <si>
    <t>1.2</t>
  </si>
  <si>
    <t>3.1</t>
  </si>
  <si>
    <t>3.2</t>
  </si>
  <si>
    <t>4.1</t>
  </si>
  <si>
    <t>4.2</t>
  </si>
  <si>
    <t>4.3</t>
  </si>
  <si>
    <t>4.4</t>
  </si>
  <si>
    <t>4.5</t>
  </si>
  <si>
    <t>Of which: corporates -  SMEs</t>
  </si>
  <si>
    <t>Corporates - SMEs</t>
  </si>
  <si>
    <t>Corporates - Specialised lending</t>
  </si>
  <si>
    <t>Corporates - Other</t>
  </si>
  <si>
    <t>Retail –  Immovable property SMEs</t>
  </si>
  <si>
    <t xml:space="preserve"> Retail – Immovable property non-SMEs</t>
  </si>
  <si>
    <t>Retail -  Other non-SMEs</t>
  </si>
  <si>
    <t>Retail - Other SMEs</t>
  </si>
  <si>
    <t>Total A-IRB</t>
  </si>
  <si>
    <t>SNN does not estimate PD in accordance to point f in article 180(1) of CRR</t>
  </si>
  <si>
    <t>Corporates - SME</t>
  </si>
  <si>
    <t>Corporates - Specialised Lending</t>
  </si>
  <si>
    <t>Retail - Secured by immovable property SME</t>
  </si>
  <si>
    <t>Retail - Secured by immovable property non-SME</t>
  </si>
  <si>
    <t>Retail - Other SME</t>
  </si>
  <si>
    <t>Retail - Other non-SME</t>
  </si>
  <si>
    <t xml:space="preserve">Norway </t>
  </si>
  <si>
    <r>
      <t>PD</t>
    </r>
    <r>
      <rPr>
        <b/>
        <strike/>
        <sz val="10"/>
        <rFont val="Calibri"/>
        <family val="2"/>
      </rPr>
      <t xml:space="preserve"> </t>
    </r>
    <r>
      <rPr>
        <sz val="10"/>
        <rFont val="Calibri"/>
        <family val="2"/>
      </rPr>
      <t>range</t>
    </r>
  </si>
  <si>
    <t>Subtotal Retail - Other SME</t>
  </si>
  <si>
    <t>Subtotal Other non-SME</t>
  </si>
  <si>
    <t>Subtotal Retail - Secured by immovable property non-SME</t>
  </si>
  <si>
    <t>Subtotal Retail - Secured by immovable property SME</t>
  </si>
  <si>
    <t>Subtotal Corporates - Other</t>
  </si>
  <si>
    <t>Subtotal Corporates - Specialised Lending</t>
  </si>
  <si>
    <t>Subtotal Corporates - SME</t>
  </si>
  <si>
    <t>Total F-IRB (all exposures classes)</t>
  </si>
  <si>
    <t>Template EU CCR5 – Composition of collateral for CCR exposures</t>
  </si>
  <si>
    <t>na</t>
  </si>
  <si>
    <t>Template EU CR6 – IRB approach – Credit risk exposures by exposure class and PD range</t>
  </si>
  <si>
    <t>Cash and balances with central banks</t>
  </si>
  <si>
    <t>Loans to customers</t>
  </si>
  <si>
    <t>Certificates and bonds</t>
  </si>
  <si>
    <t>Investment in Group Companies, assosiated, companies and joint ventures</t>
  </si>
  <si>
    <t>Fixed assets</t>
  </si>
  <si>
    <t>Deposits</t>
  </si>
  <si>
    <t>Senior non-preferred and subordinated debt</t>
  </si>
  <si>
    <t>Equity Certificate capital and premium reserve</t>
  </si>
  <si>
    <t>Dividend Equalisation Fund</t>
  </si>
  <si>
    <t>Non-controlling interests</t>
  </si>
  <si>
    <t xml:space="preserve">Saving Bank's primary capital </t>
  </si>
  <si>
    <t>31.09.2022</t>
  </si>
  <si>
    <t>LCR - Total</t>
  </si>
  <si>
    <t>Amounts below the thresholds for deduction (subject to 250% risk weight) (For information)</t>
  </si>
  <si>
    <t xml:space="preserve">Of which secured by collateral </t>
  </si>
  <si>
    <t>Of which secured by financial guarantees</t>
  </si>
  <si>
    <t>Of which secured by credit derivatives</t>
  </si>
  <si>
    <t xml:space="preserve">RWEA without substitution effects
(reduction effects only)
</t>
  </si>
  <si>
    <t xml:space="preserve">RWEA with substitution effects
(both reduction and sustitution effects)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</si>
  <si>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</si>
  <si>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</si>
  <si>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</si>
  <si>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</si>
  <si>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</si>
  <si>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</si>
  <si>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 xml:space="preserve"> Unfunded credit 
Protection (UFCP)</t>
  </si>
  <si>
    <t>Funded credit 
Protection (FCP)</t>
  </si>
  <si>
    <t>(Exposures excluded from the leverage ratio total exposure measure in accordance with point (c ) of Article 429a(1) CRR)</t>
  </si>
  <si>
    <t>SpareBank 1 Finans AS Nord-Norge</t>
  </si>
  <si>
    <t xml:space="preserve"> Part of exposures covered by Financial Collaterals (%)</t>
  </si>
  <si>
    <t>Part of exposures covered by Other eligible collaterals (%)</t>
  </si>
  <si>
    <t>Part of exposures covered by Other funded credit protection (%)</t>
  </si>
  <si>
    <t>Part of exposures covered by Guarantees (%)</t>
  </si>
  <si>
    <t>Part of exposures covered by Credit Derivatives (%)</t>
  </si>
  <si>
    <t>Retail deposits and deposits from small business customers, of which:</t>
  </si>
  <si>
    <t>SNN calculate AVAs under the simplified approach as 0,1 % of the sum of the absolute value of fair-valued assets and liabilities which are included within the threshold calculation laid down in Article 4 of CRR.</t>
  </si>
  <si>
    <t>Main features of regulatory capital instruments</t>
  </si>
  <si>
    <t>Main features of regulatory own funds instruments</t>
  </si>
  <si>
    <t>Operational risk own funds requirements and risk-weighted exposure amounts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</si>
</sst>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 #,##0.00_ ;_ * \-#,##0.00_ ;_ * &quot;-&quot;??_ ;_ @_ "/>
    <numFmt numFmtId="165" formatCode="_ * #,##0_ ;_ * \-#,##0_ ;_ * &quot;-&quot;??_ ;_ @_ "/>
    <numFmt numFmtId="166" formatCode="_-* #,##0_-;\-* #,##0_-;_-* &quot;-&quot;??_-;_-@_-"/>
    <numFmt numFmtId="167" formatCode="0.0\ %"/>
    <numFmt numFmtId="168" formatCode="#,##0_);[Red]\(#,##0\);\-_)"/>
    <numFmt numFmtId="169" formatCode="#\ ##0"/>
    <numFmt numFmtId="170" formatCode="_(* #,##0_);_(* \(#,##0\);_(* &quot; - &quot;_);_(@_)"/>
    <numFmt numFmtId="171" formatCode="0.0"/>
    <numFmt numFmtId="172" formatCode="_-* #,##0.00000_-;\-* #,##0.00000_-;_-* &quot;-&quot;??_-;_-@_-"/>
    <numFmt numFmtId="173" formatCode="#,##0_ ;\-#,##0\ "/>
  </numFmts>
  <fonts count="128" x14ac:knownFonts="1">
    <font>
      <sz val="11"/>
      <color theme="1"/>
      <name val="SpareBank 1"/>
      <family val="2"/>
      <scheme val="minor"/>
    </font>
    <font>
      <sz val="10"/>
      <name val="Arial"/>
      <family val="2"/>
    </font>
    <font>
      <b/>
      <sz val="12"/>
      <name val="Arial"/>
      <family val="2"/>
    </font>
    <font>
      <b/>
      <sz val="10"/>
      <name val="Arial"/>
      <family val="2"/>
    </font>
    <font>
      <b/>
      <sz val="20"/>
      <name val="Arial"/>
      <family val="2"/>
    </font>
    <font>
      <b/>
      <sz val="16"/>
      <name val="Arial"/>
      <family val="2"/>
    </font>
    <font>
      <sz val="8.5"/>
      <color theme="1"/>
      <name val="Segoe UI"/>
      <family val="2"/>
    </font>
    <font>
      <sz val="10"/>
      <color theme="1"/>
      <name val="Arial"/>
      <family val="2"/>
    </font>
    <font>
      <b/>
      <sz val="16"/>
      <color theme="1"/>
      <name val="Arial"/>
      <family val="2"/>
    </font>
    <font>
      <b/>
      <sz val="8.5"/>
      <color theme="1"/>
      <name val="Segoe UI"/>
      <family val="2"/>
    </font>
    <font>
      <sz val="8"/>
      <color theme="1"/>
      <name val="Segoe UI"/>
      <family val="2"/>
    </font>
    <font>
      <b/>
      <sz val="10"/>
      <color theme="1"/>
      <name val="Arial"/>
      <family val="2"/>
    </font>
    <font>
      <b/>
      <sz val="11"/>
      <color theme="1"/>
      <name val="SpareBank 1"/>
      <family val="2"/>
      <scheme val="minor"/>
    </font>
    <font>
      <sz val="11"/>
      <name val="SpareBank 1"/>
      <family val="2"/>
      <scheme val="minor"/>
    </font>
    <font>
      <b/>
      <sz val="12"/>
      <color theme="1"/>
      <name val="Arial"/>
      <family val="2"/>
    </font>
    <font>
      <sz val="10"/>
      <color rgb="FF00B050"/>
      <name val="Arial"/>
      <family val="2"/>
    </font>
    <font>
      <sz val="11"/>
      <color rgb="FFFF0000"/>
      <name val="SpareBank 1"/>
      <family val="2"/>
      <scheme val="minor"/>
    </font>
    <font>
      <sz val="10"/>
      <color rgb="FFFF0000"/>
      <name val="Arial"/>
      <family val="2"/>
    </font>
    <font>
      <i/>
      <sz val="10"/>
      <name val="Arial"/>
      <family val="2"/>
    </font>
    <font>
      <b/>
      <sz val="11"/>
      <name val="SpareBank 1"/>
      <family val="2"/>
      <scheme val="minor"/>
    </font>
    <font>
      <strike/>
      <sz val="10"/>
      <name val="Arial"/>
      <family val="2"/>
    </font>
    <font>
      <u/>
      <sz val="11"/>
      <color rgb="FFFF0000"/>
      <name val="SpareBank 1"/>
      <family val="2"/>
      <scheme val="minor"/>
    </font>
    <font>
      <b/>
      <sz val="14"/>
      <name val="SpareBank 1"/>
      <family val="2"/>
      <scheme val="minor"/>
    </font>
    <font>
      <sz val="11"/>
      <color theme="1"/>
      <name val="SpareBank 1"/>
      <family val="2"/>
      <scheme val="minor"/>
    </font>
    <font>
      <u/>
      <sz val="11"/>
      <color theme="10"/>
      <name val="SpareBank 1"/>
      <family val="2"/>
      <scheme val="minor"/>
    </font>
    <font>
      <b/>
      <sz val="14"/>
      <color theme="1"/>
      <name val="SpareBank 1"/>
      <family val="2"/>
      <scheme val="minor"/>
    </font>
    <font>
      <sz val="11"/>
      <color rgb="FF000000"/>
      <name val="SpareBank 1"/>
      <family val="2"/>
      <scheme val="minor"/>
    </font>
    <font>
      <b/>
      <sz val="10"/>
      <color rgb="FF000000"/>
      <name val="SpareBank 1"/>
      <family val="2"/>
      <scheme val="minor"/>
    </font>
    <font>
      <b/>
      <sz val="14"/>
      <color rgb="FF000000"/>
      <name val="SpareBank 1"/>
      <family val="2"/>
      <scheme val="minor"/>
    </font>
    <font>
      <b/>
      <sz val="9"/>
      <color rgb="FF000000"/>
      <name val="SpareBank 1"/>
      <family val="2"/>
      <scheme val="minor"/>
    </font>
    <font>
      <b/>
      <sz val="9"/>
      <name val="SpareBank 1"/>
      <family val="2"/>
      <scheme val="minor"/>
    </font>
    <font>
      <sz val="9"/>
      <name val="SpareBank 1"/>
      <family val="2"/>
      <scheme val="minor"/>
    </font>
    <font>
      <i/>
      <sz val="9"/>
      <name val="SpareBank 1"/>
      <family val="2"/>
      <scheme val="minor"/>
    </font>
    <font>
      <b/>
      <sz val="10"/>
      <color rgb="FF000000"/>
      <name val="Arial"/>
      <family val="2"/>
    </font>
    <font>
      <i/>
      <sz val="10"/>
      <color theme="1"/>
      <name val="Arial"/>
      <family val="2"/>
    </font>
    <font>
      <b/>
      <sz val="14"/>
      <color theme="1"/>
      <name val="Arial"/>
      <family val="2"/>
    </font>
    <font>
      <sz val="11"/>
      <color theme="1"/>
      <name val="SpareBank 1"/>
      <family val="2"/>
      <charset val="238"/>
      <scheme val="minor"/>
    </font>
    <font>
      <sz val="16"/>
      <color theme="1"/>
      <name val="SpareBank 1"/>
      <family val="2"/>
      <scheme val="minor"/>
    </font>
    <font>
      <sz val="8.5"/>
      <color rgb="FF000000"/>
      <name val="Segoe UI"/>
      <family val="2"/>
    </font>
    <font>
      <b/>
      <sz val="8.5"/>
      <color rgb="FF000000"/>
      <name val="Segoe UI"/>
      <family val="2"/>
    </font>
    <font>
      <i/>
      <sz val="8.5"/>
      <name val="Segoe UI"/>
      <family val="2"/>
    </font>
    <font>
      <i/>
      <sz val="8.5"/>
      <color theme="1"/>
      <name val="Segoe UI"/>
      <family val="2"/>
    </font>
    <font>
      <sz val="14"/>
      <name val="SpareBank 1"/>
      <family val="2"/>
      <scheme val="minor"/>
    </font>
    <font>
      <sz val="11"/>
      <name val="SpareBank 1"/>
      <family val="2"/>
      <charset val="238"/>
      <scheme val="minor"/>
    </font>
    <font>
      <sz val="12"/>
      <name val="SpareBank 1"/>
      <family val="2"/>
      <scheme val="minor"/>
    </font>
    <font>
      <b/>
      <i/>
      <sz val="9"/>
      <name val="SpareBank 1"/>
      <family val="2"/>
      <scheme val="minor"/>
    </font>
    <font>
      <sz val="8.5"/>
      <name val="Segoe UI"/>
      <family val="2"/>
    </font>
    <font>
      <sz val="9"/>
      <name val="Times New Roman"/>
      <family val="1"/>
    </font>
    <font>
      <sz val="12"/>
      <color theme="1"/>
      <name val="SpareBank 1"/>
      <family val="2"/>
      <scheme val="minor"/>
    </font>
    <font>
      <sz val="9"/>
      <color rgb="FF000000"/>
      <name val="SpareBank 1"/>
      <family val="2"/>
      <scheme val="minor"/>
    </font>
    <font>
      <i/>
      <sz val="8"/>
      <color theme="1"/>
      <name val="Segoe UI"/>
      <family val="2"/>
    </font>
    <font>
      <i/>
      <sz val="9"/>
      <color rgb="FF000000"/>
      <name val="SpareBank 1"/>
      <family val="2"/>
      <scheme val="minor"/>
    </font>
    <font>
      <b/>
      <sz val="8.5"/>
      <name val="Segoe UI"/>
      <family val="2"/>
    </font>
    <font>
      <b/>
      <i/>
      <sz val="8"/>
      <color theme="1"/>
      <name val="Segoe UI"/>
      <family val="2"/>
    </font>
    <font>
      <sz val="8"/>
      <name val="Verdana"/>
      <family val="2"/>
    </font>
    <font>
      <strike/>
      <sz val="9"/>
      <name val="SpareBank 1"/>
      <family val="2"/>
      <scheme val="minor"/>
    </font>
    <font>
      <i/>
      <strike/>
      <sz val="9"/>
      <name val="SpareBank 1"/>
      <family val="2"/>
      <scheme val="minor"/>
    </font>
    <font>
      <b/>
      <sz val="16"/>
      <color rgb="FF000000"/>
      <name val="Arial"/>
      <family val="2"/>
    </font>
    <font>
      <strike/>
      <sz val="10"/>
      <color rgb="FFFF0000"/>
      <name val="Arial"/>
      <family val="2"/>
    </font>
    <font>
      <b/>
      <i/>
      <sz val="8.5"/>
      <color theme="1"/>
      <name val="Segoe UI"/>
      <family val="2"/>
    </font>
    <font>
      <sz val="12"/>
      <color rgb="FF000000"/>
      <name val="SpareBank 1"/>
      <family val="2"/>
      <scheme val="minor"/>
    </font>
    <font>
      <b/>
      <strike/>
      <sz val="11"/>
      <color rgb="FFFF0000"/>
      <name val="SpareBank 1"/>
      <family val="2"/>
      <scheme val="minor"/>
    </font>
    <font>
      <sz val="8"/>
      <color theme="1"/>
      <name val="Arial"/>
      <family val="2"/>
    </font>
    <font>
      <sz val="11"/>
      <color theme="1"/>
      <name val="Arial"/>
      <family val="2"/>
    </font>
    <font>
      <sz val="10"/>
      <color rgb="FF000000"/>
      <name val="Arial"/>
      <family val="2"/>
    </font>
    <font>
      <sz val="11"/>
      <name val="Arial"/>
      <family val="2"/>
    </font>
    <font>
      <b/>
      <sz val="8.5"/>
      <color rgb="FF00B050"/>
      <name val="Segoe UI"/>
      <family val="2"/>
    </font>
    <font>
      <b/>
      <sz val="10"/>
      <color rgb="FF00B050"/>
      <name val="Arial"/>
      <family val="2"/>
    </font>
    <font>
      <i/>
      <sz val="10"/>
      <color rgb="FF00B050"/>
      <name val="Arial"/>
      <family val="2"/>
    </font>
    <font>
      <sz val="9"/>
      <color rgb="FF7030A0"/>
      <name val="SpareBank 1"/>
      <family val="2"/>
      <scheme val="minor"/>
    </font>
    <font>
      <sz val="11"/>
      <color indexed="8"/>
      <name val="Calibri"/>
      <family val="2"/>
    </font>
    <font>
      <strike/>
      <sz val="9"/>
      <color rgb="FF00B050"/>
      <name val="SpareBank 1"/>
      <family val="2"/>
      <scheme val="minor"/>
    </font>
    <font>
      <sz val="7.5"/>
      <name val="Segoe UI"/>
      <family val="2"/>
    </font>
    <font>
      <sz val="9"/>
      <name val="SpareBank 1"/>
      <family val="2"/>
      <charset val="238"/>
      <scheme val="minor"/>
    </font>
    <font>
      <sz val="11"/>
      <color theme="1"/>
      <name val="Segoe UI"/>
      <family val="2"/>
    </font>
    <font>
      <u/>
      <sz val="11"/>
      <color theme="10"/>
      <name val="Segoe UI"/>
      <family val="2"/>
    </font>
    <font>
      <sz val="10"/>
      <color theme="1"/>
      <name val="Calibri"/>
      <family val="2"/>
    </font>
    <font>
      <sz val="10"/>
      <color rgb="FFFF0000"/>
      <name val="Calibri"/>
      <family val="2"/>
    </font>
    <font>
      <b/>
      <sz val="10"/>
      <color theme="0"/>
      <name val="Calibri"/>
      <family val="2"/>
    </font>
    <font>
      <b/>
      <sz val="10"/>
      <color theme="1"/>
      <name val="Calibri"/>
      <family val="2"/>
    </font>
    <font>
      <u/>
      <sz val="10"/>
      <color theme="10"/>
      <name val="Calibri"/>
      <family val="2"/>
    </font>
    <font>
      <u/>
      <sz val="10"/>
      <color theme="1"/>
      <name val="Calibri"/>
      <family val="2"/>
    </font>
    <font>
      <i/>
      <sz val="10"/>
      <color theme="1"/>
      <name val="Calibri"/>
      <family val="2"/>
    </font>
    <font>
      <b/>
      <sz val="10"/>
      <name val="Calibri"/>
      <family val="2"/>
    </font>
    <font>
      <sz val="10"/>
      <name val="Calibri"/>
      <family val="2"/>
    </font>
    <font>
      <sz val="10"/>
      <color rgb="FF0070C0"/>
      <name val="Calibri"/>
      <family val="2"/>
    </font>
    <font>
      <sz val="10"/>
      <color indexed="10"/>
      <name val="Calibri"/>
      <family val="2"/>
    </font>
    <font>
      <strike/>
      <sz val="10"/>
      <name val="Calibri"/>
      <family val="2"/>
    </font>
    <font>
      <i/>
      <u/>
      <sz val="10"/>
      <name val="Calibri"/>
      <family val="2"/>
    </font>
    <font>
      <b/>
      <sz val="10"/>
      <color rgb="FF000000"/>
      <name val="Calibri"/>
      <family val="2"/>
    </font>
    <font>
      <sz val="10"/>
      <color rgb="FF000000"/>
      <name val="Calibri"/>
      <family val="2"/>
    </font>
    <font>
      <strike/>
      <sz val="10"/>
      <color rgb="FF000000"/>
      <name val="Calibri"/>
      <family val="2"/>
    </font>
    <font>
      <i/>
      <sz val="10"/>
      <name val="Calibri"/>
      <family val="2"/>
    </font>
    <font>
      <b/>
      <i/>
      <sz val="10"/>
      <name val="Calibri"/>
      <family val="2"/>
    </font>
    <font>
      <u/>
      <sz val="10"/>
      <name val="Calibri"/>
      <family val="2"/>
    </font>
    <font>
      <b/>
      <strike/>
      <sz val="10"/>
      <name val="Calibri"/>
      <family val="2"/>
    </font>
    <font>
      <b/>
      <sz val="10"/>
      <color rgb="FFFF0000"/>
      <name val="Calibri"/>
      <family val="2"/>
    </font>
    <font>
      <sz val="10"/>
      <color rgb="FF00B050"/>
      <name val="Calibri"/>
      <family val="2"/>
    </font>
    <font>
      <u/>
      <sz val="10"/>
      <color rgb="FF008080"/>
      <name val="Calibri"/>
      <family val="2"/>
    </font>
    <font>
      <b/>
      <i/>
      <sz val="10"/>
      <color theme="1"/>
      <name val="Calibri"/>
      <family val="2"/>
    </font>
    <font>
      <i/>
      <strike/>
      <sz val="10"/>
      <name val="Calibri"/>
      <family val="2"/>
    </font>
    <font>
      <b/>
      <i/>
      <sz val="10"/>
      <color rgb="FF000000"/>
      <name val="Calibri"/>
      <family val="2"/>
    </font>
    <font>
      <i/>
      <sz val="10"/>
      <color rgb="FF000000"/>
      <name val="Calibri"/>
      <family val="2"/>
    </font>
    <font>
      <b/>
      <sz val="10"/>
      <color theme="5"/>
      <name val="Calibri"/>
      <family val="2"/>
    </font>
    <font>
      <sz val="10"/>
      <color theme="5"/>
      <name val="Calibri"/>
      <family val="2"/>
    </font>
    <font>
      <b/>
      <sz val="20"/>
      <color theme="0"/>
      <name val="SpareBank 1"/>
      <family val="2"/>
      <scheme val="minor"/>
    </font>
    <font>
      <sz val="12"/>
      <color theme="0"/>
      <name val="SpareBank 1"/>
      <family val="2"/>
      <scheme val="minor"/>
    </font>
    <font>
      <sz val="10"/>
      <color theme="0"/>
      <name val="SpareBank 1"/>
      <family val="2"/>
      <scheme val="minor"/>
    </font>
    <font>
      <sz val="16"/>
      <color theme="5"/>
      <name val="Calibri"/>
      <family val="2"/>
    </font>
    <font>
      <b/>
      <sz val="10"/>
      <color rgb="FF2F5773"/>
      <name val="SpareBank 1"/>
      <family val="2"/>
      <scheme val="minor"/>
    </font>
    <font>
      <b/>
      <sz val="16"/>
      <color theme="5"/>
      <name val="Calibri"/>
      <family val="2"/>
    </font>
    <font>
      <b/>
      <u/>
      <sz val="16"/>
      <color theme="5"/>
      <name val="Calibri"/>
      <family val="2"/>
    </font>
    <font>
      <sz val="20"/>
      <color rgb="FFFF0000"/>
      <name val="Calibri"/>
      <family val="2"/>
    </font>
    <font>
      <u/>
      <sz val="11"/>
      <color theme="10"/>
      <name val="Calibri"/>
      <family val="2"/>
    </font>
    <font>
      <sz val="10"/>
      <color theme="1"/>
      <name val="SpareBank 1"/>
      <family val="2"/>
      <scheme val="minor"/>
    </font>
    <font>
      <sz val="10"/>
      <color theme="1"/>
      <name val="Calibri"/>
      <family val="2"/>
    </font>
    <font>
      <sz val="10"/>
      <name val="Calibri"/>
      <family val="2"/>
    </font>
    <font>
      <b/>
      <sz val="10"/>
      <name val="Calibri"/>
      <family val="2"/>
    </font>
    <font>
      <b/>
      <sz val="10"/>
      <color theme="1"/>
      <name val="Calibri"/>
      <family val="2"/>
    </font>
    <font>
      <sz val="10"/>
      <color rgb="FFFF0000"/>
      <name val="Calibri"/>
      <family val="2"/>
    </font>
    <font>
      <sz val="9"/>
      <color theme="1"/>
      <name val="SpareBank 1"/>
      <family val="2"/>
      <scheme val="minor"/>
    </font>
    <font>
      <b/>
      <sz val="14"/>
      <color theme="5"/>
      <name val="Calibri"/>
      <family val="2"/>
    </font>
    <font>
      <b/>
      <sz val="12"/>
      <name val="Calibri"/>
      <family val="2"/>
    </font>
    <font>
      <sz val="10"/>
      <name val="Calibri"/>
      <family val="2"/>
    </font>
    <font>
      <i/>
      <sz val="10"/>
      <color rgb="FFFF0000"/>
      <name val="Calibri"/>
      <family val="2"/>
    </font>
    <font>
      <sz val="10"/>
      <color theme="1"/>
      <name val="Calibri"/>
      <family val="2"/>
    </font>
    <font>
      <b/>
      <sz val="10"/>
      <name val="Calibri"/>
      <family val="2"/>
    </font>
    <font>
      <b/>
      <sz val="10"/>
      <color theme="1"/>
      <name val="Calibri"/>
      <family val="2"/>
    </font>
  </fonts>
  <fills count="2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rgb="FFA6A6A6"/>
        <bgColor indexed="64"/>
      </patternFill>
    </fill>
    <fill>
      <patternFill patternType="solid">
        <fgColor rgb="FFBFBFBF"/>
        <bgColor indexed="64"/>
      </patternFill>
    </fill>
    <fill>
      <patternFill patternType="solid">
        <fgColor rgb="FFFFFFFF"/>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E7E6E6"/>
        <bgColor indexed="64"/>
      </patternFill>
    </fill>
    <fill>
      <patternFill patternType="solid">
        <fgColor theme="0"/>
        <bgColor indexed="64"/>
      </patternFill>
    </fill>
    <fill>
      <patternFill patternType="solid">
        <fgColor theme="1" tint="0.499984740745262"/>
        <bgColor indexed="64"/>
      </patternFill>
    </fill>
    <fill>
      <patternFill patternType="solid">
        <fgColor rgb="FF808080"/>
        <bgColor indexed="64"/>
      </patternFill>
    </fill>
    <fill>
      <patternFill patternType="solid">
        <fgColor rgb="FFD9D9D9"/>
        <bgColor indexed="64"/>
      </patternFill>
    </fill>
    <fill>
      <patternFill patternType="solid">
        <fgColor theme="0" tint="-4.9989318521683403E-2"/>
        <bgColor indexed="64"/>
      </patternFill>
    </fill>
    <fill>
      <patternFill patternType="solid">
        <fgColor theme="5"/>
        <bgColor indexed="64"/>
      </patternFill>
    </fill>
    <fill>
      <patternFill patternType="solid">
        <fgColor rgb="FFFFFFFF"/>
        <bgColor rgb="FF000000"/>
      </patternFill>
    </fill>
    <fill>
      <patternFill patternType="solid">
        <fgColor theme="0" tint="-4.9989318521683403E-2"/>
        <bgColor rgb="FF000000"/>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thin">
        <color indexed="64"/>
      </left>
      <right style="thin">
        <color indexed="64"/>
      </right>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thin">
        <color theme="0" tint="-0.34998626667073579"/>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style="thin">
        <color theme="0" tint="-0.249977111117893"/>
      </top>
      <bottom/>
      <diagonal/>
    </border>
    <border>
      <left style="thin">
        <color theme="0" tint="-0.34998626667073579"/>
      </left>
      <right style="thin">
        <color theme="0" tint="-0.34998626667073579"/>
      </right>
      <top/>
      <bottom style="thin">
        <color theme="0" tint="-0.34998626667073579"/>
      </bottom>
      <diagonal/>
    </border>
    <border diagonalUp="1" diagonalDown="1">
      <left style="thin">
        <color theme="0" tint="-0.249977111117893"/>
      </left>
      <right style="thin">
        <color theme="0" tint="-0.249977111117893"/>
      </right>
      <top style="thin">
        <color theme="0" tint="-0.249977111117893"/>
      </top>
      <bottom style="thin">
        <color theme="0" tint="-0.249977111117893"/>
      </bottom>
      <diagonal style="thin">
        <color indexed="64"/>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style="thin">
        <color indexed="64"/>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medium">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style="thin">
        <color theme="0" tint="-0.249977111117893"/>
      </left>
      <right style="thin">
        <color theme="0" tint="-0.249977111117893"/>
      </right>
      <top style="medium">
        <color theme="0" tint="-0.249977111117893"/>
      </top>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style="thin">
        <color indexed="64"/>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top/>
      <bottom style="thin">
        <color theme="0" tint="-0.249977111117893"/>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right style="thin">
        <color theme="0" tint="-0.34998626667073579"/>
      </right>
      <top/>
      <bottom style="thin">
        <color theme="0" tint="-0.249977111117893"/>
      </bottom>
      <diagonal/>
    </border>
    <border>
      <left/>
      <right style="thin">
        <color theme="0" tint="-0.249977111117893"/>
      </right>
      <top style="thin">
        <color theme="0" tint="-0.249977111117893"/>
      </top>
      <bottom style="thin">
        <color theme="0" tint="-0.34998626667073579"/>
      </bottom>
      <diagonal/>
    </border>
    <border>
      <left/>
      <right style="thin">
        <color theme="0" tint="-0.34998626667073579"/>
      </right>
      <top style="thin">
        <color theme="0" tint="-0.249977111117893"/>
      </top>
      <bottom style="thin">
        <color theme="0" tint="-0.3499862666707357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right/>
      <top style="thin">
        <color theme="0" tint="-0.249977111117893"/>
      </top>
      <bottom style="thin">
        <color theme="0" tint="-0.34998626667073579"/>
      </bottom>
      <diagonal/>
    </border>
  </borders>
  <cellStyleXfs count="24">
    <xf numFmtId="0" fontId="0" fillId="0" borderId="0"/>
    <xf numFmtId="0" fontId="4" fillId="2" borderId="3" applyNumberFormat="0" applyFill="0" applyBorder="0" applyAlignment="0" applyProtection="0">
      <alignment horizontal="left"/>
    </xf>
    <xf numFmtId="0" fontId="1" fillId="0" borderId="0">
      <alignment vertical="center"/>
    </xf>
    <xf numFmtId="0" fontId="1" fillId="0" borderId="0">
      <alignment vertical="center"/>
    </xf>
    <xf numFmtId="0" fontId="2" fillId="0" borderId="0" applyNumberFormat="0" applyFill="0" applyBorder="0" applyAlignment="0" applyProtection="0"/>
    <xf numFmtId="0" fontId="3" fillId="2" borderId="2" applyFont="0" applyBorder="0">
      <alignment horizontal="center" wrapText="1"/>
    </xf>
    <xf numFmtId="0" fontId="1" fillId="3" borderId="1" applyNumberFormat="0" applyFont="0" applyBorder="0">
      <alignment horizontal="center" vertical="center"/>
    </xf>
    <xf numFmtId="3" fontId="1" fillId="4" borderId="1" applyFont="0">
      <alignment horizontal="right" vertical="center"/>
      <protection locked="0"/>
    </xf>
    <xf numFmtId="0" fontId="1" fillId="0" borderId="0"/>
    <xf numFmtId="0" fontId="24" fillId="0" borderId="0" applyNumberFormat="0" applyFill="0" applyBorder="0" applyAlignment="0" applyProtection="0"/>
    <xf numFmtId="0" fontId="1" fillId="0" borderId="0"/>
    <xf numFmtId="0" fontId="36" fillId="0" borderId="0"/>
    <xf numFmtId="9" fontId="23" fillId="0" borderId="0" applyFont="0" applyFill="0" applyBorder="0" applyAlignment="0" applyProtection="0"/>
    <xf numFmtId="0" fontId="1" fillId="0" borderId="0"/>
    <xf numFmtId="0" fontId="70" fillId="0" borderId="0"/>
    <xf numFmtId="0" fontId="74" fillId="0" borderId="0"/>
    <xf numFmtId="0" fontId="75" fillId="0" borderId="0" applyNumberFormat="0" applyFill="0" applyBorder="0" applyAlignment="0" applyProtection="0"/>
    <xf numFmtId="0" fontId="76" fillId="0" borderId="0"/>
    <xf numFmtId="0" fontId="80" fillId="0" borderId="0" applyNumberFormat="0" applyFill="0" applyBorder="0" applyAlignment="0" applyProtection="0"/>
    <xf numFmtId="164" fontId="1" fillId="0" borderId="0" applyFont="0" applyFill="0" applyBorder="0" applyAlignment="0" applyProtection="0"/>
    <xf numFmtId="9" fontId="76" fillId="0" borderId="0" applyFont="0" applyFill="0" applyBorder="0" applyAlignment="0" applyProtection="0"/>
    <xf numFmtId="0" fontId="23" fillId="0" borderId="0"/>
    <xf numFmtId="43" fontId="23" fillId="0" borderId="0" applyFont="0" applyFill="0" applyBorder="0" applyAlignment="0" applyProtection="0"/>
    <xf numFmtId="170" fontId="47" fillId="0" borderId="0" applyFill="0" applyBorder="0">
      <alignment horizontal="right" vertical="top"/>
    </xf>
  </cellStyleXfs>
  <cellXfs count="1380">
    <xf numFmtId="0" fontId="0" fillId="0" borderId="0" xfId="0"/>
    <xf numFmtId="0" fontId="8" fillId="0" borderId="0" xfId="0" applyFont="1"/>
    <xf numFmtId="0" fontId="6" fillId="0" borderId="0" xfId="0" applyFont="1" applyAlignment="1">
      <alignment vertical="center" wrapText="1"/>
    </xf>
    <xf numFmtId="0" fontId="6" fillId="0" borderId="0" xfId="0" applyFont="1" applyAlignment="1">
      <alignment horizontal="center" vertical="center" wrapText="1"/>
    </xf>
    <xf numFmtId="0" fontId="5" fillId="0" borderId="0" xfId="0" applyFont="1"/>
    <xf numFmtId="0" fontId="0" fillId="0" borderId="0" xfId="0" applyAlignment="1">
      <alignment horizontal="center" vertical="center"/>
    </xf>
    <xf numFmtId="0" fontId="7" fillId="7" borderId="1" xfId="0" applyFont="1" applyFill="1" applyBorder="1" applyAlignment="1">
      <alignment vertical="center" wrapText="1"/>
    </xf>
    <xf numFmtId="0" fontId="11" fillId="0" borderId="1" xfId="0" applyFont="1" applyBorder="1" applyAlignment="1">
      <alignment vertical="center" wrapText="1"/>
    </xf>
    <xf numFmtId="0" fontId="7" fillId="0" borderId="0" xfId="0" applyFont="1" applyAlignment="1">
      <alignment vertical="center" wrapText="1"/>
    </xf>
    <xf numFmtId="0" fontId="7" fillId="0" borderId="0" xfId="0" applyFont="1"/>
    <xf numFmtId="0" fontId="0" fillId="0" borderId="0" xfId="0" applyAlignment="1">
      <alignment horizontal="center"/>
    </xf>
    <xf numFmtId="0" fontId="0" fillId="0" borderId="1" xfId="0" applyBorder="1" applyAlignment="1">
      <alignment vertical="center" wrapText="1"/>
    </xf>
    <xf numFmtId="0" fontId="11" fillId="0" borderId="2" xfId="0" applyFont="1" applyBorder="1" applyAlignment="1">
      <alignment vertical="center" wrapText="1"/>
    </xf>
    <xf numFmtId="0" fontId="7" fillId="0" borderId="2" xfId="0" applyFont="1" applyBorder="1" applyAlignment="1">
      <alignment horizontal="left" vertical="center" wrapText="1" indent="3"/>
    </xf>
    <xf numFmtId="0" fontId="9" fillId="0" borderId="0" xfId="0" applyFont="1" applyAlignment="1">
      <alignment horizontal="center" vertical="center" wrapText="1"/>
    </xf>
    <xf numFmtId="0" fontId="14" fillId="0" borderId="0" xfId="0" applyFont="1"/>
    <xf numFmtId="0" fontId="0" fillId="0" borderId="1" xfId="0" applyBorder="1" applyAlignment="1">
      <alignment horizontal="center" vertical="center"/>
    </xf>
    <xf numFmtId="0" fontId="7" fillId="0" borderId="1" xfId="0" applyFont="1" applyBorder="1" applyAlignment="1">
      <alignment vertical="center" wrapText="1"/>
    </xf>
    <xf numFmtId="0" fontId="13" fillId="0" borderId="1" xfId="0" applyFont="1" applyBorder="1" applyAlignment="1">
      <alignment horizontal="center" vertical="center"/>
    </xf>
    <xf numFmtId="0" fontId="13" fillId="0" borderId="0" xfId="0" applyFont="1"/>
    <xf numFmtId="0" fontId="1" fillId="0" borderId="0" xfId="0" applyFont="1" applyAlignment="1">
      <alignment vertic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0" fontId="1" fillId="0" borderId="7" xfId="0" applyFont="1" applyBorder="1" applyAlignment="1">
      <alignment horizontal="center" vertical="center" wrapText="1"/>
    </xf>
    <xf numFmtId="0" fontId="16" fillId="0" borderId="0" xfId="0" applyFont="1"/>
    <xf numFmtId="0" fontId="17" fillId="0" borderId="0" xfId="0" applyFont="1" applyAlignment="1">
      <alignment vertical="center" wrapText="1"/>
    </xf>
    <xf numFmtId="0" fontId="1" fillId="0" borderId="1" xfId="0" applyFont="1" applyBorder="1" applyAlignment="1">
      <alignment vertical="center"/>
    </xf>
    <xf numFmtId="0" fontId="21" fillId="0" borderId="0" xfId="0" applyFont="1"/>
    <xf numFmtId="0" fontId="1" fillId="7" borderId="1" xfId="0" applyFont="1" applyFill="1" applyBorder="1" applyAlignment="1">
      <alignment vertical="center" wrapText="1"/>
    </xf>
    <xf numFmtId="0" fontId="12" fillId="0" borderId="0" xfId="0" applyFont="1"/>
    <xf numFmtId="0" fontId="7" fillId="8" borderId="1" xfId="0" applyFont="1" applyFill="1" applyBorder="1" applyAlignment="1">
      <alignment vertical="center" wrapText="1"/>
    </xf>
    <xf numFmtId="0" fontId="15" fillId="8" borderId="1" xfId="0" applyFont="1" applyFill="1" applyBorder="1" applyAlignment="1">
      <alignment vertical="center" wrapText="1"/>
    </xf>
    <xf numFmtId="0" fontId="15" fillId="8" borderId="6" xfId="0" applyFont="1" applyFill="1" applyBorder="1" applyAlignment="1">
      <alignment vertical="center" wrapText="1"/>
    </xf>
    <xf numFmtId="0" fontId="11" fillId="0" borderId="8" xfId="0" applyFont="1" applyBorder="1" applyAlignment="1">
      <alignment vertical="center" wrapText="1"/>
    </xf>
    <xf numFmtId="0" fontId="11" fillId="0" borderId="2" xfId="0" applyFont="1" applyBorder="1" applyAlignment="1">
      <alignment vertical="center"/>
    </xf>
    <xf numFmtId="0" fontId="25" fillId="0" borderId="0" xfId="0" applyFont="1"/>
    <xf numFmtId="0" fontId="26"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13" fillId="0" borderId="1" xfId="0" applyFont="1" applyBorder="1" applyAlignment="1">
      <alignment horizontal="left" vertical="center" wrapText="1"/>
    </xf>
    <xf numFmtId="0" fontId="14" fillId="0" borderId="0" xfId="0" applyFont="1" applyAlignment="1">
      <alignment vertical="center"/>
    </xf>
    <xf numFmtId="0" fontId="33" fillId="0" borderId="1" xfId="0" applyFont="1" applyBorder="1" applyAlignment="1">
      <alignment vertical="center" wrapText="1"/>
    </xf>
    <xf numFmtId="0" fontId="7" fillId="13" borderId="1" xfId="0" applyFont="1" applyFill="1" applyBorder="1" applyAlignment="1">
      <alignment horizontal="center" vertical="center" wrapText="1"/>
    </xf>
    <xf numFmtId="0" fontId="14" fillId="0" borderId="0" xfId="0" applyFont="1" applyAlignment="1">
      <alignment vertical="center" wrapText="1"/>
    </xf>
    <xf numFmtId="0" fontId="12" fillId="0" borderId="0" xfId="0" applyFont="1" applyAlignment="1">
      <alignment horizontal="center" vertical="center"/>
    </xf>
    <xf numFmtId="0" fontId="1" fillId="13" borderId="1" xfId="0" applyFont="1" applyFill="1" applyBorder="1" applyAlignment="1">
      <alignment horizontal="center" vertical="center" wrapText="1"/>
    </xf>
    <xf numFmtId="0" fontId="34" fillId="0" borderId="1" xfId="0" applyFont="1" applyBorder="1" applyAlignment="1">
      <alignment horizontal="right" vertical="center" wrapText="1"/>
    </xf>
    <xf numFmtId="0" fontId="34" fillId="0" borderId="1" xfId="0" applyFont="1" applyBorder="1" applyAlignment="1">
      <alignment vertical="center" wrapText="1"/>
    </xf>
    <xf numFmtId="0" fontId="0" fillId="0" borderId="11" xfId="0" applyBorder="1"/>
    <xf numFmtId="0" fontId="26" fillId="0" borderId="1" xfId="0" applyFont="1" applyBorder="1" applyAlignment="1">
      <alignment horizontal="left" vertical="center" wrapText="1"/>
    </xf>
    <xf numFmtId="0" fontId="8" fillId="0" borderId="0" xfId="0" applyFont="1" applyAlignment="1">
      <alignment vertical="center" wrapText="1"/>
    </xf>
    <xf numFmtId="0" fontId="37" fillId="0" borderId="0" xfId="0" applyFont="1"/>
    <xf numFmtId="0" fontId="8" fillId="0" borderId="0" xfId="0" applyFont="1" applyAlignment="1">
      <alignment wrapText="1"/>
    </xf>
    <xf numFmtId="0" fontId="9" fillId="0" borderId="0" xfId="0" applyFont="1" applyAlignment="1">
      <alignment vertical="center" wrapText="1"/>
    </xf>
    <xf numFmtId="0" fontId="39" fillId="0" borderId="1" xfId="0" applyFont="1" applyBorder="1" applyAlignment="1">
      <alignment horizontal="center" vertical="center" wrapText="1"/>
    </xf>
    <xf numFmtId="0" fontId="40" fillId="0" borderId="1" xfId="0" applyFont="1" applyBorder="1" applyAlignment="1">
      <alignment vertical="center" wrapText="1"/>
    </xf>
    <xf numFmtId="0" fontId="6" fillId="0" borderId="1" xfId="0" applyFont="1" applyBorder="1" applyAlignment="1">
      <alignment vertical="center" wrapText="1"/>
    </xf>
    <xf numFmtId="0" fontId="9" fillId="0" borderId="1" xfId="0" applyFont="1" applyBorder="1" applyAlignment="1">
      <alignment vertical="center" wrapText="1"/>
    </xf>
    <xf numFmtId="0" fontId="41" fillId="0" borderId="1" xfId="0" applyFont="1" applyBorder="1" applyAlignment="1">
      <alignment vertical="center" wrapText="1"/>
    </xf>
    <xf numFmtId="0" fontId="35" fillId="0" borderId="0" xfId="0" applyFont="1"/>
    <xf numFmtId="0" fontId="0" fillId="0" borderId="0" xfId="0" applyAlignment="1">
      <alignment vertical="center"/>
    </xf>
    <xf numFmtId="0" fontId="0" fillId="0" borderId="1" xfId="0" applyBorder="1" applyAlignment="1">
      <alignment wrapText="1"/>
    </xf>
    <xf numFmtId="0" fontId="13" fillId="0" borderId="1" xfId="0" applyFont="1" applyBorder="1"/>
    <xf numFmtId="0" fontId="12" fillId="0" borderId="1" xfId="0" applyFont="1" applyBorder="1" applyAlignment="1">
      <alignment horizontal="center" vertical="center" wrapText="1"/>
    </xf>
    <xf numFmtId="9" fontId="0" fillId="0" borderId="1" xfId="0" applyNumberFormat="1" applyBorder="1" applyAlignment="1">
      <alignment horizontal="center" wrapText="1"/>
    </xf>
    <xf numFmtId="0" fontId="19" fillId="0" borderId="1" xfId="0" applyFont="1" applyBorder="1" applyAlignment="1">
      <alignment horizontal="center" wrapText="1"/>
    </xf>
    <xf numFmtId="0" fontId="12" fillId="0" borderId="1" xfId="0" applyFont="1" applyBorder="1" applyAlignment="1">
      <alignment horizontal="center" wrapText="1"/>
    </xf>
    <xf numFmtId="0" fontId="13" fillId="0" borderId="0" xfId="0" applyFont="1" applyAlignment="1">
      <alignment vertical="center"/>
    </xf>
    <xf numFmtId="0" fontId="13" fillId="0" borderId="5" xfId="0" applyFont="1" applyBorder="1" applyAlignment="1">
      <alignment vertical="center"/>
    </xf>
    <xf numFmtId="0" fontId="13" fillId="0" borderId="11" xfId="0" applyFont="1" applyBorder="1" applyAlignment="1">
      <alignment vertical="center"/>
    </xf>
    <xf numFmtId="0" fontId="13" fillId="0" borderId="4" xfId="0" applyFont="1" applyBorder="1" applyAlignment="1">
      <alignment vertical="center"/>
    </xf>
    <xf numFmtId="0" fontId="19" fillId="0" borderId="1" xfId="0" applyFont="1" applyBorder="1" applyAlignment="1">
      <alignment horizontal="center" vertical="center"/>
    </xf>
    <xf numFmtId="0" fontId="19" fillId="0" borderId="1" xfId="0" applyFont="1" applyBorder="1" applyAlignment="1">
      <alignment horizontal="left" vertical="center"/>
    </xf>
    <xf numFmtId="0" fontId="13" fillId="0" borderId="1" xfId="0" applyFont="1" applyBorder="1" applyAlignment="1">
      <alignment horizontal="left" wrapText="1"/>
    </xf>
    <xf numFmtId="0" fontId="22" fillId="0" borderId="0" xfId="0" applyFont="1"/>
    <xf numFmtId="0" fontId="13" fillId="0" borderId="2" xfId="0" applyFont="1" applyBorder="1" applyAlignment="1">
      <alignment horizontal="left" wrapText="1"/>
    </xf>
    <xf numFmtId="0" fontId="13" fillId="0" borderId="2" xfId="0" applyFont="1" applyBorder="1"/>
    <xf numFmtId="0" fontId="22" fillId="0" borderId="0" xfId="0" applyFont="1" applyAlignment="1">
      <alignment horizontal="left"/>
    </xf>
    <xf numFmtId="9" fontId="13" fillId="0" borderId="7" xfId="12" applyFont="1" applyFill="1" applyBorder="1" applyAlignment="1">
      <alignment horizontal="center" vertical="center" wrapText="1"/>
    </xf>
    <xf numFmtId="0" fontId="19" fillId="0" borderId="1" xfId="0" applyFont="1" applyBorder="1" applyAlignment="1">
      <alignment horizontal="center"/>
    </xf>
    <xf numFmtId="0" fontId="13" fillId="0" borderId="5" xfId="0" applyFont="1" applyBorder="1"/>
    <xf numFmtId="0" fontId="13" fillId="0" borderId="11" xfId="0" applyFont="1" applyBorder="1"/>
    <xf numFmtId="0" fontId="13" fillId="0" borderId="4" xfId="0" applyFont="1" applyBorder="1"/>
    <xf numFmtId="0" fontId="12" fillId="0" borderId="0" xfId="0" applyFont="1" applyAlignment="1">
      <alignment horizontal="left"/>
    </xf>
    <xf numFmtId="0" fontId="43" fillId="0" borderId="1" xfId="0" applyFont="1" applyBorder="1" applyAlignment="1">
      <alignment horizontal="center" wrapText="1"/>
    </xf>
    <xf numFmtId="49" fontId="13" fillId="0" borderId="0" xfId="0" applyNumberFormat="1" applyFont="1"/>
    <xf numFmtId="49" fontId="31" fillId="0" borderId="12" xfId="0" applyNumberFormat="1" applyFont="1" applyBorder="1" applyAlignment="1">
      <alignment horizontal="center" vertical="center" wrapText="1"/>
    </xf>
    <xf numFmtId="49" fontId="31" fillId="0" borderId="18" xfId="0" quotePrefix="1" applyNumberFormat="1" applyFont="1" applyBorder="1" applyAlignment="1">
      <alignment vertical="center" wrapText="1"/>
    </xf>
    <xf numFmtId="49" fontId="31" fillId="0" borderId="12" xfId="0" applyNumberFormat="1" applyFont="1" applyBorder="1" applyAlignment="1">
      <alignment horizontal="center" vertical="center"/>
    </xf>
    <xf numFmtId="49" fontId="9" fillId="0" borderId="12" xfId="0" applyNumberFormat="1" applyFont="1" applyBorder="1" applyAlignment="1">
      <alignment horizontal="center" vertical="center" wrapText="1"/>
    </xf>
    <xf numFmtId="49" fontId="6" fillId="0" borderId="23" xfId="0" applyNumberFormat="1" applyFont="1" applyBorder="1" applyAlignment="1">
      <alignment horizontal="center" vertical="center" wrapText="1"/>
    </xf>
    <xf numFmtId="49" fontId="46" fillId="0" borderId="23" xfId="0" applyNumberFormat="1" applyFont="1" applyBorder="1" applyAlignment="1">
      <alignment horizontal="center" vertical="center" wrapText="1"/>
    </xf>
    <xf numFmtId="49" fontId="31" fillId="0" borderId="0" xfId="0" applyNumberFormat="1" applyFont="1" applyAlignment="1">
      <alignment vertical="center"/>
    </xf>
    <xf numFmtId="49" fontId="9" fillId="0" borderId="23" xfId="0" applyNumberFormat="1" applyFont="1" applyBorder="1" applyAlignment="1">
      <alignment horizontal="center" vertical="center" wrapText="1"/>
    </xf>
    <xf numFmtId="49" fontId="6" fillId="0" borderId="12" xfId="0" applyNumberFormat="1" applyFont="1" applyBorder="1" applyAlignment="1">
      <alignment horizontal="center" vertical="center" wrapText="1"/>
    </xf>
    <xf numFmtId="49" fontId="50" fillId="7" borderId="23" xfId="0" applyNumberFormat="1" applyFont="1" applyFill="1" applyBorder="1" applyAlignment="1">
      <alignment horizontal="center" vertical="center" wrapText="1"/>
    </xf>
    <xf numFmtId="0" fontId="48" fillId="0" borderId="0" xfId="0" applyFont="1" applyAlignment="1">
      <alignment vertical="center"/>
    </xf>
    <xf numFmtId="0" fontId="48" fillId="0" borderId="0" xfId="0" applyFont="1" applyAlignment="1">
      <alignment vertical="center" wrapText="1"/>
    </xf>
    <xf numFmtId="49" fontId="31" fillId="13" borderId="18" xfId="0" quotePrefix="1" applyNumberFormat="1" applyFont="1" applyFill="1" applyBorder="1" applyAlignment="1">
      <alignment vertical="center" wrapText="1"/>
    </xf>
    <xf numFmtId="49" fontId="31" fillId="0" borderId="0" xfId="0" applyNumberFormat="1" applyFont="1" applyAlignment="1">
      <alignment horizontal="center" vertical="center"/>
    </xf>
    <xf numFmtId="49" fontId="47" fillId="0" borderId="0" xfId="0" applyNumberFormat="1" applyFont="1" applyAlignment="1">
      <alignment vertical="center"/>
    </xf>
    <xf numFmtId="49" fontId="45" fillId="0" borderId="20" xfId="0" applyNumberFormat="1" applyFont="1" applyBorder="1" applyAlignment="1">
      <alignment vertical="center"/>
    </xf>
    <xf numFmtId="49" fontId="31" fillId="0" borderId="20" xfId="0" quotePrefix="1" applyNumberFormat="1" applyFont="1" applyBorder="1" applyAlignment="1">
      <alignment vertical="center" wrapText="1"/>
    </xf>
    <xf numFmtId="49" fontId="31" fillId="0" borderId="18" xfId="0" applyNumberFormat="1" applyFont="1" applyBorder="1" applyAlignment="1">
      <alignment vertical="center" wrapText="1"/>
    </xf>
    <xf numFmtId="49" fontId="32" fillId="0" borderId="18" xfId="0" applyNumberFormat="1" applyFont="1" applyBorder="1" applyAlignment="1">
      <alignment vertical="center"/>
    </xf>
    <xf numFmtId="49" fontId="45" fillId="0" borderId="18" xfId="0" applyNumberFormat="1" applyFont="1" applyBorder="1" applyAlignment="1">
      <alignment vertical="center"/>
    </xf>
    <xf numFmtId="49" fontId="31" fillId="0" borderId="18" xfId="0" quotePrefix="1" applyNumberFormat="1" applyFont="1" applyBorder="1" applyAlignment="1">
      <alignment horizontal="center" vertical="center" wrapText="1"/>
    </xf>
    <xf numFmtId="49" fontId="31" fillId="0" borderId="18" xfId="0" applyNumberFormat="1" applyFont="1" applyBorder="1" applyAlignment="1">
      <alignment horizontal="center" vertical="center"/>
    </xf>
    <xf numFmtId="49" fontId="44" fillId="0" borderId="0" xfId="0" applyNumberFormat="1" applyFont="1"/>
    <xf numFmtId="49" fontId="31" fillId="0" borderId="16" xfId="0" applyNumberFormat="1" applyFont="1" applyBorder="1" applyAlignment="1">
      <alignment horizontal="center" vertical="center"/>
    </xf>
    <xf numFmtId="49" fontId="10" fillId="7" borderId="23" xfId="0" applyNumberFormat="1" applyFont="1" applyFill="1" applyBorder="1" applyAlignment="1">
      <alignment horizontal="center" vertical="center" wrapText="1"/>
    </xf>
    <xf numFmtId="49" fontId="53" fillId="7" borderId="23" xfId="0" applyNumberFormat="1" applyFont="1" applyFill="1" applyBorder="1" applyAlignment="1">
      <alignment horizontal="center" vertical="center" wrapText="1"/>
    </xf>
    <xf numFmtId="49" fontId="47" fillId="0" borderId="0" xfId="0" applyNumberFormat="1" applyFont="1" applyAlignment="1">
      <alignment vertical="center" wrapText="1"/>
    </xf>
    <xf numFmtId="49" fontId="30" fillId="0" borderId="0" xfId="0" applyNumberFormat="1" applyFont="1" applyAlignment="1">
      <alignment vertical="center"/>
    </xf>
    <xf numFmtId="49" fontId="31" fillId="5" borderId="18" xfId="0" applyNumberFormat="1" applyFont="1" applyFill="1" applyBorder="1" applyAlignment="1">
      <alignment vertical="center"/>
    </xf>
    <xf numFmtId="49" fontId="32" fillId="0" borderId="0" xfId="0" applyNumberFormat="1" applyFont="1" applyAlignment="1">
      <alignment vertical="center" wrapText="1"/>
    </xf>
    <xf numFmtId="0" fontId="44" fillId="0" borderId="0" xfId="0" applyFont="1"/>
    <xf numFmtId="0" fontId="47" fillId="0" borderId="0" xfId="0" applyFont="1" applyAlignment="1">
      <alignment vertical="center"/>
    </xf>
    <xf numFmtId="0" fontId="45" fillId="0" borderId="18" xfId="0" applyFont="1" applyBorder="1" applyAlignment="1">
      <alignment vertical="center"/>
    </xf>
    <xf numFmtId="0" fontId="44" fillId="0" borderId="24" xfId="0" applyFont="1" applyBorder="1"/>
    <xf numFmtId="0" fontId="31" fillId="0" borderId="22" xfId="0" applyFont="1" applyBorder="1" applyAlignment="1">
      <alignment horizontal="center" vertical="center" wrapText="1"/>
    </xf>
    <xf numFmtId="0" fontId="31" fillId="0" borderId="16" xfId="0" applyFont="1" applyBorder="1" applyAlignment="1">
      <alignment horizontal="center" vertical="center" wrapText="1"/>
    </xf>
    <xf numFmtId="0" fontId="31" fillId="0" borderId="21" xfId="0" applyFont="1" applyBorder="1" applyAlignment="1">
      <alignment vertical="center" wrapText="1"/>
    </xf>
    <xf numFmtId="0" fontId="31" fillId="0" borderId="20" xfId="0" applyFont="1" applyBorder="1" applyAlignment="1">
      <alignment vertical="center" wrapText="1"/>
    </xf>
    <xf numFmtId="0" fontId="31" fillId="0" borderId="27" xfId="0" applyFont="1" applyBorder="1" applyAlignment="1">
      <alignment vertical="center" wrapText="1"/>
    </xf>
    <xf numFmtId="0" fontId="31" fillId="0" borderId="12" xfId="0" quotePrefix="1" applyFont="1" applyBorder="1" applyAlignment="1">
      <alignment horizontal="center" vertical="center"/>
    </xf>
    <xf numFmtId="0" fontId="31" fillId="0" borderId="23" xfId="0" quotePrefix="1" applyFont="1" applyBorder="1" applyAlignment="1">
      <alignment horizontal="center" vertical="center"/>
    </xf>
    <xf numFmtId="0" fontId="31" fillId="0" borderId="18" xfId="0" applyFont="1" applyBorder="1" applyAlignment="1">
      <alignment vertical="center" wrapText="1"/>
    </xf>
    <xf numFmtId="0" fontId="32" fillId="0" borderId="16" xfId="0" applyFont="1" applyBorder="1" applyAlignment="1">
      <alignment horizontal="left" vertical="center" wrapText="1"/>
    </xf>
    <xf numFmtId="0" fontId="32" fillId="0" borderId="18" xfId="0" applyFont="1" applyBorder="1" applyAlignment="1">
      <alignment horizontal="left" vertical="center" wrapText="1"/>
    </xf>
    <xf numFmtId="0" fontId="32" fillId="0" borderId="16" xfId="0" applyFont="1" applyBorder="1" applyAlignment="1">
      <alignment vertical="center" wrapText="1"/>
    </xf>
    <xf numFmtId="0" fontId="32" fillId="0" borderId="18" xfId="0" applyFont="1" applyBorder="1" applyAlignment="1">
      <alignment vertical="center" wrapText="1"/>
    </xf>
    <xf numFmtId="49" fontId="31" fillId="0" borderId="18" xfId="0" quotePrefix="1" applyNumberFormat="1" applyFont="1" applyBorder="1" applyAlignment="1">
      <alignment vertical="center"/>
    </xf>
    <xf numFmtId="0" fontId="32" fillId="0" borderId="0" xfId="0" applyFont="1" applyAlignment="1">
      <alignment vertical="center" wrapText="1"/>
    </xf>
    <xf numFmtId="0" fontId="43" fillId="0" borderId="1" xfId="0" applyFont="1" applyBorder="1" applyAlignment="1">
      <alignment horizontal="center" vertical="center" wrapText="1"/>
    </xf>
    <xf numFmtId="0" fontId="30" fillId="0" borderId="23" xfId="0" quotePrefix="1" applyFont="1" applyBorder="1" applyAlignment="1">
      <alignment horizontal="center" vertical="center"/>
    </xf>
    <xf numFmtId="0" fontId="13" fillId="0" borderId="8" xfId="0" applyFont="1" applyBorder="1" applyAlignment="1">
      <alignment horizontal="center" vertical="center" wrapText="1"/>
    </xf>
    <xf numFmtId="9" fontId="0" fillId="0" borderId="1" xfId="0" applyNumberFormat="1" applyBorder="1" applyAlignment="1">
      <alignment horizontal="center" vertical="center" wrapText="1"/>
    </xf>
    <xf numFmtId="0" fontId="8" fillId="0" borderId="0" xfId="0" applyFont="1" applyAlignment="1">
      <alignment vertical="center"/>
    </xf>
    <xf numFmtId="49" fontId="52" fillId="0" borderId="12" xfId="0" applyNumberFormat="1" applyFont="1" applyBorder="1" applyAlignment="1">
      <alignment horizontal="center" vertical="center" wrapText="1"/>
    </xf>
    <xf numFmtId="49" fontId="30" fillId="0" borderId="20" xfId="0" applyNumberFormat="1" applyFont="1" applyBorder="1" applyAlignment="1">
      <alignment vertical="center"/>
    </xf>
    <xf numFmtId="49" fontId="31" fillId="15" borderId="18" xfId="0" applyNumberFormat="1" applyFont="1" applyFill="1" applyBorder="1" applyAlignment="1">
      <alignment vertical="center"/>
    </xf>
    <xf numFmtId="49" fontId="31" fillId="0" borderId="18" xfId="0" applyNumberFormat="1" applyFont="1" applyBorder="1" applyAlignment="1">
      <alignment vertical="center"/>
    </xf>
    <xf numFmtId="49" fontId="31" fillId="0" borderId="18" xfId="0" applyNumberFormat="1" applyFont="1" applyBorder="1" applyAlignment="1">
      <alignment horizontal="left" vertical="center" indent="1"/>
    </xf>
    <xf numFmtId="49" fontId="46" fillId="0" borderId="18" xfId="0" applyNumberFormat="1" applyFont="1" applyBorder="1" applyAlignment="1">
      <alignment horizontal="left" vertical="center" indent="1"/>
    </xf>
    <xf numFmtId="49" fontId="52" fillId="0" borderId="23" xfId="0" applyNumberFormat="1" applyFont="1" applyBorder="1" applyAlignment="1">
      <alignment horizontal="center" vertical="center" wrapText="1"/>
    </xf>
    <xf numFmtId="49" fontId="30" fillId="0" borderId="18" xfId="0" applyNumberFormat="1" applyFont="1" applyBorder="1" applyAlignment="1">
      <alignment vertical="center"/>
    </xf>
    <xf numFmtId="0" fontId="48" fillId="0" borderId="0" xfId="0" applyFont="1"/>
    <xf numFmtId="0" fontId="48" fillId="0" borderId="24" xfId="0" applyFont="1" applyBorder="1"/>
    <xf numFmtId="0" fontId="48" fillId="0" borderId="26" xfId="0" applyFont="1" applyBorder="1"/>
    <xf numFmtId="49" fontId="44" fillId="0" borderId="24" xfId="0" applyNumberFormat="1" applyFont="1" applyBorder="1"/>
    <xf numFmtId="0" fontId="27" fillId="0" borderId="0" xfId="0" applyFont="1" applyAlignment="1">
      <alignment vertical="center"/>
    </xf>
    <xf numFmtId="0" fontId="26" fillId="0" borderId="0" xfId="0" applyFont="1"/>
    <xf numFmtId="0" fontId="60" fillId="0" borderId="0" xfId="0" applyFont="1" applyAlignment="1">
      <alignment vertical="center"/>
    </xf>
    <xf numFmtId="0" fontId="60" fillId="0" borderId="0" xfId="0" applyFont="1"/>
    <xf numFmtId="49" fontId="39" fillId="0" borderId="12" xfId="0" applyNumberFormat="1" applyFont="1" applyBorder="1" applyAlignment="1">
      <alignment horizontal="center" vertical="center" wrapText="1"/>
    </xf>
    <xf numFmtId="49" fontId="38" fillId="0" borderId="23" xfId="0" applyNumberFormat="1" applyFont="1" applyBorder="1" applyAlignment="1">
      <alignment horizontal="center" vertical="center" wrapText="1"/>
    </xf>
    <xf numFmtId="49" fontId="39" fillId="0" borderId="23" xfId="0" applyNumberFormat="1" applyFont="1" applyBorder="1" applyAlignment="1">
      <alignment horizontal="center" vertical="center" wrapText="1"/>
    </xf>
    <xf numFmtId="0" fontId="39" fillId="0" borderId="21" xfId="0" applyFont="1" applyBorder="1" applyAlignment="1">
      <alignment vertical="center" wrapText="1"/>
    </xf>
    <xf numFmtId="0" fontId="38" fillId="0" borderId="24" xfId="0" applyFont="1" applyBorder="1" applyAlignment="1">
      <alignment vertical="center" wrapText="1"/>
    </xf>
    <xf numFmtId="0" fontId="38" fillId="0" borderId="24" xfId="0" applyFont="1" applyBorder="1" applyAlignment="1">
      <alignment horizontal="left" vertical="center" wrapText="1" indent="1"/>
    </xf>
    <xf numFmtId="0" fontId="39" fillId="0" borderId="24" xfId="0" applyFont="1" applyBorder="1" applyAlignment="1">
      <alignment vertical="center" wrapText="1"/>
    </xf>
    <xf numFmtId="0" fontId="38" fillId="0" borderId="22" xfId="0" applyFont="1" applyBorder="1" applyAlignment="1">
      <alignment horizontal="center" vertical="center" wrapText="1"/>
    </xf>
    <xf numFmtId="0" fontId="0" fillId="0" borderId="1" xfId="0" applyBorder="1" applyAlignment="1">
      <alignment horizontal="center" wrapText="1"/>
    </xf>
    <xf numFmtId="49" fontId="31" fillId="0" borderId="18" xfId="0" applyNumberFormat="1" applyFont="1" applyBorder="1" applyAlignment="1">
      <alignment horizontal="center" vertical="center" wrapText="1"/>
    </xf>
    <xf numFmtId="0" fontId="38" fillId="0" borderId="28" xfId="0" applyFont="1" applyBorder="1" applyAlignment="1">
      <alignment horizontal="center" vertical="center" wrapText="1"/>
    </xf>
    <xf numFmtId="0" fontId="38" fillId="0" borderId="28" xfId="0" applyFont="1" applyBorder="1" applyAlignment="1">
      <alignment horizontal="left" vertical="center" wrapText="1"/>
    </xf>
    <xf numFmtId="0" fontId="38" fillId="0" borderId="29" xfId="0" applyFont="1" applyBorder="1" applyAlignment="1">
      <alignment horizontal="left" vertical="center" wrapText="1"/>
    </xf>
    <xf numFmtId="0" fontId="31" fillId="0" borderId="18" xfId="0" quotePrefix="1" applyFont="1" applyBorder="1" applyAlignment="1">
      <alignment vertical="center" wrapText="1"/>
    </xf>
    <xf numFmtId="0" fontId="6" fillId="0" borderId="1" xfId="0" applyFont="1" applyBorder="1" applyAlignment="1">
      <alignment horizontal="center" vertical="center" wrapText="1"/>
    </xf>
    <xf numFmtId="0" fontId="13" fillId="0" borderId="1" xfId="0" applyFont="1" applyBorder="1" applyAlignment="1">
      <alignment vertical="center" wrapText="1"/>
    </xf>
    <xf numFmtId="0" fontId="63" fillId="0" borderId="0" xfId="0" applyFont="1"/>
    <xf numFmtId="0" fontId="7" fillId="0" borderId="0" xfId="0" applyFont="1" applyAlignment="1">
      <alignment vertical="center"/>
    </xf>
    <xf numFmtId="0" fontId="7" fillId="0" borderId="1" xfId="0" applyFont="1" applyBorder="1" applyAlignment="1">
      <alignment wrapText="1"/>
    </xf>
    <xf numFmtId="0" fontId="64" fillId="0" borderId="1" xfId="0" applyFont="1" applyBorder="1" applyAlignment="1">
      <alignment vertical="center" wrapText="1"/>
    </xf>
    <xf numFmtId="0" fontId="33" fillId="0" borderId="1" xfId="0" applyFont="1" applyBorder="1" applyAlignment="1">
      <alignment horizontal="center" vertical="center" wrapText="1"/>
    </xf>
    <xf numFmtId="0" fontId="33" fillId="0" borderId="1" xfId="0" applyFont="1" applyBorder="1" applyAlignment="1">
      <alignment horizontal="justify" vertical="center" wrapText="1"/>
    </xf>
    <xf numFmtId="0" fontId="64" fillId="16" borderId="1" xfId="0" applyFont="1" applyFill="1" applyBorder="1" applyAlignment="1">
      <alignment vertical="center"/>
    </xf>
    <xf numFmtId="0" fontId="7" fillId="0" borderId="1" xfId="0" applyFont="1" applyBorder="1" applyAlignment="1">
      <alignment horizontal="center" wrapText="1"/>
    </xf>
    <xf numFmtId="0" fontId="64" fillId="0" borderId="1" xfId="0" applyFont="1" applyBorder="1" applyAlignment="1">
      <alignment horizontal="left" vertical="center" wrapText="1" indent="3"/>
    </xf>
    <xf numFmtId="0" fontId="64" fillId="0" borderId="1" xfId="0" applyFont="1" applyBorder="1" applyAlignment="1">
      <alignment horizontal="left" vertical="center" wrapText="1" indent="2"/>
    </xf>
    <xf numFmtId="0" fontId="65" fillId="0" borderId="0" xfId="0" applyFont="1" applyAlignment="1">
      <alignment vertical="center"/>
    </xf>
    <xf numFmtId="0" fontId="11" fillId="13" borderId="1" xfId="0" applyFont="1" applyFill="1" applyBorder="1" applyAlignment="1">
      <alignment horizontal="center" vertical="center" wrapText="1"/>
    </xf>
    <xf numFmtId="0" fontId="11" fillId="13" borderId="1" xfId="0" applyFont="1" applyFill="1" applyBorder="1" applyAlignment="1">
      <alignment vertical="center" wrapText="1"/>
    </xf>
    <xf numFmtId="0" fontId="7" fillId="13" borderId="1" xfId="0" applyFont="1" applyFill="1" applyBorder="1" applyAlignment="1">
      <alignment vertical="center" wrapText="1"/>
    </xf>
    <xf numFmtId="0" fontId="58" fillId="11" borderId="1" xfId="0" applyFont="1" applyFill="1" applyBorder="1" applyAlignment="1">
      <alignment vertical="center" wrapText="1"/>
    </xf>
    <xf numFmtId="0" fontId="7" fillId="13" borderId="1" xfId="0" applyFont="1" applyFill="1" applyBorder="1" applyAlignment="1">
      <alignment horizontal="justify" vertical="center" wrapText="1"/>
    </xf>
    <xf numFmtId="0" fontId="18" fillId="0" borderId="1" xfId="0" applyFont="1" applyBorder="1" applyAlignment="1">
      <alignment horizontal="center" vertical="center" wrapText="1"/>
    </xf>
    <xf numFmtId="0" fontId="1" fillId="0" borderId="1" xfId="0" quotePrefix="1"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13" fillId="0" borderId="1" xfId="0" applyFont="1" applyBorder="1" applyAlignment="1">
      <alignment horizontal="center" vertical="center" wrapText="1"/>
    </xf>
    <xf numFmtId="49" fontId="31" fillId="13" borderId="18" xfId="0" applyNumberFormat="1" applyFont="1" applyFill="1" applyBorder="1" applyAlignment="1">
      <alignment vertical="center" wrapText="1"/>
    </xf>
    <xf numFmtId="49" fontId="44" fillId="13" borderId="0" xfId="0" applyNumberFormat="1" applyFont="1" applyFill="1"/>
    <xf numFmtId="49" fontId="13" fillId="13" borderId="0" xfId="0" applyNumberFormat="1" applyFont="1" applyFill="1" applyAlignment="1">
      <alignment vertical="center" wrapText="1"/>
    </xf>
    <xf numFmtId="0" fontId="31" fillId="13" borderId="18" xfId="0" applyFont="1" applyFill="1" applyBorder="1" applyAlignment="1">
      <alignment vertical="center" wrapText="1"/>
    </xf>
    <xf numFmtId="0" fontId="31" fillId="13" borderId="20" xfId="0" applyFont="1" applyFill="1" applyBorder="1" applyAlignment="1">
      <alignment vertical="center" wrapText="1"/>
    </xf>
    <xf numFmtId="0" fontId="6" fillId="13" borderId="18" xfId="0" applyFont="1" applyFill="1" applyBorder="1" applyAlignment="1">
      <alignment vertical="center" wrapText="1"/>
    </xf>
    <xf numFmtId="49" fontId="30" fillId="13" borderId="18" xfId="0" applyNumberFormat="1" applyFont="1" applyFill="1" applyBorder="1" applyAlignment="1">
      <alignment vertical="center" wrapText="1"/>
    </xf>
    <xf numFmtId="49" fontId="31" fillId="13" borderId="18" xfId="0" applyNumberFormat="1" applyFont="1" applyFill="1" applyBorder="1" applyAlignment="1">
      <alignment vertical="center"/>
    </xf>
    <xf numFmtId="0" fontId="13" fillId="0" borderId="1" xfId="0" applyFont="1" applyBorder="1" applyAlignment="1">
      <alignment horizontal="center"/>
    </xf>
    <xf numFmtId="0" fontId="13" fillId="0" borderId="1" xfId="0" applyFont="1" applyBorder="1" applyAlignment="1">
      <alignment horizontal="center" wrapText="1"/>
    </xf>
    <xf numFmtId="0" fontId="13" fillId="0" borderId="1" xfId="0" applyFont="1" applyBorder="1" applyAlignment="1">
      <alignment horizontal="center" vertical="top" wrapText="1"/>
    </xf>
    <xf numFmtId="0" fontId="13" fillId="0" borderId="7" xfId="0" applyFont="1" applyBorder="1" applyAlignment="1">
      <alignment horizontal="left" vertical="center" wrapText="1"/>
    </xf>
    <xf numFmtId="0" fontId="13" fillId="0" borderId="1" xfId="0" applyFont="1" applyBorder="1" applyAlignment="1">
      <alignment vertical="center"/>
    </xf>
    <xf numFmtId="0" fontId="26"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0" fontId="0" fillId="0" borderId="1" xfId="0" applyBorder="1" applyAlignment="1">
      <alignment horizontal="center" vertical="center" wrapText="1"/>
    </xf>
    <xf numFmtId="0" fontId="7" fillId="0" borderId="2" xfId="0" applyFont="1" applyBorder="1" applyAlignment="1">
      <alignment horizontal="center" vertical="center" wrapText="1"/>
    </xf>
    <xf numFmtId="49" fontId="32" fillId="0" borderId="0" xfId="0" applyNumberFormat="1" applyFont="1" applyAlignment="1">
      <alignment horizontal="justify" vertical="center" wrapText="1"/>
    </xf>
    <xf numFmtId="49" fontId="44" fillId="0" borderId="0" xfId="0" applyNumberFormat="1" applyFont="1" applyAlignment="1">
      <alignment vertical="center" wrapText="1"/>
    </xf>
    <xf numFmtId="0" fontId="13" fillId="13" borderId="8" xfId="0" applyFont="1" applyFill="1" applyBorder="1" applyAlignment="1">
      <alignment horizontal="center" vertical="center" wrapText="1"/>
    </xf>
    <xf numFmtId="0" fontId="13" fillId="0" borderId="7" xfId="0" applyFont="1" applyBorder="1" applyAlignment="1">
      <alignment horizontal="center"/>
    </xf>
    <xf numFmtId="0" fontId="13" fillId="0" borderId="6" xfId="0" applyFont="1" applyBorder="1" applyAlignment="1">
      <alignment horizontal="center"/>
    </xf>
    <xf numFmtId="0" fontId="42" fillId="0" borderId="0" xfId="0" applyFont="1"/>
    <xf numFmtId="0" fontId="13" fillId="0" borderId="7" xfId="0" applyFont="1" applyBorder="1" applyAlignment="1">
      <alignment horizontal="center" vertical="center" wrapText="1"/>
    </xf>
    <xf numFmtId="0" fontId="29" fillId="0" borderId="0" xfId="0" applyFont="1" applyAlignment="1">
      <alignment horizontal="justify" vertical="center"/>
    </xf>
    <xf numFmtId="49" fontId="13" fillId="0" borderId="0" xfId="0" applyNumberFormat="1" applyFont="1" applyAlignment="1">
      <alignment vertical="center" wrapText="1"/>
    </xf>
    <xf numFmtId="49" fontId="31" fillId="0" borderId="20" xfId="0" applyNumberFormat="1" applyFont="1" applyBorder="1" applyAlignment="1">
      <alignment horizontal="center" vertical="center" wrapText="1"/>
    </xf>
    <xf numFmtId="49" fontId="31" fillId="0" borderId="20" xfId="0" applyNumberFormat="1" applyFont="1" applyBorder="1" applyAlignment="1">
      <alignment vertical="center" wrapText="1"/>
    </xf>
    <xf numFmtId="49" fontId="31" fillId="0" borderId="20" xfId="0" applyNumberFormat="1" applyFont="1" applyBorder="1" applyAlignment="1">
      <alignment horizontal="center" vertical="center"/>
    </xf>
    <xf numFmtId="49" fontId="31" fillId="13" borderId="15" xfId="0" applyNumberFormat="1" applyFont="1" applyFill="1" applyBorder="1" applyAlignment="1">
      <alignment vertical="center" wrapText="1"/>
    </xf>
    <xf numFmtId="49" fontId="31" fillId="13" borderId="0" xfId="0" applyNumberFormat="1" applyFont="1" applyFill="1" applyAlignment="1">
      <alignment vertical="center" wrapText="1"/>
    </xf>
    <xf numFmtId="49" fontId="31" fillId="0" borderId="23" xfId="0" applyNumberFormat="1" applyFont="1" applyBorder="1" applyAlignment="1">
      <alignment horizontal="center" vertical="center"/>
    </xf>
    <xf numFmtId="0" fontId="0" fillId="0" borderId="0" xfId="0" applyAlignment="1">
      <alignment vertical="top"/>
    </xf>
    <xf numFmtId="0" fontId="25" fillId="0" borderId="0" xfId="0" applyFont="1" applyAlignment="1">
      <alignment vertical="top"/>
    </xf>
    <xf numFmtId="0" fontId="13" fillId="0" borderId="10" xfId="0" applyFont="1" applyBorder="1" applyAlignment="1">
      <alignment horizontal="center" vertical="top"/>
    </xf>
    <xf numFmtId="9" fontId="13" fillId="0" borderId="1" xfId="0" applyNumberFormat="1" applyFont="1" applyBorder="1" applyAlignment="1">
      <alignment horizontal="center" vertical="center" wrapText="1"/>
    </xf>
    <xf numFmtId="0" fontId="59" fillId="10" borderId="18" xfId="0" applyFont="1" applyFill="1" applyBorder="1" applyAlignment="1">
      <alignment horizontal="center" vertical="center" wrapText="1"/>
    </xf>
    <xf numFmtId="0" fontId="6" fillId="10" borderId="18" xfId="0" applyFont="1" applyFill="1" applyBorder="1" applyAlignment="1">
      <alignment vertical="center" wrapText="1"/>
    </xf>
    <xf numFmtId="0" fontId="59" fillId="10" borderId="20" xfId="0" applyFont="1" applyFill="1" applyBorder="1" applyAlignment="1">
      <alignment horizontal="center" vertical="center" wrapText="1"/>
    </xf>
    <xf numFmtId="49" fontId="31" fillId="10" borderId="20" xfId="0" applyNumberFormat="1" applyFont="1" applyFill="1" applyBorder="1" applyAlignment="1">
      <alignment vertical="center" wrapText="1"/>
    </xf>
    <xf numFmtId="49" fontId="69" fillId="0" borderId="0" xfId="0" applyNumberFormat="1" applyFont="1" applyAlignment="1">
      <alignment vertical="center"/>
    </xf>
    <xf numFmtId="49" fontId="31" fillId="0" borderId="16" xfId="0" applyNumberFormat="1" applyFont="1" applyBorder="1" applyAlignment="1">
      <alignment horizontal="center" vertical="center" wrapText="1"/>
    </xf>
    <xf numFmtId="49" fontId="13" fillId="0" borderId="0" xfId="0" applyNumberFormat="1" applyFont="1" applyAlignment="1">
      <alignment horizontal="left" vertical="center" wrapText="1"/>
    </xf>
    <xf numFmtId="49" fontId="40" fillId="0" borderId="0" xfId="0" applyNumberFormat="1" applyFont="1" applyAlignment="1">
      <alignment vertical="center" wrapText="1"/>
    </xf>
    <xf numFmtId="49" fontId="55" fillId="15" borderId="18" xfId="0" applyNumberFormat="1" applyFont="1" applyFill="1" applyBorder="1" applyAlignment="1">
      <alignment vertical="center" wrapText="1"/>
    </xf>
    <xf numFmtId="0" fontId="13" fillId="0" borderId="1" xfId="0" applyFont="1" applyBorder="1" applyAlignment="1">
      <alignment horizontal="center" vertical="top"/>
    </xf>
    <xf numFmtId="0" fontId="13" fillId="0" borderId="7" xfId="0" applyFont="1" applyBorder="1" applyAlignment="1">
      <alignment horizontal="center" vertical="top"/>
    </xf>
    <xf numFmtId="0" fontId="13" fillId="0" borderId="6" xfId="0" applyFont="1" applyBorder="1" applyAlignment="1">
      <alignment horizontal="center" vertical="top"/>
    </xf>
    <xf numFmtId="0" fontId="30" fillId="0" borderId="0" xfId="0" applyFont="1" applyAlignment="1">
      <alignment horizontal="justify" vertical="center"/>
    </xf>
    <xf numFmtId="0" fontId="13" fillId="0" borderId="0" xfId="0" applyFont="1" applyAlignment="1">
      <alignment vertical="center" wrapText="1"/>
    </xf>
    <xf numFmtId="0" fontId="13" fillId="0" borderId="15" xfId="0" applyFont="1" applyBorder="1" applyAlignment="1">
      <alignment vertical="center" wrapText="1"/>
    </xf>
    <xf numFmtId="0" fontId="31" fillId="0" borderId="14" xfId="0" applyFont="1" applyBorder="1" applyAlignment="1">
      <alignment horizontal="center" vertical="center" wrapText="1"/>
    </xf>
    <xf numFmtId="0" fontId="72" fillId="0" borderId="20" xfId="0" applyFont="1" applyBorder="1" applyAlignment="1">
      <alignment horizontal="center" vertical="center" wrapText="1"/>
    </xf>
    <xf numFmtId="0" fontId="13" fillId="0" borderId="0" xfId="0" applyFont="1" applyAlignment="1">
      <alignment vertical="top"/>
    </xf>
    <xf numFmtId="0" fontId="22" fillId="0" borderId="0" xfId="0" applyFont="1" applyAlignment="1">
      <alignment vertical="center"/>
    </xf>
    <xf numFmtId="0" fontId="0" fillId="0" borderId="5" xfId="0" applyBorder="1" applyAlignment="1">
      <alignment horizontal="right" vertical="top"/>
    </xf>
    <xf numFmtId="0" fontId="0" fillId="0" borderId="0" xfId="0" applyAlignment="1">
      <alignment horizontal="right" vertical="top"/>
    </xf>
    <xf numFmtId="0" fontId="76" fillId="13" borderId="0" xfId="0" applyFont="1" applyFill="1" applyAlignment="1">
      <alignment horizontal="left" vertical="center" wrapText="1" indent="1"/>
    </xf>
    <xf numFmtId="0" fontId="76" fillId="13" borderId="0" xfId="0" applyFont="1" applyFill="1" applyAlignment="1">
      <alignment horizontal="left" vertical="center" indent="1"/>
    </xf>
    <xf numFmtId="0" fontId="76" fillId="13" borderId="0" xfId="0" applyFont="1" applyFill="1"/>
    <xf numFmtId="0" fontId="76" fillId="13" borderId="0" xfId="0" applyFont="1" applyFill="1" applyAlignment="1">
      <alignment horizontal="center" vertical="center" wrapText="1"/>
    </xf>
    <xf numFmtId="0" fontId="78" fillId="18" borderId="0" xfId="0" applyFont="1" applyFill="1" applyAlignment="1">
      <alignment horizontal="left" vertical="center" wrapText="1" indent="1"/>
    </xf>
    <xf numFmtId="0" fontId="76" fillId="0" borderId="0" xfId="0" applyFont="1"/>
    <xf numFmtId="0" fontId="76" fillId="0" borderId="0" xfId="0" applyFont="1" applyAlignment="1">
      <alignment wrapText="1"/>
    </xf>
    <xf numFmtId="0" fontId="76" fillId="13" borderId="0" xfId="0" applyFont="1" applyFill="1" applyAlignment="1">
      <alignment wrapText="1"/>
    </xf>
    <xf numFmtId="0" fontId="79" fillId="13" borderId="0" xfId="0" applyFont="1" applyFill="1" applyAlignment="1">
      <alignment horizontal="left"/>
    </xf>
    <xf numFmtId="0" fontId="81" fillId="0" borderId="0" xfId="18" applyFont="1" applyProtection="1">
      <protection hidden="1"/>
    </xf>
    <xf numFmtId="0" fontId="76" fillId="0" borderId="0" xfId="11" applyFont="1"/>
    <xf numFmtId="0" fontId="76" fillId="7" borderId="1" xfId="0" applyFont="1" applyFill="1" applyBorder="1" applyAlignment="1">
      <alignment vertical="center" wrapText="1"/>
    </xf>
    <xf numFmtId="0" fontId="76" fillId="0" borderId="1" xfId="0" applyFont="1" applyBorder="1" applyAlignment="1">
      <alignment horizontal="center" vertical="center" wrapText="1"/>
    </xf>
    <xf numFmtId="0" fontId="76" fillId="0" borderId="1" xfId="0" applyFont="1" applyBorder="1" applyAlignment="1">
      <alignment vertical="center" wrapText="1"/>
    </xf>
    <xf numFmtId="0" fontId="84" fillId="0" borderId="8" xfId="0" applyFont="1" applyBorder="1" applyAlignment="1">
      <alignment horizontal="left" vertical="center" wrapText="1" indent="3"/>
    </xf>
    <xf numFmtId="0" fontId="76" fillId="0" borderId="0" xfId="0" applyFont="1" applyAlignment="1">
      <alignment horizontal="center" vertical="center"/>
    </xf>
    <xf numFmtId="0" fontId="79" fillId="0" borderId="0" xfId="0" applyFont="1" applyAlignment="1">
      <alignment horizontal="center"/>
    </xf>
    <xf numFmtId="0" fontId="79" fillId="0" borderId="0" xfId="0" applyFont="1" applyAlignment="1">
      <alignment horizontal="center" vertical="center" wrapText="1"/>
    </xf>
    <xf numFmtId="0" fontId="76" fillId="0" borderId="0" xfId="0" applyFont="1" applyAlignment="1">
      <alignment vertical="center" wrapText="1"/>
    </xf>
    <xf numFmtId="0" fontId="76" fillId="0" borderId="0" xfId="0" applyFont="1" applyAlignment="1">
      <alignment horizontal="left" vertical="center"/>
    </xf>
    <xf numFmtId="0" fontId="85" fillId="0" borderId="0" xfId="0" applyFont="1" applyAlignment="1">
      <alignment horizontal="left" vertical="center"/>
    </xf>
    <xf numFmtId="0" fontId="89" fillId="0" borderId="0" xfId="0" applyFont="1" applyAlignment="1">
      <alignment horizontal="justify" vertical="center" wrapText="1"/>
    </xf>
    <xf numFmtId="0" fontId="84" fillId="0" borderId="0" xfId="0" applyFont="1"/>
    <xf numFmtId="0" fontId="83" fillId="0" borderId="0" xfId="0" applyFont="1" applyAlignment="1">
      <alignment vertical="center" wrapText="1"/>
    </xf>
    <xf numFmtId="0" fontId="84" fillId="0" borderId="0" xfId="0" applyFont="1" applyAlignment="1">
      <alignment horizontal="right" vertical="center" wrapText="1"/>
    </xf>
    <xf numFmtId="0" fontId="84" fillId="0" borderId="0" xfId="0" applyFont="1" applyAlignment="1">
      <alignment vertical="center" wrapText="1"/>
    </xf>
    <xf numFmtId="0" fontId="83" fillId="0" borderId="1" xfId="0" applyFont="1" applyBorder="1" applyAlignment="1">
      <alignment horizontal="center" vertical="center" wrapText="1"/>
    </xf>
    <xf numFmtId="0" fontId="83" fillId="0" borderId="6" xfId="0" applyFont="1" applyBorder="1" applyAlignment="1">
      <alignment horizontal="center" vertical="center" wrapText="1"/>
    </xf>
    <xf numFmtId="0" fontId="84" fillId="0" borderId="1" xfId="0" applyFont="1" applyBorder="1" applyAlignment="1">
      <alignment horizontal="center" vertical="center" wrapText="1"/>
    </xf>
    <xf numFmtId="0" fontId="89" fillId="0" borderId="0" xfId="0" applyFont="1" applyAlignment="1">
      <alignment vertical="center" wrapText="1"/>
    </xf>
    <xf numFmtId="0" fontId="90" fillId="0" borderId="0" xfId="0" applyFont="1" applyAlignment="1">
      <alignment vertical="center" wrapText="1"/>
    </xf>
    <xf numFmtId="0" fontId="83" fillId="0" borderId="0" xfId="0" applyFont="1" applyAlignment="1">
      <alignment vertical="center"/>
    </xf>
    <xf numFmtId="0" fontId="84" fillId="0" borderId="0" xfId="0" applyFont="1" applyAlignment="1">
      <alignment vertical="center"/>
    </xf>
    <xf numFmtId="0" fontId="83" fillId="0" borderId="0" xfId="0" applyFont="1"/>
    <xf numFmtId="0" fontId="79" fillId="0" borderId="0" xfId="0" applyFont="1" applyAlignment="1">
      <alignment vertical="center"/>
    </xf>
    <xf numFmtId="0" fontId="90" fillId="7" borderId="0" xfId="0" applyFont="1" applyFill="1" applyAlignment="1">
      <alignment vertical="center" wrapText="1"/>
    </xf>
    <xf numFmtId="0" fontId="89" fillId="0" borderId="0" xfId="11" applyFont="1" applyAlignment="1">
      <alignment vertical="center"/>
    </xf>
    <xf numFmtId="0" fontId="83" fillId="0" borderId="0" xfId="11" applyFont="1"/>
    <xf numFmtId="0" fontId="84" fillId="0" borderId="0" xfId="11" applyFont="1" applyAlignment="1">
      <alignment horizontal="center"/>
    </xf>
    <xf numFmtId="0" fontId="84" fillId="0" borderId="0" xfId="11" applyFont="1"/>
    <xf numFmtId="0" fontId="84" fillId="0" borderId="0" xfId="11" applyFont="1" applyAlignment="1">
      <alignment vertical="center"/>
    </xf>
    <xf numFmtId="0" fontId="84" fillId="0" borderId="0" xfId="0" applyFont="1" applyAlignment="1">
      <alignment horizontal="center"/>
    </xf>
    <xf numFmtId="0" fontId="84" fillId="0" borderId="1" xfId="0" applyFont="1" applyBorder="1" applyAlignment="1">
      <alignment horizontal="center" vertical="center"/>
    </xf>
    <xf numFmtId="0" fontId="84" fillId="0" borderId="0" xfId="11" applyFont="1" applyAlignment="1">
      <alignment wrapText="1"/>
    </xf>
    <xf numFmtId="0" fontId="84" fillId="0" borderId="1" xfId="0" applyFont="1" applyBorder="1" applyAlignment="1">
      <alignment vertical="center" wrapText="1"/>
    </xf>
    <xf numFmtId="0" fontId="84" fillId="0" borderId="0" xfId="11" applyFont="1" applyAlignment="1">
      <alignment vertical="center" wrapText="1"/>
    </xf>
    <xf numFmtId="0" fontId="83" fillId="0" borderId="0" xfId="11" applyFont="1" applyAlignment="1">
      <alignment vertical="center"/>
    </xf>
    <xf numFmtId="0" fontId="84" fillId="0" borderId="1" xfId="0" applyFont="1" applyBorder="1"/>
    <xf numFmtId="0" fontId="84" fillId="0" borderId="0" xfId="0" quotePrefix="1" applyFont="1" applyAlignment="1">
      <alignment wrapText="1"/>
    </xf>
    <xf numFmtId="0" fontId="79" fillId="0" borderId="0" xfId="0" applyFont="1"/>
    <xf numFmtId="0" fontId="84" fillId="0" borderId="0" xfId="0" applyFont="1" applyAlignment="1">
      <alignment horizontal="center" vertical="center" wrapText="1"/>
    </xf>
    <xf numFmtId="0" fontId="84" fillId="0" borderId="0" xfId="0" applyFont="1" applyAlignment="1">
      <alignment horizontal="center" vertical="center"/>
    </xf>
    <xf numFmtId="0" fontId="77" fillId="0" borderId="0" xfId="0" applyFont="1"/>
    <xf numFmtId="0" fontId="76" fillId="0" borderId="0" xfId="0" applyFont="1" applyAlignment="1">
      <alignment horizontal="center" vertical="center" wrapText="1"/>
    </xf>
    <xf numFmtId="0" fontId="77" fillId="0" borderId="0" xfId="0" applyFont="1" applyAlignment="1">
      <alignment horizontal="center" vertical="center" wrapText="1"/>
    </xf>
    <xf numFmtId="0" fontId="96" fillId="0" borderId="0" xfId="0" applyFont="1"/>
    <xf numFmtId="0" fontId="76" fillId="0" borderId="0" xfId="0" applyFont="1" applyAlignment="1">
      <alignment vertical="center"/>
    </xf>
    <xf numFmtId="0" fontId="79" fillId="0" borderId="1" xfId="0" applyFont="1" applyBorder="1" applyAlignment="1">
      <alignment horizontal="center" vertical="center" wrapText="1"/>
    </xf>
    <xf numFmtId="0" fontId="76" fillId="0" borderId="4" xfId="0" applyFont="1" applyBorder="1" applyAlignment="1">
      <alignment vertical="center"/>
    </xf>
    <xf numFmtId="0" fontId="84" fillId="7" borderId="1" xfId="0" quotePrefix="1" applyFont="1" applyFill="1" applyBorder="1" applyAlignment="1">
      <alignment vertical="center" wrapText="1"/>
    </xf>
    <xf numFmtId="0" fontId="76" fillId="7" borderId="1" xfId="0" quotePrefix="1" applyFont="1" applyFill="1" applyBorder="1" applyAlignment="1">
      <alignment vertical="center" wrapText="1"/>
    </xf>
    <xf numFmtId="0" fontId="76" fillId="0" borderId="1" xfId="0" quotePrefix="1" applyFont="1" applyBorder="1" applyAlignment="1">
      <alignment vertical="center" wrapText="1"/>
    </xf>
    <xf numFmtId="0" fontId="84" fillId="0" borderId="1" xfId="0" applyFont="1" applyBorder="1" applyAlignment="1">
      <alignment horizontal="center" vertical="top"/>
    </xf>
    <xf numFmtId="0" fontId="97" fillId="0" borderId="0" xfId="0" applyFont="1"/>
    <xf numFmtId="0" fontId="84" fillId="0" borderId="4" xfId="0" applyFont="1" applyBorder="1" applyAlignment="1">
      <alignment vertical="center"/>
    </xf>
    <xf numFmtId="0" fontId="84" fillId="7" borderId="1" xfId="0" applyFont="1" applyFill="1" applyBorder="1" applyAlignment="1">
      <alignment vertical="center" wrapText="1"/>
    </xf>
    <xf numFmtId="0" fontId="83" fillId="0" borderId="1" xfId="0" applyFont="1" applyBorder="1" applyAlignment="1">
      <alignment horizontal="center" vertical="top"/>
    </xf>
    <xf numFmtId="0" fontId="76" fillId="0" borderId="0" xfId="0" applyFont="1" applyAlignment="1">
      <alignment horizontal="center"/>
    </xf>
    <xf numFmtId="0" fontId="83" fillId="0" borderId="0" xfId="0" applyFont="1" applyAlignment="1">
      <alignment wrapText="1"/>
    </xf>
    <xf numFmtId="0" fontId="83" fillId="0" borderId="7" xfId="0" applyFont="1" applyBorder="1" applyAlignment="1">
      <alignment horizontal="center" vertical="center" wrapText="1"/>
    </xf>
    <xf numFmtId="0" fontId="84" fillId="0" borderId="1" xfId="0" applyFont="1" applyBorder="1" applyAlignment="1">
      <alignment horizontal="center"/>
    </xf>
    <xf numFmtId="0" fontId="84" fillId="0" borderId="8" xfId="0" applyFont="1" applyBorder="1" applyAlignment="1">
      <alignment horizontal="center" vertical="center" wrapText="1"/>
    </xf>
    <xf numFmtId="0" fontId="84" fillId="13" borderId="8" xfId="0" applyFont="1" applyFill="1" applyBorder="1" applyAlignment="1">
      <alignment horizontal="center" vertical="center" wrapText="1"/>
    </xf>
    <xf numFmtId="0" fontId="84" fillId="0" borderId="1" xfId="0" applyFont="1" applyBorder="1" applyAlignment="1">
      <alignment wrapText="1"/>
    </xf>
    <xf numFmtId="0" fontId="84" fillId="0" borderId="8" xfId="0" applyFont="1" applyBorder="1" applyAlignment="1">
      <alignment horizontal="left" vertical="center" wrapText="1"/>
    </xf>
    <xf numFmtId="0" fontId="79" fillId="0" borderId="0" xfId="0" applyFont="1" applyAlignment="1">
      <alignment wrapText="1"/>
    </xf>
    <xf numFmtId="0" fontId="99" fillId="0" borderId="0" xfId="0" applyFont="1"/>
    <xf numFmtId="0" fontId="76" fillId="0" borderId="0" xfId="0" quotePrefix="1" applyFont="1" applyAlignment="1">
      <alignment horizontal="left" vertical="center" indent="5"/>
    </xf>
    <xf numFmtId="0" fontId="84" fillId="0" borderId="0" xfId="0" applyFont="1" applyAlignment="1">
      <alignment wrapText="1"/>
    </xf>
    <xf numFmtId="0" fontId="84" fillId="13" borderId="0" xfId="0" applyFont="1" applyFill="1"/>
    <xf numFmtId="0" fontId="79" fillId="13" borderId="0" xfId="0" applyFont="1" applyFill="1"/>
    <xf numFmtId="0" fontId="79" fillId="13" borderId="0" xfId="0" applyFont="1" applyFill="1" applyAlignment="1">
      <alignment vertical="center" wrapText="1"/>
    </xf>
    <xf numFmtId="0" fontId="76" fillId="13" borderId="0" xfId="0" applyFont="1" applyFill="1" applyAlignment="1">
      <alignment horizontal="center" vertical="center"/>
    </xf>
    <xf numFmtId="0" fontId="84" fillId="13" borderId="0" xfId="0" applyFont="1" applyFill="1" applyAlignment="1">
      <alignment vertical="center" wrapText="1"/>
    </xf>
    <xf numFmtId="49" fontId="83" fillId="0" borderId="0" xfId="0" applyNumberFormat="1" applyFont="1" applyAlignment="1">
      <alignment vertical="center"/>
    </xf>
    <xf numFmtId="49" fontId="84" fillId="0" borderId="0" xfId="0" applyNumberFormat="1" applyFont="1"/>
    <xf numFmtId="49" fontId="84" fillId="0" borderId="0" xfId="0" applyNumberFormat="1" applyFont="1" applyAlignment="1">
      <alignment vertical="center"/>
    </xf>
    <xf numFmtId="49" fontId="84" fillId="0" borderId="0" xfId="0" applyNumberFormat="1" applyFont="1" applyAlignment="1">
      <alignment vertical="center" wrapText="1"/>
    </xf>
    <xf numFmtId="49" fontId="84" fillId="13" borderId="0" xfId="0" applyNumberFormat="1" applyFont="1" applyFill="1" applyAlignment="1">
      <alignment vertical="center" wrapText="1"/>
    </xf>
    <xf numFmtId="49" fontId="84" fillId="13" borderId="0" xfId="0" applyNumberFormat="1" applyFont="1" applyFill="1"/>
    <xf numFmtId="0" fontId="83" fillId="0" borderId="0" xfId="0" applyFont="1" applyAlignment="1">
      <alignment horizontal="justify" vertical="center"/>
    </xf>
    <xf numFmtId="0" fontId="89" fillId="0" borderId="0" xfId="0" applyFont="1" applyAlignment="1">
      <alignment vertical="center"/>
    </xf>
    <xf numFmtId="0" fontId="93" fillId="0" borderId="0" xfId="0" applyFont="1" applyAlignment="1">
      <alignment horizontal="center" wrapText="1"/>
    </xf>
    <xf numFmtId="0" fontId="92" fillId="0" borderId="0" xfId="0" applyFont="1" applyAlignment="1">
      <alignment vertical="center" wrapText="1"/>
    </xf>
    <xf numFmtId="0" fontId="90" fillId="0" borderId="0" xfId="0" applyFont="1" applyAlignment="1">
      <alignment horizontal="center" vertical="center" wrapText="1"/>
    </xf>
    <xf numFmtId="0" fontId="103" fillId="0" borderId="0" xfId="0" applyFont="1" applyAlignment="1">
      <alignment wrapText="1"/>
    </xf>
    <xf numFmtId="0" fontId="104" fillId="0" borderId="0" xfId="0" applyFont="1"/>
    <xf numFmtId="0" fontId="76" fillId="0" borderId="0" xfId="17" applyProtection="1">
      <protection hidden="1"/>
    </xf>
    <xf numFmtId="0" fontId="77" fillId="0" borderId="0" xfId="17" applyFont="1" applyProtection="1">
      <protection hidden="1"/>
    </xf>
    <xf numFmtId="0" fontId="90" fillId="0" borderId="0" xfId="0" applyFont="1" applyAlignment="1">
      <alignment vertical="center"/>
    </xf>
    <xf numFmtId="0" fontId="77" fillId="0" borderId="0" xfId="0" applyFont="1" applyAlignment="1">
      <alignment wrapText="1"/>
    </xf>
    <xf numFmtId="0" fontId="84" fillId="0" borderId="0" xfId="0" applyFont="1" applyAlignment="1">
      <alignment horizontal="left" vertical="center"/>
    </xf>
    <xf numFmtId="0" fontId="76" fillId="0" borderId="0" xfId="0" applyFont="1" applyAlignment="1">
      <alignment horizontal="justify"/>
    </xf>
    <xf numFmtId="0" fontId="76" fillId="13" borderId="0" xfId="0" applyFont="1" applyFill="1" applyAlignment="1">
      <alignment horizontal="left" vertical="center" indent="3"/>
    </xf>
    <xf numFmtId="0" fontId="76" fillId="0" borderId="0" xfId="0" applyFont="1" applyAlignment="1">
      <alignment horizontal="left" vertical="center" wrapText="1" indent="1"/>
    </xf>
    <xf numFmtId="0" fontId="94" fillId="13" borderId="0" xfId="9" applyFont="1" applyFill="1" applyBorder="1" applyAlignment="1">
      <alignment horizontal="left" vertical="center" indent="3"/>
    </xf>
    <xf numFmtId="0" fontId="94" fillId="13" borderId="0" xfId="9" applyFont="1" applyFill="1" applyBorder="1" applyAlignment="1">
      <alignment horizontal="left" vertical="center" wrapText="1" indent="1"/>
    </xf>
    <xf numFmtId="0" fontId="84" fillId="13" borderId="0" xfId="0" applyFont="1" applyFill="1" applyAlignment="1">
      <alignment horizontal="left" vertical="center" indent="1"/>
    </xf>
    <xf numFmtId="0" fontId="84" fillId="13" borderId="0" xfId="0" applyFont="1" applyFill="1" applyAlignment="1">
      <alignment horizontal="left" vertical="center" indent="3"/>
    </xf>
    <xf numFmtId="0" fontId="84" fillId="13" borderId="0" xfId="0" applyFont="1" applyFill="1" applyAlignment="1">
      <alignment horizontal="left" vertical="center" wrapText="1" indent="1"/>
    </xf>
    <xf numFmtId="0" fontId="105" fillId="0" borderId="0" xfId="21" applyFont="1" applyProtection="1">
      <protection hidden="1"/>
    </xf>
    <xf numFmtId="0" fontId="23" fillId="0" borderId="0" xfId="21" applyProtection="1">
      <protection hidden="1"/>
    </xf>
    <xf numFmtId="0" fontId="106" fillId="0" borderId="0" xfId="21" applyFont="1" applyProtection="1">
      <protection hidden="1"/>
    </xf>
    <xf numFmtId="0" fontId="107" fillId="0" borderId="0" xfId="21" applyFont="1" applyProtection="1">
      <protection hidden="1"/>
    </xf>
    <xf numFmtId="0" fontId="76" fillId="13" borderId="30" xfId="0" applyFont="1" applyFill="1" applyBorder="1" applyAlignment="1">
      <alignment horizontal="left" vertical="center" wrapText="1" indent="1"/>
    </xf>
    <xf numFmtId="0" fontId="108" fillId="13" borderId="0" xfId="0" applyFont="1" applyFill="1" applyAlignment="1">
      <alignment horizontal="left" vertical="center"/>
    </xf>
    <xf numFmtId="0" fontId="24" fillId="0" borderId="0" xfId="9" applyFill="1"/>
    <xf numFmtId="0" fontId="109" fillId="0" borderId="0" xfId="0" applyFont="1" applyAlignment="1">
      <alignment vertical="center"/>
    </xf>
    <xf numFmtId="0" fontId="110" fillId="0" borderId="0" xfId="0" applyFont="1" applyAlignment="1">
      <alignment horizontal="left" vertical="center"/>
    </xf>
    <xf numFmtId="0" fontId="110" fillId="0" borderId="0" xfId="0" applyFont="1" applyAlignment="1">
      <alignment vertical="center"/>
    </xf>
    <xf numFmtId="0" fontId="110" fillId="0" borderId="0" xfId="0" applyFont="1"/>
    <xf numFmtId="0" fontId="110" fillId="0" borderId="0" xfId="2" applyFont="1">
      <alignment vertical="center"/>
    </xf>
    <xf numFmtId="0" fontId="110" fillId="13" borderId="0" xfId="0" applyFont="1" applyFill="1"/>
    <xf numFmtId="0" fontId="110" fillId="0" borderId="0" xfId="0" applyFont="1" applyAlignment="1">
      <alignment horizontal="left"/>
    </xf>
    <xf numFmtId="49" fontId="110" fillId="0" borderId="0" xfId="0" applyNumberFormat="1" applyFont="1" applyAlignment="1">
      <alignment vertical="center"/>
    </xf>
    <xf numFmtId="0" fontId="110" fillId="0" borderId="16" xfId="0" applyFont="1" applyBorder="1" applyAlignment="1">
      <alignment vertical="center"/>
    </xf>
    <xf numFmtId="0" fontId="111" fillId="0" borderId="0" xfId="17" applyFont="1" applyProtection="1">
      <protection hidden="1"/>
    </xf>
    <xf numFmtId="0" fontId="112" fillId="0" borderId="0" xfId="17" applyFont="1" applyProtection="1">
      <protection hidden="1"/>
    </xf>
    <xf numFmtId="0" fontId="84" fillId="0" borderId="0" xfId="17" applyFont="1" applyProtection="1">
      <protection hidden="1"/>
    </xf>
    <xf numFmtId="166" fontId="84" fillId="0" borderId="0" xfId="22" applyNumberFormat="1" applyFont="1"/>
    <xf numFmtId="0" fontId="82" fillId="0" borderId="0" xfId="0" applyFont="1" applyAlignment="1">
      <alignment horizontal="left" vertical="center" wrapText="1" indent="2"/>
    </xf>
    <xf numFmtId="10" fontId="84" fillId="0" borderId="0" xfId="12" applyNumberFormat="1" applyFont="1" applyAlignment="1">
      <alignment wrapText="1"/>
    </xf>
    <xf numFmtId="43" fontId="84" fillId="0" borderId="0" xfId="0" applyNumberFormat="1" applyFont="1" applyAlignment="1">
      <alignment wrapText="1"/>
    </xf>
    <xf numFmtId="166" fontId="84" fillId="0" borderId="0" xfId="22" applyNumberFormat="1" applyFont="1" applyAlignment="1">
      <alignment wrapText="1"/>
    </xf>
    <xf numFmtId="10" fontId="84" fillId="0" borderId="0" xfId="12" applyNumberFormat="1" applyFont="1"/>
    <xf numFmtId="43" fontId="116" fillId="0" borderId="0" xfId="0" applyNumberFormat="1" applyFont="1" applyAlignment="1">
      <alignment wrapText="1"/>
    </xf>
    <xf numFmtId="0" fontId="116" fillId="0" borderId="0" xfId="0" applyFont="1" applyAlignment="1">
      <alignment wrapText="1"/>
    </xf>
    <xf numFmtId="0" fontId="116" fillId="0" borderId="0" xfId="0" applyFont="1"/>
    <xf numFmtId="0" fontId="116" fillId="0" borderId="0" xfId="0" applyFont="1" applyAlignment="1">
      <alignment vertical="center" wrapText="1"/>
    </xf>
    <xf numFmtId="166" fontId="115" fillId="0" borderId="0" xfId="22" applyNumberFormat="1" applyFont="1"/>
    <xf numFmtId="0" fontId="115" fillId="13" borderId="0" xfId="0" applyFont="1" applyFill="1" applyAlignment="1">
      <alignment horizontal="left" vertical="center" indent="3"/>
    </xf>
    <xf numFmtId="0" fontId="115" fillId="13" borderId="0" xfId="0" applyFont="1" applyFill="1" applyAlignment="1">
      <alignment horizontal="left" vertical="center" wrapText="1" indent="1"/>
    </xf>
    <xf numFmtId="0" fontId="115" fillId="13" borderId="0" xfId="0" applyFont="1" applyFill="1" applyAlignment="1">
      <alignment horizontal="left" vertical="center" indent="1"/>
    </xf>
    <xf numFmtId="166" fontId="76" fillId="0" borderId="0" xfId="0" applyNumberFormat="1" applyFont="1"/>
    <xf numFmtId="0" fontId="119" fillId="0" borderId="0" xfId="0" applyFont="1"/>
    <xf numFmtId="166" fontId="115" fillId="0" borderId="0" xfId="0" applyNumberFormat="1" applyFont="1"/>
    <xf numFmtId="166" fontId="76" fillId="0" borderId="0" xfId="22" applyNumberFormat="1" applyFont="1"/>
    <xf numFmtId="4" fontId="84" fillId="0" borderId="0" xfId="0" applyNumberFormat="1" applyFont="1"/>
    <xf numFmtId="168" fontId="120" fillId="0" borderId="0" xfId="0" applyNumberFormat="1" applyFont="1" applyAlignment="1">
      <alignment horizontal="right"/>
    </xf>
    <xf numFmtId="0" fontId="84" fillId="17" borderId="31" xfId="0" applyFont="1" applyFill="1" applyBorder="1" applyAlignment="1">
      <alignment horizontal="left" vertical="center" wrapText="1" indent="1"/>
    </xf>
    <xf numFmtId="166" fontId="84" fillId="17" borderId="31" xfId="22" applyNumberFormat="1" applyFont="1" applyFill="1" applyBorder="1" applyAlignment="1">
      <alignment vertical="center"/>
    </xf>
    <xf numFmtId="0" fontId="84" fillId="0" borderId="31" xfId="0" applyFont="1" applyBorder="1" applyAlignment="1">
      <alignment horizontal="center" vertical="center"/>
    </xf>
    <xf numFmtId="0" fontId="92" fillId="0" borderId="31" xfId="0" applyFont="1" applyBorder="1" applyAlignment="1">
      <alignment horizontal="left" vertical="center" wrapText="1" indent="3"/>
    </xf>
    <xf numFmtId="166" fontId="84" fillId="0" borderId="31" xfId="22" applyNumberFormat="1" applyFont="1" applyBorder="1" applyAlignment="1">
      <alignment vertical="center"/>
    </xf>
    <xf numFmtId="166" fontId="84" fillId="0" borderId="31" xfId="22" applyNumberFormat="1" applyFont="1" applyBorder="1" applyAlignment="1">
      <alignment horizontal="center" vertical="center" wrapText="1"/>
    </xf>
    <xf numFmtId="0" fontId="84" fillId="17" borderId="31" xfId="0" applyFont="1" applyFill="1" applyBorder="1" applyAlignment="1">
      <alignment horizontal="center" vertical="center"/>
    </xf>
    <xf numFmtId="166" fontId="83" fillId="17" borderId="31" xfId="22" applyNumberFormat="1" applyFont="1" applyFill="1" applyBorder="1" applyAlignment="1">
      <alignment horizontal="center" vertical="center" wrapText="1"/>
    </xf>
    <xf numFmtId="166" fontId="92" fillId="8" borderId="31" xfId="22" applyNumberFormat="1" applyFont="1" applyFill="1" applyBorder="1" applyAlignment="1">
      <alignment vertical="center" wrapText="1"/>
    </xf>
    <xf numFmtId="0" fontId="83" fillId="0" borderId="31" xfId="0" applyFont="1" applyBorder="1" applyAlignment="1">
      <alignment horizontal="center" vertical="center"/>
    </xf>
    <xf numFmtId="0" fontId="83" fillId="0" borderId="31" xfId="0" applyFont="1" applyBorder="1" applyAlignment="1">
      <alignment horizontal="left" vertical="center" wrapText="1" indent="1"/>
    </xf>
    <xf numFmtId="166" fontId="83" fillId="8" borderId="31" xfId="22" applyNumberFormat="1" applyFont="1" applyFill="1" applyBorder="1" applyAlignment="1">
      <alignment vertical="center"/>
    </xf>
    <xf numFmtId="166" fontId="83" fillId="0" borderId="31" xfId="22" applyNumberFormat="1" applyFont="1" applyBorder="1" applyAlignment="1">
      <alignment vertical="center"/>
    </xf>
    <xf numFmtId="0" fontId="84" fillId="0" borderId="31" xfId="0" applyFont="1" applyBorder="1" applyAlignment="1">
      <alignment horizontal="center" vertical="center" wrapText="1"/>
    </xf>
    <xf numFmtId="166" fontId="83" fillId="8" borderId="31" xfId="22" applyNumberFormat="1" applyFont="1" applyFill="1" applyBorder="1" applyAlignment="1">
      <alignment horizontal="center" vertical="center" wrapText="1"/>
    </xf>
    <xf numFmtId="166" fontId="84" fillId="17" borderId="31" xfId="22" applyNumberFormat="1" applyFont="1" applyFill="1" applyBorder="1" applyAlignment="1">
      <alignment horizontal="center" vertical="center"/>
    </xf>
    <xf numFmtId="166" fontId="84" fillId="0" borderId="31" xfId="22" applyNumberFormat="1" applyFont="1" applyBorder="1" applyAlignment="1">
      <alignment horizontal="center" vertical="center"/>
    </xf>
    <xf numFmtId="0" fontId="92" fillId="0" borderId="31" xfId="0" applyFont="1" applyBorder="1" applyAlignment="1">
      <alignment horizontal="left" vertical="center" wrapText="1" indent="5"/>
    </xf>
    <xf numFmtId="166" fontId="84" fillId="13" borderId="31" xfId="22" applyNumberFormat="1" applyFont="1" applyFill="1" applyBorder="1" applyAlignment="1">
      <alignment horizontal="center" vertical="center" wrapText="1"/>
    </xf>
    <xf numFmtId="166" fontId="84" fillId="0" borderId="31" xfId="22" applyNumberFormat="1" applyFont="1" applyBorder="1" applyAlignment="1">
      <alignment vertical="center" wrapText="1"/>
    </xf>
    <xf numFmtId="166" fontId="84" fillId="8" borderId="31" xfId="22" applyNumberFormat="1" applyFont="1" applyFill="1" applyBorder="1" applyAlignment="1">
      <alignment horizontal="center" vertical="center"/>
    </xf>
    <xf numFmtId="166" fontId="83" fillId="8" borderId="31" xfId="22" applyNumberFormat="1" applyFont="1" applyFill="1" applyBorder="1" applyAlignment="1">
      <alignment horizontal="center" vertical="center"/>
    </xf>
    <xf numFmtId="3" fontId="76" fillId="0" borderId="0" xfId="0" applyNumberFormat="1" applyFont="1"/>
    <xf numFmtId="0" fontId="84" fillId="17" borderId="31" xfId="0" applyFont="1" applyFill="1" applyBorder="1" applyAlignment="1">
      <alignment horizontal="center" vertical="center" wrapText="1"/>
    </xf>
    <xf numFmtId="0" fontId="121" fillId="0" borderId="0" xfId="0" applyFont="1" applyProtection="1">
      <protection hidden="1"/>
    </xf>
    <xf numFmtId="166" fontId="84" fillId="17" borderId="31" xfId="22" applyNumberFormat="1" applyFont="1" applyFill="1" applyBorder="1" applyAlignment="1">
      <alignment horizontal="center" vertical="center" wrapText="1"/>
    </xf>
    <xf numFmtId="166" fontId="84" fillId="0" borderId="0" xfId="0" applyNumberFormat="1" applyFont="1"/>
    <xf numFmtId="166" fontId="92" fillId="0" borderId="31" xfId="22" applyNumberFormat="1" applyFont="1" applyBorder="1" applyAlignment="1">
      <alignment horizontal="center" vertical="center"/>
    </xf>
    <xf numFmtId="166" fontId="92" fillId="0" borderId="31" xfId="22" applyNumberFormat="1" applyFont="1" applyBorder="1" applyAlignment="1">
      <alignment vertical="center"/>
    </xf>
    <xf numFmtId="0" fontId="84" fillId="17" borderId="34" xfId="0" applyFont="1" applyFill="1" applyBorder="1" applyAlignment="1">
      <alignment horizontal="center" vertical="center" wrapText="1"/>
    </xf>
    <xf numFmtId="0" fontId="84" fillId="17" borderId="34" xfId="0" applyFont="1" applyFill="1" applyBorder="1" applyAlignment="1">
      <alignment horizontal="left" vertical="center" wrapText="1" indent="1"/>
    </xf>
    <xf numFmtId="166" fontId="84" fillId="17" borderId="34" xfId="22" applyNumberFormat="1" applyFont="1" applyFill="1" applyBorder="1" applyAlignment="1">
      <alignment vertical="center"/>
    </xf>
    <xf numFmtId="0" fontId="84" fillId="0" borderId="33" xfId="0" applyFont="1" applyBorder="1" applyAlignment="1">
      <alignment horizontal="center" vertical="center"/>
    </xf>
    <xf numFmtId="0" fontId="76" fillId="0" borderId="31" xfId="0" applyFont="1" applyBorder="1" applyAlignment="1">
      <alignment horizontal="center" vertical="center"/>
    </xf>
    <xf numFmtId="0" fontId="90" fillId="7" borderId="31" xfId="0" applyFont="1" applyFill="1" applyBorder="1" applyAlignment="1">
      <alignment horizontal="left" vertical="center" wrapText="1" indent="1"/>
    </xf>
    <xf numFmtId="0" fontId="76" fillId="7" borderId="31" xfId="0" applyFont="1" applyFill="1" applyBorder="1" applyAlignment="1">
      <alignment horizontal="center" vertical="center" wrapText="1"/>
    </xf>
    <xf numFmtId="166" fontId="84" fillId="17" borderId="31" xfId="22" quotePrefix="1" applyNumberFormat="1" applyFont="1" applyFill="1" applyBorder="1" applyAlignment="1">
      <alignment vertical="center" wrapText="1"/>
    </xf>
    <xf numFmtId="166" fontId="84" fillId="17" borderId="31" xfId="22" applyNumberFormat="1" applyFont="1" applyFill="1" applyBorder="1" applyAlignment="1">
      <alignment horizontal="left" vertical="center" wrapText="1" indent="1"/>
    </xf>
    <xf numFmtId="0" fontId="84" fillId="7" borderId="31" xfId="0" applyFont="1" applyFill="1" applyBorder="1" applyAlignment="1">
      <alignment horizontal="center" vertical="center" wrapText="1"/>
    </xf>
    <xf numFmtId="166" fontId="92" fillId="7" borderId="31" xfId="22" applyNumberFormat="1" applyFont="1" applyFill="1" applyBorder="1" applyAlignment="1">
      <alignment horizontal="left" vertical="center" wrapText="1" indent="1"/>
    </xf>
    <xf numFmtId="166" fontId="84" fillId="7" borderId="31" xfId="22" quotePrefix="1" applyNumberFormat="1" applyFont="1" applyFill="1" applyBorder="1" applyAlignment="1">
      <alignment vertical="center" wrapText="1"/>
    </xf>
    <xf numFmtId="0" fontId="83" fillId="17" borderId="31" xfId="0" applyFont="1" applyFill="1" applyBorder="1" applyAlignment="1">
      <alignment horizontal="center" vertical="center" wrapText="1"/>
    </xf>
    <xf numFmtId="166" fontId="83" fillId="17" borderId="31" xfId="22" applyNumberFormat="1" applyFont="1" applyFill="1" applyBorder="1" applyAlignment="1">
      <alignment horizontal="left" vertical="center" wrapText="1" indent="1"/>
    </xf>
    <xf numFmtId="166" fontId="83" fillId="17" borderId="31" xfId="22" quotePrefix="1" applyNumberFormat="1" applyFont="1" applyFill="1" applyBorder="1" applyAlignment="1">
      <alignment vertical="center" wrapText="1"/>
    </xf>
    <xf numFmtId="1" fontId="84" fillId="17" borderId="31" xfId="22" applyNumberFormat="1" applyFont="1" applyFill="1" applyBorder="1" applyAlignment="1">
      <alignment horizontal="center" vertical="center" wrapText="1"/>
    </xf>
    <xf numFmtId="1" fontId="83" fillId="17" borderId="31" xfId="22" applyNumberFormat="1" applyFont="1" applyFill="1" applyBorder="1" applyAlignment="1">
      <alignment horizontal="center" vertical="center"/>
    </xf>
    <xf numFmtId="166" fontId="83" fillId="17" borderId="31" xfId="22" applyNumberFormat="1" applyFont="1" applyFill="1" applyBorder="1" applyAlignment="1">
      <alignment horizontal="left" vertical="center" indent="1"/>
    </xf>
    <xf numFmtId="167" fontId="83" fillId="17" borderId="31" xfId="12" quotePrefix="1" applyNumberFormat="1" applyFont="1" applyFill="1" applyBorder="1" applyAlignment="1">
      <alignment vertical="center" wrapText="1"/>
    </xf>
    <xf numFmtId="14" fontId="76" fillId="0" borderId="31" xfId="0" applyNumberFormat="1" applyFont="1" applyBorder="1" applyAlignment="1">
      <alignment horizontal="center" vertical="center" wrapText="1"/>
    </xf>
    <xf numFmtId="0" fontId="83" fillId="11" borderId="31" xfId="0" applyFont="1" applyFill="1" applyBorder="1" applyAlignment="1">
      <alignment horizontal="center" vertical="center"/>
    </xf>
    <xf numFmtId="0" fontId="83" fillId="11" borderId="31" xfId="0" applyFont="1" applyFill="1" applyBorder="1" applyAlignment="1">
      <alignment horizontal="left" vertical="center" wrapText="1" indent="1"/>
    </xf>
    <xf numFmtId="167" fontId="83" fillId="11" borderId="31" xfId="12" applyNumberFormat="1" applyFont="1" applyFill="1" applyBorder="1" applyAlignment="1">
      <alignment vertical="center"/>
    </xf>
    <xf numFmtId="0" fontId="84" fillId="0" borderId="31" xfId="0" applyFont="1" applyBorder="1" applyAlignment="1">
      <alignment vertical="center" wrapText="1"/>
    </xf>
    <xf numFmtId="167" fontId="84" fillId="0" borderId="31" xfId="12" applyNumberFormat="1" applyFont="1" applyBorder="1" applyAlignment="1">
      <alignment horizontal="center" vertical="center" wrapText="1"/>
    </xf>
    <xf numFmtId="0" fontId="84" fillId="13" borderId="31" xfId="0" applyFont="1" applyFill="1" applyBorder="1" applyAlignment="1">
      <alignment horizontal="center" vertical="center" wrapText="1"/>
    </xf>
    <xf numFmtId="166" fontId="84" fillId="0" borderId="31" xfId="22" applyNumberFormat="1" applyFont="1" applyBorder="1"/>
    <xf numFmtId="0" fontId="83" fillId="16" borderId="31" xfId="0" applyFont="1" applyFill="1" applyBorder="1" applyAlignment="1">
      <alignment horizontal="left" vertical="center" wrapText="1" indent="1"/>
    </xf>
    <xf numFmtId="0" fontId="84" fillId="0" borderId="0" xfId="0" applyFont="1" applyAlignment="1">
      <alignment horizontal="left" indent="1"/>
    </xf>
    <xf numFmtId="0" fontId="84" fillId="0" borderId="31" xfId="0" applyFont="1" applyBorder="1" applyAlignment="1">
      <alignment horizontal="left" vertical="center" wrapText="1" indent="1"/>
    </xf>
    <xf numFmtId="0" fontId="84" fillId="13" borderId="31" xfId="0" applyFont="1" applyFill="1" applyBorder="1" applyAlignment="1">
      <alignment horizontal="left" vertical="center" wrapText="1" indent="1"/>
    </xf>
    <xf numFmtId="0" fontId="92" fillId="0" borderId="31" xfId="0" applyFont="1" applyBorder="1" applyAlignment="1">
      <alignment horizontal="left" vertical="center" wrapText="1" indent="1"/>
    </xf>
    <xf numFmtId="0" fontId="92" fillId="13" borderId="31" xfId="0" applyFont="1" applyFill="1" applyBorder="1" applyAlignment="1">
      <alignment horizontal="left" vertical="center" wrapText="1" indent="1"/>
    </xf>
    <xf numFmtId="0" fontId="84" fillId="0" borderId="31" xfId="0" applyFont="1" applyBorder="1" applyAlignment="1">
      <alignment horizontal="right" vertical="center" wrapText="1"/>
    </xf>
    <xf numFmtId="0" fontId="92" fillId="0" borderId="31" xfId="0" applyFont="1" applyBorder="1" applyAlignment="1">
      <alignment horizontal="center" vertical="center" wrapText="1"/>
    </xf>
    <xf numFmtId="167" fontId="92" fillId="0" borderId="31" xfId="12" applyNumberFormat="1" applyFont="1" applyBorder="1" applyAlignment="1">
      <alignment horizontal="center" vertical="center" wrapText="1"/>
    </xf>
    <xf numFmtId="166" fontId="84" fillId="0" borderId="31" xfId="22" applyNumberFormat="1" applyFont="1" applyBorder="1" applyAlignment="1">
      <alignment horizontal="left" vertical="center" wrapText="1" indent="1"/>
    </xf>
    <xf numFmtId="10" fontId="84" fillId="0" borderId="31" xfId="12" applyNumberFormat="1" applyFont="1" applyBorder="1" applyAlignment="1">
      <alignment horizontal="right" vertical="center" wrapText="1"/>
    </xf>
    <xf numFmtId="10" fontId="92" fillId="0" borderId="31" xfId="12" applyNumberFormat="1" applyFont="1" applyBorder="1" applyAlignment="1">
      <alignment horizontal="right" vertical="center" wrapText="1"/>
    </xf>
    <xf numFmtId="10" fontId="84" fillId="0" borderId="31" xfId="0" applyNumberFormat="1" applyFont="1" applyBorder="1" applyAlignment="1">
      <alignment horizontal="right" vertical="center" wrapText="1"/>
    </xf>
    <xf numFmtId="3" fontId="84" fillId="0" borderId="31" xfId="0" applyNumberFormat="1" applyFont="1" applyBorder="1" applyAlignment="1">
      <alignment horizontal="right" vertical="center" wrapText="1"/>
    </xf>
    <xf numFmtId="3" fontId="123" fillId="0" borderId="31" xfId="0" applyNumberFormat="1" applyFont="1" applyBorder="1" applyAlignment="1">
      <alignment horizontal="right" vertical="center" wrapText="1"/>
    </xf>
    <xf numFmtId="10" fontId="123" fillId="0" borderId="31" xfId="12" applyNumberFormat="1" applyFont="1" applyBorder="1" applyAlignment="1">
      <alignment horizontal="right" vertical="center" wrapText="1"/>
    </xf>
    <xf numFmtId="167" fontId="84" fillId="0" borderId="31" xfId="12" applyNumberFormat="1" applyFont="1" applyBorder="1" applyAlignment="1">
      <alignment horizontal="right" vertical="center" wrapText="1"/>
    </xf>
    <xf numFmtId="166" fontId="76" fillId="0" borderId="31" xfId="22" applyNumberFormat="1" applyFont="1" applyBorder="1" applyAlignment="1">
      <alignment vertical="center" wrapText="1"/>
    </xf>
    <xf numFmtId="166" fontId="76" fillId="7" borderId="31" xfId="22" applyNumberFormat="1" applyFont="1" applyFill="1" applyBorder="1" applyAlignment="1">
      <alignment vertical="center" wrapText="1"/>
    </xf>
    <xf numFmtId="0" fontId="76" fillId="0" borderId="31" xfId="0" applyFont="1" applyBorder="1" applyAlignment="1">
      <alignment vertical="center" wrapText="1"/>
    </xf>
    <xf numFmtId="0" fontId="76" fillId="7" borderId="31" xfId="0" applyFont="1" applyFill="1" applyBorder="1" applyAlignment="1">
      <alignment vertical="center" wrapText="1"/>
    </xf>
    <xf numFmtId="166" fontId="76" fillId="0" borderId="33" xfId="22" applyNumberFormat="1" applyFont="1" applyBorder="1" applyAlignment="1">
      <alignment vertical="center" wrapText="1"/>
    </xf>
    <xf numFmtId="0" fontId="76" fillId="0" borderId="33" xfId="0" applyFont="1" applyBorder="1" applyAlignment="1">
      <alignment vertical="center" wrapText="1"/>
    </xf>
    <xf numFmtId="0" fontId="114" fillId="0" borderId="31" xfId="0" applyFont="1" applyBorder="1" applyAlignment="1" applyProtection="1">
      <alignment horizontal="center" vertical="center"/>
      <protection hidden="1"/>
    </xf>
    <xf numFmtId="0" fontId="76" fillId="7" borderId="33" xfId="0" applyFont="1" applyFill="1" applyBorder="1" applyAlignment="1">
      <alignment vertical="center" wrapText="1"/>
    </xf>
    <xf numFmtId="0" fontId="90" fillId="0" borderId="31" xfId="0" applyFont="1" applyBorder="1" applyAlignment="1" applyProtection="1">
      <alignment horizontal="left" vertical="center" wrapText="1" indent="1"/>
      <protection hidden="1"/>
    </xf>
    <xf numFmtId="166" fontId="76" fillId="0" borderId="31" xfId="22" applyNumberFormat="1" applyFont="1" applyBorder="1" applyAlignment="1">
      <alignment horizontal="center" vertical="center" wrapText="1"/>
    </xf>
    <xf numFmtId="166" fontId="76" fillId="11" borderId="31" xfId="22" applyNumberFormat="1" applyFont="1" applyFill="1" applyBorder="1" applyAlignment="1">
      <alignment vertical="center" wrapText="1"/>
    </xf>
    <xf numFmtId="0" fontId="76" fillId="0" borderId="31" xfId="0" applyFont="1" applyBorder="1" applyAlignment="1">
      <alignment horizontal="center" vertical="center" wrapText="1"/>
    </xf>
    <xf numFmtId="0" fontId="76" fillId="0" borderId="31" xfId="0" applyFont="1" applyBorder="1" applyAlignment="1" applyProtection="1">
      <alignment horizontal="left" vertical="center" wrapText="1" indent="1"/>
      <protection hidden="1"/>
    </xf>
    <xf numFmtId="0" fontId="76" fillId="0" borderId="31" xfId="0" applyFont="1" applyBorder="1" applyAlignment="1">
      <alignment horizontal="left" vertical="center" indent="1"/>
    </xf>
    <xf numFmtId="0" fontId="76" fillId="0" borderId="31" xfId="0" applyFont="1" applyBorder="1" applyAlignment="1" applyProtection="1">
      <alignment horizontal="center" vertical="center"/>
      <protection hidden="1"/>
    </xf>
    <xf numFmtId="0" fontId="76" fillId="0" borderId="31" xfId="0" applyFont="1" applyBorder="1" applyAlignment="1">
      <alignment horizontal="left" vertical="center" wrapText="1" indent="1"/>
    </xf>
    <xf numFmtId="0" fontId="84" fillId="0" borderId="31" xfId="0" applyFont="1" applyBorder="1" applyAlignment="1">
      <alignment horizontal="center"/>
    </xf>
    <xf numFmtId="0" fontId="83" fillId="0" borderId="31" xfId="0" applyFont="1" applyBorder="1" applyAlignment="1">
      <alignment horizontal="center" vertical="center" wrapText="1"/>
    </xf>
    <xf numFmtId="0" fontId="90" fillId="0" borderId="31" xfId="0" applyFont="1" applyBorder="1" applyAlignment="1">
      <alignment horizontal="center" vertical="center" wrapText="1"/>
    </xf>
    <xf numFmtId="0" fontId="79" fillId="17" borderId="31" xfId="0" applyFont="1" applyFill="1" applyBorder="1" applyAlignment="1">
      <alignment horizontal="center" vertical="center"/>
    </xf>
    <xf numFmtId="0" fontId="79" fillId="17" borderId="31" xfId="0" applyFont="1" applyFill="1" applyBorder="1" applyAlignment="1">
      <alignment horizontal="left" vertical="center" wrapText="1" indent="1"/>
    </xf>
    <xf numFmtId="166" fontId="79" fillId="17" borderId="33" xfId="22" applyNumberFormat="1" applyFont="1" applyFill="1" applyBorder="1" applyAlignment="1">
      <alignment vertical="center" wrapText="1"/>
    </xf>
    <xf numFmtId="166" fontId="79" fillId="17" borderId="31" xfId="22" applyNumberFormat="1" applyFont="1" applyFill="1" applyBorder="1" applyAlignment="1">
      <alignment vertical="center" wrapText="1"/>
    </xf>
    <xf numFmtId="0" fontId="79" fillId="11" borderId="31" xfId="0" applyFont="1" applyFill="1" applyBorder="1" applyAlignment="1">
      <alignment horizontal="center" vertical="center" wrapText="1"/>
    </xf>
    <xf numFmtId="166" fontId="79" fillId="11" borderId="31" xfId="22" applyNumberFormat="1" applyFont="1" applyFill="1" applyBorder="1" applyAlignment="1">
      <alignment vertical="center" wrapText="1"/>
    </xf>
    <xf numFmtId="166" fontId="76" fillId="11" borderId="31" xfId="22" applyNumberFormat="1" applyFont="1" applyFill="1" applyBorder="1" applyAlignment="1">
      <alignment horizontal="center" vertical="center" wrapText="1"/>
    </xf>
    <xf numFmtId="0" fontId="79" fillId="17" borderId="31" xfId="0" applyFont="1" applyFill="1" applyBorder="1" applyAlignment="1">
      <alignment horizontal="center" vertical="center" wrapText="1"/>
    </xf>
    <xf numFmtId="0" fontId="79" fillId="17" borderId="31" xfId="0" applyFont="1" applyFill="1" applyBorder="1" applyAlignment="1">
      <alignment vertical="center" wrapText="1"/>
    </xf>
    <xf numFmtId="166" fontId="76" fillId="17" borderId="31" xfId="22" applyNumberFormat="1" applyFont="1" applyFill="1" applyBorder="1" applyAlignment="1">
      <alignment vertical="center" wrapText="1"/>
    </xf>
    <xf numFmtId="166" fontId="76" fillId="17" borderId="31" xfId="22" applyNumberFormat="1" applyFont="1" applyFill="1" applyBorder="1" applyAlignment="1">
      <alignment horizontal="center" vertical="center" wrapText="1"/>
    </xf>
    <xf numFmtId="0" fontId="76" fillId="17" borderId="31" xfId="0" applyFont="1" applyFill="1" applyBorder="1" applyAlignment="1">
      <alignment horizontal="center" vertical="center" wrapText="1"/>
    </xf>
    <xf numFmtId="0" fontId="76" fillId="17" borderId="31" xfId="0" applyFont="1" applyFill="1" applyBorder="1" applyAlignment="1">
      <alignment vertical="center" wrapText="1"/>
    </xf>
    <xf numFmtId="0" fontId="90" fillId="0" borderId="31" xfId="0" applyFont="1" applyBorder="1" applyAlignment="1">
      <alignment horizontal="left" vertical="center" wrapText="1" indent="1"/>
    </xf>
    <xf numFmtId="0" fontId="84" fillId="0" borderId="38" xfId="0" applyFont="1" applyBorder="1" applyAlignment="1">
      <alignment horizontal="center" vertical="center" wrapText="1"/>
    </xf>
    <xf numFmtId="3" fontId="83" fillId="17" borderId="31" xfId="0" applyNumberFormat="1" applyFont="1" applyFill="1" applyBorder="1" applyAlignment="1">
      <alignment horizontal="right" vertical="center" wrapText="1"/>
    </xf>
    <xf numFmtId="3" fontId="84" fillId="17" borderId="31" xfId="0" applyNumberFormat="1" applyFont="1" applyFill="1" applyBorder="1" applyAlignment="1">
      <alignment horizontal="right" vertical="center" wrapText="1"/>
    </xf>
    <xf numFmtId="0" fontId="83" fillId="17" borderId="31" xfId="0" applyFont="1" applyFill="1" applyBorder="1" applyAlignment="1">
      <alignment horizontal="left" vertical="center" wrapText="1" indent="1"/>
    </xf>
    <xf numFmtId="0" fontId="90" fillId="0" borderId="31" xfId="17" applyFont="1" applyBorder="1" applyAlignment="1" applyProtection="1">
      <alignment horizontal="center" vertical="center" wrapText="1"/>
      <protection hidden="1"/>
    </xf>
    <xf numFmtId="0" fontId="90" fillId="0" borderId="31" xfId="17" applyFont="1" applyBorder="1" applyAlignment="1" applyProtection="1">
      <alignment vertical="center"/>
      <protection hidden="1"/>
    </xf>
    <xf numFmtId="0" fontId="90" fillId="0" borderId="31" xfId="17" applyFont="1" applyBorder="1" applyAlignment="1" applyProtection="1">
      <alignment horizontal="left" vertical="center" wrapText="1" indent="1"/>
      <protection hidden="1"/>
    </xf>
    <xf numFmtId="0" fontId="90" fillId="11" borderId="31" xfId="17" applyFont="1" applyFill="1" applyBorder="1" applyAlignment="1" applyProtection="1">
      <alignment horizontal="center" vertical="center" wrapText="1"/>
      <protection hidden="1"/>
    </xf>
    <xf numFmtId="0" fontId="84" fillId="0" borderId="31" xfId="17" applyFont="1" applyBorder="1" applyAlignment="1" applyProtection="1">
      <alignment horizontal="center" vertical="center" wrapText="1"/>
      <protection hidden="1"/>
    </xf>
    <xf numFmtId="0" fontId="90" fillId="0" borderId="31" xfId="17" applyFont="1" applyBorder="1" applyAlignment="1" applyProtection="1">
      <alignment horizontal="left" vertical="center" indent="1"/>
      <protection hidden="1"/>
    </xf>
    <xf numFmtId="0" fontId="84" fillId="0" borderId="31" xfId="17" applyFont="1" applyBorder="1" applyAlignment="1" applyProtection="1">
      <alignment horizontal="left" vertical="center" indent="1"/>
      <protection hidden="1"/>
    </xf>
    <xf numFmtId="0" fontId="90" fillId="17" borderId="31" xfId="17" applyFont="1" applyFill="1" applyBorder="1" applyAlignment="1" applyProtection="1">
      <alignment horizontal="center" vertical="center" wrapText="1"/>
      <protection hidden="1"/>
    </xf>
    <xf numFmtId="0" fontId="90" fillId="17" borderId="31" xfId="17" applyFont="1" applyFill="1" applyBorder="1" applyAlignment="1" applyProtection="1">
      <alignment horizontal="left" vertical="center" wrapText="1" indent="1"/>
      <protection hidden="1"/>
    </xf>
    <xf numFmtId="0" fontId="90" fillId="17" borderId="31" xfId="17" applyFont="1" applyFill="1" applyBorder="1" applyAlignment="1" applyProtection="1">
      <alignment vertical="center" wrapText="1"/>
      <protection hidden="1"/>
    </xf>
    <xf numFmtId="0" fontId="102" fillId="17" borderId="31" xfId="17" applyFont="1" applyFill="1" applyBorder="1" applyAlignment="1" applyProtection="1">
      <alignment horizontal="center" vertical="center" wrapText="1"/>
      <protection hidden="1"/>
    </xf>
    <xf numFmtId="0" fontId="102" fillId="17" borderId="31" xfId="17" applyFont="1" applyFill="1" applyBorder="1" applyAlignment="1" applyProtection="1">
      <alignment vertical="center" wrapText="1"/>
      <protection hidden="1"/>
    </xf>
    <xf numFmtId="0" fontId="90" fillId="11" borderId="31" xfId="17" applyFont="1" applyFill="1" applyBorder="1" applyAlignment="1" applyProtection="1">
      <alignment horizontal="left" vertical="center" indent="1"/>
      <protection hidden="1"/>
    </xf>
    <xf numFmtId="49" fontId="84" fillId="11" borderId="31" xfId="19" applyNumberFormat="1" applyFont="1" applyFill="1" applyBorder="1" applyAlignment="1" applyProtection="1">
      <alignment horizontal="left" vertical="center" wrapText="1" indent="1"/>
      <protection hidden="1"/>
    </xf>
    <xf numFmtId="0" fontId="90" fillId="0" borderId="31" xfId="0" applyFont="1" applyBorder="1" applyAlignment="1">
      <alignment horizontal="center" vertical="center"/>
    </xf>
    <xf numFmtId="166" fontId="84" fillId="0" borderId="31" xfId="22" applyNumberFormat="1" applyFont="1" applyBorder="1" applyAlignment="1">
      <alignment horizontal="right" vertical="center"/>
    </xf>
    <xf numFmtId="0" fontId="84" fillId="17" borderId="31" xfId="0" applyFont="1" applyFill="1" applyBorder="1" applyAlignment="1">
      <alignment horizontal="right" vertical="center" wrapText="1"/>
    </xf>
    <xf numFmtId="0" fontId="84" fillId="11" borderId="31" xfId="0" applyFont="1" applyFill="1" applyBorder="1" applyAlignment="1">
      <alignment horizontal="right" vertical="center" wrapText="1"/>
    </xf>
    <xf numFmtId="3" fontId="84" fillId="11" borderId="31" xfId="0" applyNumberFormat="1" applyFont="1" applyFill="1" applyBorder="1" applyAlignment="1">
      <alignment horizontal="right" vertical="center" wrapText="1"/>
    </xf>
    <xf numFmtId="0" fontId="84" fillId="0" borderId="31" xfId="0" applyFont="1" applyBorder="1" applyAlignment="1">
      <alignment horizontal="left" vertical="center" wrapText="1" indent="2"/>
    </xf>
    <xf numFmtId="0" fontId="76" fillId="17" borderId="31" xfId="0" applyFont="1" applyFill="1" applyBorder="1" applyAlignment="1">
      <alignment horizontal="right" vertical="center" wrapText="1"/>
    </xf>
    <xf numFmtId="3" fontId="92" fillId="0" borderId="31" xfId="0" applyNumberFormat="1" applyFont="1" applyBorder="1" applyAlignment="1">
      <alignment horizontal="right" vertical="center" wrapText="1"/>
    </xf>
    <xf numFmtId="0" fontId="84" fillId="13" borderId="31" xfId="0" applyFont="1" applyFill="1" applyBorder="1" applyAlignment="1">
      <alignment horizontal="center" vertical="center"/>
    </xf>
    <xf numFmtId="49" fontId="84" fillId="13" borderId="31" xfId="0" applyNumberFormat="1" applyFont="1" applyFill="1" applyBorder="1" applyAlignment="1">
      <alignment horizontal="center" vertical="center" wrapText="1"/>
    </xf>
    <xf numFmtId="49" fontId="92" fillId="13" borderId="31" xfId="0" applyNumberFormat="1" applyFont="1" applyFill="1" applyBorder="1" applyAlignment="1">
      <alignment horizontal="center" vertical="center" wrapText="1"/>
    </xf>
    <xf numFmtId="0" fontId="84" fillId="13" borderId="42" xfId="0" applyFont="1" applyFill="1" applyBorder="1" applyAlignment="1">
      <alignment horizontal="center" vertical="center"/>
    </xf>
    <xf numFmtId="0" fontId="92" fillId="13" borderId="31" xfId="0" applyFont="1" applyFill="1" applyBorder="1" applyAlignment="1">
      <alignment vertical="center" wrapText="1"/>
    </xf>
    <xf numFmtId="0" fontId="124" fillId="13" borderId="31" xfId="0" applyFont="1" applyFill="1" applyBorder="1" applyAlignment="1">
      <alignment vertical="center" wrapText="1"/>
    </xf>
    <xf numFmtId="3" fontId="92" fillId="13" borderId="31" xfId="0" applyNumberFormat="1" applyFont="1" applyFill="1" applyBorder="1" applyAlignment="1">
      <alignment vertical="center" wrapText="1"/>
    </xf>
    <xf numFmtId="49" fontId="84" fillId="17" borderId="31" xfId="0" applyNumberFormat="1" applyFont="1" applyFill="1" applyBorder="1" applyAlignment="1">
      <alignment horizontal="center" vertical="center" wrapText="1"/>
    </xf>
    <xf numFmtId="0" fontId="84" fillId="17" borderId="31" xfId="0" applyFont="1" applyFill="1" applyBorder="1" applyAlignment="1">
      <alignment vertical="center" wrapText="1"/>
    </xf>
    <xf numFmtId="0" fontId="84" fillId="17" borderId="34" xfId="0" applyFont="1" applyFill="1" applyBorder="1" applyAlignment="1">
      <alignment vertical="center" wrapText="1"/>
    </xf>
    <xf numFmtId="3" fontId="84" fillId="17" borderId="31" xfId="0" applyNumberFormat="1" applyFont="1" applyFill="1" applyBorder="1" applyAlignment="1">
      <alignment vertical="center" wrapText="1"/>
    </xf>
    <xf numFmtId="49" fontId="76" fillId="17" borderId="31" xfId="0" applyNumberFormat="1" applyFont="1" applyFill="1" applyBorder="1" applyAlignment="1">
      <alignment horizontal="center" vertical="center" wrapText="1"/>
    </xf>
    <xf numFmtId="49" fontId="84" fillId="0" borderId="31" xfId="0" applyNumberFormat="1" applyFont="1" applyBorder="1" applyAlignment="1">
      <alignment horizontal="center" vertical="center" wrapText="1"/>
    </xf>
    <xf numFmtId="171" fontId="84" fillId="0" borderId="31" xfId="0" applyNumberFormat="1" applyFont="1" applyBorder="1" applyAlignment="1">
      <alignment horizontal="center" vertical="center" wrapText="1"/>
    </xf>
    <xf numFmtId="171" fontId="92" fillId="7" borderId="31" xfId="0" applyNumberFormat="1" applyFont="1" applyFill="1" applyBorder="1" applyAlignment="1">
      <alignment horizontal="center" vertical="center" wrapText="1"/>
    </xf>
    <xf numFmtId="171" fontId="92" fillId="13" borderId="31" xfId="0" applyNumberFormat="1" applyFont="1" applyFill="1" applyBorder="1" applyAlignment="1">
      <alignment horizontal="center" vertical="center" wrapText="1"/>
    </xf>
    <xf numFmtId="49" fontId="84" fillId="13" borderId="41" xfId="0" applyNumberFormat="1" applyFont="1" applyFill="1" applyBorder="1" applyAlignment="1">
      <alignment horizontal="center" vertical="center"/>
    </xf>
    <xf numFmtId="3" fontId="84" fillId="13" borderId="39" xfId="0" applyNumberFormat="1" applyFont="1" applyFill="1" applyBorder="1" applyAlignment="1">
      <alignment vertical="center" wrapText="1"/>
    </xf>
    <xf numFmtId="49" fontId="84" fillId="13" borderId="39" xfId="0" applyNumberFormat="1" applyFont="1" applyFill="1" applyBorder="1" applyAlignment="1">
      <alignment vertical="center" wrapText="1"/>
    </xf>
    <xf numFmtId="49" fontId="84" fillId="13" borderId="31" xfId="0" applyNumberFormat="1" applyFont="1" applyFill="1" applyBorder="1" applyAlignment="1">
      <alignment horizontal="center" vertical="center"/>
    </xf>
    <xf numFmtId="171" fontId="84" fillId="17" borderId="31" xfId="0" applyNumberFormat="1" applyFont="1" applyFill="1" applyBorder="1" applyAlignment="1">
      <alignment horizontal="center" vertical="center" wrapText="1"/>
    </xf>
    <xf numFmtId="3" fontId="84" fillId="17" borderId="39" xfId="0" applyNumberFormat="1" applyFont="1" applyFill="1" applyBorder="1" applyAlignment="1">
      <alignment vertical="center" wrapText="1"/>
    </xf>
    <xf numFmtId="171" fontId="93" fillId="17" borderId="31" xfId="0" applyNumberFormat="1" applyFont="1" applyFill="1" applyBorder="1" applyAlignment="1">
      <alignment horizontal="center" vertical="center" wrapText="1"/>
    </xf>
    <xf numFmtId="3" fontId="83" fillId="17" borderId="39" xfId="0" quotePrefix="1" applyNumberFormat="1" applyFont="1" applyFill="1" applyBorder="1" applyAlignment="1">
      <alignment vertical="center" wrapText="1"/>
    </xf>
    <xf numFmtId="3" fontId="83" fillId="17" borderId="31" xfId="0" applyNumberFormat="1" applyFont="1" applyFill="1" applyBorder="1" applyAlignment="1">
      <alignment vertical="center" wrapText="1"/>
    </xf>
    <xf numFmtId="49" fontId="84" fillId="0" borderId="31" xfId="0" applyNumberFormat="1" applyFont="1" applyBorder="1" applyAlignment="1">
      <alignment vertical="center" wrapText="1"/>
    </xf>
    <xf numFmtId="0" fontId="84" fillId="0" borderId="31" xfId="0" applyFont="1" applyBorder="1" applyAlignment="1">
      <alignment vertical="center"/>
    </xf>
    <xf numFmtId="49" fontId="92" fillId="0" borderId="31" xfId="0" applyNumberFormat="1" applyFont="1" applyBorder="1" applyAlignment="1">
      <alignment horizontal="center" vertical="center" wrapText="1"/>
    </xf>
    <xf numFmtId="0" fontId="92" fillId="0" borderId="31" xfId="0" applyFont="1" applyBorder="1" applyAlignment="1">
      <alignment horizontal="left" vertical="center" indent="1"/>
    </xf>
    <xf numFmtId="0" fontId="84" fillId="17" borderId="31" xfId="0" applyFont="1" applyFill="1" applyBorder="1" applyAlignment="1">
      <alignment horizontal="left" vertical="center" indent="1"/>
    </xf>
    <xf numFmtId="49" fontId="84" fillId="17" borderId="31" xfId="0" applyNumberFormat="1" applyFont="1" applyFill="1" applyBorder="1" applyAlignment="1">
      <alignment vertical="center" wrapText="1"/>
    </xf>
    <xf numFmtId="49" fontId="93" fillId="17" borderId="31" xfId="0" applyNumberFormat="1" applyFont="1" applyFill="1" applyBorder="1" applyAlignment="1">
      <alignment horizontal="center" vertical="center" wrapText="1"/>
    </xf>
    <xf numFmtId="0" fontId="93" fillId="17" borderId="31" xfId="0" applyFont="1" applyFill="1" applyBorder="1" applyAlignment="1">
      <alignment horizontal="left" vertical="center" indent="1"/>
    </xf>
    <xf numFmtId="49" fontId="84" fillId="13" borderId="0" xfId="0" applyNumberFormat="1" applyFont="1" applyFill="1" applyAlignment="1">
      <alignment horizontal="center" vertical="center" wrapText="1"/>
    </xf>
    <xf numFmtId="49" fontId="84" fillId="13" borderId="38" xfId="0" applyNumberFormat="1" applyFont="1" applyFill="1" applyBorder="1" applyAlignment="1">
      <alignment horizontal="center" vertical="center" wrapText="1"/>
    </xf>
    <xf numFmtId="49" fontId="84" fillId="13" borderId="44" xfId="0" applyNumberFormat="1" applyFont="1" applyFill="1" applyBorder="1" applyAlignment="1">
      <alignment horizontal="center" vertical="center" wrapText="1"/>
    </xf>
    <xf numFmtId="49" fontId="92" fillId="13" borderId="31" xfId="0" applyNumberFormat="1" applyFont="1" applyFill="1" applyBorder="1" applyAlignment="1">
      <alignment horizontal="left" vertical="center" wrapText="1" indent="3"/>
    </xf>
    <xf numFmtId="49" fontId="92" fillId="13" borderId="31" xfId="0" applyNumberFormat="1" applyFont="1" applyFill="1" applyBorder="1" applyAlignment="1">
      <alignment horizontal="left" vertical="center" wrapText="1" indent="2"/>
    </xf>
    <xf numFmtId="49" fontId="92" fillId="0" borderId="31" xfId="0" applyNumberFormat="1" applyFont="1" applyBorder="1" applyAlignment="1">
      <alignment horizontal="left" vertical="center" wrapText="1" indent="2"/>
    </xf>
    <xf numFmtId="49" fontId="92" fillId="13" borderId="0" xfId="0" applyNumberFormat="1" applyFont="1" applyFill="1" applyAlignment="1">
      <alignment vertical="center" wrapText="1"/>
    </xf>
    <xf numFmtId="49" fontId="92" fillId="0" borderId="0" xfId="0" applyNumberFormat="1" applyFont="1" applyAlignment="1">
      <alignment vertical="center" wrapText="1"/>
    </xf>
    <xf numFmtId="49" fontId="83" fillId="0" borderId="0" xfId="0" applyNumberFormat="1" applyFont="1" applyAlignment="1">
      <alignment vertical="center" wrapText="1"/>
    </xf>
    <xf numFmtId="49" fontId="83" fillId="13" borderId="0" xfId="0" applyNumberFormat="1" applyFont="1" applyFill="1" applyAlignment="1">
      <alignment vertical="center" wrapText="1"/>
    </xf>
    <xf numFmtId="49" fontId="90" fillId="17" borderId="31" xfId="0" applyNumberFormat="1" applyFont="1" applyFill="1" applyBorder="1" applyAlignment="1">
      <alignment horizontal="center" vertical="center" wrapText="1"/>
    </xf>
    <xf numFmtId="49" fontId="84" fillId="17" borderId="31" xfId="0" applyNumberFormat="1" applyFont="1" applyFill="1" applyBorder="1" applyAlignment="1">
      <alignment horizontal="left" vertical="center" indent="1"/>
    </xf>
    <xf numFmtId="49" fontId="84" fillId="17" borderId="31" xfId="0" applyNumberFormat="1" applyFont="1" applyFill="1" applyBorder="1" applyAlignment="1">
      <alignment horizontal="left" vertical="center" wrapText="1" indent="1"/>
    </xf>
    <xf numFmtId="166" fontId="93" fillId="15" borderId="31" xfId="22" applyNumberFormat="1" applyFont="1" applyFill="1" applyBorder="1" applyAlignment="1">
      <alignment horizontal="center" vertical="center" wrapText="1"/>
    </xf>
    <xf numFmtId="166" fontId="90" fillId="20" borderId="31" xfId="22" applyNumberFormat="1" applyFont="1" applyFill="1" applyBorder="1" applyAlignment="1">
      <alignment horizontal="center" vertical="center" wrapText="1"/>
    </xf>
    <xf numFmtId="166" fontId="84" fillId="20" borderId="31" xfId="22" applyNumberFormat="1" applyFont="1" applyFill="1" applyBorder="1" applyAlignment="1">
      <alignment horizontal="center" vertical="center" wrapText="1"/>
    </xf>
    <xf numFmtId="2" fontId="84" fillId="13" borderId="0" xfId="0" applyNumberFormat="1" applyFont="1" applyFill="1" applyAlignment="1">
      <alignment vertical="center" wrapText="1"/>
    </xf>
    <xf numFmtId="166" fontId="84" fillId="13" borderId="0" xfId="22" applyNumberFormat="1" applyFont="1" applyFill="1" applyAlignment="1">
      <alignment vertical="center" wrapText="1"/>
    </xf>
    <xf numFmtId="2" fontId="92" fillId="13" borderId="0" xfId="0" applyNumberFormat="1" applyFont="1" applyFill="1" applyAlignment="1">
      <alignment vertical="center" wrapText="1"/>
    </xf>
    <xf numFmtId="2" fontId="83" fillId="13" borderId="0" xfId="0" applyNumberFormat="1" applyFont="1" applyFill="1" applyAlignment="1">
      <alignment vertical="center" wrapText="1"/>
    </xf>
    <xf numFmtId="166" fontId="83" fillId="13" borderId="0" xfId="22" applyNumberFormat="1" applyFont="1" applyFill="1" applyAlignment="1">
      <alignment vertical="center" wrapText="1"/>
    </xf>
    <xf numFmtId="166" fontId="92" fillId="19" borderId="31" xfId="22" applyNumberFormat="1" applyFont="1" applyFill="1" applyBorder="1" applyAlignment="1">
      <alignment horizontal="center" vertical="center" wrapText="1"/>
    </xf>
    <xf numFmtId="166" fontId="92" fillId="0" borderId="31" xfId="22" applyNumberFormat="1" applyFont="1" applyBorder="1" applyAlignment="1">
      <alignment horizontal="center" vertical="center" wrapText="1"/>
    </xf>
    <xf numFmtId="166" fontId="92" fillId="13" borderId="31" xfId="22" applyNumberFormat="1" applyFont="1" applyFill="1" applyBorder="1" applyAlignment="1">
      <alignment horizontal="center" vertical="center" wrapText="1"/>
    </xf>
    <xf numFmtId="166" fontId="92" fillId="0" borderId="31" xfId="22" applyNumberFormat="1" applyFont="1" applyFill="1" applyBorder="1" applyAlignment="1">
      <alignment horizontal="center" vertical="center" wrapText="1"/>
    </xf>
    <xf numFmtId="2" fontId="84" fillId="0" borderId="0" xfId="0" applyNumberFormat="1" applyFont="1"/>
    <xf numFmtId="2" fontId="92" fillId="0" borderId="0" xfId="0" applyNumberFormat="1" applyFont="1" applyAlignment="1">
      <alignment vertical="center" wrapText="1"/>
    </xf>
    <xf numFmtId="2" fontId="84" fillId="0" borderId="0" xfId="0" applyNumberFormat="1" applyFont="1" applyAlignment="1">
      <alignment vertical="center" wrapText="1"/>
    </xf>
    <xf numFmtId="2" fontId="83" fillId="0" borderId="0" xfId="0" applyNumberFormat="1" applyFont="1" applyAlignment="1">
      <alignment vertical="center" wrapText="1"/>
    </xf>
    <xf numFmtId="49" fontId="93" fillId="17" borderId="31" xfId="0" applyNumberFormat="1" applyFont="1" applyFill="1" applyBorder="1" applyAlignment="1">
      <alignment horizontal="left" vertical="center" wrapText="1" indent="1"/>
    </xf>
    <xf numFmtId="0" fontId="76" fillId="0" borderId="31" xfId="0" applyFont="1" applyBorder="1" applyAlignment="1">
      <alignment horizontal="center"/>
    </xf>
    <xf numFmtId="169" fontId="84" fillId="0" borderId="31" xfId="23" applyNumberFormat="1" applyFont="1" applyFill="1" applyBorder="1" applyAlignment="1">
      <alignment horizontal="right" vertical="center"/>
    </xf>
    <xf numFmtId="0" fontId="93" fillId="17" borderId="31" xfId="0" applyFont="1" applyFill="1" applyBorder="1" applyAlignment="1">
      <alignment horizontal="center" vertical="center"/>
    </xf>
    <xf numFmtId="0" fontId="93" fillId="17" borderId="31" xfId="0" applyFont="1" applyFill="1" applyBorder="1" applyAlignment="1">
      <alignment horizontal="left" vertical="center" wrapText="1" indent="1"/>
    </xf>
    <xf numFmtId="169" fontId="79" fillId="17" borderId="31" xfId="0" applyNumberFormat="1" applyFont="1" applyFill="1" applyBorder="1" applyAlignment="1">
      <alignment vertical="center"/>
    </xf>
    <xf numFmtId="0" fontId="83" fillId="13" borderId="0" xfId="0" applyFont="1" applyFill="1" applyAlignment="1">
      <alignment horizontal="center" vertical="center" wrapText="1"/>
    </xf>
    <xf numFmtId="0" fontId="83" fillId="13" borderId="31" xfId="0" applyFont="1" applyFill="1" applyBorder="1" applyAlignment="1">
      <alignment horizontal="center" vertical="center" wrapText="1"/>
    </xf>
    <xf numFmtId="0" fontId="92" fillId="13" borderId="31" xfId="0" applyFont="1" applyFill="1" applyBorder="1" applyAlignment="1">
      <alignment horizontal="center" vertical="center" wrapText="1"/>
    </xf>
    <xf numFmtId="3" fontId="84" fillId="13" borderId="31" xfId="0" applyNumberFormat="1" applyFont="1" applyFill="1" applyBorder="1" applyAlignment="1">
      <alignment horizontal="center" vertical="center" wrapText="1"/>
    </xf>
    <xf numFmtId="0" fontId="100" fillId="5" borderId="31" xfId="0" applyFont="1" applyFill="1" applyBorder="1" applyAlignment="1">
      <alignment horizontal="center" vertical="center" wrapText="1"/>
    </xf>
    <xf numFmtId="0" fontId="84" fillId="13" borderId="46" xfId="0" applyFont="1" applyFill="1" applyBorder="1" applyAlignment="1">
      <alignment horizontal="center" vertical="center" wrapText="1"/>
    </xf>
    <xf numFmtId="0" fontId="84" fillId="13" borderId="35" xfId="0" applyFont="1" applyFill="1" applyBorder="1" applyAlignment="1">
      <alignment horizontal="center" vertical="center" wrapText="1"/>
    </xf>
    <xf numFmtId="0" fontId="84" fillId="13" borderId="44" xfId="0" applyFont="1" applyFill="1" applyBorder="1" applyAlignment="1">
      <alignment horizontal="center" vertical="center" wrapText="1"/>
    </xf>
    <xf numFmtId="0" fontId="83" fillId="17" borderId="31" xfId="0" applyFont="1" applyFill="1" applyBorder="1" applyAlignment="1">
      <alignment horizontal="center" vertical="center"/>
    </xf>
    <xf numFmtId="0" fontId="76" fillId="13" borderId="31" xfId="0" applyFont="1" applyFill="1" applyBorder="1" applyAlignment="1">
      <alignment horizontal="center" vertical="center"/>
    </xf>
    <xf numFmtId="0" fontId="76" fillId="13" borderId="31" xfId="0" applyFont="1" applyFill="1" applyBorder="1" applyAlignment="1">
      <alignment horizontal="left" vertical="center" wrapText="1" indent="1"/>
    </xf>
    <xf numFmtId="3" fontId="79" fillId="17" borderId="31" xfId="0" applyNumberFormat="1" applyFont="1" applyFill="1" applyBorder="1" applyAlignment="1">
      <alignment horizontal="right" vertical="center" wrapText="1"/>
    </xf>
    <xf numFmtId="9" fontId="79" fillId="11" borderId="31" xfId="0" applyNumberFormat="1" applyFont="1" applyFill="1" applyBorder="1" applyAlignment="1">
      <alignment horizontal="center" vertical="center" wrapText="1"/>
    </xf>
    <xf numFmtId="9" fontId="83" fillId="11" borderId="31" xfId="0" applyNumberFormat="1" applyFont="1" applyFill="1" applyBorder="1" applyAlignment="1">
      <alignment horizontal="center" vertical="center" wrapText="1"/>
    </xf>
    <xf numFmtId="0" fontId="77" fillId="17" borderId="31" xfId="0" applyFont="1" applyFill="1" applyBorder="1" applyAlignment="1">
      <alignment horizontal="center" vertical="center" wrapText="1"/>
    </xf>
    <xf numFmtId="0" fontId="76" fillId="13" borderId="31" xfId="0" applyFont="1" applyFill="1" applyBorder="1" applyAlignment="1">
      <alignment horizontal="center" vertical="center" wrapText="1"/>
    </xf>
    <xf numFmtId="166" fontId="83" fillId="0" borderId="31" xfId="22" applyNumberFormat="1" applyFont="1" applyBorder="1" applyAlignment="1">
      <alignment horizontal="center" vertical="center" wrapText="1"/>
    </xf>
    <xf numFmtId="10" fontId="83" fillId="0" borderId="31" xfId="12" applyNumberFormat="1" applyFont="1" applyBorder="1" applyAlignment="1">
      <alignment horizontal="center" vertical="center" wrapText="1"/>
    </xf>
    <xf numFmtId="0" fontId="117" fillId="0" borderId="31" xfId="0" applyFont="1" applyBorder="1" applyAlignment="1">
      <alignment horizontal="center" vertical="center" wrapText="1"/>
    </xf>
    <xf numFmtId="10" fontId="84" fillId="0" borderId="31" xfId="12" applyNumberFormat="1" applyFont="1" applyBorder="1" applyAlignment="1">
      <alignment horizontal="center" vertical="center"/>
    </xf>
    <xf numFmtId="0" fontId="116" fillId="0" borderId="31" xfId="0" applyFont="1" applyBorder="1" applyAlignment="1">
      <alignment horizontal="center" vertical="center"/>
    </xf>
    <xf numFmtId="167" fontId="84" fillId="0" borderId="31" xfId="12" applyNumberFormat="1" applyFont="1" applyBorder="1" applyAlignment="1">
      <alignment vertical="center" wrapText="1"/>
    </xf>
    <xf numFmtId="167" fontId="84" fillId="13" borderId="31" xfId="12" applyNumberFormat="1" applyFont="1" applyFill="1" applyBorder="1" applyAlignment="1">
      <alignment horizontal="right" vertical="center" wrapText="1"/>
    </xf>
    <xf numFmtId="166" fontId="84" fillId="13" borderId="31" xfId="22" applyNumberFormat="1" applyFont="1" applyFill="1" applyBorder="1" applyAlignment="1">
      <alignment horizontal="right" vertical="center" wrapText="1"/>
    </xf>
    <xf numFmtId="0" fontId="84" fillId="13" borderId="31" xfId="0" applyFont="1" applyFill="1" applyBorder="1" applyAlignment="1">
      <alignment horizontal="left" vertical="center" wrapText="1" indent="3"/>
    </xf>
    <xf numFmtId="0" fontId="84" fillId="0" borderId="31" xfId="0" applyFont="1" applyBorder="1" applyAlignment="1">
      <alignment horizontal="left" vertical="center" wrapText="1" indent="3"/>
    </xf>
    <xf numFmtId="166" fontId="117" fillId="0" borderId="31" xfId="22" applyNumberFormat="1" applyFont="1" applyBorder="1" applyAlignment="1">
      <alignment vertical="center" wrapText="1"/>
    </xf>
    <xf numFmtId="167" fontId="117" fillId="0" borderId="31" xfId="12" applyNumberFormat="1" applyFont="1" applyBorder="1" applyAlignment="1">
      <alignment horizontal="right" vertical="center" wrapText="1"/>
    </xf>
    <xf numFmtId="10" fontId="117" fillId="0" borderId="31" xfId="12" applyNumberFormat="1" applyFont="1" applyBorder="1" applyAlignment="1">
      <alignment vertical="center" wrapText="1"/>
    </xf>
    <xf numFmtId="167" fontId="117" fillId="0" borderId="31" xfId="12" applyNumberFormat="1" applyFont="1" applyBorder="1" applyAlignment="1">
      <alignment vertical="center" wrapText="1"/>
    </xf>
    <xf numFmtId="0" fontId="116" fillId="13" borderId="31" xfId="0" applyFont="1" applyFill="1" applyBorder="1" applyAlignment="1">
      <alignment horizontal="left" vertical="center" wrapText="1" indent="1"/>
    </xf>
    <xf numFmtId="166" fontId="116" fillId="0" borderId="31" xfId="22" applyNumberFormat="1" applyFont="1" applyBorder="1" applyAlignment="1">
      <alignment vertical="center" wrapText="1"/>
    </xf>
    <xf numFmtId="167" fontId="116" fillId="0" borderId="31" xfId="12" applyNumberFormat="1" applyFont="1" applyBorder="1" applyAlignment="1">
      <alignment vertical="center" wrapText="1"/>
    </xf>
    <xf numFmtId="167" fontId="116" fillId="13" borderId="31" xfId="12" applyNumberFormat="1" applyFont="1" applyFill="1" applyBorder="1" applyAlignment="1">
      <alignment horizontal="right" vertical="center" wrapText="1"/>
    </xf>
    <xf numFmtId="166" fontId="116" fillId="13" borderId="31" xfId="22" applyNumberFormat="1" applyFont="1" applyFill="1" applyBorder="1" applyAlignment="1">
      <alignment horizontal="right" vertical="center" wrapText="1"/>
    </xf>
    <xf numFmtId="0" fontId="116" fillId="13" borderId="31" xfId="0" applyFont="1" applyFill="1" applyBorder="1" applyAlignment="1">
      <alignment horizontal="left" vertical="center" wrapText="1" indent="3"/>
    </xf>
    <xf numFmtId="0" fontId="116" fillId="0" borderId="31" xfId="0" applyFont="1" applyBorder="1" applyAlignment="1">
      <alignment horizontal="left" vertical="center" wrapText="1" indent="3"/>
    </xf>
    <xf numFmtId="0" fontId="116" fillId="11" borderId="31" xfId="0" applyFont="1" applyFill="1" applyBorder="1" applyAlignment="1">
      <alignment horizontal="right" vertical="center" wrapText="1"/>
    </xf>
    <xf numFmtId="166" fontId="117" fillId="11" borderId="31" xfId="22" applyNumberFormat="1" applyFont="1" applyFill="1" applyBorder="1" applyAlignment="1">
      <alignment vertical="center" wrapText="1"/>
    </xf>
    <xf numFmtId="10" fontId="84" fillId="13" borderId="31" xfId="12" applyNumberFormat="1" applyFont="1" applyFill="1" applyBorder="1" applyAlignment="1">
      <alignment horizontal="center" vertical="center" wrapText="1"/>
    </xf>
    <xf numFmtId="49" fontId="84" fillId="0" borderId="31" xfId="0" applyNumberFormat="1" applyFont="1" applyBorder="1" applyAlignment="1">
      <alignment horizontal="left" vertical="center" wrapText="1" indent="1"/>
    </xf>
    <xf numFmtId="0" fontId="92" fillId="0" borderId="31" xfId="0" applyFont="1" applyBorder="1" applyAlignment="1">
      <alignment horizontal="left" vertical="center" wrapText="1" indent="2"/>
    </xf>
    <xf numFmtId="10" fontId="84" fillId="13" borderId="31" xfId="12" applyNumberFormat="1" applyFont="1" applyFill="1" applyBorder="1" applyAlignment="1">
      <alignment horizontal="right" vertical="center" wrapText="1"/>
    </xf>
    <xf numFmtId="166" fontId="92" fillId="11" borderId="31" xfId="22" applyNumberFormat="1" applyFont="1" applyFill="1" applyBorder="1" applyAlignment="1">
      <alignment horizontal="right" vertical="center" wrapText="1"/>
    </xf>
    <xf numFmtId="166" fontId="84" fillId="0" borderId="31" xfId="22" applyNumberFormat="1" applyFont="1" applyBorder="1" applyAlignment="1">
      <alignment horizontal="right" vertical="center" wrapText="1"/>
    </xf>
    <xf numFmtId="167" fontId="84" fillId="13" borderId="31" xfId="12" applyNumberFormat="1" applyFont="1" applyFill="1" applyBorder="1" applyAlignment="1">
      <alignment horizontal="center" vertical="center" wrapText="1"/>
    </xf>
    <xf numFmtId="49" fontId="82" fillId="0" borderId="31" xfId="0" applyNumberFormat="1" applyFont="1" applyBorder="1" applyAlignment="1">
      <alignment horizontal="left" vertical="center" indent="1"/>
    </xf>
    <xf numFmtId="0" fontId="82" fillId="0" borderId="31" xfId="0" applyFont="1" applyBorder="1" applyAlignment="1">
      <alignment horizontal="left" vertical="center" wrapText="1" indent="2"/>
    </xf>
    <xf numFmtId="166" fontId="82" fillId="0" borderId="31" xfId="22" applyNumberFormat="1" applyFont="1" applyBorder="1"/>
    <xf numFmtId="9" fontId="92" fillId="13" borderId="31" xfId="0" applyNumberFormat="1" applyFont="1" applyFill="1" applyBorder="1" applyAlignment="1">
      <alignment horizontal="center" vertical="center" wrapText="1"/>
    </xf>
    <xf numFmtId="167" fontId="92" fillId="13" borderId="31" xfId="12" applyNumberFormat="1" applyFont="1" applyFill="1" applyBorder="1" applyAlignment="1">
      <alignment horizontal="center" vertical="center" wrapText="1"/>
    </xf>
    <xf numFmtId="167" fontId="92" fillId="13" borderId="31" xfId="0" applyNumberFormat="1" applyFont="1" applyFill="1" applyBorder="1" applyAlignment="1">
      <alignment horizontal="center" vertical="center" wrapText="1"/>
    </xf>
    <xf numFmtId="49" fontId="82" fillId="0" borderId="31" xfId="0" applyNumberFormat="1" applyFont="1" applyBorder="1" applyAlignment="1">
      <alignment horizontal="left" indent="1"/>
    </xf>
    <xf numFmtId="0" fontId="82" fillId="0" borderId="31" xfId="0" applyFont="1" applyBorder="1" applyAlignment="1">
      <alignment horizontal="left" vertical="center" wrapText="1" indent="1"/>
    </xf>
    <xf numFmtId="9" fontId="82" fillId="13" borderId="31" xfId="0" applyNumberFormat="1" applyFont="1" applyFill="1" applyBorder="1" applyAlignment="1">
      <alignment horizontal="center" vertical="center" wrapText="1"/>
    </xf>
    <xf numFmtId="0" fontId="76" fillId="17" borderId="31" xfId="0" applyFont="1" applyFill="1" applyBorder="1" applyAlignment="1">
      <alignment horizontal="left" vertical="center" indent="1"/>
    </xf>
    <xf numFmtId="0" fontId="76" fillId="17" borderId="31" xfId="0" applyFont="1" applyFill="1" applyBorder="1" applyAlignment="1">
      <alignment horizontal="left" vertical="center" wrapText="1" indent="1"/>
    </xf>
    <xf numFmtId="49" fontId="76" fillId="17" borderId="31" xfId="0" applyNumberFormat="1" applyFont="1" applyFill="1" applyBorder="1" applyAlignment="1">
      <alignment horizontal="left" vertical="center" indent="1"/>
    </xf>
    <xf numFmtId="166" fontId="76" fillId="17" borderId="31" xfId="22" applyNumberFormat="1" applyFont="1" applyFill="1" applyBorder="1"/>
    <xf numFmtId="9" fontId="84" fillId="17" borderId="31" xfId="0" applyNumberFormat="1" applyFont="1" applyFill="1" applyBorder="1" applyAlignment="1">
      <alignment horizontal="center" vertical="center" wrapText="1"/>
    </xf>
    <xf numFmtId="167" fontId="84" fillId="17" borderId="31" xfId="12" applyNumberFormat="1" applyFont="1" applyFill="1" applyBorder="1" applyAlignment="1">
      <alignment horizontal="center" vertical="center" wrapText="1"/>
    </xf>
    <xf numFmtId="167" fontId="84" fillId="17" borderId="31" xfId="0" applyNumberFormat="1" applyFont="1" applyFill="1" applyBorder="1" applyAlignment="1">
      <alignment horizontal="center" vertical="center" wrapText="1"/>
    </xf>
    <xf numFmtId="49" fontId="79" fillId="17" borderId="31" xfId="0" applyNumberFormat="1" applyFont="1" applyFill="1" applyBorder="1" applyAlignment="1">
      <alignment horizontal="left" vertical="center" indent="1"/>
    </xf>
    <xf numFmtId="166" fontId="79" fillId="17" borderId="31" xfId="22" applyNumberFormat="1" applyFont="1" applyFill="1" applyBorder="1"/>
    <xf numFmtId="9" fontId="83" fillId="17" borderId="31" xfId="0" applyNumberFormat="1" applyFont="1" applyFill="1" applyBorder="1" applyAlignment="1">
      <alignment horizontal="center" vertical="center" wrapText="1"/>
    </xf>
    <xf numFmtId="167" fontId="83" fillId="17" borderId="31" xfId="12" applyNumberFormat="1" applyFont="1" applyFill="1" applyBorder="1" applyAlignment="1">
      <alignment horizontal="center" vertical="center" wrapText="1"/>
    </xf>
    <xf numFmtId="167" fontId="83" fillId="17" borderId="31" xfId="0" applyNumberFormat="1" applyFont="1" applyFill="1" applyBorder="1" applyAlignment="1">
      <alignment horizontal="center" vertical="center" wrapText="1"/>
    </xf>
    <xf numFmtId="166" fontId="76" fillId="17" borderId="31" xfId="22" applyNumberFormat="1" applyFont="1" applyFill="1" applyBorder="1" applyAlignment="1">
      <alignment horizontal="center" vertical="center"/>
    </xf>
    <xf numFmtId="166" fontId="82" fillId="0" borderId="31" xfId="22" applyNumberFormat="1" applyFont="1" applyBorder="1" applyAlignment="1">
      <alignment horizontal="center" vertical="center"/>
    </xf>
    <xf numFmtId="166" fontId="79" fillId="17" borderId="31" xfId="22" applyNumberFormat="1" applyFont="1" applyFill="1" applyBorder="1" applyAlignment="1">
      <alignment horizontal="center" vertical="center"/>
    </xf>
    <xf numFmtId="49" fontId="76" fillId="17" borderId="31" xfId="0" applyNumberFormat="1" applyFont="1" applyFill="1" applyBorder="1" applyAlignment="1">
      <alignment horizontal="left" indent="1"/>
    </xf>
    <xf numFmtId="0" fontId="79" fillId="0" borderId="31" xfId="0" applyFont="1" applyBorder="1" applyAlignment="1">
      <alignment horizontal="center" vertical="center" wrapText="1"/>
    </xf>
    <xf numFmtId="0" fontId="79" fillId="17" borderId="31" xfId="0" applyFont="1" applyFill="1" applyBorder="1" applyAlignment="1">
      <alignment horizontal="left" vertical="center" indent="1"/>
    </xf>
    <xf numFmtId="0" fontId="84" fillId="0" borderId="34" xfId="0" applyFont="1" applyBorder="1" applyAlignment="1">
      <alignment horizontal="left" vertical="center" wrapText="1" indent="1"/>
    </xf>
    <xf numFmtId="0" fontId="84" fillId="0" borderId="34" xfId="0" applyFont="1" applyBorder="1" applyAlignment="1">
      <alignment horizontal="center" vertical="center" wrapText="1"/>
    </xf>
    <xf numFmtId="0" fontId="84" fillId="13" borderId="34" xfId="0" applyFont="1" applyFill="1" applyBorder="1" applyAlignment="1">
      <alignment horizontal="center" vertical="center" wrapText="1"/>
    </xf>
    <xf numFmtId="10" fontId="84" fillId="13" borderId="34" xfId="12" applyNumberFormat="1" applyFont="1" applyFill="1" applyBorder="1" applyAlignment="1">
      <alignment horizontal="center" vertical="center" wrapText="1"/>
    </xf>
    <xf numFmtId="0" fontId="84" fillId="0" borderId="48" xfId="0" applyFont="1" applyBorder="1" applyAlignment="1">
      <alignment horizontal="left" vertical="center" wrapText="1" indent="1"/>
    </xf>
    <xf numFmtId="0" fontId="84" fillId="13" borderId="48" xfId="0" applyFont="1" applyFill="1" applyBorder="1" applyAlignment="1">
      <alignment horizontal="center" vertical="center" wrapText="1"/>
    </xf>
    <xf numFmtId="10" fontId="84" fillId="13" borderId="48" xfId="12" applyNumberFormat="1" applyFont="1" applyFill="1" applyBorder="1" applyAlignment="1">
      <alignment horizontal="center" vertical="center" wrapText="1"/>
    </xf>
    <xf numFmtId="0" fontId="84" fillId="0" borderId="52" xfId="0" applyFont="1" applyBorder="1" applyAlignment="1">
      <alignment horizontal="center" vertical="center" wrapText="1"/>
    </xf>
    <xf numFmtId="0" fontId="84" fillId="0" borderId="53" xfId="0" applyFont="1" applyBorder="1" applyAlignment="1">
      <alignment horizontal="center"/>
    </xf>
    <xf numFmtId="10" fontId="84" fillId="13" borderId="53" xfId="12" applyNumberFormat="1" applyFont="1" applyFill="1" applyBorder="1" applyAlignment="1">
      <alignment horizontal="center" vertical="center" wrapText="1"/>
    </xf>
    <xf numFmtId="10" fontId="84" fillId="13" borderId="55" xfId="12" applyNumberFormat="1" applyFont="1" applyFill="1" applyBorder="1" applyAlignment="1">
      <alignment horizontal="center" vertical="center" wrapText="1"/>
    </xf>
    <xf numFmtId="0" fontId="84" fillId="13" borderId="55" xfId="0" applyFont="1" applyFill="1" applyBorder="1" applyAlignment="1">
      <alignment horizontal="center" vertical="center" wrapText="1"/>
    </xf>
    <xf numFmtId="10" fontId="84" fillId="13" borderId="57" xfId="12" applyNumberFormat="1" applyFont="1" applyFill="1" applyBorder="1" applyAlignment="1">
      <alignment horizontal="center" vertical="center" wrapText="1"/>
    </xf>
    <xf numFmtId="166" fontId="115" fillId="0" borderId="31" xfId="22" applyNumberFormat="1" applyFont="1" applyBorder="1" applyAlignment="1">
      <alignment vertical="center" wrapText="1"/>
    </xf>
    <xf numFmtId="166" fontId="98" fillId="11" borderId="31" xfId="22" applyNumberFormat="1" applyFont="1" applyFill="1" applyBorder="1" applyAlignment="1">
      <alignment vertical="center" wrapText="1"/>
    </xf>
    <xf numFmtId="166" fontId="115" fillId="17" borderId="31" xfId="22" applyNumberFormat="1" applyFont="1" applyFill="1" applyBorder="1" applyAlignment="1">
      <alignment vertical="center" wrapText="1"/>
    </xf>
    <xf numFmtId="0" fontId="76" fillId="17" borderId="0" xfId="0" applyFont="1" applyFill="1" applyAlignment="1">
      <alignment vertical="center" wrapText="1"/>
    </xf>
    <xf numFmtId="166" fontId="118" fillId="17" borderId="31" xfId="22" applyNumberFormat="1" applyFont="1" applyFill="1" applyBorder="1" applyAlignment="1">
      <alignment vertical="center" wrapText="1"/>
    </xf>
    <xf numFmtId="0" fontId="84" fillId="17" borderId="41" xfId="0" applyFont="1" applyFill="1" applyBorder="1" applyAlignment="1">
      <alignment horizontal="center" vertical="center" wrapText="1"/>
    </xf>
    <xf numFmtId="0" fontId="84" fillId="0" borderId="0" xfId="11" quotePrefix="1" applyFont="1"/>
    <xf numFmtId="0" fontId="94" fillId="0" borderId="31" xfId="0" applyFont="1" applyBorder="1" applyAlignment="1">
      <alignment horizontal="left" vertical="center" wrapText="1" indent="1"/>
    </xf>
    <xf numFmtId="166" fontId="76" fillId="0" borderId="31" xfId="22" applyNumberFormat="1" applyFont="1" applyFill="1" applyBorder="1" applyAlignment="1">
      <alignment vertical="center" wrapText="1"/>
    </xf>
    <xf numFmtId="9" fontId="79" fillId="0" borderId="31" xfId="0" applyNumberFormat="1" applyFont="1" applyBorder="1" applyAlignment="1">
      <alignment horizontal="center" vertical="center" wrapText="1"/>
    </xf>
    <xf numFmtId="0" fontId="76" fillId="11" borderId="31" xfId="0" applyFont="1" applyFill="1" applyBorder="1" applyAlignment="1">
      <alignment vertical="center" wrapText="1"/>
    </xf>
    <xf numFmtId="0" fontId="84" fillId="11" borderId="31" xfId="0" applyFont="1" applyFill="1" applyBorder="1" applyAlignment="1">
      <alignment vertical="center" wrapText="1"/>
    </xf>
    <xf numFmtId="0" fontId="83" fillId="17" borderId="31" xfId="0" applyFont="1" applyFill="1" applyBorder="1" applyAlignment="1">
      <alignment horizontal="left" vertical="center" indent="1"/>
    </xf>
    <xf numFmtId="166" fontId="115" fillId="0" borderId="31" xfId="22" applyNumberFormat="1" applyFont="1" applyFill="1" applyBorder="1" applyAlignment="1">
      <alignment vertical="center"/>
    </xf>
    <xf numFmtId="166" fontId="115" fillId="0" borderId="31" xfId="22" applyNumberFormat="1" applyFont="1" applyBorder="1" applyAlignment="1">
      <alignment vertical="center"/>
    </xf>
    <xf numFmtId="0" fontId="76" fillId="17" borderId="31" xfId="0" applyFont="1" applyFill="1" applyBorder="1" applyAlignment="1">
      <alignment horizontal="center" vertical="center"/>
    </xf>
    <xf numFmtId="166" fontId="79" fillId="17" borderId="31" xfId="0" applyNumberFormat="1" applyFont="1" applyFill="1" applyBorder="1" applyAlignment="1">
      <alignment vertical="center" wrapText="1"/>
    </xf>
    <xf numFmtId="166" fontId="118" fillId="17" borderId="31" xfId="0" applyNumberFormat="1" applyFont="1" applyFill="1" applyBorder="1" applyAlignment="1">
      <alignment vertical="center" wrapText="1"/>
    </xf>
    <xf numFmtId="166" fontId="116" fillId="0" borderId="31" xfId="22" applyNumberFormat="1" applyFont="1" applyBorder="1" applyAlignment="1">
      <alignment vertical="center"/>
    </xf>
    <xf numFmtId="166" fontId="116" fillId="17" borderId="31" xfId="22" applyNumberFormat="1" applyFont="1" applyFill="1" applyBorder="1" applyAlignment="1">
      <alignment vertical="center"/>
    </xf>
    <xf numFmtId="0" fontId="84" fillId="17" borderId="31" xfId="0" applyFont="1" applyFill="1" applyBorder="1" applyAlignment="1">
      <alignment vertical="center"/>
    </xf>
    <xf numFmtId="3" fontId="84" fillId="11" borderId="31" xfId="7" applyFont="1" applyFill="1" applyBorder="1" applyAlignment="1">
      <alignment horizontal="center" vertical="center"/>
      <protection locked="0"/>
    </xf>
    <xf numFmtId="0" fontId="84" fillId="11" borderId="31" xfId="0" applyFont="1" applyFill="1" applyBorder="1"/>
    <xf numFmtId="0" fontId="84" fillId="7" borderId="0" xfId="0" applyFont="1" applyFill="1" applyAlignment="1">
      <alignment horizontal="center" vertical="center" wrapText="1"/>
    </xf>
    <xf numFmtId="0" fontId="83" fillId="11" borderId="31" xfId="3" applyFont="1" applyFill="1" applyBorder="1" applyAlignment="1">
      <alignment horizontal="left" vertical="center" wrapText="1" indent="1"/>
    </xf>
    <xf numFmtId="0" fontId="84" fillId="2" borderId="31" xfId="3" applyFont="1" applyFill="1" applyBorder="1" applyAlignment="1">
      <alignment horizontal="left" vertical="center" wrapText="1" indent="1"/>
    </xf>
    <xf numFmtId="0" fontId="84" fillId="0" borderId="31" xfId="3" applyFont="1" applyBorder="1" applyAlignment="1">
      <alignment horizontal="left" vertical="center" wrapText="1" indent="1"/>
    </xf>
    <xf numFmtId="3" fontId="84" fillId="0" borderId="31" xfId="7" applyFont="1" applyFill="1" applyBorder="1" applyAlignment="1">
      <alignment horizontal="right" vertical="center" wrapText="1"/>
      <protection locked="0"/>
    </xf>
    <xf numFmtId="3" fontId="84" fillId="0" borderId="31" xfId="7" quotePrefix="1" applyFont="1" applyFill="1" applyBorder="1" applyAlignment="1">
      <alignment horizontal="right" vertical="center" wrapText="1"/>
      <protection locked="0"/>
    </xf>
    <xf numFmtId="9" fontId="84" fillId="0" borderId="31" xfId="12" applyFont="1" applyFill="1" applyBorder="1" applyAlignment="1" applyProtection="1">
      <alignment horizontal="right" vertical="center" wrapText="1"/>
      <protection locked="0"/>
    </xf>
    <xf numFmtId="167" fontId="84" fillId="0" borderId="31" xfId="12" applyNumberFormat="1" applyFont="1" applyFill="1" applyBorder="1" applyAlignment="1" applyProtection="1">
      <alignment horizontal="right" vertical="center" wrapText="1"/>
      <protection locked="0"/>
    </xf>
    <xf numFmtId="3" fontId="87" fillId="8" borderId="31" xfId="7" applyFont="1" applyFill="1" applyBorder="1">
      <alignment horizontal="right" vertical="center"/>
      <protection locked="0"/>
    </xf>
    <xf numFmtId="0" fontId="84" fillId="17" borderId="31" xfId="0" quotePrefix="1" applyFont="1" applyFill="1" applyBorder="1" applyAlignment="1">
      <alignment horizontal="center" vertical="center"/>
    </xf>
    <xf numFmtId="0" fontId="84" fillId="17" borderId="31" xfId="3" applyFont="1" applyFill="1" applyBorder="1" applyAlignment="1">
      <alignment horizontal="left" vertical="center" wrapText="1" indent="1"/>
    </xf>
    <xf numFmtId="3" fontId="84" fillId="17" borderId="31" xfId="7" applyFont="1" applyFill="1" applyBorder="1" applyAlignment="1">
      <alignment horizontal="right" vertical="center" wrapText="1"/>
      <protection locked="0"/>
    </xf>
    <xf numFmtId="9" fontId="84" fillId="17" borderId="31" xfId="12" applyFont="1" applyFill="1" applyBorder="1" applyAlignment="1" applyProtection="1">
      <alignment horizontal="right" vertical="center" wrapText="1"/>
      <protection locked="0"/>
    </xf>
    <xf numFmtId="0" fontId="83" fillId="11" borderId="31" xfId="0" quotePrefix="1" applyFont="1" applyFill="1" applyBorder="1" applyAlignment="1">
      <alignment horizontal="center" vertical="center"/>
    </xf>
    <xf numFmtId="0" fontId="76" fillId="0" borderId="31" xfId="0" quotePrefix="1" applyFont="1" applyBorder="1" applyAlignment="1">
      <alignment horizontal="center" vertical="center"/>
    </xf>
    <xf numFmtId="0" fontId="84" fillId="7" borderId="31" xfId="11" applyFont="1" applyFill="1" applyBorder="1" applyAlignment="1">
      <alignment horizontal="center" vertical="center" wrapText="1"/>
    </xf>
    <xf numFmtId="3" fontId="76" fillId="0" borderId="0" xfId="11" applyNumberFormat="1" applyFont="1"/>
    <xf numFmtId="0" fontId="84" fillId="0" borderId="39" xfId="0" applyFont="1" applyBorder="1" applyAlignment="1">
      <alignment horizontal="left" vertical="center" wrapText="1" indent="1"/>
    </xf>
    <xf numFmtId="0" fontId="84" fillId="0" borderId="31" xfId="0" applyFont="1" applyBorder="1" applyAlignment="1">
      <alignment horizontal="right" vertical="center" wrapText="1" indent="1"/>
    </xf>
    <xf numFmtId="3" fontId="84" fillId="0" borderId="31" xfId="0" applyNumberFormat="1" applyFont="1" applyBorder="1" applyAlignment="1">
      <alignment horizontal="right" vertical="center" wrapText="1" indent="1"/>
    </xf>
    <xf numFmtId="0" fontId="84" fillId="0" borderId="31" xfId="0" quotePrefix="1" applyFont="1" applyBorder="1" applyAlignment="1">
      <alignment horizontal="right" vertical="center" wrapText="1" indent="1"/>
    </xf>
    <xf numFmtId="3" fontId="90" fillId="0" borderId="31" xfId="0" applyNumberFormat="1" applyFont="1" applyBorder="1" applyAlignment="1">
      <alignment horizontal="right" vertical="center" indent="1"/>
    </xf>
    <xf numFmtId="0" fontId="84" fillId="17" borderId="31" xfId="11" applyFont="1" applyFill="1" applyBorder="1" applyAlignment="1">
      <alignment horizontal="center" vertical="center" wrapText="1"/>
    </xf>
    <xf numFmtId="0" fontId="83" fillId="17" borderId="39" xfId="11" applyFont="1" applyFill="1" applyBorder="1" applyAlignment="1">
      <alignment horizontal="left" vertical="center" wrapText="1" indent="1"/>
    </xf>
    <xf numFmtId="0" fontId="76" fillId="13" borderId="38" xfId="0" applyFont="1" applyFill="1" applyBorder="1" applyAlignment="1">
      <alignment horizontal="center" vertical="center" wrapText="1"/>
    </xf>
    <xf numFmtId="0" fontId="76" fillId="13" borderId="46" xfId="0" applyFont="1" applyFill="1" applyBorder="1" applyAlignment="1">
      <alignment horizontal="center" vertical="center" wrapText="1"/>
    </xf>
    <xf numFmtId="0" fontId="84" fillId="0" borderId="32" xfId="11" applyFont="1" applyBorder="1"/>
    <xf numFmtId="0" fontId="84" fillId="0" borderId="32" xfId="11" applyFont="1" applyBorder="1" applyAlignment="1">
      <alignment horizontal="center" vertical="center"/>
    </xf>
    <xf numFmtId="0" fontId="84" fillId="0" borderId="32" xfId="11" applyFont="1" applyBorder="1" applyAlignment="1">
      <alignment vertical="center" wrapText="1"/>
    </xf>
    <xf numFmtId="0" fontId="84" fillId="7" borderId="32" xfId="11" applyFont="1" applyFill="1" applyBorder="1" applyAlignment="1">
      <alignment horizontal="center" vertical="center" wrapText="1"/>
    </xf>
    <xf numFmtId="0" fontId="84" fillId="7" borderId="32" xfId="11" applyFont="1" applyFill="1" applyBorder="1" applyAlignment="1">
      <alignment vertical="center" wrapText="1"/>
    </xf>
    <xf numFmtId="0" fontId="84" fillId="0" borderId="32" xfId="11" quotePrefix="1" applyFont="1" applyBorder="1" applyAlignment="1">
      <alignment vertical="center" wrapText="1"/>
    </xf>
    <xf numFmtId="0" fontId="84" fillId="0" borderId="32" xfId="11" applyFont="1" applyBorder="1" applyAlignment="1">
      <alignment horizontal="center" vertical="center" wrapText="1"/>
    </xf>
    <xf numFmtId="0" fontId="84" fillId="0" borderId="32" xfId="11" applyFont="1" applyBorder="1" applyAlignment="1">
      <alignment horizontal="justify" vertical="top"/>
    </xf>
    <xf numFmtId="0" fontId="84" fillId="0" borderId="32" xfId="0" applyFont="1" applyBorder="1" applyAlignment="1">
      <alignment horizontal="center" vertical="center" wrapText="1"/>
    </xf>
    <xf numFmtId="0" fontId="84" fillId="0" borderId="32" xfId="11" applyFont="1" applyBorder="1" applyAlignment="1">
      <alignment horizontal="left" vertical="center" wrapText="1" indent="1"/>
    </xf>
    <xf numFmtId="0" fontId="84" fillId="0" borderId="32" xfId="0" applyFont="1" applyBorder="1" applyAlignment="1">
      <alignment vertical="center" wrapText="1"/>
    </xf>
    <xf numFmtId="0" fontId="84" fillId="0" borderId="32" xfId="11" applyFont="1" applyBorder="1" applyAlignment="1">
      <alignment horizontal="justify" vertical="center"/>
    </xf>
    <xf numFmtId="0" fontId="84" fillId="0" borderId="32" xfId="0" applyFont="1" applyBorder="1" applyAlignment="1">
      <alignment horizontal="justify" vertical="top" wrapText="1"/>
    </xf>
    <xf numFmtId="0" fontId="84" fillId="0" borderId="32" xfId="0" applyFont="1" applyBorder="1" applyAlignment="1">
      <alignment horizontal="justify" vertical="top"/>
    </xf>
    <xf numFmtId="0" fontId="76" fillId="0" borderId="61" xfId="0" applyFont="1" applyBorder="1" applyAlignment="1">
      <alignment horizontal="center"/>
    </xf>
    <xf numFmtId="0" fontId="90" fillId="7" borderId="32" xfId="11" applyFont="1" applyFill="1" applyBorder="1" applyAlignment="1">
      <alignment horizontal="center" vertical="center" wrapText="1"/>
    </xf>
    <xf numFmtId="0" fontId="90" fillId="7" borderId="32" xfId="11" applyFont="1" applyFill="1" applyBorder="1" applyAlignment="1">
      <alignment horizontal="left" vertical="center" wrapText="1" indent="3"/>
    </xf>
    <xf numFmtId="0" fontId="84" fillId="7" borderId="32" xfId="11" applyFont="1" applyFill="1" applyBorder="1" applyAlignment="1">
      <alignment horizontal="left" vertical="center" wrapText="1" indent="3"/>
    </xf>
    <xf numFmtId="0" fontId="90" fillId="17" borderId="32" xfId="11" applyFont="1" applyFill="1" applyBorder="1" applyAlignment="1">
      <alignment horizontal="center" vertical="center" wrapText="1"/>
    </xf>
    <xf numFmtId="0" fontId="90" fillId="17" borderId="32" xfId="11" applyFont="1" applyFill="1" applyBorder="1" applyAlignment="1">
      <alignment horizontal="left" vertical="center" wrapText="1" indent="2"/>
    </xf>
    <xf numFmtId="0" fontId="90" fillId="0" borderId="32" xfId="11" applyFont="1" applyBorder="1" applyAlignment="1">
      <alignment horizontal="center" vertical="center" wrapText="1"/>
    </xf>
    <xf numFmtId="0" fontId="90" fillId="0" borderId="32" xfId="11" applyFont="1" applyBorder="1" applyAlignment="1">
      <alignment horizontal="left" vertical="center" wrapText="1" indent="3"/>
    </xf>
    <xf numFmtId="0" fontId="76" fillId="17" borderId="32" xfId="11" applyFont="1" applyFill="1" applyBorder="1" applyAlignment="1">
      <alignment horizontal="right" vertical="center" indent="1"/>
    </xf>
    <xf numFmtId="3" fontId="76" fillId="17" borderId="32" xfId="11" applyNumberFormat="1" applyFont="1" applyFill="1" applyBorder="1" applyAlignment="1">
      <alignment horizontal="right" vertical="center" wrapText="1" indent="1"/>
    </xf>
    <xf numFmtId="3" fontId="76" fillId="0" borderId="32" xfId="11" applyNumberFormat="1" applyFont="1" applyBorder="1" applyAlignment="1">
      <alignment horizontal="right" vertical="center" indent="1"/>
    </xf>
    <xf numFmtId="0" fontId="79" fillId="0" borderId="32" xfId="0" applyFont="1" applyBorder="1" applyAlignment="1">
      <alignment horizontal="right" wrapText="1" indent="1"/>
    </xf>
    <xf numFmtId="172" fontId="76" fillId="0" borderId="0" xfId="22" applyNumberFormat="1" applyFont="1"/>
    <xf numFmtId="172" fontId="125" fillId="0" borderId="0" xfId="22" applyNumberFormat="1" applyFont="1"/>
    <xf numFmtId="0" fontId="89" fillId="0" borderId="32" xfId="0" quotePrefix="1" applyFont="1" applyBorder="1" applyAlignment="1">
      <alignment horizontal="center" vertical="center" wrapText="1"/>
    </xf>
    <xf numFmtId="0" fontId="89" fillId="0" borderId="32" xfId="0" applyFont="1" applyBorder="1" applyAlignment="1">
      <alignment vertical="center" wrapText="1"/>
    </xf>
    <xf numFmtId="166" fontId="79" fillId="0" borderId="32" xfId="22" applyNumberFormat="1" applyFont="1" applyBorder="1" applyAlignment="1">
      <alignment vertical="center"/>
    </xf>
    <xf numFmtId="166" fontId="89" fillId="0" borderId="32" xfId="22" applyNumberFormat="1" applyFont="1" applyBorder="1" applyAlignment="1">
      <alignment horizontal="center" vertical="center" wrapText="1"/>
    </xf>
    <xf numFmtId="166" fontId="89" fillId="10" borderId="32" xfId="22" applyNumberFormat="1" applyFont="1" applyFill="1" applyBorder="1" applyAlignment="1">
      <alignment horizontal="center" vertical="center" wrapText="1"/>
    </xf>
    <xf numFmtId="0" fontId="90" fillId="0" borderId="32" xfId="0" quotePrefix="1" applyFont="1" applyBorder="1" applyAlignment="1">
      <alignment horizontal="center" vertical="center" wrapText="1"/>
    </xf>
    <xf numFmtId="166" fontId="90" fillId="0" borderId="32" xfId="22" applyNumberFormat="1" applyFont="1" applyBorder="1" applyAlignment="1">
      <alignment horizontal="center" vertical="center" wrapText="1"/>
    </xf>
    <xf numFmtId="166" fontId="76" fillId="0" borderId="32" xfId="22" applyNumberFormat="1" applyFont="1" applyBorder="1" applyAlignment="1">
      <alignment vertical="center"/>
    </xf>
    <xf numFmtId="0" fontId="90" fillId="0" borderId="32" xfId="0" applyFont="1" applyBorder="1" applyAlignment="1">
      <alignment horizontal="left" vertical="center" wrapText="1" indent="2"/>
    </xf>
    <xf numFmtId="0" fontId="90" fillId="0" borderId="32" xfId="0" applyFont="1" applyBorder="1" applyAlignment="1">
      <alignment horizontal="center" vertical="center" wrapText="1"/>
    </xf>
    <xf numFmtId="166" fontId="91" fillId="10" borderId="32" xfId="22" applyNumberFormat="1" applyFont="1" applyFill="1" applyBorder="1" applyAlignment="1">
      <alignment horizontal="center" vertical="center" wrapText="1"/>
    </xf>
    <xf numFmtId="0" fontId="90" fillId="0" borderId="36" xfId="0" applyFont="1" applyBorder="1" applyAlignment="1">
      <alignment horizontal="center" vertical="center" wrapText="1"/>
    </xf>
    <xf numFmtId="0" fontId="90" fillId="17" borderId="32" xfId="0" quotePrefix="1" applyFont="1" applyFill="1" applyBorder="1" applyAlignment="1">
      <alignment horizontal="center" vertical="center" wrapText="1"/>
    </xf>
    <xf numFmtId="0" fontId="90" fillId="17" borderId="32" xfId="0" applyFont="1" applyFill="1" applyBorder="1" applyAlignment="1">
      <alignment horizontal="left" vertical="center" wrapText="1" indent="1"/>
    </xf>
    <xf numFmtId="166" fontId="90" fillId="17" borderId="32" xfId="22" applyNumberFormat="1" applyFont="1" applyFill="1" applyBorder="1" applyAlignment="1">
      <alignment horizontal="center" vertical="center" wrapText="1"/>
    </xf>
    <xf numFmtId="166" fontId="76" fillId="17" borderId="32" xfId="22" applyNumberFormat="1" applyFont="1" applyFill="1" applyBorder="1" applyAlignment="1">
      <alignment vertical="center"/>
    </xf>
    <xf numFmtId="0" fontId="90" fillId="17" borderId="32" xfId="0" applyFont="1" applyFill="1" applyBorder="1" applyAlignment="1">
      <alignment horizontal="center" vertical="center" wrapText="1"/>
    </xf>
    <xf numFmtId="0" fontId="83" fillId="0" borderId="32" xfId="0" applyFont="1" applyBorder="1" applyAlignment="1">
      <alignment horizontal="center" vertical="center" wrapText="1"/>
    </xf>
    <xf numFmtId="0" fontId="84" fillId="0" borderId="32" xfId="0" quotePrefix="1" applyFont="1" applyBorder="1" applyAlignment="1">
      <alignment horizontal="center" vertical="center" wrapText="1"/>
    </xf>
    <xf numFmtId="0" fontId="84" fillId="10" borderId="32" xfId="0" applyFont="1" applyFill="1" applyBorder="1" applyAlignment="1">
      <alignment horizontal="center" vertical="center" wrapText="1"/>
    </xf>
    <xf numFmtId="0" fontId="84" fillId="0" borderId="32" xfId="0" applyFont="1" applyBorder="1" applyAlignment="1">
      <alignment horizontal="right" vertical="center" wrapText="1" indent="1"/>
    </xf>
    <xf numFmtId="0" fontId="84" fillId="10" borderId="59" xfId="0" applyFont="1" applyFill="1" applyBorder="1" applyAlignment="1">
      <alignment horizontal="center" vertical="center" wrapText="1"/>
    </xf>
    <xf numFmtId="166" fontId="84" fillId="0" borderId="59" xfId="22" applyNumberFormat="1" applyFont="1" applyBorder="1" applyAlignment="1">
      <alignment horizontal="left" vertical="center" wrapText="1" indent="1"/>
    </xf>
    <xf numFmtId="0" fontId="83" fillId="0" borderId="32" xfId="0" applyFont="1" applyBorder="1" applyAlignment="1">
      <alignment horizontal="left" vertical="center" wrapText="1" indent="1"/>
    </xf>
    <xf numFmtId="0" fontId="84" fillId="0" borderId="32" xfId="0" applyFont="1" applyBorder="1" applyAlignment="1">
      <alignment horizontal="left" vertical="center" wrapText="1" indent="2"/>
    </xf>
    <xf numFmtId="49" fontId="83" fillId="0" borderId="32" xfId="10" applyNumberFormat="1" applyFont="1" applyBorder="1" applyAlignment="1">
      <alignment horizontal="center" vertical="center" wrapText="1"/>
    </xf>
    <xf numFmtId="49" fontId="83" fillId="0" borderId="32" xfId="10" quotePrefix="1" applyNumberFormat="1" applyFont="1" applyBorder="1" applyAlignment="1">
      <alignment horizontal="center" vertical="center" wrapText="1"/>
    </xf>
    <xf numFmtId="0" fontId="84" fillId="0" borderId="32" xfId="10" applyFont="1" applyBorder="1" applyAlignment="1">
      <alignment horizontal="center" vertical="center" wrapText="1"/>
    </xf>
    <xf numFmtId="0" fontId="83" fillId="0" borderId="32" xfId="10" applyFont="1" applyBorder="1" applyAlignment="1">
      <alignment horizontal="center" vertical="center" wrapText="1"/>
    </xf>
    <xf numFmtId="0" fontId="83" fillId="17" borderId="32" xfId="0" applyFont="1" applyFill="1" applyBorder="1" applyAlignment="1">
      <alignment horizontal="center" vertical="center" wrapText="1"/>
    </xf>
    <xf numFmtId="0" fontId="83" fillId="17" borderId="32" xfId="0" applyFont="1" applyFill="1" applyBorder="1" applyAlignment="1">
      <alignment horizontal="left" vertical="center" wrapText="1" indent="1"/>
    </xf>
    <xf numFmtId="0" fontId="84" fillId="17" borderId="59" xfId="0" applyFont="1" applyFill="1" applyBorder="1" applyAlignment="1">
      <alignment horizontal="left" vertical="center" wrapText="1" indent="1"/>
    </xf>
    <xf numFmtId="0" fontId="84" fillId="17" borderId="32" xfId="0" applyFont="1" applyFill="1" applyBorder="1" applyAlignment="1">
      <alignment horizontal="left" vertical="center" wrapText="1" indent="1"/>
    </xf>
    <xf numFmtId="0" fontId="83" fillId="17" borderId="61" xfId="0" applyFont="1" applyFill="1" applyBorder="1" applyAlignment="1">
      <alignment horizontal="center" vertical="center" wrapText="1"/>
    </xf>
    <xf numFmtId="0" fontId="83" fillId="17" borderId="61" xfId="0" applyFont="1" applyFill="1" applyBorder="1" applyAlignment="1">
      <alignment horizontal="left" vertical="center" wrapText="1" indent="1"/>
    </xf>
    <xf numFmtId="0" fontId="126" fillId="17" borderId="32" xfId="0" applyFont="1" applyFill="1" applyBorder="1" applyAlignment="1">
      <alignment horizontal="left" vertical="center" wrapText="1" indent="1"/>
    </xf>
    <xf numFmtId="0" fontId="126" fillId="17" borderId="32" xfId="0" applyFont="1" applyFill="1" applyBorder="1" applyAlignment="1">
      <alignment horizontal="center" vertical="center" wrapText="1"/>
    </xf>
    <xf numFmtId="0" fontId="84" fillId="9" borderId="59" xfId="0" applyFont="1" applyFill="1" applyBorder="1" applyAlignment="1">
      <alignment horizontal="left" vertical="center" wrapText="1" indent="1"/>
    </xf>
    <xf numFmtId="0" fontId="84" fillId="9" borderId="32" xfId="0" applyFont="1" applyFill="1" applyBorder="1" applyAlignment="1">
      <alignment horizontal="left" vertical="center" wrapText="1" indent="1"/>
    </xf>
    <xf numFmtId="166" fontId="90" fillId="17" borderId="59" xfId="22" applyNumberFormat="1" applyFont="1" applyFill="1" applyBorder="1" applyAlignment="1">
      <alignment horizontal="center" vertical="center" wrapText="1"/>
    </xf>
    <xf numFmtId="0" fontId="84" fillId="0" borderId="32" xfId="10" applyFont="1" applyBorder="1" applyAlignment="1">
      <alignment horizontal="left" vertical="center" wrapText="1" indent="1"/>
    </xf>
    <xf numFmtId="0" fontId="88" fillId="0" borderId="32" xfId="10" applyFont="1" applyBorder="1" applyAlignment="1">
      <alignment horizontal="left" vertical="center" wrapText="1" indent="3"/>
    </xf>
    <xf numFmtId="0" fontId="84" fillId="17" borderId="32" xfId="10" applyFont="1" applyFill="1" applyBorder="1" applyAlignment="1">
      <alignment horizontal="left" vertical="center" wrapText="1" indent="1"/>
    </xf>
    <xf numFmtId="0" fontId="84" fillId="17" borderId="32" xfId="10" applyFont="1" applyFill="1" applyBorder="1" applyAlignment="1">
      <alignment horizontal="center" vertical="center" wrapText="1"/>
    </xf>
    <xf numFmtId="3" fontId="84" fillId="17" borderId="32" xfId="10" applyNumberFormat="1" applyFont="1" applyFill="1" applyBorder="1" applyAlignment="1">
      <alignment horizontal="right" vertical="center" wrapText="1" indent="1"/>
    </xf>
    <xf numFmtId="0" fontId="83" fillId="17" borderId="32" xfId="10" quotePrefix="1" applyFont="1" applyFill="1" applyBorder="1" applyAlignment="1">
      <alignment horizontal="center" vertical="center" wrapText="1"/>
    </xf>
    <xf numFmtId="0" fontId="84" fillId="17" borderId="32" xfId="10" applyFont="1" applyFill="1" applyBorder="1" applyAlignment="1">
      <alignment horizontal="right" vertical="center" wrapText="1" indent="1"/>
    </xf>
    <xf numFmtId="0" fontId="92" fillId="0" borderId="32" xfId="10" applyFont="1" applyBorder="1" applyAlignment="1">
      <alignment horizontal="center" vertical="center" wrapText="1"/>
    </xf>
    <xf numFmtId="3" fontId="92" fillId="0" borderId="32" xfId="10" applyNumberFormat="1" applyFont="1" applyBorder="1" applyAlignment="1">
      <alignment horizontal="right" vertical="center" wrapText="1" indent="1"/>
    </xf>
    <xf numFmtId="0" fontId="92" fillId="10" borderId="32" xfId="10" applyFont="1" applyFill="1" applyBorder="1" applyAlignment="1">
      <alignment horizontal="right" vertical="center" wrapText="1" indent="1"/>
    </xf>
    <xf numFmtId="0" fontId="92" fillId="10" borderId="32" xfId="10" applyFont="1" applyFill="1" applyBorder="1" applyAlignment="1">
      <alignment horizontal="right" wrapText="1" indent="1"/>
    </xf>
    <xf numFmtId="0" fontId="92" fillId="0" borderId="32" xfId="10" applyFont="1" applyBorder="1" applyAlignment="1">
      <alignment horizontal="right" vertical="center" wrapText="1" indent="1"/>
    </xf>
    <xf numFmtId="0" fontId="92" fillId="10" borderId="32" xfId="10" applyFont="1" applyFill="1" applyBorder="1" applyAlignment="1">
      <alignment horizontal="right" indent="1"/>
    </xf>
    <xf numFmtId="49" fontId="84" fillId="0" borderId="32" xfId="10" applyNumberFormat="1" applyFont="1" applyBorder="1" applyAlignment="1">
      <alignment horizontal="center" vertical="center" wrapText="1"/>
    </xf>
    <xf numFmtId="1" fontId="84" fillId="0" borderId="32" xfId="22" applyNumberFormat="1" applyFont="1" applyBorder="1" applyAlignment="1">
      <alignment horizontal="right" vertical="center" indent="1"/>
    </xf>
    <xf numFmtId="1" fontId="84" fillId="0" borderId="32" xfId="22" applyNumberFormat="1" applyFont="1" applyFill="1" applyBorder="1" applyAlignment="1">
      <alignment horizontal="right" vertical="center" indent="1"/>
    </xf>
    <xf numFmtId="0" fontId="84" fillId="11" borderId="32" xfId="10" applyFont="1" applyFill="1" applyBorder="1" applyAlignment="1">
      <alignment horizontal="right" vertical="center" wrapText="1" indent="1"/>
    </xf>
    <xf numFmtId="0" fontId="84" fillId="11" borderId="32" xfId="10" applyFont="1" applyFill="1" applyBorder="1" applyAlignment="1">
      <alignment horizontal="center" vertical="center" wrapText="1"/>
    </xf>
    <xf numFmtId="0" fontId="86" fillId="0" borderId="32" xfId="10" applyFont="1" applyBorder="1"/>
    <xf numFmtId="0" fontId="84" fillId="0" borderId="32" xfId="10" applyFont="1" applyBorder="1"/>
    <xf numFmtId="0" fontId="84" fillId="0" borderId="32" xfId="10" quotePrefix="1" applyFont="1" applyBorder="1" applyAlignment="1">
      <alignment horizontal="center" vertical="center" wrapText="1"/>
    </xf>
    <xf numFmtId="0" fontId="89" fillId="17" borderId="31" xfId="0" applyFont="1" applyFill="1" applyBorder="1" applyAlignment="1">
      <alignment horizontal="left" vertical="center" wrapText="1" indent="1"/>
    </xf>
    <xf numFmtId="3" fontId="90" fillId="0" borderId="31" xfId="0" applyNumberFormat="1" applyFont="1" applyBorder="1" applyAlignment="1">
      <alignment horizontal="right" vertical="center" wrapText="1" indent="1"/>
    </xf>
    <xf numFmtId="3" fontId="89" fillId="17" borderId="31" xfId="0" applyNumberFormat="1" applyFont="1" applyFill="1" applyBorder="1" applyAlignment="1">
      <alignment horizontal="right" vertical="center" wrapText="1" indent="1"/>
    </xf>
    <xf numFmtId="0" fontId="90" fillId="0" borderId="31" xfId="0" applyFont="1" applyBorder="1" applyAlignment="1">
      <alignment horizontal="right" vertical="center" wrapText="1" indent="1"/>
    </xf>
    <xf numFmtId="14" fontId="89" fillId="0" borderId="31" xfId="0" applyNumberFormat="1" applyFont="1" applyBorder="1" applyAlignment="1">
      <alignment horizontal="right" vertical="center" wrapText="1" indent="1"/>
    </xf>
    <xf numFmtId="0" fontId="89" fillId="0" borderId="31" xfId="0" applyFont="1" applyBorder="1" applyAlignment="1">
      <alignment horizontal="right" vertical="center" wrapText="1" indent="1"/>
    </xf>
    <xf numFmtId="3" fontId="92" fillId="0" borderId="31" xfId="0" applyNumberFormat="1" applyFont="1" applyBorder="1" applyAlignment="1">
      <alignment horizontal="right" vertical="center" wrapText="1" indent="1"/>
    </xf>
    <xf numFmtId="0" fontId="92" fillId="0" borderId="31" xfId="0" applyFont="1" applyBorder="1" applyAlignment="1">
      <alignment horizontal="right" vertical="center" wrapText="1" indent="1"/>
    </xf>
    <xf numFmtId="1" fontId="84" fillId="0" borderId="31" xfId="0" applyNumberFormat="1" applyFont="1" applyBorder="1" applyAlignment="1">
      <alignment horizontal="right" vertical="center" wrapText="1" indent="1"/>
    </xf>
    <xf numFmtId="3" fontId="83" fillId="17" borderId="31" xfId="0" applyNumberFormat="1" applyFont="1" applyFill="1" applyBorder="1" applyAlignment="1">
      <alignment horizontal="right" vertical="center" wrapText="1" indent="1"/>
    </xf>
    <xf numFmtId="0" fontId="84" fillId="0" borderId="31" xfId="0" applyFont="1" applyBorder="1" applyAlignment="1">
      <alignment horizontal="right" wrapText="1" indent="1"/>
    </xf>
    <xf numFmtId="3" fontId="83" fillId="0" borderId="31" xfId="0" applyNumberFormat="1" applyFont="1" applyBorder="1" applyAlignment="1">
      <alignment horizontal="right" vertical="center" wrapText="1" indent="1"/>
    </xf>
    <xf numFmtId="10" fontId="84" fillId="0" borderId="31" xfId="12" applyNumberFormat="1" applyFont="1" applyBorder="1" applyAlignment="1">
      <alignment horizontal="right" vertical="center" wrapText="1" indent="1"/>
    </xf>
    <xf numFmtId="10" fontId="84" fillId="0" borderId="31" xfId="0" applyNumberFormat="1" applyFont="1" applyBorder="1" applyAlignment="1">
      <alignment horizontal="right" vertical="center" wrapText="1" indent="1"/>
    </xf>
    <xf numFmtId="167" fontId="84" fillId="13" borderId="31" xfId="0" applyNumberFormat="1" applyFont="1" applyFill="1" applyBorder="1" applyAlignment="1">
      <alignment horizontal="right" vertical="center" wrapText="1" indent="1"/>
    </xf>
    <xf numFmtId="0" fontId="84" fillId="0" borderId="38" xfId="0" applyFont="1" applyBorder="1" applyAlignment="1">
      <alignment horizontal="right" vertical="center" wrapText="1" indent="1"/>
    </xf>
    <xf numFmtId="0" fontId="79" fillId="11" borderId="31" xfId="0" applyFont="1" applyFill="1" applyBorder="1" applyAlignment="1">
      <alignment horizontal="left" vertical="center" wrapText="1" indent="1"/>
    </xf>
    <xf numFmtId="0" fontId="82" fillId="7" borderId="31" xfId="0" applyFont="1" applyFill="1" applyBorder="1" applyAlignment="1">
      <alignment horizontal="left" vertical="center" wrapText="1" indent="1"/>
    </xf>
    <xf numFmtId="166" fontId="79" fillId="17" borderId="31" xfId="22" applyNumberFormat="1" applyFont="1" applyFill="1" applyBorder="1" applyAlignment="1">
      <alignment horizontal="center" vertical="center" wrapText="1"/>
    </xf>
    <xf numFmtId="0" fontId="123" fillId="7" borderId="31" xfId="0" applyFont="1" applyFill="1" applyBorder="1" applyAlignment="1">
      <alignment horizontal="center" vertical="center" wrapText="1"/>
    </xf>
    <xf numFmtId="0" fontId="125" fillId="7" borderId="31" xfId="0" applyFont="1" applyFill="1" applyBorder="1" applyAlignment="1">
      <alignment horizontal="center" vertical="center" wrapText="1"/>
    </xf>
    <xf numFmtId="0" fontId="89" fillId="17" borderId="31" xfId="0" applyFont="1" applyFill="1" applyBorder="1" applyAlignment="1">
      <alignment horizontal="center" vertical="center" wrapText="1"/>
    </xf>
    <xf numFmtId="3" fontId="84" fillId="0" borderId="32" xfId="11" applyNumberFormat="1" applyFont="1" applyBorder="1" applyAlignment="1">
      <alignment horizontal="right" indent="1"/>
    </xf>
    <xf numFmtId="0" fontId="84" fillId="0" borderId="32" xfId="11" quotePrefix="1" applyFont="1" applyBorder="1" applyAlignment="1">
      <alignment horizontal="right" vertical="center" indent="1"/>
    </xf>
    <xf numFmtId="0" fontId="84" fillId="0" borderId="32" xfId="11" applyFont="1" applyBorder="1" applyAlignment="1">
      <alignment horizontal="right" indent="1"/>
    </xf>
    <xf numFmtId="0" fontId="84" fillId="0" borderId="0" xfId="11" applyFont="1" applyAlignment="1">
      <alignment horizontal="right" vertical="center" indent="1"/>
    </xf>
    <xf numFmtId="0" fontId="84" fillId="0" borderId="0" xfId="11" applyFont="1" applyAlignment="1">
      <alignment horizontal="right" indent="1"/>
    </xf>
    <xf numFmtId="0" fontId="84" fillId="0" borderId="0" xfId="0" applyFont="1" applyAlignment="1">
      <alignment horizontal="right" indent="1"/>
    </xf>
    <xf numFmtId="0" fontId="84" fillId="0" borderId="32" xfId="0" applyFont="1" applyBorder="1" applyAlignment="1">
      <alignment horizontal="right" vertical="center" indent="1"/>
    </xf>
    <xf numFmtId="14" fontId="84" fillId="0" borderId="32" xfId="0" applyNumberFormat="1" applyFont="1" applyBorder="1" applyAlignment="1">
      <alignment horizontal="right" vertical="center" indent="1"/>
    </xf>
    <xf numFmtId="3" fontId="84" fillId="0" borderId="32" xfId="11" quotePrefix="1" applyNumberFormat="1" applyFont="1" applyBorder="1" applyAlignment="1">
      <alignment horizontal="right" vertical="center" wrapText="1" indent="1"/>
    </xf>
    <xf numFmtId="3" fontId="84" fillId="0" borderId="32" xfId="11" quotePrefix="1" applyNumberFormat="1" applyFont="1" applyBorder="1" applyAlignment="1">
      <alignment horizontal="right" vertical="center" indent="1"/>
    </xf>
    <xf numFmtId="0" fontId="84" fillId="0" borderId="32" xfId="11" quotePrefix="1" applyFont="1" applyBorder="1" applyAlignment="1">
      <alignment horizontal="right" vertical="center" wrapText="1" indent="1"/>
    </xf>
    <xf numFmtId="0" fontId="77" fillId="0" borderId="32" xfId="11" quotePrefix="1" applyFont="1" applyBorder="1" applyAlignment="1">
      <alignment horizontal="right" vertical="center" indent="1"/>
    </xf>
    <xf numFmtId="10" fontId="84" fillId="0" borderId="32" xfId="12" applyNumberFormat="1" applyFont="1" applyBorder="1" applyAlignment="1">
      <alignment horizontal="right" indent="1"/>
    </xf>
    <xf numFmtId="9" fontId="84" fillId="0" borderId="32" xfId="11" quotePrefix="1" applyNumberFormat="1" applyFont="1" applyBorder="1" applyAlignment="1">
      <alignment horizontal="right" vertical="center" wrapText="1" indent="1"/>
    </xf>
    <xf numFmtId="9" fontId="84" fillId="0" borderId="32" xfId="11" applyNumberFormat="1" applyFont="1" applyBorder="1" applyAlignment="1">
      <alignment horizontal="right" indent="1"/>
    </xf>
    <xf numFmtId="0" fontId="84" fillId="0" borderId="32" xfId="0" quotePrefix="1" applyFont="1" applyBorder="1" applyAlignment="1">
      <alignment horizontal="right" indent="1"/>
    </xf>
    <xf numFmtId="3" fontId="84" fillId="0" borderId="32" xfId="0" quotePrefix="1" applyNumberFormat="1" applyFont="1" applyBorder="1" applyAlignment="1">
      <alignment horizontal="right" indent="1"/>
    </xf>
    <xf numFmtId="10" fontId="84" fillId="0" borderId="32" xfId="12" quotePrefix="1" applyNumberFormat="1" applyFont="1" applyBorder="1" applyAlignment="1">
      <alignment horizontal="right" indent="1"/>
    </xf>
    <xf numFmtId="0" fontId="89" fillId="16" borderId="32" xfId="11" applyFont="1" applyFill="1" applyBorder="1" applyAlignment="1">
      <alignment horizontal="center" vertical="center" wrapText="1"/>
    </xf>
    <xf numFmtId="3" fontId="76" fillId="0" borderId="31" xfId="22" applyNumberFormat="1" applyFont="1" applyBorder="1" applyAlignment="1">
      <alignment horizontal="right" vertical="center" wrapText="1"/>
    </xf>
    <xf numFmtId="173" fontId="76" fillId="11" borderId="31" xfId="22" applyNumberFormat="1" applyFont="1" applyFill="1" applyBorder="1" applyAlignment="1">
      <alignment horizontal="right" vertical="center" wrapText="1"/>
    </xf>
    <xf numFmtId="0" fontId="76" fillId="16" borderId="0" xfId="0" applyFont="1" applyFill="1"/>
    <xf numFmtId="0" fontId="90" fillId="16" borderId="0" xfId="0" applyFont="1" applyFill="1" applyAlignment="1">
      <alignment horizontal="center" vertical="center" wrapText="1"/>
    </xf>
    <xf numFmtId="0" fontId="90" fillId="16" borderId="31" xfId="0" applyFont="1" applyFill="1" applyBorder="1" applyAlignment="1">
      <alignment horizontal="center" vertical="center" wrapText="1"/>
    </xf>
    <xf numFmtId="173" fontId="84" fillId="20" borderId="31" xfId="22" applyNumberFormat="1" applyFont="1" applyFill="1" applyBorder="1" applyAlignment="1">
      <alignment horizontal="right" vertical="center" wrapText="1"/>
    </xf>
    <xf numFmtId="173" fontId="92" fillId="19" borderId="31" xfId="22" applyNumberFormat="1" applyFont="1" applyFill="1" applyBorder="1" applyAlignment="1">
      <alignment horizontal="right" vertical="center" wrapText="1"/>
    </xf>
    <xf numFmtId="173" fontId="92" fillId="13" borderId="31" xfId="22" applyNumberFormat="1" applyFont="1" applyFill="1" applyBorder="1" applyAlignment="1">
      <alignment horizontal="right" vertical="center" wrapText="1"/>
    </xf>
    <xf numFmtId="173" fontId="84" fillId="17" borderId="31" xfId="22" applyNumberFormat="1" applyFont="1" applyFill="1" applyBorder="1" applyAlignment="1">
      <alignment horizontal="right" vertical="center" wrapText="1"/>
    </xf>
    <xf numFmtId="173" fontId="92" fillId="0" borderId="31" xfId="22" applyNumberFormat="1" applyFont="1" applyFill="1" applyBorder="1" applyAlignment="1">
      <alignment horizontal="right" vertical="center" wrapText="1"/>
    </xf>
    <xf numFmtId="173" fontId="83" fillId="17" borderId="31" xfId="22" applyNumberFormat="1" applyFont="1" applyFill="1" applyBorder="1" applyAlignment="1">
      <alignment horizontal="right" vertical="center" wrapText="1"/>
    </xf>
    <xf numFmtId="3" fontId="79" fillId="17" borderId="31" xfId="0" applyNumberFormat="1" applyFont="1" applyFill="1" applyBorder="1" applyAlignment="1">
      <alignment horizontal="center" vertical="center" wrapText="1"/>
    </xf>
    <xf numFmtId="3" fontId="79" fillId="17" borderId="31" xfId="0" applyNumberFormat="1" applyFont="1" applyFill="1" applyBorder="1" applyAlignment="1">
      <alignment horizontal="left" vertical="center" wrapText="1" indent="1"/>
    </xf>
    <xf numFmtId="173" fontId="117" fillId="0" borderId="31" xfId="22" applyNumberFormat="1" applyFont="1" applyBorder="1" applyAlignment="1">
      <alignment horizontal="left" vertical="center" wrapText="1" indent="5"/>
    </xf>
    <xf numFmtId="173" fontId="84" fillId="0" borderId="31" xfId="22" applyNumberFormat="1" applyFont="1" applyBorder="1" applyAlignment="1">
      <alignment horizontal="left" vertical="center" wrapText="1" indent="6"/>
    </xf>
    <xf numFmtId="173" fontId="117" fillId="0" borderId="31" xfId="22" applyNumberFormat="1" applyFont="1" applyBorder="1" applyAlignment="1">
      <alignment horizontal="left" vertical="center" wrapText="1" indent="6"/>
    </xf>
    <xf numFmtId="3" fontId="79" fillId="17" borderId="31" xfId="0" applyNumberFormat="1" applyFont="1" applyFill="1" applyBorder="1" applyAlignment="1">
      <alignment horizontal="right" vertical="center" wrapText="1" indent="1"/>
    </xf>
    <xf numFmtId="167" fontId="79" fillId="17" borderId="31" xfId="12" applyNumberFormat="1" applyFont="1" applyFill="1" applyBorder="1" applyAlignment="1">
      <alignment horizontal="left" vertical="center" wrapText="1" indent="5"/>
    </xf>
    <xf numFmtId="3" fontId="83" fillId="17" borderId="31" xfId="22" applyNumberFormat="1" applyFont="1" applyFill="1" applyBorder="1" applyAlignment="1">
      <alignment horizontal="right" vertical="center" wrapText="1" indent="1"/>
    </xf>
    <xf numFmtId="3" fontId="84" fillId="13" borderId="31" xfId="22" applyNumberFormat="1" applyFont="1" applyFill="1" applyBorder="1" applyAlignment="1">
      <alignment horizontal="right" vertical="center" wrapText="1" indent="1"/>
    </xf>
    <xf numFmtId="0" fontId="83" fillId="16" borderId="31" xfId="0" applyFont="1" applyFill="1" applyBorder="1" applyAlignment="1">
      <alignment horizontal="center" vertical="center" wrapText="1"/>
    </xf>
    <xf numFmtId="166" fontId="84" fillId="16" borderId="31" xfId="22" applyNumberFormat="1" applyFont="1" applyFill="1" applyBorder="1" applyAlignment="1">
      <alignment vertical="center"/>
    </xf>
    <xf numFmtId="166" fontId="116" fillId="16" borderId="31" xfId="22" applyNumberFormat="1" applyFont="1" applyFill="1" applyBorder="1" applyAlignment="1">
      <alignment vertical="center"/>
    </xf>
    <xf numFmtId="0" fontId="83" fillId="16" borderId="31" xfId="0" applyFont="1" applyFill="1" applyBorder="1" applyAlignment="1">
      <alignment horizontal="left" vertical="center" indent="1"/>
    </xf>
    <xf numFmtId="0" fontId="84" fillId="17" borderId="31" xfId="3" applyFont="1" applyFill="1" applyBorder="1" applyAlignment="1">
      <alignment horizontal="center" vertical="center" wrapText="1"/>
    </xf>
    <xf numFmtId="3" fontId="83" fillId="17" borderId="31" xfId="11" applyNumberFormat="1" applyFont="1" applyFill="1" applyBorder="1" applyAlignment="1">
      <alignment horizontal="right" vertical="center" indent="1"/>
    </xf>
    <xf numFmtId="0" fontId="76" fillId="13" borderId="0" xfId="0" applyFont="1" applyFill="1" applyAlignment="1">
      <alignment horizontal="left" indent="1"/>
    </xf>
    <xf numFmtId="3" fontId="76" fillId="0" borderId="31" xfId="22" applyNumberFormat="1" applyFont="1" applyBorder="1" applyAlignment="1">
      <alignment vertical="center" wrapText="1"/>
    </xf>
    <xf numFmtId="3" fontId="76" fillId="17" borderId="31" xfId="22" applyNumberFormat="1" applyFont="1" applyFill="1" applyBorder="1" applyAlignment="1">
      <alignment horizontal="right" vertical="center" wrapText="1"/>
    </xf>
    <xf numFmtId="3" fontId="79" fillId="11" borderId="31" xfId="22" applyNumberFormat="1" applyFont="1" applyFill="1" applyBorder="1" applyAlignment="1">
      <alignment horizontal="right" vertical="center" wrapText="1"/>
    </xf>
    <xf numFmtId="3" fontId="79" fillId="17" borderId="31" xfId="22" applyNumberFormat="1" applyFont="1" applyFill="1" applyBorder="1" applyAlignment="1">
      <alignment horizontal="right" vertical="center" wrapText="1"/>
    </xf>
    <xf numFmtId="1" fontId="90" fillId="0" borderId="31" xfId="0" applyNumberFormat="1" applyFont="1" applyBorder="1" applyAlignment="1">
      <alignment horizontal="right" vertical="center" wrapText="1" indent="1"/>
    </xf>
    <xf numFmtId="49" fontId="84" fillId="0" borderId="31" xfId="19" applyNumberFormat="1" applyFont="1" applyFill="1" applyBorder="1" applyAlignment="1" applyProtection="1">
      <alignment horizontal="right" vertical="center" wrapText="1" indent="1"/>
      <protection hidden="1"/>
    </xf>
    <xf numFmtId="49" fontId="84" fillId="0" borderId="31" xfId="19" applyNumberFormat="1" applyFont="1" applyFill="1" applyBorder="1" applyAlignment="1" applyProtection="1">
      <alignment horizontal="right" vertical="center" wrapText="1"/>
      <protection hidden="1"/>
    </xf>
    <xf numFmtId="10" fontId="84" fillId="0" borderId="31" xfId="12" applyNumberFormat="1" applyFont="1" applyFill="1" applyBorder="1" applyAlignment="1" applyProtection="1">
      <alignment horizontal="right" vertical="center" wrapText="1" indent="1"/>
      <protection hidden="1"/>
    </xf>
    <xf numFmtId="0" fontId="76" fillId="0" borderId="31" xfId="17" applyBorder="1" applyAlignment="1" applyProtection="1">
      <alignment horizontal="right" vertical="center" wrapText="1" indent="1"/>
      <protection hidden="1"/>
    </xf>
    <xf numFmtId="0" fontId="76" fillId="0" borderId="31" xfId="17" applyBorder="1" applyAlignment="1" applyProtection="1">
      <alignment horizontal="right" vertical="center" wrapText="1"/>
      <protection hidden="1"/>
    </xf>
    <xf numFmtId="0" fontId="90" fillId="0" borderId="31" xfId="17" applyFont="1" applyBorder="1" applyAlignment="1" applyProtection="1">
      <alignment horizontal="right" vertical="center" wrapText="1" indent="1"/>
      <protection hidden="1"/>
    </xf>
    <xf numFmtId="0" fontId="90" fillId="0" borderId="31" xfId="17" applyFont="1" applyBorder="1" applyAlignment="1" applyProtection="1">
      <alignment horizontal="right" vertical="center" wrapText="1"/>
      <protection hidden="1"/>
    </xf>
    <xf numFmtId="165" fontId="84" fillId="0" borderId="31" xfId="19" applyNumberFormat="1" applyFont="1" applyFill="1" applyBorder="1" applyAlignment="1" applyProtection="1">
      <alignment horizontal="right" vertical="center" wrapText="1"/>
      <protection hidden="1"/>
    </xf>
    <xf numFmtId="165" fontId="84" fillId="0" borderId="31" xfId="19" applyNumberFormat="1" applyFont="1" applyFill="1" applyBorder="1" applyAlignment="1" applyProtection="1">
      <alignment horizontal="right" vertical="center" wrapText="1" indent="1"/>
      <protection hidden="1"/>
    </xf>
    <xf numFmtId="14" fontId="84" fillId="0" borderId="31" xfId="19" applyNumberFormat="1" applyFont="1" applyFill="1" applyBorder="1" applyAlignment="1" applyProtection="1">
      <alignment horizontal="right" vertical="center" wrapText="1" indent="1"/>
      <protection hidden="1"/>
    </xf>
    <xf numFmtId="14" fontId="84" fillId="0" borderId="31" xfId="19" applyNumberFormat="1" applyFont="1" applyFill="1" applyBorder="1" applyAlignment="1" applyProtection="1">
      <alignment horizontal="right" vertical="center" wrapText="1"/>
      <protection hidden="1"/>
    </xf>
    <xf numFmtId="165" fontId="76" fillId="0" borderId="31" xfId="19" applyNumberFormat="1" applyFont="1" applyFill="1" applyBorder="1" applyAlignment="1" applyProtection="1">
      <alignment horizontal="right" vertical="center" wrapText="1" indent="1"/>
      <protection hidden="1"/>
    </xf>
    <xf numFmtId="0" fontId="80" fillId="0" borderId="31" xfId="18" applyFill="1" applyBorder="1" applyAlignment="1" applyProtection="1">
      <alignment horizontal="right" vertical="center" wrapText="1" indent="1"/>
      <protection hidden="1"/>
    </xf>
    <xf numFmtId="14" fontId="84" fillId="0" borderId="38" xfId="0" applyNumberFormat="1" applyFont="1" applyBorder="1" applyAlignment="1">
      <alignment horizontal="right" vertical="center" wrapText="1"/>
    </xf>
    <xf numFmtId="14" fontId="84" fillId="0" borderId="31" xfId="0" applyNumberFormat="1" applyFont="1" applyBorder="1" applyAlignment="1">
      <alignment horizontal="right" vertical="center" wrapText="1"/>
    </xf>
    <xf numFmtId="49" fontId="90" fillId="17" borderId="31" xfId="0" applyNumberFormat="1" applyFont="1" applyFill="1" applyBorder="1" applyAlignment="1">
      <alignment horizontal="left" vertical="center" wrapText="1" indent="1"/>
    </xf>
    <xf numFmtId="4" fontId="76" fillId="0" borderId="0" xfId="0" applyNumberFormat="1" applyFont="1"/>
    <xf numFmtId="3" fontId="84" fillId="17" borderId="31" xfId="3" applyNumberFormat="1" applyFont="1" applyFill="1" applyBorder="1" applyAlignment="1">
      <alignment horizontal="left" vertical="center" wrapText="1" indent="3"/>
    </xf>
    <xf numFmtId="10" fontId="84" fillId="0" borderId="31" xfId="12" applyNumberFormat="1" applyFont="1" applyFill="1" applyBorder="1" applyAlignment="1" applyProtection="1">
      <alignment horizontal="left" vertical="center" wrapText="1" indent="3"/>
      <protection locked="0"/>
    </xf>
    <xf numFmtId="3" fontId="84" fillId="0" borderId="31" xfId="7" applyFont="1" applyFill="1" applyBorder="1" applyAlignment="1">
      <alignment horizontal="left" vertical="center" wrapText="1" indent="3"/>
      <protection locked="0"/>
    </xf>
    <xf numFmtId="0" fontId="89" fillId="0" borderId="67" xfId="0" applyFont="1" applyBorder="1" applyAlignment="1">
      <alignment vertical="center" wrapText="1"/>
    </xf>
    <xf numFmtId="0" fontId="90" fillId="0" borderId="68" xfId="0" applyFont="1" applyBorder="1" applyAlignment="1">
      <alignment horizontal="center" vertical="center" wrapText="1"/>
    </xf>
    <xf numFmtId="0" fontId="90" fillId="0" borderId="71" xfId="0" applyFont="1" applyBorder="1" applyAlignment="1">
      <alignment horizontal="center" vertical="center" wrapText="1"/>
    </xf>
    <xf numFmtId="0" fontId="90" fillId="0" borderId="70" xfId="0" applyFont="1" applyBorder="1" applyAlignment="1">
      <alignment horizontal="center" vertical="center" wrapText="1"/>
    </xf>
    <xf numFmtId="0" fontId="90" fillId="0" borderId="72" xfId="0" applyFont="1" applyBorder="1" applyAlignment="1">
      <alignment horizontal="center" vertical="center" wrapText="1"/>
    </xf>
    <xf numFmtId="0" fontId="84" fillId="0" borderId="68" xfId="0" applyFont="1" applyBorder="1" applyAlignment="1">
      <alignment vertical="center" wrapText="1"/>
    </xf>
    <xf numFmtId="0" fontId="84" fillId="0" borderId="71" xfId="0" applyFont="1" applyBorder="1" applyAlignment="1">
      <alignment horizontal="center" vertical="center" wrapText="1"/>
    </xf>
    <xf numFmtId="0" fontId="83" fillId="0" borderId="73" xfId="0" applyFont="1" applyBorder="1" applyAlignment="1">
      <alignment horizontal="center" vertical="center" wrapText="1"/>
    </xf>
    <xf numFmtId="0" fontId="84" fillId="0" borderId="68" xfId="0" applyFont="1" applyBorder="1" applyAlignment="1">
      <alignment horizontal="center" vertical="center" wrapText="1"/>
    </xf>
    <xf numFmtId="0" fontId="76" fillId="13" borderId="0" xfId="0" applyFont="1" applyFill="1" applyAlignment="1">
      <alignment horizontal="left" vertical="center"/>
    </xf>
    <xf numFmtId="0" fontId="76" fillId="13" borderId="30" xfId="0" applyFont="1" applyFill="1" applyBorder="1" applyAlignment="1">
      <alignment horizontal="left" vertical="top" wrapText="1" indent="1"/>
    </xf>
    <xf numFmtId="166" fontId="76" fillId="13" borderId="31" xfId="22" applyNumberFormat="1" applyFont="1" applyFill="1" applyBorder="1" applyAlignment="1">
      <alignment horizontal="right" vertical="center" wrapText="1" indent="1"/>
    </xf>
    <xf numFmtId="9" fontId="76" fillId="13" borderId="31" xfId="12" applyFont="1" applyFill="1" applyBorder="1" applyAlignment="1">
      <alignment horizontal="right" vertical="center" wrapText="1" indent="1"/>
    </xf>
    <xf numFmtId="167" fontId="76" fillId="13" borderId="31" xfId="12" applyNumberFormat="1" applyFont="1" applyFill="1" applyBorder="1" applyAlignment="1">
      <alignment horizontal="right" vertical="center" wrapText="1" indent="1"/>
    </xf>
    <xf numFmtId="167" fontId="79" fillId="17" borderId="31" xfId="12" applyNumberFormat="1" applyFont="1" applyFill="1" applyBorder="1" applyAlignment="1">
      <alignment horizontal="right" vertical="center" wrapText="1" indent="1"/>
    </xf>
    <xf numFmtId="3" fontId="84" fillId="13" borderId="31" xfId="0" applyNumberFormat="1" applyFont="1" applyFill="1" applyBorder="1" applyAlignment="1">
      <alignment horizontal="right" vertical="center" wrapText="1" indent="1"/>
    </xf>
    <xf numFmtId="3" fontId="76" fillId="0" borderId="31" xfId="0" applyNumberFormat="1" applyFont="1" applyBorder="1" applyAlignment="1">
      <alignment horizontal="right" vertical="center" wrapText="1" indent="1"/>
    </xf>
    <xf numFmtId="3" fontId="84" fillId="0" borderId="31" xfId="0" applyNumberFormat="1" applyFont="1" applyBorder="1" applyAlignment="1">
      <alignment horizontal="center" vertical="center" wrapText="1"/>
    </xf>
    <xf numFmtId="0" fontId="102" fillId="17" borderId="31" xfId="17" applyFont="1" applyFill="1" applyBorder="1" applyAlignment="1" applyProtection="1">
      <alignment horizontal="left" vertical="center" indent="1"/>
      <protection hidden="1"/>
    </xf>
    <xf numFmtId="0" fontId="90" fillId="0" borderId="31" xfId="17" applyFont="1" applyBorder="1" applyAlignment="1" applyProtection="1">
      <alignment horizontal="left" vertical="center" indent="2"/>
      <protection hidden="1"/>
    </xf>
    <xf numFmtId="0" fontId="90" fillId="17" borderId="31" xfId="17" applyFont="1" applyFill="1" applyBorder="1" applyAlignment="1" applyProtection="1">
      <alignment horizontal="left" vertical="center" indent="1"/>
      <protection hidden="1"/>
    </xf>
    <xf numFmtId="49" fontId="84" fillId="17" borderId="31" xfId="19" applyNumberFormat="1" applyFont="1" applyFill="1" applyBorder="1" applyAlignment="1" applyProtection="1">
      <alignment horizontal="right" vertical="center" wrapText="1" indent="1"/>
      <protection hidden="1"/>
    </xf>
    <xf numFmtId="0" fontId="124" fillId="17" borderId="31" xfId="17" applyFont="1" applyFill="1" applyBorder="1" applyAlignment="1" applyProtection="1">
      <alignment vertical="center" wrapText="1"/>
      <protection hidden="1"/>
    </xf>
    <xf numFmtId="0" fontId="84" fillId="0" borderId="31" xfId="17" applyFont="1" applyBorder="1" applyAlignment="1" applyProtection="1">
      <alignment horizontal="right" vertical="center" wrapText="1" indent="1"/>
      <protection hidden="1"/>
    </xf>
    <xf numFmtId="0" fontId="84" fillId="0" borderId="31" xfId="17" applyFont="1" applyBorder="1" applyAlignment="1" applyProtection="1">
      <alignment horizontal="right" vertical="center" wrapText="1"/>
      <protection hidden="1"/>
    </xf>
    <xf numFmtId="0" fontId="24" fillId="0" borderId="0" xfId="9" applyFill="1" applyProtection="1">
      <protection locked="0"/>
    </xf>
    <xf numFmtId="0" fontId="113" fillId="0" borderId="0" xfId="9" applyFont="1" applyFill="1" applyProtection="1">
      <protection locked="0"/>
    </xf>
    <xf numFmtId="0" fontId="83" fillId="13" borderId="0" xfId="0" applyFont="1" applyFill="1" applyAlignment="1">
      <alignment horizontal="left" vertical="center" wrapText="1" indent="1"/>
    </xf>
    <xf numFmtId="0" fontId="76" fillId="13" borderId="30" xfId="0" applyFont="1" applyFill="1" applyBorder="1" applyAlignment="1">
      <alignment horizontal="left" vertical="center" wrapText="1" indent="1"/>
    </xf>
    <xf numFmtId="0" fontId="76" fillId="0" borderId="30" xfId="0" applyFont="1" applyBorder="1" applyAlignment="1">
      <alignment horizontal="left" vertical="center" wrapText="1" indent="1"/>
    </xf>
    <xf numFmtId="0" fontId="79" fillId="13" borderId="0" xfId="0" applyFont="1" applyFill="1" applyAlignment="1">
      <alignment horizontal="left" vertical="center" indent="1"/>
    </xf>
    <xf numFmtId="0" fontId="79" fillId="13" borderId="0" xfId="0" applyFont="1" applyFill="1" applyAlignment="1">
      <alignment horizontal="left" wrapText="1" indent="1"/>
    </xf>
    <xf numFmtId="0" fontId="79" fillId="13" borderId="0" xfId="0" applyFont="1" applyFill="1" applyAlignment="1">
      <alignment horizontal="left" vertical="center" wrapText="1" indent="1"/>
    </xf>
    <xf numFmtId="0" fontId="83" fillId="0" borderId="0" xfId="0" applyFont="1" applyAlignment="1">
      <alignment horizontal="left" vertical="center" wrapText="1" indent="1"/>
    </xf>
    <xf numFmtId="0" fontId="76" fillId="0" borderId="0" xfId="0" applyFont="1" applyAlignment="1">
      <alignment horizontal="justify" vertical="center" wrapText="1"/>
    </xf>
    <xf numFmtId="0" fontId="79" fillId="0" borderId="0" xfId="0" applyFont="1" applyAlignment="1">
      <alignment horizontal="justify" vertical="center" wrapText="1"/>
    </xf>
    <xf numFmtId="0" fontId="79" fillId="7" borderId="31" xfId="0" applyFont="1" applyFill="1" applyBorder="1" applyAlignment="1">
      <alignment horizontal="center" vertical="center" wrapText="1"/>
    </xf>
    <xf numFmtId="0" fontId="82" fillId="0" borderId="0" xfId="0" applyFont="1" applyAlignment="1">
      <alignment horizontal="justify" vertical="center" wrapText="1"/>
    </xf>
    <xf numFmtId="0" fontId="76" fillId="11" borderId="39" xfId="0" applyFont="1" applyFill="1" applyBorder="1" applyAlignment="1">
      <alignment horizontal="left" vertical="center" wrapText="1" indent="1"/>
    </xf>
    <xf numFmtId="0" fontId="76" fillId="11" borderId="40" xfId="0" applyFont="1" applyFill="1" applyBorder="1" applyAlignment="1">
      <alignment horizontal="left" vertical="center" wrapText="1" indent="1"/>
    </xf>
    <xf numFmtId="0" fontId="76" fillId="11" borderId="33" xfId="0" applyFont="1" applyFill="1" applyBorder="1" applyAlignment="1">
      <alignment horizontal="left" vertical="center" wrapText="1" indent="1"/>
    </xf>
    <xf numFmtId="0" fontId="127" fillId="7" borderId="31" xfId="0" applyFont="1" applyFill="1" applyBorder="1" applyAlignment="1">
      <alignment horizontal="center" vertical="center" wrapText="1"/>
    </xf>
    <xf numFmtId="0" fontId="79" fillId="0" borderId="31" xfId="0" applyFont="1" applyBorder="1" applyAlignment="1">
      <alignment horizontal="left" vertical="center" indent="1"/>
    </xf>
    <xf numFmtId="0" fontId="79" fillId="0" borderId="31" xfId="0" applyFont="1" applyBorder="1" applyAlignment="1">
      <alignment horizontal="center" vertical="center" wrapText="1"/>
    </xf>
    <xf numFmtId="0" fontId="79" fillId="0" borderId="31" xfId="0" applyFont="1" applyBorder="1" applyAlignment="1">
      <alignment horizontal="center" vertical="center"/>
    </xf>
    <xf numFmtId="0" fontId="79" fillId="0" borderId="38" xfId="0" applyFont="1" applyBorder="1" applyAlignment="1">
      <alignment horizontal="left" vertical="center" wrapText="1" indent="1"/>
    </xf>
    <xf numFmtId="0" fontId="79" fillId="0" borderId="34" xfId="0" applyFont="1" applyBorder="1" applyAlignment="1">
      <alignment horizontal="left" vertical="center" wrapText="1" indent="1"/>
    </xf>
    <xf numFmtId="0" fontId="93" fillId="11" borderId="31" xfId="0" applyFont="1" applyFill="1" applyBorder="1" applyAlignment="1">
      <alignment horizontal="left" vertical="center" wrapText="1" indent="1"/>
    </xf>
    <xf numFmtId="0" fontId="83" fillId="11" borderId="31" xfId="0" applyFont="1" applyFill="1" applyBorder="1" applyAlignment="1">
      <alignment horizontal="left" vertical="center" wrapText="1" indent="1"/>
    </xf>
    <xf numFmtId="0" fontId="84" fillId="0" borderId="31" xfId="0" applyFont="1" applyBorder="1" applyAlignment="1">
      <alignment horizontal="center" vertical="center" wrapText="1"/>
    </xf>
    <xf numFmtId="0" fontId="84" fillId="0" borderId="31" xfId="0" applyFont="1" applyBorder="1" applyAlignment="1">
      <alignment horizontal="left" vertical="center" wrapText="1" indent="1"/>
    </xf>
    <xf numFmtId="0" fontId="84" fillId="0" borderId="31" xfId="0" applyFont="1" applyBorder="1" applyAlignment="1">
      <alignment horizontal="right" vertical="center" wrapText="1" indent="1"/>
    </xf>
    <xf numFmtId="0" fontId="83" fillId="0" borderId="0" xfId="0" applyFont="1" applyAlignment="1">
      <alignment horizontal="center" vertical="center" wrapText="1"/>
    </xf>
    <xf numFmtId="0" fontId="89" fillId="11" borderId="31" xfId="0" applyFont="1" applyFill="1" applyBorder="1" applyAlignment="1">
      <alignment horizontal="left" vertical="center" wrapText="1" indent="1"/>
    </xf>
    <xf numFmtId="0" fontId="89" fillId="11" borderId="39" xfId="0" applyFont="1" applyFill="1" applyBorder="1" applyAlignment="1">
      <alignment horizontal="left" vertical="center" wrapText="1" indent="1"/>
    </xf>
    <xf numFmtId="0" fontId="89" fillId="11" borderId="40" xfId="0" applyFont="1" applyFill="1" applyBorder="1" applyAlignment="1">
      <alignment horizontal="left" vertical="center" wrapText="1" indent="1"/>
    </xf>
    <xf numFmtId="0" fontId="90" fillId="0" borderId="31" xfId="17" applyFont="1" applyBorder="1" applyAlignment="1" applyProtection="1">
      <alignment horizontal="center" vertical="center" wrapText="1"/>
      <protection hidden="1"/>
    </xf>
    <xf numFmtId="0" fontId="90" fillId="0" borderId="31" xfId="17" applyFont="1" applyBorder="1" applyAlignment="1" applyProtection="1">
      <alignment vertical="center"/>
      <protection hidden="1"/>
    </xf>
    <xf numFmtId="0" fontId="35" fillId="0" borderId="0" xfId="0" applyFont="1" applyAlignment="1">
      <alignment horizontal="left" wrapText="1"/>
    </xf>
    <xf numFmtId="0" fontId="83" fillId="16" borderId="31" xfId="0" applyFont="1" applyFill="1" applyBorder="1" applyAlignment="1">
      <alignment horizontal="left" vertical="center" wrapText="1" indent="1"/>
    </xf>
    <xf numFmtId="166" fontId="83" fillId="16" borderId="31" xfId="22" applyNumberFormat="1" applyFont="1" applyFill="1" applyBorder="1" applyAlignment="1">
      <alignment horizontal="left" vertical="center" wrapText="1" indent="1"/>
    </xf>
    <xf numFmtId="0" fontId="84" fillId="0" borderId="0" xfId="0" applyFont="1" applyAlignment="1">
      <alignment horizontal="center" vertical="center" wrapText="1"/>
    </xf>
    <xf numFmtId="0" fontId="76" fillId="0" borderId="0" xfId="0" applyFont="1"/>
    <xf numFmtId="0" fontId="90" fillId="0" borderId="31" xfId="0" applyFont="1" applyBorder="1" applyAlignment="1">
      <alignment horizontal="center" vertical="center"/>
    </xf>
    <xf numFmtId="0" fontId="110" fillId="0" borderId="0" xfId="0" applyFont="1" applyAlignment="1">
      <alignment vertical="center"/>
    </xf>
    <xf numFmtId="0" fontId="89" fillId="0" borderId="0" xfId="0" applyFont="1" applyAlignment="1">
      <alignment vertical="center"/>
    </xf>
    <xf numFmtId="0" fontId="84" fillId="13" borderId="0" xfId="0" applyFont="1" applyFill="1"/>
    <xf numFmtId="0" fontId="84" fillId="13" borderId="31" xfId="0" applyFont="1" applyFill="1" applyBorder="1" applyAlignment="1">
      <alignment horizontal="center" vertical="center" wrapText="1"/>
    </xf>
    <xf numFmtId="0" fontId="84" fillId="13" borderId="46" xfId="0" applyFont="1" applyFill="1" applyBorder="1" applyAlignment="1">
      <alignment horizontal="center" vertical="center" wrapText="1"/>
    </xf>
    <xf numFmtId="0" fontId="84" fillId="13" borderId="45" xfId="0" applyFont="1" applyFill="1" applyBorder="1" applyAlignment="1">
      <alignment horizontal="center" vertical="center" wrapText="1"/>
    </xf>
    <xf numFmtId="0" fontId="84" fillId="13" borderId="35" xfId="0" applyFont="1" applyFill="1" applyBorder="1" applyAlignment="1">
      <alignment horizontal="center" vertical="center" wrapText="1"/>
    </xf>
    <xf numFmtId="0" fontId="84" fillId="13" borderId="44" xfId="0" applyFont="1" applyFill="1" applyBorder="1" applyAlignment="1">
      <alignment horizontal="center" vertical="center" wrapText="1"/>
    </xf>
    <xf numFmtId="0" fontId="84" fillId="13" borderId="39" xfId="0" applyFont="1" applyFill="1" applyBorder="1" applyAlignment="1">
      <alignment horizontal="center" vertical="center" wrapText="1"/>
    </xf>
    <xf numFmtId="0" fontId="84" fillId="13" borderId="41" xfId="0" applyFont="1" applyFill="1" applyBorder="1" applyAlignment="1">
      <alignment horizontal="center" vertical="center"/>
    </xf>
    <xf numFmtId="0" fontId="84" fillId="13" borderId="0" xfId="0" applyFont="1" applyFill="1" applyAlignment="1">
      <alignment horizontal="center" vertical="center"/>
    </xf>
    <xf numFmtId="0" fontId="84" fillId="13" borderId="43" xfId="0" applyFont="1" applyFill="1" applyBorder="1" applyAlignment="1">
      <alignment horizontal="center" vertical="center"/>
    </xf>
    <xf numFmtId="0" fontId="84" fillId="13" borderId="33" xfId="0" applyFont="1" applyFill="1" applyBorder="1" applyAlignment="1">
      <alignment horizontal="center" vertical="center" wrapText="1"/>
    </xf>
    <xf numFmtId="0" fontId="84" fillId="13" borderId="41" xfId="0" applyFont="1" applyFill="1" applyBorder="1" applyAlignment="1">
      <alignment vertical="center"/>
    </xf>
    <xf numFmtId="0" fontId="84" fillId="13" borderId="43" xfId="0" applyFont="1" applyFill="1" applyBorder="1" applyAlignment="1">
      <alignment vertical="center"/>
    </xf>
    <xf numFmtId="0" fontId="92" fillId="13" borderId="31" xfId="0" applyFont="1" applyFill="1" applyBorder="1" applyAlignment="1">
      <alignment horizontal="left" vertical="center" wrapText="1" indent="1"/>
    </xf>
    <xf numFmtId="0" fontId="92" fillId="13" borderId="31" xfId="0" applyFont="1" applyFill="1" applyBorder="1" applyAlignment="1">
      <alignment vertical="center" wrapText="1"/>
    </xf>
    <xf numFmtId="3" fontId="92" fillId="13" borderId="31" xfId="0" applyNumberFormat="1" applyFont="1" applyFill="1" applyBorder="1" applyAlignment="1">
      <alignment vertical="center" wrapText="1"/>
    </xf>
    <xf numFmtId="0" fontId="92" fillId="17" borderId="31" xfId="0" applyFont="1" applyFill="1" applyBorder="1" applyAlignment="1">
      <alignment horizontal="left" vertical="center" wrapText="1" indent="1"/>
    </xf>
    <xf numFmtId="0" fontId="84" fillId="17" borderId="34" xfId="0" applyFont="1" applyFill="1" applyBorder="1" applyAlignment="1">
      <alignment vertical="center" wrapText="1"/>
    </xf>
    <xf numFmtId="0" fontId="84" fillId="17" borderId="31" xfId="0" applyFont="1" applyFill="1" applyBorder="1" applyAlignment="1">
      <alignment vertical="center" wrapText="1"/>
    </xf>
    <xf numFmtId="3" fontId="84" fillId="17" borderId="31" xfId="0" applyNumberFormat="1" applyFont="1" applyFill="1" applyBorder="1" applyAlignment="1">
      <alignment vertical="center" wrapText="1"/>
    </xf>
    <xf numFmtId="0" fontId="101" fillId="17" borderId="31" xfId="0" applyFont="1" applyFill="1" applyBorder="1" applyAlignment="1">
      <alignment horizontal="left" vertical="center" wrapText="1" indent="1"/>
    </xf>
    <xf numFmtId="3" fontId="83" fillId="17" borderId="31" xfId="0" applyNumberFormat="1" applyFont="1" applyFill="1" applyBorder="1" applyAlignment="1">
      <alignment vertical="center" wrapText="1"/>
    </xf>
    <xf numFmtId="0" fontId="83" fillId="17" borderId="31" xfId="0" applyFont="1" applyFill="1" applyBorder="1" applyAlignment="1">
      <alignment vertical="center" wrapText="1"/>
    </xf>
    <xf numFmtId="0" fontId="102" fillId="17" borderId="31" xfId="0" applyFont="1" applyFill="1" applyBorder="1" applyAlignment="1">
      <alignment horizontal="left" vertical="center" wrapText="1" indent="1"/>
    </xf>
    <xf numFmtId="0" fontId="90" fillId="17" borderId="31" xfId="0" applyFont="1" applyFill="1" applyBorder="1" applyAlignment="1">
      <alignment vertical="center" wrapText="1"/>
    </xf>
    <xf numFmtId="0" fontId="102" fillId="0" borderId="0" xfId="0" applyFont="1" applyAlignment="1">
      <alignment horizontal="justify" vertical="center" wrapText="1"/>
    </xf>
    <xf numFmtId="0" fontId="90" fillId="0" borderId="0" xfId="0" applyFont="1" applyAlignment="1">
      <alignment horizontal="justify" vertical="center"/>
    </xf>
    <xf numFmtId="0" fontId="90" fillId="0" borderId="0" xfId="0" applyFont="1" applyAlignment="1">
      <alignment horizontal="justify" vertical="center" wrapText="1"/>
    </xf>
    <xf numFmtId="0" fontId="89" fillId="0" borderId="0" xfId="0" applyFont="1" applyAlignment="1">
      <alignment horizontal="justify" vertical="center"/>
    </xf>
    <xf numFmtId="0" fontId="48" fillId="0" borderId="0" xfId="0" applyFont="1"/>
    <xf numFmtId="0" fontId="48" fillId="0" borderId="24" xfId="0" applyFont="1" applyBorder="1"/>
    <xf numFmtId="0" fontId="28" fillId="0" borderId="0" xfId="0" applyFont="1" applyAlignment="1">
      <alignment vertical="center"/>
    </xf>
    <xf numFmtId="0" fontId="48" fillId="0" borderId="16" xfId="0" applyFont="1" applyBorder="1"/>
    <xf numFmtId="0" fontId="49" fillId="0" borderId="19" xfId="0" applyFont="1" applyBorder="1" applyAlignment="1">
      <alignment horizontal="center" vertical="center"/>
    </xf>
    <xf numFmtId="0" fontId="49" fillId="0" borderId="21" xfId="0" applyFont="1" applyBorder="1" applyAlignment="1">
      <alignment horizontal="center" vertical="center"/>
    </xf>
    <xf numFmtId="0" fontId="49" fillId="0" borderId="20" xfId="0" applyFont="1" applyBorder="1" applyAlignment="1">
      <alignment horizontal="center" vertical="center"/>
    </xf>
    <xf numFmtId="0" fontId="48" fillId="0" borderId="15" xfId="0" applyFont="1" applyBorder="1"/>
    <xf numFmtId="0" fontId="48" fillId="0" borderId="18" xfId="0" applyFont="1" applyBorder="1"/>
    <xf numFmtId="0" fontId="31" fillId="0" borderId="19" xfId="0" applyFont="1" applyBorder="1" applyAlignment="1">
      <alignment horizontal="center" vertical="center"/>
    </xf>
    <xf numFmtId="0" fontId="31" fillId="0" borderId="21" xfId="0" applyFont="1" applyBorder="1" applyAlignment="1">
      <alignment horizontal="center" vertical="center"/>
    </xf>
    <xf numFmtId="0" fontId="31" fillId="0" borderId="20" xfId="0" applyFont="1" applyBorder="1" applyAlignment="1">
      <alignment horizontal="center" vertical="center"/>
    </xf>
    <xf numFmtId="0" fontId="49" fillId="0" borderId="19" xfId="0" applyFont="1" applyBorder="1" applyAlignment="1">
      <alignment vertical="center"/>
    </xf>
    <xf numFmtId="0" fontId="49" fillId="0" borderId="21" xfId="0" applyFont="1" applyBorder="1" applyAlignment="1">
      <alignment vertical="center"/>
    </xf>
    <xf numFmtId="0" fontId="49" fillId="0" borderId="20" xfId="0" applyFont="1" applyBorder="1" applyAlignment="1">
      <alignment vertical="center"/>
    </xf>
    <xf numFmtId="0" fontId="31" fillId="0" borderId="19" xfId="0" applyFont="1" applyBorder="1" applyAlignment="1">
      <alignment vertical="center"/>
    </xf>
    <xf numFmtId="0" fontId="31" fillId="0" borderId="21" xfId="0" applyFont="1" applyBorder="1" applyAlignment="1">
      <alignment vertical="center"/>
    </xf>
    <xf numFmtId="0" fontId="31" fillId="0" borderId="20" xfId="0" applyFont="1" applyBorder="1" applyAlignment="1">
      <alignment vertical="center"/>
    </xf>
    <xf numFmtId="0" fontId="49" fillId="0" borderId="19" xfId="0" applyFont="1" applyBorder="1" applyAlignment="1">
      <alignment vertical="center" wrapText="1"/>
    </xf>
    <xf numFmtId="0" fontId="49" fillId="0" borderId="21" xfId="0" applyFont="1" applyBorder="1" applyAlignment="1">
      <alignment vertical="center" wrapText="1"/>
    </xf>
    <xf numFmtId="0" fontId="49" fillId="0" borderId="20" xfId="0" applyFont="1" applyBorder="1" applyAlignment="1">
      <alignment vertical="center" wrapText="1"/>
    </xf>
    <xf numFmtId="0" fontId="48" fillId="0" borderId="26" xfId="0" applyFont="1" applyBorder="1"/>
    <xf numFmtId="0" fontId="29" fillId="0" borderId="0" xfId="0" applyFont="1" applyAlignment="1">
      <alignment horizontal="justify" vertical="center"/>
    </xf>
    <xf numFmtId="0" fontId="49" fillId="0" borderId="0" xfId="0" applyFont="1" applyAlignment="1">
      <alignment horizontal="justify" vertical="center" wrapText="1"/>
    </xf>
    <xf numFmtId="0" fontId="51" fillId="0" borderId="0" xfId="0" applyFont="1" applyAlignment="1">
      <alignment horizontal="justify" vertical="center" wrapText="1"/>
    </xf>
    <xf numFmtId="0" fontId="51" fillId="0" borderId="0" xfId="0" applyFont="1" applyAlignment="1">
      <alignment horizontal="justify" vertical="center"/>
    </xf>
    <xf numFmtId="49" fontId="84" fillId="17" borderId="31" xfId="0" applyNumberFormat="1" applyFont="1" applyFill="1" applyBorder="1" applyAlignment="1">
      <alignment horizontal="left" vertical="center" wrapText="1" indent="1"/>
    </xf>
    <xf numFmtId="49" fontId="84" fillId="17" borderId="39" xfId="0" applyNumberFormat="1" applyFont="1" applyFill="1" applyBorder="1" applyAlignment="1">
      <alignment horizontal="left" vertical="center" wrapText="1" indent="1"/>
    </xf>
    <xf numFmtId="3" fontId="84" fillId="17" borderId="33" xfId="0" applyNumberFormat="1" applyFont="1" applyFill="1" applyBorder="1" applyAlignment="1">
      <alignment vertical="center" wrapText="1"/>
    </xf>
    <xf numFmtId="49" fontId="84" fillId="0" borderId="0" xfId="0" applyNumberFormat="1" applyFont="1"/>
    <xf numFmtId="49" fontId="84" fillId="13" borderId="31" xfId="0" applyNumberFormat="1" applyFont="1" applyFill="1" applyBorder="1" applyAlignment="1">
      <alignment horizontal="center" vertical="center"/>
    </xf>
    <xf numFmtId="49" fontId="84" fillId="13" borderId="0" xfId="0" applyNumberFormat="1" applyFont="1" applyFill="1"/>
    <xf numFmtId="49" fontId="84" fillId="13" borderId="0" xfId="0" applyNumberFormat="1" applyFont="1" applyFill="1" applyAlignment="1">
      <alignment vertical="center"/>
    </xf>
    <xf numFmtId="49" fontId="83" fillId="13" borderId="31" xfId="0" applyNumberFormat="1" applyFont="1" applyFill="1" applyBorder="1" applyAlignment="1">
      <alignment horizontal="center" vertical="center"/>
    </xf>
    <xf numFmtId="49" fontId="83" fillId="13" borderId="47" xfId="0" applyNumberFormat="1" applyFont="1" applyFill="1" applyBorder="1" applyAlignment="1">
      <alignment horizontal="center" vertical="center"/>
    </xf>
    <xf numFmtId="49" fontId="83" fillId="13" borderId="25" xfId="0" applyNumberFormat="1" applyFont="1" applyFill="1" applyBorder="1" applyAlignment="1">
      <alignment horizontal="center" vertical="center"/>
    </xf>
    <xf numFmtId="49" fontId="83" fillId="13" borderId="3" xfId="0" applyNumberFormat="1" applyFont="1" applyFill="1" applyBorder="1" applyAlignment="1">
      <alignment horizontal="center" vertical="center"/>
    </xf>
    <xf numFmtId="49" fontId="83" fillId="13" borderId="38" xfId="0" applyNumberFormat="1" applyFont="1" applyFill="1" applyBorder="1" applyAlignment="1">
      <alignment horizontal="center" vertical="center" wrapText="1"/>
    </xf>
    <xf numFmtId="49" fontId="83" fillId="13" borderId="31" xfId="0" applyNumberFormat="1" applyFont="1" applyFill="1" applyBorder="1" applyAlignment="1">
      <alignment horizontal="center" vertical="center" wrapText="1"/>
    </xf>
    <xf numFmtId="49" fontId="84" fillId="13" borderId="31" xfId="0" applyNumberFormat="1" applyFont="1" applyFill="1" applyBorder="1" applyAlignment="1">
      <alignment horizontal="center" vertical="center" wrapText="1"/>
    </xf>
    <xf numFmtId="49" fontId="84" fillId="13" borderId="39" xfId="0" applyNumberFormat="1" applyFont="1" applyFill="1" applyBorder="1" applyAlignment="1">
      <alignment horizontal="center" vertical="center" wrapText="1"/>
    </xf>
    <xf numFmtId="49" fontId="84" fillId="13" borderId="41" xfId="0" applyNumberFormat="1" applyFont="1" applyFill="1" applyBorder="1"/>
    <xf numFmtId="49" fontId="84" fillId="17" borderId="31" xfId="0" applyNumberFormat="1" applyFont="1" applyFill="1" applyBorder="1" applyAlignment="1">
      <alignment vertical="center" wrapText="1"/>
    </xf>
    <xf numFmtId="49" fontId="92" fillId="13" borderId="31" xfId="0" applyNumberFormat="1" applyFont="1" applyFill="1" applyBorder="1" applyAlignment="1">
      <alignment horizontal="left" vertical="center" wrapText="1" indent="1"/>
    </xf>
    <xf numFmtId="49" fontId="92" fillId="13" borderId="39" xfId="0" applyNumberFormat="1" applyFont="1" applyFill="1" applyBorder="1" applyAlignment="1">
      <alignment horizontal="left" vertical="center" wrapText="1" indent="1"/>
    </xf>
    <xf numFmtId="3" fontId="84" fillId="13" borderId="31" xfId="0" applyNumberFormat="1" applyFont="1" applyFill="1" applyBorder="1" applyAlignment="1">
      <alignment vertical="center" wrapText="1"/>
    </xf>
    <xf numFmtId="3" fontId="84" fillId="13" borderId="33" xfId="0" applyNumberFormat="1" applyFont="1" applyFill="1" applyBorder="1" applyAlignment="1">
      <alignment vertical="center" wrapText="1"/>
    </xf>
    <xf numFmtId="3" fontId="84" fillId="17" borderId="31" xfId="0" applyNumberFormat="1" applyFont="1" applyFill="1" applyBorder="1" applyAlignment="1">
      <alignment horizontal="right" vertical="center" wrapText="1"/>
    </xf>
    <xf numFmtId="3" fontId="84" fillId="13" borderId="31" xfId="0" applyNumberFormat="1" applyFont="1" applyFill="1" applyBorder="1" applyAlignment="1">
      <alignment horizontal="right" vertical="center" wrapText="1"/>
    </xf>
    <xf numFmtId="49" fontId="77" fillId="5" borderId="31" xfId="0" applyNumberFormat="1" applyFont="1" applyFill="1" applyBorder="1" applyAlignment="1">
      <alignment vertical="center"/>
    </xf>
    <xf numFmtId="3" fontId="84" fillId="17" borderId="33" xfId="0" applyNumberFormat="1" applyFont="1" applyFill="1" applyBorder="1" applyAlignment="1">
      <alignment horizontal="right" vertical="center" wrapText="1"/>
    </xf>
    <xf numFmtId="49" fontId="84" fillId="13" borderId="33" xfId="0" applyNumberFormat="1" applyFont="1" applyFill="1" applyBorder="1" applyAlignment="1">
      <alignment vertical="center" wrapText="1"/>
    </xf>
    <xf numFmtId="49" fontId="84" fillId="13" borderId="31" xfId="0" applyNumberFormat="1" applyFont="1" applyFill="1" applyBorder="1" applyAlignment="1">
      <alignment vertical="center" wrapText="1"/>
    </xf>
    <xf numFmtId="49" fontId="93" fillId="17" borderId="31" xfId="0" applyNumberFormat="1" applyFont="1" applyFill="1" applyBorder="1" applyAlignment="1">
      <alignment horizontal="left" vertical="center" wrapText="1" indent="1"/>
    </xf>
    <xf numFmtId="49" fontId="93" fillId="17" borderId="39" xfId="0" applyNumberFormat="1" applyFont="1" applyFill="1" applyBorder="1" applyAlignment="1">
      <alignment horizontal="left" vertical="center" wrapText="1" indent="1"/>
    </xf>
    <xf numFmtId="3" fontId="83" fillId="17" borderId="31" xfId="0" quotePrefix="1" applyNumberFormat="1" applyFont="1" applyFill="1" applyBorder="1" applyAlignment="1">
      <alignment vertical="center" wrapText="1"/>
    </xf>
    <xf numFmtId="3" fontId="83" fillId="17" borderId="33" xfId="0" quotePrefix="1" applyNumberFormat="1" applyFont="1" applyFill="1" applyBorder="1" applyAlignment="1">
      <alignment vertical="center" wrapText="1"/>
    </xf>
    <xf numFmtId="49" fontId="83" fillId="13" borderId="0" xfId="0" applyNumberFormat="1" applyFont="1" applyFill="1" applyAlignment="1">
      <alignment horizontal="justify" vertical="center" wrapText="1"/>
    </xf>
    <xf numFmtId="49" fontId="79" fillId="13" borderId="0" xfId="0" applyNumberFormat="1" applyFont="1" applyFill="1" applyAlignment="1">
      <alignment horizontal="justify" vertical="center" wrapText="1"/>
    </xf>
    <xf numFmtId="49" fontId="84" fillId="0" borderId="0" xfId="0" applyNumberFormat="1" applyFont="1" applyAlignment="1">
      <alignment vertical="center" wrapText="1"/>
    </xf>
    <xf numFmtId="49" fontId="92" fillId="0" borderId="0" xfId="0" applyNumberFormat="1" applyFont="1" applyAlignment="1">
      <alignment horizontal="justify" vertical="center" wrapText="1"/>
    </xf>
    <xf numFmtId="49" fontId="100" fillId="0" borderId="0" xfId="0" applyNumberFormat="1" applyFont="1" applyAlignment="1">
      <alignment horizontal="justify" vertical="center" wrapText="1"/>
    </xf>
    <xf numFmtId="49" fontId="83" fillId="0" borderId="0" xfId="0" applyNumberFormat="1" applyFont="1" applyAlignment="1">
      <alignment horizontal="justify" vertical="center" wrapText="1"/>
    </xf>
    <xf numFmtId="49" fontId="84" fillId="0" borderId="0" xfId="0" applyNumberFormat="1" applyFont="1" applyAlignment="1">
      <alignment vertical="center"/>
    </xf>
    <xf numFmtId="49" fontId="84" fillId="0" borderId="0" xfId="0" applyNumberFormat="1" applyFont="1" applyAlignment="1">
      <alignment horizontal="justify" vertical="center" wrapText="1"/>
    </xf>
    <xf numFmtId="49" fontId="22" fillId="0" borderId="0" xfId="0" applyNumberFormat="1" applyFont="1" applyAlignment="1">
      <alignment vertical="center"/>
    </xf>
    <xf numFmtId="49" fontId="30" fillId="0" borderId="0" xfId="0" applyNumberFormat="1" applyFont="1" applyAlignment="1">
      <alignment vertical="center"/>
    </xf>
    <xf numFmtId="49" fontId="31" fillId="0" borderId="0" xfId="0" applyNumberFormat="1" applyFont="1" applyAlignment="1">
      <alignment horizontal="center" vertical="center"/>
    </xf>
    <xf numFmtId="49" fontId="31" fillId="0" borderId="19" xfId="0" applyNumberFormat="1" applyFont="1" applyBorder="1" applyAlignment="1">
      <alignment horizontal="center" vertical="center"/>
    </xf>
    <xf numFmtId="49" fontId="31" fillId="0" borderId="20" xfId="0" applyNumberFormat="1" applyFont="1" applyBorder="1" applyAlignment="1">
      <alignment horizontal="center" vertical="center"/>
    </xf>
    <xf numFmtId="49" fontId="31" fillId="0" borderId="13" xfId="0" applyNumberFormat="1" applyFont="1" applyBorder="1" applyAlignment="1">
      <alignment horizontal="center" vertical="center"/>
    </xf>
    <xf numFmtId="49" fontId="31" fillId="0" borderId="26" xfId="0" applyNumberFormat="1" applyFont="1" applyBorder="1" applyAlignment="1">
      <alignment horizontal="center" vertical="center"/>
    </xf>
    <xf numFmtId="49" fontId="31" fillId="0" borderId="14" xfId="0" applyNumberFormat="1" applyFont="1" applyBorder="1" applyAlignment="1">
      <alignment horizontal="center" vertical="center"/>
    </xf>
    <xf numFmtId="49" fontId="31" fillId="0" borderId="22" xfId="0" applyNumberFormat="1" applyFont="1" applyBorder="1" applyAlignment="1">
      <alignment horizontal="center" vertical="center" wrapText="1"/>
    </xf>
    <xf numFmtId="49" fontId="31" fillId="0" borderId="27" xfId="0" applyNumberFormat="1" applyFont="1" applyBorder="1" applyAlignment="1">
      <alignment horizontal="center" vertical="center" wrapText="1"/>
    </xf>
    <xf numFmtId="49" fontId="31" fillId="0" borderId="23" xfId="0" applyNumberFormat="1" applyFont="1" applyBorder="1" applyAlignment="1">
      <alignment horizontal="center" vertical="center" wrapText="1"/>
    </xf>
    <xf numFmtId="49" fontId="31" fillId="0" borderId="13" xfId="0" applyNumberFormat="1" applyFont="1" applyBorder="1" applyAlignment="1">
      <alignment horizontal="center" vertical="center" wrapText="1"/>
    </xf>
    <xf numFmtId="49" fontId="31" fillId="0" borderId="14" xfId="0" applyNumberFormat="1" applyFont="1" applyBorder="1" applyAlignment="1">
      <alignment horizontal="center" vertical="center" wrapText="1"/>
    </xf>
    <xf numFmtId="49" fontId="31" fillId="0" borderId="15" xfId="0" applyNumberFormat="1" applyFont="1" applyBorder="1" applyAlignment="1">
      <alignment horizontal="center" vertical="center" wrapText="1"/>
    </xf>
    <xf numFmtId="49" fontId="31" fillId="0" borderId="16" xfId="0" applyNumberFormat="1" applyFont="1" applyBorder="1" applyAlignment="1">
      <alignment horizontal="center" vertical="center" wrapText="1"/>
    </xf>
    <xf numFmtId="49" fontId="31" fillId="0" borderId="17" xfId="0" applyNumberFormat="1" applyFont="1" applyBorder="1" applyAlignment="1">
      <alignment horizontal="center" vertical="center" wrapText="1"/>
    </xf>
    <xf numFmtId="49" fontId="31" fillId="0" borderId="18" xfId="0" applyNumberFormat="1" applyFont="1" applyBorder="1" applyAlignment="1">
      <alignment horizontal="center" vertical="center" wrapText="1"/>
    </xf>
    <xf numFmtId="49" fontId="31" fillId="0" borderId="27" xfId="0" applyNumberFormat="1" applyFont="1" applyBorder="1" applyAlignment="1">
      <alignment horizontal="center" vertical="center"/>
    </xf>
    <xf numFmtId="49" fontId="31" fillId="0" borderId="23" xfId="0" applyNumberFormat="1" applyFont="1" applyBorder="1" applyAlignment="1">
      <alignment horizontal="center" vertical="center"/>
    </xf>
    <xf numFmtId="0" fontId="59" fillId="10" borderId="19" xfId="0" applyFont="1" applyFill="1" applyBorder="1" applyAlignment="1">
      <alignment horizontal="center" vertical="center" wrapText="1"/>
    </xf>
    <xf numFmtId="0" fontId="59" fillId="10" borderId="20" xfId="0" applyFont="1" applyFill="1" applyBorder="1" applyAlignment="1">
      <alignment horizontal="center" vertical="center" wrapText="1"/>
    </xf>
    <xf numFmtId="49" fontId="31" fillId="0" borderId="19" xfId="0" applyNumberFormat="1" applyFont="1" applyBorder="1" applyAlignment="1">
      <alignment vertical="center" wrapText="1"/>
    </xf>
    <xf numFmtId="49" fontId="31" fillId="0" borderId="20" xfId="0" applyNumberFormat="1" applyFont="1" applyBorder="1" applyAlignment="1">
      <alignment vertical="center" wrapText="1"/>
    </xf>
    <xf numFmtId="49" fontId="32" fillId="0" borderId="0" xfId="0" applyNumberFormat="1" applyFont="1" applyAlignment="1">
      <alignment horizontal="justify" vertical="center" wrapText="1"/>
    </xf>
    <xf numFmtId="49" fontId="31" fillId="0" borderId="19" xfId="0" quotePrefix="1" applyNumberFormat="1" applyFont="1" applyBorder="1" applyAlignment="1">
      <alignment horizontal="center" vertical="center" wrapText="1"/>
    </xf>
    <xf numFmtId="49" fontId="31" fillId="0" borderId="20" xfId="0" applyNumberFormat="1" applyFont="1" applyBorder="1" applyAlignment="1">
      <alignment horizontal="center" vertical="center" wrapText="1"/>
    </xf>
    <xf numFmtId="49" fontId="30" fillId="0" borderId="26" xfId="0" applyNumberFormat="1" applyFont="1" applyBorder="1" applyAlignment="1">
      <alignment horizontal="justify" vertical="center" wrapText="1"/>
    </xf>
    <xf numFmtId="49" fontId="13" fillId="0" borderId="0" xfId="0" applyNumberFormat="1" applyFont="1" applyAlignment="1">
      <alignment vertical="center" wrapText="1"/>
    </xf>
    <xf numFmtId="49" fontId="44" fillId="0" borderId="0" xfId="0" applyNumberFormat="1" applyFont="1" applyAlignment="1">
      <alignment vertical="center" wrapText="1"/>
    </xf>
    <xf numFmtId="49" fontId="30" fillId="0" borderId="0" xfId="0" applyNumberFormat="1" applyFont="1" applyAlignment="1">
      <alignment horizontal="justify" vertical="center" wrapText="1"/>
    </xf>
    <xf numFmtId="49" fontId="31" fillId="0" borderId="0" xfId="0" applyNumberFormat="1" applyFont="1" applyAlignment="1">
      <alignment horizontal="justify" vertical="center" wrapText="1"/>
    </xf>
    <xf numFmtId="49" fontId="31" fillId="0" borderId="0" xfId="0" applyNumberFormat="1" applyFont="1" applyAlignment="1">
      <alignment horizontal="center" vertical="center" wrapText="1"/>
    </xf>
    <xf numFmtId="49" fontId="31" fillId="0" borderId="0" xfId="0" applyNumberFormat="1" applyFont="1" applyAlignment="1">
      <alignment vertical="center"/>
    </xf>
    <xf numFmtId="49" fontId="22" fillId="0" borderId="0" xfId="0" applyNumberFormat="1" applyFont="1" applyAlignment="1">
      <alignment horizontal="left" vertical="center"/>
    </xf>
    <xf numFmtId="49" fontId="31" fillId="0" borderId="15" xfId="0" applyNumberFormat="1" applyFont="1" applyBorder="1" applyAlignment="1">
      <alignment vertical="center" wrapText="1"/>
    </xf>
    <xf numFmtId="49" fontId="31" fillId="0" borderId="0" xfId="0" applyNumberFormat="1" applyFont="1" applyAlignment="1">
      <alignment vertical="center" wrapText="1"/>
    </xf>
    <xf numFmtId="49" fontId="31" fillId="13" borderId="15" xfId="0" applyNumberFormat="1" applyFont="1" applyFill="1" applyBorder="1" applyAlignment="1">
      <alignment vertical="center" wrapText="1"/>
    </xf>
    <xf numFmtId="49" fontId="31" fillId="13" borderId="0" xfId="0" applyNumberFormat="1" applyFont="1" applyFill="1" applyAlignment="1">
      <alignment vertical="center" wrapText="1"/>
    </xf>
    <xf numFmtId="49" fontId="32" fillId="0" borderId="0" xfId="0" applyNumberFormat="1" applyFont="1" applyAlignment="1">
      <alignment horizontal="justify" vertical="center"/>
    </xf>
    <xf numFmtId="49" fontId="44" fillId="13" borderId="26" xfId="0" applyNumberFormat="1" applyFont="1" applyFill="1" applyBorder="1"/>
    <xf numFmtId="49" fontId="44" fillId="13" borderId="0" xfId="0" applyNumberFormat="1" applyFont="1" applyFill="1"/>
    <xf numFmtId="49" fontId="30" fillId="0" borderId="0" xfId="0" applyNumberFormat="1" applyFont="1" applyAlignment="1">
      <alignment horizontal="justify" vertical="center"/>
    </xf>
    <xf numFmtId="49" fontId="44" fillId="0" borderId="0" xfId="0" applyNumberFormat="1" applyFont="1"/>
    <xf numFmtId="49" fontId="40" fillId="0" borderId="0" xfId="0" applyNumberFormat="1" applyFont="1" applyAlignment="1">
      <alignment horizontal="justify" vertical="center" wrapText="1"/>
    </xf>
    <xf numFmtId="49" fontId="44" fillId="0" borderId="24" xfId="0" applyNumberFormat="1" applyFont="1" applyBorder="1"/>
    <xf numFmtId="49" fontId="47" fillId="0" borderId="0" xfId="0" applyNumberFormat="1" applyFont="1" applyAlignment="1">
      <alignment vertical="center"/>
    </xf>
    <xf numFmtId="49" fontId="47" fillId="0" borderId="16" xfId="0" applyNumberFormat="1" applyFont="1" applyBorder="1" applyAlignment="1">
      <alignment vertical="center"/>
    </xf>
    <xf numFmtId="49" fontId="31" fillId="0" borderId="19" xfId="0" applyNumberFormat="1" applyFont="1" applyBorder="1" applyAlignment="1">
      <alignment horizontal="center" vertical="center" wrapText="1"/>
    </xf>
    <xf numFmtId="49" fontId="44" fillId="0" borderId="16" xfId="0" applyNumberFormat="1" applyFont="1" applyBorder="1"/>
    <xf numFmtId="49" fontId="31" fillId="0" borderId="13" xfId="0" applyNumberFormat="1" applyFont="1" applyBorder="1" applyAlignment="1">
      <alignment vertical="center"/>
    </xf>
    <xf numFmtId="49" fontId="31" fillId="0" borderId="26" xfId="0" applyNumberFormat="1" applyFont="1" applyBorder="1" applyAlignment="1">
      <alignment vertical="center"/>
    </xf>
    <xf numFmtId="49" fontId="31" fillId="0" borderId="14" xfId="0" applyNumberFormat="1" applyFont="1" applyBorder="1" applyAlignment="1">
      <alignment vertical="center"/>
    </xf>
    <xf numFmtId="49" fontId="31" fillId="0" borderId="15" xfId="0" applyNumberFormat="1" applyFont="1" applyBorder="1" applyAlignment="1">
      <alignment horizontal="center" vertical="center"/>
    </xf>
    <xf numFmtId="49" fontId="31" fillId="0" borderId="17" xfId="0" applyNumberFormat="1" applyFont="1" applyBorder="1" applyAlignment="1">
      <alignment horizontal="center" vertical="center"/>
    </xf>
    <xf numFmtId="49" fontId="31" fillId="0" borderId="24" xfId="0" applyNumberFormat="1" applyFont="1" applyBorder="1" applyAlignment="1">
      <alignment horizontal="center" vertical="center"/>
    </xf>
    <xf numFmtId="49" fontId="31" fillId="0" borderId="24" xfId="0" applyNumberFormat="1" applyFont="1" applyBorder="1" applyAlignment="1">
      <alignment vertical="center" wrapText="1"/>
    </xf>
    <xf numFmtId="49" fontId="31" fillId="0" borderId="18" xfId="0" applyNumberFormat="1" applyFont="1" applyBorder="1" applyAlignment="1">
      <alignment vertical="center" wrapText="1"/>
    </xf>
    <xf numFmtId="49" fontId="31" fillId="0" borderId="16" xfId="0" applyNumberFormat="1" applyFont="1" applyBorder="1" applyAlignment="1">
      <alignment vertical="center" wrapText="1"/>
    </xf>
    <xf numFmtId="49" fontId="31" fillId="0" borderId="13" xfId="0" applyNumberFormat="1" applyFont="1" applyBorder="1" applyAlignment="1">
      <alignment vertical="center" wrapText="1"/>
    </xf>
    <xf numFmtId="49" fontId="31" fillId="0" borderId="14" xfId="0" applyNumberFormat="1" applyFont="1" applyBorder="1" applyAlignment="1">
      <alignment vertical="center" wrapText="1"/>
    </xf>
    <xf numFmtId="49" fontId="31" fillId="0" borderId="26" xfId="0" applyNumberFormat="1" applyFont="1" applyBorder="1" applyAlignment="1">
      <alignment vertical="center" wrapText="1"/>
    </xf>
    <xf numFmtId="49" fontId="44" fillId="0" borderId="18" xfId="0" applyNumberFormat="1" applyFont="1" applyBorder="1"/>
    <xf numFmtId="49" fontId="31" fillId="0" borderId="17" xfId="0" applyNumberFormat="1" applyFont="1" applyBorder="1" applyAlignment="1">
      <alignment vertical="center" wrapText="1"/>
    </xf>
    <xf numFmtId="49" fontId="32" fillId="0" borderId="19" xfId="0" applyNumberFormat="1" applyFont="1" applyBorder="1" applyAlignment="1">
      <alignment vertical="center" wrapText="1"/>
    </xf>
    <xf numFmtId="49" fontId="32" fillId="0" borderId="20" xfId="0" applyNumberFormat="1" applyFont="1" applyBorder="1" applyAlignment="1">
      <alignment vertical="center" wrapText="1"/>
    </xf>
    <xf numFmtId="49" fontId="31" fillId="0" borderId="21" xfId="0" applyNumberFormat="1" applyFont="1" applyBorder="1" applyAlignment="1">
      <alignment vertical="center" wrapText="1"/>
    </xf>
    <xf numFmtId="49" fontId="31" fillId="0" borderId="22" xfId="0" applyNumberFormat="1" applyFont="1" applyBorder="1" applyAlignment="1">
      <alignment horizontal="center" vertical="center"/>
    </xf>
    <xf numFmtId="49" fontId="32" fillId="0" borderId="13" xfId="0" applyNumberFormat="1" applyFont="1" applyBorder="1" applyAlignment="1">
      <alignment horizontal="right" vertical="center" wrapText="1" indent="1"/>
    </xf>
    <xf numFmtId="49" fontId="32" fillId="0" borderId="14" xfId="0" applyNumberFormat="1" applyFont="1" applyBorder="1" applyAlignment="1">
      <alignment horizontal="right" vertical="center" wrapText="1" indent="1"/>
    </xf>
    <xf numFmtId="49" fontId="31" fillId="0" borderId="22" xfId="0" applyNumberFormat="1" applyFont="1" applyBorder="1" applyAlignment="1">
      <alignment vertical="center" wrapText="1"/>
    </xf>
    <xf numFmtId="49" fontId="31" fillId="0" borderId="27" xfId="0" applyNumberFormat="1" applyFont="1" applyBorder="1" applyAlignment="1">
      <alignment vertical="center" wrapText="1"/>
    </xf>
    <xf numFmtId="49" fontId="31" fillId="0" borderId="23" xfId="0" applyNumberFormat="1" applyFont="1" applyBorder="1" applyAlignment="1">
      <alignment vertical="center" wrapText="1"/>
    </xf>
    <xf numFmtId="49" fontId="71" fillId="5" borderId="13" xfId="0" applyNumberFormat="1" applyFont="1" applyFill="1" applyBorder="1" applyAlignment="1">
      <alignment horizontal="left" vertical="center" wrapText="1"/>
    </xf>
    <xf numFmtId="49" fontId="71" fillId="5" borderId="14" xfId="0" applyNumberFormat="1" applyFont="1" applyFill="1" applyBorder="1" applyAlignment="1">
      <alignment horizontal="left" vertical="center" wrapText="1"/>
    </xf>
    <xf numFmtId="49" fontId="71" fillId="5" borderId="15" xfId="0" applyNumberFormat="1" applyFont="1" applyFill="1" applyBorder="1" applyAlignment="1">
      <alignment horizontal="left" vertical="center" wrapText="1"/>
    </xf>
    <xf numFmtId="49" fontId="71" fillId="5" borderId="16" xfId="0" applyNumberFormat="1" applyFont="1" applyFill="1" applyBorder="1" applyAlignment="1">
      <alignment horizontal="left" vertical="center" wrapText="1"/>
    </xf>
    <xf numFmtId="49" fontId="71" fillId="5" borderId="17" xfId="0" applyNumberFormat="1" applyFont="1" applyFill="1" applyBorder="1" applyAlignment="1">
      <alignment horizontal="left" vertical="center" wrapText="1"/>
    </xf>
    <xf numFmtId="49" fontId="71" fillId="5" borderId="18" xfId="0" applyNumberFormat="1" applyFont="1" applyFill="1" applyBorder="1" applyAlignment="1">
      <alignment horizontal="left" vertical="center" wrapText="1"/>
    </xf>
    <xf numFmtId="49" fontId="32" fillId="0" borderId="19" xfId="0" applyNumberFormat="1" applyFont="1" applyBorder="1" applyAlignment="1">
      <alignment horizontal="left" vertical="center" wrapText="1" indent="1"/>
    </xf>
    <xf numFmtId="49" fontId="32" fillId="0" borderId="20" xfId="0" applyNumberFormat="1" applyFont="1" applyBorder="1" applyAlignment="1">
      <alignment horizontal="left" vertical="center" wrapText="1" indent="1"/>
    </xf>
    <xf numFmtId="49" fontId="32" fillId="0" borderId="15" xfId="0" applyNumberFormat="1" applyFont="1" applyBorder="1" applyAlignment="1">
      <alignment horizontal="right" vertical="center" wrapText="1" indent="1"/>
    </xf>
    <xf numFmtId="49" fontId="32" fillId="0" borderId="16" xfId="0" applyNumberFormat="1" applyFont="1" applyBorder="1" applyAlignment="1">
      <alignment horizontal="right" vertical="center" wrapText="1" indent="1"/>
    </xf>
    <xf numFmtId="0" fontId="32" fillId="0" borderId="17" xfId="0" applyFont="1" applyBorder="1" applyAlignment="1">
      <alignment horizontal="right" vertical="center" wrapText="1" indent="1"/>
    </xf>
    <xf numFmtId="0" fontId="32" fillId="0" borderId="18" xfId="0" applyFont="1" applyBorder="1" applyAlignment="1">
      <alignment horizontal="right" vertical="center" wrapText="1" indent="1"/>
    </xf>
    <xf numFmtId="49" fontId="71" fillId="5" borderId="22" xfId="0" applyNumberFormat="1" applyFont="1" applyFill="1" applyBorder="1" applyAlignment="1">
      <alignment horizontal="left" vertical="center" wrapText="1"/>
    </xf>
    <xf numFmtId="49" fontId="71" fillId="5" borderId="27" xfId="0" applyNumberFormat="1" applyFont="1" applyFill="1" applyBorder="1" applyAlignment="1">
      <alignment horizontal="left" vertical="center" wrapText="1"/>
    </xf>
    <xf numFmtId="49" fontId="71" fillId="5" borderId="23" xfId="0" applyNumberFormat="1" applyFont="1" applyFill="1" applyBorder="1" applyAlignment="1">
      <alignment horizontal="left" vertical="center" wrapText="1"/>
    </xf>
    <xf numFmtId="49" fontId="32" fillId="0" borderId="17" xfId="0" applyNumberFormat="1" applyFont="1" applyBorder="1" applyAlignment="1">
      <alignment horizontal="right" vertical="center" wrapText="1" indent="1"/>
    </xf>
    <xf numFmtId="49" fontId="32" fillId="0" borderId="18" xfId="0" applyNumberFormat="1" applyFont="1" applyBorder="1" applyAlignment="1">
      <alignment horizontal="right" vertical="center" wrapText="1" indent="1"/>
    </xf>
    <xf numFmtId="49" fontId="31" fillId="5" borderId="19" xfId="0" applyNumberFormat="1" applyFont="1" applyFill="1" applyBorder="1" applyAlignment="1">
      <alignment vertical="center"/>
    </xf>
    <xf numFmtId="49" fontId="31" fillId="5" borderId="20" xfId="0" applyNumberFormat="1" applyFont="1" applyFill="1" applyBorder="1" applyAlignment="1">
      <alignment vertical="center"/>
    </xf>
    <xf numFmtId="49" fontId="31" fillId="5" borderId="21" xfId="0" applyNumberFormat="1" applyFont="1" applyFill="1" applyBorder="1" applyAlignment="1">
      <alignment vertical="center"/>
    </xf>
    <xf numFmtId="49" fontId="40" fillId="0" borderId="19" xfId="0" applyNumberFormat="1" applyFont="1" applyBorder="1" applyAlignment="1">
      <alignment vertical="center" wrapText="1"/>
    </xf>
    <xf numFmtId="49" fontId="40" fillId="0" borderId="20" xfId="0" applyNumberFormat="1" applyFont="1" applyBorder="1" applyAlignment="1">
      <alignment vertical="center" wrapText="1"/>
    </xf>
    <xf numFmtId="49" fontId="44" fillId="0" borderId="26" xfId="0" applyNumberFormat="1" applyFont="1" applyBorder="1"/>
    <xf numFmtId="49" fontId="55" fillId="0" borderId="0" xfId="0" applyNumberFormat="1" applyFont="1" applyAlignment="1">
      <alignment horizontal="justify" vertical="center" wrapText="1"/>
    </xf>
    <xf numFmtId="49" fontId="13" fillId="0" borderId="0" xfId="0" applyNumberFormat="1" applyFont="1" applyAlignment="1">
      <alignment horizontal="left" vertical="center" wrapText="1"/>
    </xf>
    <xf numFmtId="49" fontId="32" fillId="0" borderId="0" xfId="0" applyNumberFormat="1" applyFont="1" applyAlignment="1">
      <alignment horizontal="left" vertical="center" wrapText="1"/>
    </xf>
    <xf numFmtId="49" fontId="56" fillId="0" borderId="0" xfId="0" applyNumberFormat="1" applyFont="1" applyAlignment="1">
      <alignment horizontal="left" vertical="center" wrapText="1"/>
    </xf>
    <xf numFmtId="49" fontId="32" fillId="0" borderId="0" xfId="0" applyNumberFormat="1" applyFont="1" applyAlignment="1">
      <alignment horizontal="left" vertical="center" wrapText="1" indent="15"/>
    </xf>
    <xf numFmtId="49" fontId="40" fillId="0" borderId="0" xfId="0" applyNumberFormat="1" applyFont="1" applyAlignment="1">
      <alignment vertical="center" wrapText="1"/>
    </xf>
    <xf numFmtId="49" fontId="40" fillId="0" borderId="0" xfId="0" applyNumberFormat="1" applyFont="1" applyAlignment="1">
      <alignment horizontal="center" vertical="center" wrapText="1"/>
    </xf>
    <xf numFmtId="0" fontId="83" fillId="0" borderId="0" xfId="0" applyFont="1" applyAlignment="1">
      <alignment horizontal="justify" vertical="center"/>
    </xf>
    <xf numFmtId="0" fontId="92" fillId="0" borderId="0" xfId="0" applyFont="1" applyAlignment="1">
      <alignment horizontal="justify" vertical="center" wrapText="1"/>
    </xf>
    <xf numFmtId="0" fontId="22" fillId="0" borderId="0" xfId="0" applyFont="1" applyAlignment="1">
      <alignment vertical="center"/>
    </xf>
    <xf numFmtId="0" fontId="13" fillId="0" borderId="0" xfId="0" applyFont="1" applyAlignment="1">
      <alignment vertical="center" wrapText="1"/>
    </xf>
    <xf numFmtId="0" fontId="13" fillId="0" borderId="15" xfId="0" applyFont="1" applyBorder="1" applyAlignment="1">
      <alignment vertical="center" wrapText="1"/>
    </xf>
    <xf numFmtId="0" fontId="31" fillId="0" borderId="13" xfId="0" applyFont="1" applyBorder="1" applyAlignment="1">
      <alignment horizontal="center" vertical="center" wrapText="1"/>
    </xf>
    <xf numFmtId="0" fontId="31" fillId="0" borderId="14" xfId="0" applyFont="1" applyBorder="1" applyAlignment="1">
      <alignment horizontal="center" vertical="center" wrapText="1"/>
    </xf>
    <xf numFmtId="0" fontId="31" fillId="0" borderId="17"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26" xfId="0" applyFont="1" applyBorder="1" applyAlignment="1">
      <alignment horizontal="center" vertical="center" wrapText="1"/>
    </xf>
    <xf numFmtId="0" fontId="31" fillId="0" borderId="21" xfId="0" applyFont="1" applyBorder="1" applyAlignment="1">
      <alignment horizontal="center" vertical="center" wrapText="1"/>
    </xf>
    <xf numFmtId="0" fontId="31" fillId="0" borderId="20" xfId="0" applyFont="1" applyBorder="1" applyAlignment="1">
      <alignment horizontal="center" vertical="center" wrapText="1"/>
    </xf>
    <xf numFmtId="0" fontId="31" fillId="0" borderId="19" xfId="0" applyFont="1" applyBorder="1" applyAlignment="1">
      <alignment horizontal="center" vertical="center" wrapText="1"/>
    </xf>
    <xf numFmtId="0" fontId="31" fillId="0" borderId="22" xfId="0" quotePrefix="1" applyFont="1" applyBorder="1" applyAlignment="1">
      <alignment horizontal="center" vertical="center"/>
    </xf>
    <xf numFmtId="0" fontId="31" fillId="0" borderId="23" xfId="0" applyFont="1" applyBorder="1" applyAlignment="1">
      <alignment horizontal="center" vertical="center"/>
    </xf>
    <xf numFmtId="49" fontId="31" fillId="0" borderId="22" xfId="0" quotePrefix="1" applyNumberFormat="1" applyFont="1" applyBorder="1" applyAlignment="1">
      <alignment vertical="center" wrapText="1"/>
    </xf>
    <xf numFmtId="0" fontId="32" fillId="0" borderId="22" xfId="0" applyFont="1" applyBorder="1" applyAlignment="1">
      <alignment horizontal="left" vertical="center" wrapText="1"/>
    </xf>
    <xf numFmtId="0" fontId="32" fillId="0" borderId="23" xfId="0" applyFont="1" applyBorder="1" applyAlignment="1">
      <alignment horizontal="left" vertical="center" wrapText="1"/>
    </xf>
    <xf numFmtId="0" fontId="30" fillId="0" borderId="0" xfId="0" applyFont="1" applyAlignment="1">
      <alignment vertical="center"/>
    </xf>
    <xf numFmtId="0" fontId="32" fillId="0" borderId="0" xfId="0" applyFont="1" applyAlignment="1">
      <alignment horizontal="justify" vertical="center" wrapText="1"/>
    </xf>
    <xf numFmtId="0" fontId="32" fillId="0" borderId="22" xfId="0" applyFont="1" applyBorder="1" applyAlignment="1">
      <alignment horizontal="left" vertical="center"/>
    </xf>
    <xf numFmtId="0" fontId="32" fillId="0" borderId="23" xfId="0" applyFont="1" applyBorder="1" applyAlignment="1">
      <alignment horizontal="left" vertical="center"/>
    </xf>
    <xf numFmtId="0" fontId="44" fillId="0" borderId="0" xfId="0" applyFont="1" applyAlignment="1">
      <alignment vertical="top" wrapText="1"/>
    </xf>
    <xf numFmtId="0" fontId="32" fillId="0" borderId="0" xfId="0" applyFont="1" applyAlignment="1">
      <alignment horizontal="left" vertical="center" wrapText="1"/>
    </xf>
    <xf numFmtId="0" fontId="30" fillId="0" borderId="0" xfId="0" applyFont="1" applyAlignment="1">
      <alignment horizontal="justify" vertical="center"/>
    </xf>
    <xf numFmtId="49" fontId="84" fillId="13" borderId="38" xfId="0" applyNumberFormat="1" applyFont="1" applyFill="1" applyBorder="1" applyAlignment="1">
      <alignment horizontal="center" vertical="center" wrapText="1"/>
    </xf>
    <xf numFmtId="49" fontId="84" fillId="13" borderId="35" xfId="0" applyNumberFormat="1" applyFont="1" applyFill="1" applyBorder="1" applyAlignment="1">
      <alignment horizontal="center" vertical="center" wrapText="1"/>
    </xf>
    <xf numFmtId="49" fontId="110" fillId="0" borderId="0" xfId="0" applyNumberFormat="1" applyFont="1" applyAlignment="1">
      <alignment vertical="center"/>
    </xf>
    <xf numFmtId="49" fontId="83" fillId="0" borderId="0" xfId="0" applyNumberFormat="1" applyFont="1" applyAlignment="1">
      <alignment vertical="center"/>
    </xf>
    <xf numFmtId="49" fontId="84" fillId="13" borderId="46" xfId="0" applyNumberFormat="1" applyFont="1" applyFill="1" applyBorder="1" applyAlignment="1">
      <alignment horizontal="center" vertical="center" wrapText="1"/>
    </xf>
    <xf numFmtId="49" fontId="84" fillId="13" borderId="45" xfId="0" applyNumberFormat="1" applyFont="1" applyFill="1" applyBorder="1" applyAlignment="1">
      <alignment horizontal="center" vertical="center" wrapText="1"/>
    </xf>
    <xf numFmtId="49" fontId="84" fillId="13" borderId="0" xfId="0" applyNumberFormat="1" applyFont="1" applyFill="1" applyAlignment="1">
      <alignment horizontal="center" vertical="center" wrapText="1"/>
    </xf>
    <xf numFmtId="0" fontId="76" fillId="0" borderId="31" xfId="0" applyFont="1" applyBorder="1" applyAlignment="1">
      <alignment horizontal="center"/>
    </xf>
    <xf numFmtId="49" fontId="57" fillId="0" borderId="0" xfId="0" applyNumberFormat="1" applyFont="1" applyAlignment="1">
      <alignment horizontal="left" vertical="center"/>
    </xf>
    <xf numFmtId="49" fontId="46" fillId="0" borderId="0" xfId="0" applyNumberFormat="1" applyFont="1" applyAlignment="1">
      <alignment horizontal="left" vertical="center" wrapText="1"/>
    </xf>
    <xf numFmtId="0" fontId="83" fillId="13" borderId="46" xfId="0" applyFont="1" applyFill="1" applyBorder="1" applyAlignment="1">
      <alignment horizontal="center" vertical="center" wrapText="1"/>
    </xf>
    <xf numFmtId="0" fontId="83" fillId="13" borderId="45" xfId="0" applyFont="1" applyFill="1" applyBorder="1" applyAlignment="1">
      <alignment horizontal="center" vertical="center" wrapText="1"/>
    </xf>
    <xf numFmtId="0" fontId="83" fillId="13" borderId="35" xfId="0" applyFont="1" applyFill="1" applyBorder="1" applyAlignment="1">
      <alignment horizontal="center" vertical="center" wrapText="1"/>
    </xf>
    <xf numFmtId="0" fontId="83" fillId="13" borderId="38" xfId="0" applyFont="1" applyFill="1" applyBorder="1" applyAlignment="1">
      <alignment horizontal="center" vertical="center" wrapText="1"/>
    </xf>
    <xf numFmtId="0" fontId="83" fillId="13" borderId="42" xfId="0" applyFont="1" applyFill="1" applyBorder="1" applyAlignment="1">
      <alignment horizontal="center" vertical="center" wrapText="1"/>
    </xf>
    <xf numFmtId="0" fontId="83" fillId="13" borderId="34" xfId="0" applyFont="1" applyFill="1" applyBorder="1" applyAlignment="1">
      <alignment horizontal="center" vertical="center" wrapText="1"/>
    </xf>
    <xf numFmtId="0" fontId="79" fillId="13" borderId="31" xfId="0" applyFont="1" applyFill="1" applyBorder="1" applyAlignment="1">
      <alignment horizontal="center" vertical="center" wrapText="1"/>
    </xf>
    <xf numFmtId="0" fontId="79" fillId="11" borderId="31" xfId="0" applyFont="1" applyFill="1" applyBorder="1" applyAlignment="1">
      <alignment horizontal="center" vertical="center" wrapText="1"/>
    </xf>
    <xf numFmtId="0" fontId="83" fillId="11" borderId="31" xfId="0" applyFont="1" applyFill="1" applyBorder="1" applyAlignment="1">
      <alignment horizontal="center" vertical="center" wrapText="1"/>
    </xf>
    <xf numFmtId="9" fontId="83" fillId="11" borderId="31" xfId="0" applyNumberFormat="1" applyFont="1" applyFill="1" applyBorder="1" applyAlignment="1">
      <alignment horizontal="center" vertical="center" wrapText="1"/>
    </xf>
    <xf numFmtId="0" fontId="116" fillId="13" borderId="31" xfId="0" applyFont="1" applyFill="1" applyBorder="1" applyAlignment="1">
      <alignment horizontal="left" vertical="center" wrapText="1" indent="1"/>
    </xf>
    <xf numFmtId="0" fontId="117" fillId="17" borderId="31" xfId="0" applyFont="1" applyFill="1" applyBorder="1" applyAlignment="1">
      <alignment horizontal="left" vertical="center" wrapText="1" indent="1"/>
    </xf>
    <xf numFmtId="0" fontId="117" fillId="13" borderId="31" xfId="0" applyFont="1" applyFill="1" applyBorder="1" applyAlignment="1">
      <alignment horizontal="left" vertical="center" wrapText="1" indent="1"/>
    </xf>
    <xf numFmtId="0" fontId="84" fillId="0" borderId="31" xfId="0" applyFont="1" applyBorder="1" applyAlignment="1">
      <alignment horizontal="center" vertical="center"/>
    </xf>
    <xf numFmtId="0" fontId="84" fillId="13" borderId="31" xfId="0" applyFont="1" applyFill="1" applyBorder="1" applyAlignment="1">
      <alignment horizontal="center" vertical="center"/>
    </xf>
    <xf numFmtId="0" fontId="83" fillId="13" borderId="31" xfId="0" applyFont="1" applyFill="1" applyBorder="1" applyAlignment="1">
      <alignment horizontal="left" vertical="center" wrapText="1" indent="1"/>
    </xf>
    <xf numFmtId="0" fontId="6" fillId="0" borderId="0" xfId="0" applyFont="1" applyAlignment="1">
      <alignment vertical="center" wrapText="1"/>
    </xf>
    <xf numFmtId="0" fontId="76" fillId="13" borderId="31" xfId="0" applyFont="1" applyFill="1" applyBorder="1" applyAlignment="1">
      <alignment horizontal="center" vertical="center" wrapText="1"/>
    </xf>
    <xf numFmtId="0" fontId="76" fillId="13" borderId="38" xfId="0" applyFont="1" applyFill="1" applyBorder="1" applyAlignment="1">
      <alignment horizontal="center" vertical="center" wrapText="1"/>
    </xf>
    <xf numFmtId="0" fontId="76" fillId="13" borderId="0" xfId="0" applyFont="1" applyFill="1" applyAlignment="1">
      <alignment horizontal="center" vertical="center" wrapText="1"/>
    </xf>
    <xf numFmtId="0" fontId="76" fillId="13" borderId="46" xfId="0" applyFont="1" applyFill="1" applyBorder="1" applyAlignment="1">
      <alignment horizontal="center" vertical="center" wrapText="1"/>
    </xf>
    <xf numFmtId="0" fontId="76" fillId="13" borderId="41" xfId="0" applyFont="1" applyFill="1" applyBorder="1" applyAlignment="1">
      <alignment horizontal="center" vertical="center" wrapText="1"/>
    </xf>
    <xf numFmtId="0" fontId="76" fillId="0" borderId="31" xfId="0" applyFont="1" applyBorder="1" applyAlignment="1">
      <alignment horizontal="center" vertical="center" wrapText="1"/>
    </xf>
    <xf numFmtId="0" fontId="76" fillId="0" borderId="39" xfId="0" applyFont="1" applyBorder="1" applyAlignment="1">
      <alignment horizontal="center" vertical="center" wrapText="1"/>
    </xf>
    <xf numFmtId="0" fontId="76" fillId="0" borderId="38" xfId="0" applyFont="1" applyBorder="1" applyAlignment="1">
      <alignment horizontal="center" vertical="center" wrapText="1"/>
    </xf>
    <xf numFmtId="0" fontId="76" fillId="13" borderId="42" xfId="0" applyFont="1" applyFill="1" applyBorder="1" applyAlignment="1">
      <alignment horizontal="center" vertical="center" wrapText="1"/>
    </xf>
    <xf numFmtId="0" fontId="76" fillId="13" borderId="34" xfId="0" applyFont="1" applyFill="1" applyBorder="1" applyAlignment="1">
      <alignment horizontal="center" vertical="center" wrapText="1"/>
    </xf>
    <xf numFmtId="0" fontId="83" fillId="0" borderId="56" xfId="0" applyFont="1" applyBorder="1" applyAlignment="1">
      <alignment horizontal="center" vertical="center"/>
    </xf>
    <xf numFmtId="0" fontId="83" fillId="0" borderId="52" xfId="0" applyFont="1" applyBorder="1" applyAlignment="1">
      <alignment horizontal="center" vertical="center"/>
    </xf>
    <xf numFmtId="0" fontId="83" fillId="0" borderId="54" xfId="0" applyFont="1" applyBorder="1" applyAlignment="1">
      <alignment horizontal="center" vertical="center"/>
    </xf>
    <xf numFmtId="0" fontId="110" fillId="0" borderId="0" xfId="0" applyFont="1" applyAlignment="1">
      <alignment horizontal="left" wrapText="1"/>
    </xf>
    <xf numFmtId="0" fontId="83" fillId="0" borderId="0" xfId="0" applyFont="1" applyAlignment="1">
      <alignment horizontal="left" wrapText="1"/>
    </xf>
    <xf numFmtId="0" fontId="84" fillId="17" borderId="49" xfId="0" applyFont="1" applyFill="1" applyBorder="1" applyAlignment="1">
      <alignment horizontal="center" vertical="center" wrapText="1"/>
    </xf>
    <xf numFmtId="0" fontId="84" fillId="17" borderId="52" xfId="0" applyFont="1" applyFill="1" applyBorder="1" applyAlignment="1">
      <alignment horizontal="center" vertical="center" wrapText="1"/>
    </xf>
    <xf numFmtId="0" fontId="84" fillId="17" borderId="50" xfId="0" applyFont="1" applyFill="1" applyBorder="1" applyAlignment="1">
      <alignment horizontal="center" vertical="center" wrapText="1"/>
    </xf>
    <xf numFmtId="0" fontId="84" fillId="17" borderId="39" xfId="0" applyFont="1" applyFill="1" applyBorder="1" applyAlignment="1">
      <alignment horizontal="center" vertical="center" wrapText="1"/>
    </xf>
    <xf numFmtId="0" fontId="84" fillId="17" borderId="58" xfId="0" applyFont="1" applyFill="1" applyBorder="1" applyAlignment="1">
      <alignment horizontal="center" vertical="center" wrapText="1"/>
    </xf>
    <xf numFmtId="0" fontId="84" fillId="17" borderId="31" xfId="0" applyFont="1" applyFill="1" applyBorder="1" applyAlignment="1">
      <alignment horizontal="center" vertical="center" wrapText="1"/>
    </xf>
    <xf numFmtId="0" fontId="84" fillId="0" borderId="56" xfId="0" applyFont="1" applyBorder="1" applyAlignment="1">
      <alignment horizontal="center" vertical="center" wrapText="1"/>
    </xf>
    <xf numFmtId="0" fontId="84" fillId="0" borderId="52" xfId="0" applyFont="1" applyBorder="1" applyAlignment="1">
      <alignment horizontal="center" vertical="center" wrapText="1"/>
    </xf>
    <xf numFmtId="0" fontId="84" fillId="0" borderId="54" xfId="0" applyFont="1" applyBorder="1" applyAlignment="1">
      <alignment horizontal="center" vertical="center" wrapText="1"/>
    </xf>
    <xf numFmtId="0" fontId="84" fillId="0" borderId="56" xfId="0" applyFont="1" applyBorder="1" applyAlignment="1">
      <alignment horizontal="center" vertical="center"/>
    </xf>
    <xf numFmtId="0" fontId="84" fillId="0" borderId="52" xfId="0" applyFont="1" applyBorder="1" applyAlignment="1">
      <alignment horizontal="center" vertical="center"/>
    </xf>
    <xf numFmtId="0" fontId="84" fillId="0" borderId="54" xfId="0" applyFont="1" applyBorder="1" applyAlignment="1">
      <alignment horizontal="center" vertical="center"/>
    </xf>
    <xf numFmtId="0" fontId="84" fillId="17" borderId="51" xfId="0" applyFont="1" applyFill="1" applyBorder="1" applyAlignment="1">
      <alignment horizontal="center" vertical="center" wrapText="1"/>
    </xf>
    <xf numFmtId="0" fontId="84" fillId="17" borderId="53" xfId="0" applyFont="1" applyFill="1" applyBorder="1" applyAlignment="1">
      <alignment horizontal="center" vertical="center" wrapText="1"/>
    </xf>
    <xf numFmtId="0" fontId="83" fillId="0" borderId="7" xfId="0" applyFont="1" applyBorder="1" applyAlignment="1">
      <alignment horizontal="center" vertical="center" wrapText="1"/>
    </xf>
    <xf numFmtId="0" fontId="83" fillId="0" borderId="6" xfId="0" applyFont="1" applyBorder="1" applyAlignment="1">
      <alignment horizontal="center" vertical="center" wrapText="1"/>
    </xf>
    <xf numFmtId="0" fontId="84" fillId="0" borderId="7" xfId="0" applyFont="1" applyBorder="1" applyAlignment="1">
      <alignment horizontal="center"/>
    </xf>
    <xf numFmtId="0" fontId="84" fillId="0" borderId="25" xfId="0" applyFont="1" applyBorder="1" applyAlignment="1">
      <alignment horizontal="center"/>
    </xf>
    <xf numFmtId="0" fontId="84" fillId="0" borderId="6" xfId="0" applyFont="1" applyBorder="1" applyAlignment="1">
      <alignment horizontal="center"/>
    </xf>
    <xf numFmtId="0" fontId="83" fillId="0" borderId="10" xfId="0" applyFont="1" applyBorder="1" applyAlignment="1">
      <alignment horizontal="center" vertical="center" wrapText="1"/>
    </xf>
    <xf numFmtId="0" fontId="83" fillId="0" borderId="8" xfId="0" applyFont="1" applyBorder="1" applyAlignment="1">
      <alignment horizontal="center" vertical="center" wrapText="1"/>
    </xf>
    <xf numFmtId="0" fontId="0" fillId="0" borderId="1" xfId="0" applyBorder="1" applyAlignment="1">
      <alignment horizontal="center" vertical="center" wrapText="1"/>
    </xf>
    <xf numFmtId="0" fontId="13" fillId="0" borderId="1" xfId="0" applyFont="1" applyBorder="1" applyAlignment="1">
      <alignment horizontal="center" wrapText="1"/>
    </xf>
    <xf numFmtId="0" fontId="0" fillId="0" borderId="1" xfId="0" applyBorder="1" applyAlignment="1">
      <alignment horizontal="center"/>
    </xf>
    <xf numFmtId="0" fontId="12" fillId="0" borderId="7"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wrapText="1"/>
    </xf>
    <xf numFmtId="0" fontId="12" fillId="0" borderId="6" xfId="0" applyFont="1" applyBorder="1" applyAlignment="1">
      <alignment horizontal="center" wrapText="1"/>
    </xf>
    <xf numFmtId="0" fontId="76" fillId="0" borderId="31" xfId="0" applyFont="1" applyBorder="1" applyAlignment="1">
      <alignment horizontal="center" vertical="center"/>
    </xf>
    <xf numFmtId="0" fontId="84" fillId="0" borderId="7" xfId="0" applyFont="1" applyBorder="1" applyAlignment="1">
      <alignment horizontal="center" vertical="center" wrapText="1"/>
    </xf>
    <xf numFmtId="0" fontId="84" fillId="0" borderId="6" xfId="0" applyFont="1" applyBorder="1" applyAlignment="1">
      <alignment horizontal="center" vertical="center" wrapText="1"/>
    </xf>
    <xf numFmtId="0" fontId="83" fillId="0" borderId="1" xfId="0" applyFont="1" applyBorder="1" applyAlignment="1">
      <alignment horizontal="center" vertical="center" wrapText="1"/>
    </xf>
    <xf numFmtId="0" fontId="84" fillId="0" borderId="1" xfId="0" applyFont="1" applyBorder="1" applyAlignment="1">
      <alignment horizontal="center" vertical="center" wrapText="1"/>
    </xf>
    <xf numFmtId="0" fontId="79" fillId="0" borderId="1" xfId="0" applyFont="1" applyBorder="1" applyAlignment="1">
      <alignment horizontal="center" vertical="center" wrapText="1"/>
    </xf>
    <xf numFmtId="0" fontId="76" fillId="0" borderId="1" xfId="0" applyFont="1" applyBorder="1" applyAlignment="1">
      <alignment horizontal="center" vertical="center" wrapText="1"/>
    </xf>
    <xf numFmtId="0" fontId="76" fillId="0" borderId="7" xfId="0" applyFont="1" applyBorder="1" applyAlignment="1">
      <alignment horizontal="center" vertical="center" wrapText="1"/>
    </xf>
    <xf numFmtId="0" fontId="76" fillId="0" borderId="6" xfId="0" applyFont="1" applyBorder="1" applyAlignment="1">
      <alignment horizontal="center" vertical="center" wrapText="1"/>
    </xf>
    <xf numFmtId="0" fontId="83" fillId="0" borderId="2" xfId="0" applyFont="1" applyBorder="1" applyAlignment="1">
      <alignment horizontal="center" vertical="center" wrapText="1"/>
    </xf>
    <xf numFmtId="0" fontId="84" fillId="7" borderId="31" xfId="0" applyFont="1" applyFill="1" applyBorder="1" applyAlignment="1">
      <alignment horizontal="center" vertical="center" wrapText="1"/>
    </xf>
    <xf numFmtId="0" fontId="84" fillId="7" borderId="0" xfId="0" applyFont="1" applyFill="1" applyAlignment="1">
      <alignment horizontal="center" vertical="center" wrapText="1"/>
    </xf>
    <xf numFmtId="0" fontId="13" fillId="0" borderId="25"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6" fillId="0" borderId="0" xfId="0" applyFont="1" applyAlignment="1">
      <alignment horizontal="left" vertical="center" wrapText="1"/>
    </xf>
    <xf numFmtId="0" fontId="5" fillId="0" borderId="0" xfId="0" applyFont="1" applyAlignment="1">
      <alignment horizontal="left"/>
    </xf>
    <xf numFmtId="0" fontId="13" fillId="0" borderId="1" xfId="0" applyFont="1" applyBorder="1" applyAlignment="1">
      <alignment horizontal="center"/>
    </xf>
    <xf numFmtId="0" fontId="13" fillId="0" borderId="2" xfId="0" applyFont="1" applyBorder="1" applyAlignment="1">
      <alignment horizontal="center"/>
    </xf>
    <xf numFmtId="0" fontId="13" fillId="0" borderId="9" xfId="0" applyFont="1" applyBorder="1" applyAlignment="1">
      <alignment horizontal="center"/>
    </xf>
    <xf numFmtId="0" fontId="13" fillId="0" borderId="8" xfId="0" applyFont="1" applyBorder="1" applyAlignment="1">
      <alignment horizontal="center"/>
    </xf>
    <xf numFmtId="0" fontId="13" fillId="0" borderId="7" xfId="0" applyFont="1" applyBorder="1" applyAlignment="1">
      <alignment horizontal="center"/>
    </xf>
    <xf numFmtId="0" fontId="13" fillId="0" borderId="10" xfId="0" applyFont="1" applyBorder="1" applyAlignment="1">
      <alignment horizontal="center"/>
    </xf>
    <xf numFmtId="0" fontId="13" fillId="0" borderId="1" xfId="0" applyFont="1" applyBorder="1" applyAlignment="1">
      <alignment horizontal="center" vertical="top"/>
    </xf>
    <xf numFmtId="0" fontId="13" fillId="0" borderId="2" xfId="0" applyFont="1" applyBorder="1" applyAlignment="1">
      <alignment horizontal="center" vertical="top"/>
    </xf>
    <xf numFmtId="0" fontId="13" fillId="0" borderId="9" xfId="0" applyFont="1" applyBorder="1" applyAlignment="1">
      <alignment horizontal="center" vertical="top"/>
    </xf>
    <xf numFmtId="0" fontId="13" fillId="0" borderId="7" xfId="0" applyFont="1" applyBorder="1" applyAlignment="1">
      <alignment horizontal="center" vertical="top"/>
    </xf>
    <xf numFmtId="0" fontId="13" fillId="0" borderId="6" xfId="0" applyFont="1" applyBorder="1" applyAlignment="1">
      <alignment horizontal="center" vertical="top"/>
    </xf>
    <xf numFmtId="0" fontId="13" fillId="0" borderId="1" xfId="0" applyFont="1" applyBorder="1" applyAlignment="1">
      <alignment horizontal="left"/>
    </xf>
    <xf numFmtId="0" fontId="19" fillId="0" borderId="1" xfId="0" applyFont="1" applyBorder="1" applyAlignment="1">
      <alignment horizontal="left"/>
    </xf>
    <xf numFmtId="0" fontId="13" fillId="0" borderId="1" xfId="0" applyFont="1" applyBorder="1" applyAlignment="1">
      <alignment horizontal="left" indent="1"/>
    </xf>
    <xf numFmtId="0" fontId="13" fillId="0" borderId="7" xfId="0" applyFont="1" applyBorder="1" applyAlignment="1">
      <alignment horizontal="center" vertical="center" wrapText="1"/>
    </xf>
    <xf numFmtId="0" fontId="13" fillId="0" borderId="6" xfId="0" applyFont="1" applyBorder="1" applyAlignment="1">
      <alignment horizontal="center" vertical="center" wrapText="1"/>
    </xf>
    <xf numFmtId="0" fontId="0" fillId="0" borderId="0" xfId="0"/>
    <xf numFmtId="0" fontId="7" fillId="13" borderId="5" xfId="0" applyFont="1" applyFill="1" applyBorder="1" applyAlignment="1">
      <alignment vertical="center" wrapText="1"/>
    </xf>
    <xf numFmtId="0" fontId="7" fillId="13" borderId="25" xfId="0" applyFont="1" applyFill="1" applyBorder="1" applyAlignment="1">
      <alignment vertical="center" wrapText="1"/>
    </xf>
    <xf numFmtId="0" fontId="7" fillId="13" borderId="4" xfId="0" applyFont="1" applyFill="1" applyBorder="1" applyAlignment="1">
      <alignment vertical="center" wrapText="1"/>
    </xf>
    <xf numFmtId="0" fontId="7" fillId="13" borderId="6" xfId="0" applyFont="1" applyFill="1" applyBorder="1" applyAlignment="1">
      <alignment vertical="center" wrapText="1"/>
    </xf>
    <xf numFmtId="0" fontId="7" fillId="0" borderId="5" xfId="0" applyFont="1" applyBorder="1" applyAlignment="1">
      <alignment vertical="center" wrapText="1"/>
    </xf>
    <xf numFmtId="0" fontId="7" fillId="0" borderId="25" xfId="0" applyFont="1" applyBorder="1" applyAlignment="1">
      <alignment vertical="center" wrapText="1"/>
    </xf>
    <xf numFmtId="0" fontId="7" fillId="0" borderId="4" xfId="0" applyFont="1" applyBorder="1" applyAlignment="1">
      <alignment vertical="center" wrapText="1"/>
    </xf>
    <xf numFmtId="0" fontId="7" fillId="0" borderId="6" xfId="0" applyFont="1" applyBorder="1" applyAlignment="1">
      <alignment vertical="center" wrapText="1"/>
    </xf>
    <xf numFmtId="0" fontId="11" fillId="6" borderId="1" xfId="0" applyFont="1" applyFill="1" applyBorder="1" applyAlignment="1">
      <alignment vertical="center" wrapText="1"/>
    </xf>
    <xf numFmtId="0" fontId="3" fillId="6" borderId="1" xfId="0" applyFont="1" applyFill="1" applyBorder="1" applyAlignment="1">
      <alignment vertical="center" wrapText="1"/>
    </xf>
    <xf numFmtId="0" fontId="89" fillId="11" borderId="31" xfId="0" applyFont="1" applyFill="1" applyBorder="1" applyAlignment="1">
      <alignment horizontal="right" vertical="center" wrapText="1" indent="1"/>
    </xf>
    <xf numFmtId="0" fontId="84" fillId="0" borderId="0" xfId="0" applyFont="1" applyAlignment="1">
      <alignment horizontal="center"/>
    </xf>
    <xf numFmtId="0" fontId="89" fillId="7" borderId="31" xfId="0" applyFont="1" applyFill="1" applyBorder="1" applyAlignment="1">
      <alignment horizontal="center" vertical="center" wrapText="1"/>
    </xf>
    <xf numFmtId="0" fontId="84" fillId="11" borderId="37" xfId="0" applyFont="1" applyFill="1" applyBorder="1" applyAlignment="1">
      <alignment vertical="center" wrapText="1"/>
    </xf>
    <xf numFmtId="166" fontId="83" fillId="12" borderId="31" xfId="22" applyNumberFormat="1" applyFont="1" applyFill="1" applyBorder="1" applyAlignment="1">
      <alignment horizontal="left" vertical="center" wrapText="1" indent="1"/>
    </xf>
    <xf numFmtId="0" fontId="76" fillId="0" borderId="0" xfId="0" applyFont="1" applyAlignment="1">
      <alignment horizontal="left" vertical="center" wrapText="1"/>
    </xf>
    <xf numFmtId="166" fontId="83" fillId="11" borderId="37" xfId="22" applyNumberFormat="1" applyFont="1" applyFill="1" applyBorder="1" applyAlignment="1">
      <alignment vertical="center" wrapText="1"/>
    </xf>
    <xf numFmtId="166" fontId="84" fillId="17" borderId="31" xfId="22" applyNumberFormat="1" applyFont="1" applyFill="1" applyBorder="1" applyAlignment="1">
      <alignment horizontal="center" vertical="center" wrapText="1"/>
    </xf>
    <xf numFmtId="166" fontId="84" fillId="17" borderId="31" xfId="22" applyNumberFormat="1" applyFont="1" applyFill="1" applyBorder="1" applyAlignment="1">
      <alignment horizontal="left" vertical="center" wrapText="1" indent="1"/>
    </xf>
    <xf numFmtId="166" fontId="84" fillId="11" borderId="37" xfId="22" applyNumberFormat="1" applyFont="1" applyFill="1" applyBorder="1" applyAlignment="1">
      <alignment vertical="center" wrapText="1"/>
    </xf>
    <xf numFmtId="166" fontId="84" fillId="17" borderId="31" xfId="22" quotePrefix="1" applyNumberFormat="1" applyFont="1" applyFill="1" applyBorder="1" applyAlignment="1">
      <alignment vertical="center" wrapText="1"/>
    </xf>
    <xf numFmtId="166" fontId="84" fillId="17" borderId="31" xfId="22" applyNumberFormat="1" applyFont="1" applyFill="1" applyBorder="1" applyAlignment="1">
      <alignment vertical="center" wrapText="1"/>
    </xf>
    <xf numFmtId="166" fontId="84" fillId="7" borderId="31" xfId="22" quotePrefix="1" applyNumberFormat="1" applyFont="1" applyFill="1" applyBorder="1" applyAlignment="1">
      <alignment vertical="center" wrapText="1"/>
    </xf>
    <xf numFmtId="166" fontId="84" fillId="7" borderId="31" xfId="22" applyNumberFormat="1" applyFont="1" applyFill="1" applyBorder="1" applyAlignment="1">
      <alignment vertical="center" wrapText="1"/>
    </xf>
    <xf numFmtId="166" fontId="84" fillId="7" borderId="31" xfId="22" applyNumberFormat="1" applyFont="1" applyFill="1" applyBorder="1" applyAlignment="1">
      <alignment horizontal="center" vertical="center" wrapText="1"/>
    </xf>
    <xf numFmtId="166" fontId="92" fillId="7" borderId="31" xfId="22" applyNumberFormat="1" applyFont="1" applyFill="1" applyBorder="1" applyAlignment="1">
      <alignment horizontal="left" vertical="center" wrapText="1" indent="1"/>
    </xf>
    <xf numFmtId="166" fontId="83" fillId="11" borderId="37" xfId="22" applyNumberFormat="1" applyFont="1" applyFill="1" applyBorder="1" applyAlignment="1">
      <alignment horizontal="center" vertical="center"/>
    </xf>
    <xf numFmtId="0" fontId="83" fillId="8" borderId="31" xfId="0" applyFont="1" applyFill="1" applyBorder="1" applyAlignment="1">
      <alignment horizontal="center" vertical="center"/>
    </xf>
    <xf numFmtId="166" fontId="83" fillId="8" borderId="31" xfId="22" applyNumberFormat="1" applyFont="1" applyFill="1" applyBorder="1" applyAlignment="1">
      <alignment horizontal="center" vertical="center"/>
    </xf>
    <xf numFmtId="0" fontId="84" fillId="8" borderId="31" xfId="0" applyFont="1" applyFill="1" applyBorder="1" applyAlignment="1">
      <alignment horizontal="center" vertical="center" wrapText="1"/>
    </xf>
    <xf numFmtId="166" fontId="84" fillId="0" borderId="31" xfId="22" applyNumberFormat="1" applyFont="1" applyBorder="1" applyAlignment="1">
      <alignment horizontal="center" vertical="center"/>
    </xf>
    <xf numFmtId="166" fontId="84" fillId="17" borderId="31" xfId="22" applyNumberFormat="1" applyFont="1" applyFill="1" applyBorder="1" applyAlignment="1">
      <alignment horizontal="center" vertical="center"/>
    </xf>
    <xf numFmtId="166" fontId="84" fillId="0" borderId="31" xfId="22" applyNumberFormat="1" applyFont="1" applyBorder="1" applyAlignment="1">
      <alignment horizontal="center" vertical="center" wrapText="1"/>
    </xf>
    <xf numFmtId="166" fontId="84" fillId="8" borderId="31" xfId="22" applyNumberFormat="1" applyFont="1" applyFill="1" applyBorder="1" applyAlignment="1">
      <alignment horizontal="center" vertical="center"/>
    </xf>
    <xf numFmtId="166" fontId="83" fillId="17" borderId="31" xfId="22" applyNumberFormat="1" applyFont="1" applyFill="1" applyBorder="1" applyAlignment="1">
      <alignment horizontal="center" vertical="center" wrapText="1"/>
    </xf>
    <xf numFmtId="0" fontId="84" fillId="14" borderId="31" xfId="0" applyFont="1" applyFill="1" applyBorder="1" applyAlignment="1">
      <alignment horizontal="center" vertical="center" wrapText="1"/>
    </xf>
    <xf numFmtId="166" fontId="84" fillId="8" borderId="31" xfId="22" applyNumberFormat="1" applyFont="1" applyFill="1" applyBorder="1" applyAlignment="1">
      <alignment horizontal="center" vertical="center" wrapText="1"/>
    </xf>
    <xf numFmtId="166" fontId="92" fillId="0" borderId="31" xfId="22" applyNumberFormat="1" applyFont="1" applyBorder="1" applyAlignment="1">
      <alignment horizontal="center" vertical="center"/>
    </xf>
    <xf numFmtId="0" fontId="122" fillId="11" borderId="31" xfId="0" applyFont="1" applyFill="1" applyBorder="1" applyAlignment="1">
      <alignment horizontal="left" vertical="center" indent="1"/>
    </xf>
    <xf numFmtId="166" fontId="83" fillId="8" borderId="31" xfId="22" applyNumberFormat="1" applyFont="1" applyFill="1" applyBorder="1" applyAlignment="1">
      <alignment horizontal="center" vertical="center" wrapText="1"/>
    </xf>
    <xf numFmtId="0" fontId="92" fillId="0" borderId="0" xfId="0" applyFont="1" applyAlignment="1">
      <alignment vertical="center"/>
    </xf>
    <xf numFmtId="0" fontId="92" fillId="0" borderId="0" xfId="0" applyFont="1" applyAlignment="1">
      <alignment horizontal="left" vertical="center" indent="1"/>
    </xf>
    <xf numFmtId="166" fontId="92" fillId="8" borderId="31" xfId="22" applyNumberFormat="1" applyFont="1" applyFill="1" applyBorder="1" applyAlignment="1">
      <alignment vertical="center" wrapText="1"/>
    </xf>
    <xf numFmtId="166" fontId="83" fillId="8" borderId="31" xfId="22" applyNumberFormat="1" applyFont="1" applyFill="1" applyBorder="1" applyAlignment="1">
      <alignment vertical="center"/>
    </xf>
    <xf numFmtId="0" fontId="122" fillId="11" borderId="32" xfId="0" applyFont="1" applyFill="1" applyBorder="1" applyAlignment="1">
      <alignment horizontal="left" vertical="center" indent="1"/>
    </xf>
    <xf numFmtId="0" fontId="122" fillId="11" borderId="36" xfId="0" applyFont="1" applyFill="1" applyBorder="1" applyAlignment="1">
      <alignment horizontal="left" vertical="center" indent="1"/>
    </xf>
    <xf numFmtId="166" fontId="84" fillId="17" borderId="34" xfId="22" applyNumberFormat="1" applyFont="1" applyFill="1" applyBorder="1" applyAlignment="1">
      <alignment horizontal="center" vertical="center"/>
    </xf>
    <xf numFmtId="166" fontId="83" fillId="17" borderId="34" xfId="22" applyNumberFormat="1" applyFont="1" applyFill="1" applyBorder="1" applyAlignment="1">
      <alignment horizontal="center" vertical="center" wrapText="1"/>
    </xf>
    <xf numFmtId="0" fontId="84" fillId="0" borderId="33" xfId="0" applyFont="1" applyBorder="1" applyAlignment="1">
      <alignment horizontal="center" vertical="center" wrapText="1"/>
    </xf>
    <xf numFmtId="0" fontId="84" fillId="0" borderId="35" xfId="0" applyFont="1" applyBorder="1" applyAlignment="1">
      <alignment horizontal="center" vertical="center" wrapText="1"/>
    </xf>
    <xf numFmtId="0" fontId="110" fillId="0" borderId="0" xfId="0" applyFont="1" applyAlignment="1">
      <alignment vertical="center" wrapText="1"/>
    </xf>
    <xf numFmtId="0" fontId="89" fillId="0" borderId="0" xfId="0" applyFont="1" applyAlignment="1">
      <alignment vertical="center" wrapText="1"/>
    </xf>
    <xf numFmtId="0" fontId="90" fillId="0" borderId="46" xfId="0" applyFont="1" applyBorder="1" applyAlignment="1">
      <alignment horizontal="center" vertical="center" wrapText="1"/>
    </xf>
    <xf numFmtId="0" fontId="90" fillId="0" borderId="45" xfId="0" applyFont="1" applyBorder="1" applyAlignment="1">
      <alignment horizontal="center" vertical="center" wrapText="1"/>
    </xf>
    <xf numFmtId="0" fontId="90" fillId="0" borderId="41" xfId="0" applyFont="1" applyBorder="1" applyAlignment="1">
      <alignment horizontal="center" vertical="center" wrapText="1"/>
    </xf>
    <xf numFmtId="0" fontId="90" fillId="0" borderId="0" xfId="0" applyFont="1" applyAlignment="1">
      <alignment horizontal="center" vertical="center" wrapText="1"/>
    </xf>
    <xf numFmtId="0" fontId="90" fillId="0" borderId="67" xfId="0" applyFont="1" applyBorder="1" applyAlignment="1">
      <alignment horizontal="center" vertical="center" wrapText="1"/>
    </xf>
    <xf numFmtId="0" fontId="90" fillId="0" borderId="66" xfId="0" applyFont="1" applyBorder="1" applyAlignment="1">
      <alignment horizontal="center" vertical="center" wrapText="1"/>
    </xf>
    <xf numFmtId="0" fontId="90" fillId="0" borderId="60" xfId="0" applyFont="1" applyBorder="1" applyAlignment="1">
      <alignment horizontal="center" vertical="center" wrapText="1"/>
    </xf>
    <xf numFmtId="0" fontId="90" fillId="0" borderId="69" xfId="0" applyFont="1" applyBorder="1" applyAlignment="1">
      <alignment horizontal="center" vertical="center" wrapText="1"/>
    </xf>
    <xf numFmtId="0" fontId="84" fillId="0" borderId="62" xfId="0" applyFont="1" applyBorder="1" applyAlignment="1">
      <alignment horizontal="center" vertical="center" wrapText="1"/>
    </xf>
    <xf numFmtId="0" fontId="84" fillId="0" borderId="64" xfId="0" applyFont="1" applyBorder="1" applyAlignment="1">
      <alignment horizontal="center" vertical="center" wrapText="1"/>
    </xf>
    <xf numFmtId="0" fontId="84" fillId="0" borderId="63" xfId="0" applyFont="1" applyBorder="1" applyAlignment="1">
      <alignment horizontal="center" vertical="center" wrapText="1"/>
    </xf>
    <xf numFmtId="0" fontId="84" fillId="0" borderId="10" xfId="0" applyFont="1" applyBorder="1" applyAlignment="1">
      <alignment horizontal="center" vertical="center" wrapText="1"/>
    </xf>
    <xf numFmtId="0" fontId="84" fillId="0" borderId="60" xfId="0" applyFont="1" applyBorder="1" applyAlignment="1">
      <alignment horizontal="center" vertical="center" wrapText="1"/>
    </xf>
    <xf numFmtId="0" fontId="84" fillId="0" borderId="61" xfId="0" applyFont="1" applyBorder="1" applyAlignment="1">
      <alignment horizontal="center" vertical="center" wrapText="1"/>
    </xf>
    <xf numFmtId="0" fontId="84" fillId="0" borderId="65" xfId="0" applyFont="1" applyBorder="1" applyAlignment="1">
      <alignment horizontal="center" vertical="center" wrapText="1"/>
    </xf>
    <xf numFmtId="0" fontId="90" fillId="0" borderId="32" xfId="0" applyFont="1" applyBorder="1" applyAlignment="1">
      <alignment horizontal="right" vertical="center" wrapText="1" indent="1"/>
    </xf>
    <xf numFmtId="0" fontId="110" fillId="0" borderId="0" xfId="0" applyFont="1" applyAlignment="1">
      <alignment horizontal="left" vertical="center"/>
    </xf>
    <xf numFmtId="0" fontId="89" fillId="0" borderId="0" xfId="0" applyFont="1" applyAlignment="1">
      <alignment horizontal="left" vertical="center"/>
    </xf>
    <xf numFmtId="0" fontId="13" fillId="0" borderId="1" xfId="0" applyFont="1" applyBorder="1" applyAlignment="1">
      <alignment horizontal="center" vertical="center" wrapText="1"/>
    </xf>
    <xf numFmtId="0" fontId="83" fillId="0" borderId="32" xfId="10" applyFont="1" applyBorder="1" applyAlignment="1">
      <alignment horizontal="center" vertical="center" wrapText="1"/>
    </xf>
    <xf numFmtId="0" fontId="84" fillId="0" borderId="32" xfId="10" applyFont="1" applyBorder="1" applyAlignment="1">
      <alignment horizontal="center" vertical="center" wrapText="1"/>
    </xf>
    <xf numFmtId="0" fontId="76" fillId="0" borderId="32" xfId="0" applyFont="1" applyBorder="1" applyAlignment="1">
      <alignment horizontal="center" vertical="center" wrapText="1"/>
    </xf>
  </cellXfs>
  <cellStyles count="24">
    <cellStyle name="=C:\WINNT35\SYSTEM32\COMMAND.COM" xfId="3" xr:uid="{00000000-0005-0000-0000-000000000000}"/>
    <cellStyle name="EY0dp" xfId="23" xr:uid="{3EC1B2BD-8621-4E0F-9C4D-F40332C74FFC}"/>
    <cellStyle name="greyed" xfId="6" xr:uid="{00000000-0005-0000-0000-000001000000}"/>
    <cellStyle name="Heading 1 2" xfId="1" xr:uid="{00000000-0005-0000-0000-000002000000}"/>
    <cellStyle name="Heading 2 2" xfId="4" xr:uid="{00000000-0005-0000-0000-000003000000}"/>
    <cellStyle name="HeadingTable" xfId="5" xr:uid="{00000000-0005-0000-0000-000004000000}"/>
    <cellStyle name="Hyperkobling" xfId="9" builtinId="8"/>
    <cellStyle name="Hyperkobling 2" xfId="16" xr:uid="{C35251D7-0C5E-429D-B305-5E36D0259BFA}"/>
    <cellStyle name="Hyperkobling 3" xfId="18" xr:uid="{32A4AF11-6305-4A43-8B03-27CEB09909E2}"/>
    <cellStyle name="Komma" xfId="22" builtinId="3"/>
    <cellStyle name="Komma 2" xfId="19" xr:uid="{CB63B4EA-FD40-4B86-836D-D50F51E2D0D4}"/>
    <cellStyle name="Normal" xfId="0" builtinId="0"/>
    <cellStyle name="Normal 2" xfId="2" xr:uid="{00000000-0005-0000-0000-000007000000}"/>
    <cellStyle name="Normal 2 2" xfId="11" xr:uid="{00000000-0005-0000-0000-000008000000}"/>
    <cellStyle name="Normal 2 2 2" xfId="8" xr:uid="{00000000-0005-0000-0000-000009000000}"/>
    <cellStyle name="Normal 2_CEBS 2009 38 Annex 1 (CP06rev2 FINREP templates)" xfId="13" xr:uid="{00000000-0005-0000-0000-00000A000000}"/>
    <cellStyle name="Normal 3" xfId="15" xr:uid="{CB21F359-367B-4B27-B5D3-890D9EAD8712}"/>
    <cellStyle name="Normal 3 2" xfId="21" xr:uid="{3D87BF12-40CD-4CB8-9C68-0D1071377009}"/>
    <cellStyle name="Normal 4" xfId="17" xr:uid="{6862FF7B-0AFE-46B6-9C4E-7B1A4850A541}"/>
    <cellStyle name="Normal 5_20130128_ITS on reporting_Annex I_CA 2" xfId="14" xr:uid="{920CF064-83F3-4257-AB7C-55D49A1C8C00}"/>
    <cellStyle name="Normal_20 OPR" xfId="10" xr:uid="{00000000-0005-0000-0000-00000B000000}"/>
    <cellStyle name="optionalExposure" xfId="7" xr:uid="{00000000-0005-0000-0000-00000C000000}"/>
    <cellStyle name="Prosent" xfId="12" builtinId="5"/>
    <cellStyle name="Prosent 2" xfId="20" xr:uid="{874747CD-332B-45DA-8FB4-8063C85E37E4}"/>
  </cellStyles>
  <dxfs count="4">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D9D9D9"/>
      <color rgb="FFB0D1E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1.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3.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0</xdr:colOff>
      <xdr:row>59</xdr:row>
      <xdr:rowOff>179294</xdr:rowOff>
    </xdr:to>
    <xdr:pic>
      <xdr:nvPicPr>
        <xdr:cNvPr id="2" name="Bilde 54">
          <a:extLst>
            <a:ext uri="{FF2B5EF4-FFF2-40B4-BE49-F238E27FC236}">
              <a16:creationId xmlns:a16="http://schemas.microsoft.com/office/drawing/2014/main" id="{0BD72B96-CEA2-410A-B992-5F90826113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42412" cy="11575676"/>
        </a:xfrm>
        <a:prstGeom prst="rect">
          <a:avLst/>
        </a:prstGeom>
      </xdr:spPr>
    </xdr:pic>
    <xdr:clientData/>
  </xdr:twoCellAnchor>
  <xdr:twoCellAnchor editAs="oneCell">
    <xdr:from>
      <xdr:col>1</xdr:col>
      <xdr:colOff>0</xdr:colOff>
      <xdr:row>8</xdr:row>
      <xdr:rowOff>57150</xdr:rowOff>
    </xdr:from>
    <xdr:to>
      <xdr:col>5</xdr:col>
      <xdr:colOff>161925</xdr:colOff>
      <xdr:row>12</xdr:row>
      <xdr:rowOff>38100</xdr:rowOff>
    </xdr:to>
    <xdr:pic>
      <xdr:nvPicPr>
        <xdr:cNvPr id="3" name="Picture 1">
          <a:extLst>
            <a:ext uri="{FF2B5EF4-FFF2-40B4-BE49-F238E27FC236}">
              <a16:creationId xmlns:a16="http://schemas.microsoft.com/office/drawing/2014/main" id="{6DF1E76E-5718-42E9-BC76-A01B77B800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1733550"/>
          <a:ext cx="2600325" cy="742950"/>
        </a:xfrm>
        <a:prstGeom prst="rect">
          <a:avLst/>
        </a:prstGeom>
      </xdr:spPr>
    </xdr:pic>
    <xdr:clientData/>
  </xdr:twoCellAnchor>
  <xdr:twoCellAnchor>
    <xdr:from>
      <xdr:col>1</xdr:col>
      <xdr:colOff>0</xdr:colOff>
      <xdr:row>1</xdr:row>
      <xdr:rowOff>28575</xdr:rowOff>
    </xdr:from>
    <xdr:to>
      <xdr:col>9</xdr:col>
      <xdr:colOff>0</xdr:colOff>
      <xdr:row>11</xdr:row>
      <xdr:rowOff>66675</xdr:rowOff>
    </xdr:to>
    <xdr:sp macro="" textlink="">
      <xdr:nvSpPr>
        <xdr:cNvPr id="4" name="TextBox 3">
          <a:extLst>
            <a:ext uri="{FF2B5EF4-FFF2-40B4-BE49-F238E27FC236}">
              <a16:creationId xmlns:a16="http://schemas.microsoft.com/office/drawing/2014/main" id="{153B4E09-9849-4D6C-A625-A575BF40AB75}"/>
            </a:ext>
          </a:extLst>
        </xdr:cNvPr>
        <xdr:cNvSpPr txBox="1"/>
      </xdr:nvSpPr>
      <xdr:spPr>
        <a:xfrm>
          <a:off x="190500" y="219075"/>
          <a:ext cx="487680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nb-NO" sz="2000" b="1">
              <a:solidFill>
                <a:schemeClr val="bg1"/>
              </a:solidFill>
            </a:rPr>
            <a:t>Additional Pillar III disclosures</a:t>
          </a:r>
        </a:p>
        <a:p>
          <a:pPr algn="l"/>
          <a:endParaRPr lang="nb-NO" sz="2000" b="1">
            <a:solidFill>
              <a:schemeClr val="bg1"/>
            </a:solidFill>
          </a:endParaRPr>
        </a:p>
        <a:p>
          <a:pPr algn="l"/>
          <a:r>
            <a:rPr lang="nb-NO" sz="1100" b="0">
              <a:solidFill>
                <a:schemeClr val="bg1"/>
              </a:solidFill>
            </a:rPr>
            <a:t>SpareBank 1 Nord-Norge Q4 2022</a:t>
          </a:r>
        </a:p>
        <a:p>
          <a:pPr algn="l"/>
          <a:endParaRPr lang="nb-NO" sz="1100" b="0">
            <a:solidFill>
              <a:schemeClr val="bg1"/>
            </a:solidFill>
          </a:endParaRPr>
        </a:p>
        <a:p>
          <a:pPr algn="l"/>
          <a:r>
            <a:rPr lang="nb-NO" sz="1100" b="0">
              <a:solidFill>
                <a:schemeClr val="bg1"/>
              </a:solidFill>
            </a:rPr>
            <a:t>All amounts are in NOK million unless otherwise stated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47</xdr:row>
      <xdr:rowOff>0</xdr:rowOff>
    </xdr:from>
    <xdr:to>
      <xdr:col>6</xdr:col>
      <xdr:colOff>65249</xdr:colOff>
      <xdr:row>55</xdr:row>
      <xdr:rowOff>153124</xdr:rowOff>
    </xdr:to>
    <xdr:sp macro="" textlink="">
      <xdr:nvSpPr>
        <xdr:cNvPr id="2" name="TextBox 1">
          <a:extLst>
            <a:ext uri="{FF2B5EF4-FFF2-40B4-BE49-F238E27FC236}">
              <a16:creationId xmlns:a16="http://schemas.microsoft.com/office/drawing/2014/main" id="{E39D2027-46DA-45AC-9D81-1D581BD9248B}"/>
            </a:ext>
          </a:extLst>
        </xdr:cNvPr>
        <xdr:cNvSpPr txBox="1"/>
      </xdr:nvSpPr>
      <xdr:spPr>
        <a:xfrm>
          <a:off x="333375" y="6965156"/>
          <a:ext cx="7482843" cy="1486624"/>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endParaRPr lang="nb-NO" sz="1000" b="1"/>
        </a:p>
        <a:p>
          <a:endParaRPr lang="nb-NO" sz="10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24</xdr:row>
      <xdr:rowOff>0</xdr:rowOff>
    </xdr:from>
    <xdr:to>
      <xdr:col>10</xdr:col>
      <xdr:colOff>398624</xdr:colOff>
      <xdr:row>28</xdr:row>
      <xdr:rowOff>248374</xdr:rowOff>
    </xdr:to>
    <xdr:sp macro="" textlink="">
      <xdr:nvSpPr>
        <xdr:cNvPr id="2" name="TextBox 1">
          <a:extLst>
            <a:ext uri="{FF2B5EF4-FFF2-40B4-BE49-F238E27FC236}">
              <a16:creationId xmlns:a16="http://schemas.microsoft.com/office/drawing/2014/main" id="{715259BD-5E99-46BE-B62E-BD54EA9E1CB0}"/>
            </a:ext>
          </a:extLst>
        </xdr:cNvPr>
        <xdr:cNvSpPr txBox="1"/>
      </xdr:nvSpPr>
      <xdr:spPr>
        <a:xfrm>
          <a:off x="333375" y="7143750"/>
          <a:ext cx="7482843" cy="1486624"/>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endParaRPr lang="nb-NO" sz="1000" b="1"/>
        </a:p>
        <a:p>
          <a:endParaRPr lang="nb-NO" sz="10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36</xdr:row>
      <xdr:rowOff>0</xdr:rowOff>
    </xdr:from>
    <xdr:to>
      <xdr:col>15</xdr:col>
      <xdr:colOff>136687</xdr:colOff>
      <xdr:row>44</xdr:row>
      <xdr:rowOff>57874</xdr:rowOff>
    </xdr:to>
    <xdr:sp macro="" textlink="">
      <xdr:nvSpPr>
        <xdr:cNvPr id="2" name="TextBox 1">
          <a:extLst>
            <a:ext uri="{FF2B5EF4-FFF2-40B4-BE49-F238E27FC236}">
              <a16:creationId xmlns:a16="http://schemas.microsoft.com/office/drawing/2014/main" id="{C07F0909-5776-4A3D-96AE-C4F77FF64B7E}"/>
            </a:ext>
          </a:extLst>
        </xdr:cNvPr>
        <xdr:cNvSpPr txBox="1"/>
      </xdr:nvSpPr>
      <xdr:spPr>
        <a:xfrm>
          <a:off x="333375" y="8001000"/>
          <a:ext cx="7482843" cy="1486624"/>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endParaRPr lang="nb-NO" sz="1000" b="1"/>
        </a:p>
        <a:p>
          <a:endParaRPr lang="nb-NO" sz="10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18</xdr:row>
      <xdr:rowOff>23813</xdr:rowOff>
    </xdr:from>
    <xdr:to>
      <xdr:col>6</xdr:col>
      <xdr:colOff>684374</xdr:colOff>
      <xdr:row>22</xdr:row>
      <xdr:rowOff>557937</xdr:rowOff>
    </xdr:to>
    <xdr:sp macro="" textlink="">
      <xdr:nvSpPr>
        <xdr:cNvPr id="2" name="TextBox 1">
          <a:extLst>
            <a:ext uri="{FF2B5EF4-FFF2-40B4-BE49-F238E27FC236}">
              <a16:creationId xmlns:a16="http://schemas.microsoft.com/office/drawing/2014/main" id="{9E06E85B-5227-4594-9DFE-ED5976E93F33}"/>
            </a:ext>
          </a:extLst>
        </xdr:cNvPr>
        <xdr:cNvSpPr txBox="1"/>
      </xdr:nvSpPr>
      <xdr:spPr>
        <a:xfrm>
          <a:off x="333375" y="3845719"/>
          <a:ext cx="7482843" cy="1486624"/>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endParaRPr lang="nb-NO" sz="1000" b="1"/>
        </a:p>
        <a:p>
          <a:endParaRPr lang="nb-NO" sz="10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34</xdr:row>
      <xdr:rowOff>0</xdr:rowOff>
    </xdr:from>
    <xdr:to>
      <xdr:col>8</xdr:col>
      <xdr:colOff>458155</xdr:colOff>
      <xdr:row>39</xdr:row>
      <xdr:rowOff>653187</xdr:rowOff>
    </xdr:to>
    <xdr:sp macro="" textlink="">
      <xdr:nvSpPr>
        <xdr:cNvPr id="2" name="TextBox 1">
          <a:extLst>
            <a:ext uri="{FF2B5EF4-FFF2-40B4-BE49-F238E27FC236}">
              <a16:creationId xmlns:a16="http://schemas.microsoft.com/office/drawing/2014/main" id="{54F6A770-16D7-46AA-9223-556A9F4C2E5F}"/>
            </a:ext>
          </a:extLst>
        </xdr:cNvPr>
        <xdr:cNvSpPr txBox="1"/>
      </xdr:nvSpPr>
      <xdr:spPr>
        <a:xfrm>
          <a:off x="333375" y="7227094"/>
          <a:ext cx="7482843" cy="1486624"/>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endParaRPr lang="nb-NO" sz="1000" b="1"/>
        </a:p>
        <a:p>
          <a:endParaRPr lang="nb-NO" sz="10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14</xdr:row>
      <xdr:rowOff>0</xdr:rowOff>
    </xdr:from>
    <xdr:to>
      <xdr:col>8</xdr:col>
      <xdr:colOff>607218</xdr:colOff>
      <xdr:row>21</xdr:row>
      <xdr:rowOff>119062</xdr:rowOff>
    </xdr:to>
    <xdr:sp macro="" textlink="">
      <xdr:nvSpPr>
        <xdr:cNvPr id="4" name="TextBox 1">
          <a:extLst>
            <a:ext uri="{FF2B5EF4-FFF2-40B4-BE49-F238E27FC236}">
              <a16:creationId xmlns:a16="http://schemas.microsoft.com/office/drawing/2014/main" id="{39556A20-E961-47FC-AFC4-DDFFA5B5EEDE}"/>
            </a:ext>
          </a:extLst>
        </xdr:cNvPr>
        <xdr:cNvSpPr txBox="1"/>
      </xdr:nvSpPr>
      <xdr:spPr>
        <a:xfrm>
          <a:off x="333375" y="3000375"/>
          <a:ext cx="7393781" cy="1285875"/>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000">
              <a:solidFill>
                <a:schemeClr val="dk1"/>
              </a:solidFill>
              <a:effectLst/>
              <a:latin typeface="Calibri" panose="020F0502020204030204" pitchFamily="34" charset="0"/>
              <a:ea typeface="+mn-ea"/>
              <a:cs typeface="Calibri" panose="020F0502020204030204" pitchFamily="34" charset="0"/>
            </a:rPr>
            <a:t>Level of application:T</a:t>
          </a:r>
          <a:r>
            <a:rPr lang="nb-NO" sz="1000" baseline="0">
              <a:solidFill>
                <a:schemeClr val="dk1"/>
              </a:solidFill>
              <a:effectLst/>
              <a:latin typeface="Calibri" panose="020F0502020204030204" pitchFamily="34" charset="0"/>
              <a:ea typeface="+mn-ea"/>
              <a:cs typeface="Calibri" panose="020F0502020204030204" pitchFamily="34" charset="0"/>
            </a:rPr>
            <a:t>he table above is from consolidated IFRS-level d</a:t>
          </a:r>
          <a:r>
            <a:rPr lang="nb-NO" sz="1000">
              <a:solidFill>
                <a:schemeClr val="dk1"/>
              </a:solidFill>
              <a:effectLst/>
              <a:latin typeface="Calibri" panose="020F0502020204030204" pitchFamily="34" charset="0"/>
              <a:ea typeface="+mn-ea"/>
              <a:cs typeface="Calibri" panose="020F0502020204030204" pitchFamily="34" charset="0"/>
            </a:rPr>
            <a:t>ue</a:t>
          </a:r>
          <a:r>
            <a:rPr lang="nb-NO" sz="1000" baseline="0">
              <a:solidFill>
                <a:schemeClr val="dk1"/>
              </a:solidFill>
              <a:effectLst/>
              <a:latin typeface="Calibri" panose="020F0502020204030204" pitchFamily="34" charset="0"/>
              <a:ea typeface="+mn-ea"/>
              <a:cs typeface="Calibri" panose="020F0502020204030204" pitchFamily="34" charset="0"/>
            </a:rPr>
            <a:t> to insufficient data on colsolidated regulatory level. </a:t>
          </a:r>
          <a:endParaRPr lang="nb-NO" sz="1000">
            <a:latin typeface="Calibri" panose="020F0502020204030204" pitchFamily="34" charset="0"/>
            <a:cs typeface="Calibri" panose="020F050202020403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19</xdr:row>
      <xdr:rowOff>0</xdr:rowOff>
    </xdr:from>
    <xdr:to>
      <xdr:col>4</xdr:col>
      <xdr:colOff>182797</xdr:colOff>
      <xdr:row>27</xdr:row>
      <xdr:rowOff>66533</xdr:rowOff>
    </xdr:to>
    <xdr:sp macro="" textlink="">
      <xdr:nvSpPr>
        <xdr:cNvPr id="2" name="TextBox 1">
          <a:extLst>
            <a:ext uri="{FF2B5EF4-FFF2-40B4-BE49-F238E27FC236}">
              <a16:creationId xmlns:a16="http://schemas.microsoft.com/office/drawing/2014/main" id="{2723816C-3C8C-4413-88D7-CEB1FD0E05C7}"/>
            </a:ext>
          </a:extLst>
        </xdr:cNvPr>
        <xdr:cNvSpPr txBox="1"/>
      </xdr:nvSpPr>
      <xdr:spPr>
        <a:xfrm>
          <a:off x="785813" y="6953250"/>
          <a:ext cx="7540859" cy="1400033"/>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endParaRPr lang="nb-NO" sz="1000" b="1"/>
        </a:p>
        <a:p>
          <a:endParaRPr lang="nb-NO" sz="10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27</xdr:row>
      <xdr:rowOff>95250</xdr:rowOff>
    </xdr:from>
    <xdr:to>
      <xdr:col>3</xdr:col>
      <xdr:colOff>1091568</xdr:colOff>
      <xdr:row>36</xdr:row>
      <xdr:rowOff>81686</xdr:rowOff>
    </xdr:to>
    <xdr:sp macro="" textlink="">
      <xdr:nvSpPr>
        <xdr:cNvPr id="2" name="TextBox 1">
          <a:extLst>
            <a:ext uri="{FF2B5EF4-FFF2-40B4-BE49-F238E27FC236}">
              <a16:creationId xmlns:a16="http://schemas.microsoft.com/office/drawing/2014/main" id="{6729D07E-A96A-4F15-8329-DA2BB2F5A965}"/>
            </a:ext>
          </a:extLst>
        </xdr:cNvPr>
        <xdr:cNvSpPr txBox="1"/>
      </xdr:nvSpPr>
      <xdr:spPr>
        <a:xfrm>
          <a:off x="333375" y="7393781"/>
          <a:ext cx="7092318" cy="1486624"/>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endParaRPr lang="nb-NO" sz="1000" b="1"/>
        </a:p>
        <a:p>
          <a:endParaRPr lang="nb-NO" sz="10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83344</xdr:colOff>
      <xdr:row>28</xdr:row>
      <xdr:rowOff>130969</xdr:rowOff>
    </xdr:from>
    <xdr:to>
      <xdr:col>6</xdr:col>
      <xdr:colOff>580159</xdr:colOff>
      <xdr:row>37</xdr:row>
      <xdr:rowOff>30815</xdr:rowOff>
    </xdr:to>
    <xdr:sp macro="" textlink="">
      <xdr:nvSpPr>
        <xdr:cNvPr id="65" name="TextBox 1">
          <a:extLst>
            <a:ext uri="{FF2B5EF4-FFF2-40B4-BE49-F238E27FC236}">
              <a16:creationId xmlns:a16="http://schemas.microsoft.com/office/drawing/2014/main" id="{B4C4C16A-058F-4346-A506-6392932BB9EB}"/>
            </a:ext>
          </a:extLst>
        </xdr:cNvPr>
        <xdr:cNvSpPr txBox="1"/>
      </xdr:nvSpPr>
      <xdr:spPr>
        <a:xfrm>
          <a:off x="421049" y="5023355"/>
          <a:ext cx="6445610" cy="1380551"/>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pPr marL="0" marR="0" lvl="0" indent="0" defTabSz="914400" eaLnBrk="1" fontAlgn="auto" latinLnBrk="0" hangingPunct="1">
            <a:lnSpc>
              <a:spcPct val="100000"/>
            </a:lnSpc>
            <a:spcBef>
              <a:spcPts val="0"/>
            </a:spcBef>
            <a:spcAft>
              <a:spcPts val="0"/>
            </a:spcAft>
            <a:buClrTx/>
            <a:buSzTx/>
            <a:buFontTx/>
            <a:buNone/>
            <a:tabLst/>
            <a:defRPr/>
          </a:pPr>
          <a:endParaRPr lang="nb-NO" sz="1000">
            <a:solidFill>
              <a:schemeClr val="dk1"/>
            </a:solidFill>
            <a:effectLst/>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nb-NO" sz="1000">
              <a:solidFill>
                <a:schemeClr val="dk1"/>
              </a:solidFill>
              <a:effectLst/>
              <a:latin typeface="Calibri" panose="020F0502020204030204" pitchFamily="34" charset="0"/>
              <a:ea typeface="+mn-ea"/>
              <a:cs typeface="Calibri" panose="020F0502020204030204" pitchFamily="34" charset="0"/>
            </a:rPr>
            <a:t>Information regarding distribution of </a:t>
          </a:r>
          <a:r>
            <a:rPr lang="nb-NO" sz="1000" baseline="0">
              <a:solidFill>
                <a:schemeClr val="dk1"/>
              </a:solidFill>
              <a:effectLst/>
              <a:latin typeface="Calibri" panose="020F0502020204030204" pitchFamily="34" charset="0"/>
              <a:ea typeface="+mn-ea"/>
              <a:cs typeface="Calibri" panose="020F0502020204030204" pitchFamily="34" charset="0"/>
            </a:rPr>
            <a:t> information on rating (column </a:t>
          </a:r>
          <a:r>
            <a:rPr lang="nb-NO" sz="1000" i="1" baseline="0">
              <a:solidFill>
                <a:schemeClr val="dk1"/>
              </a:solidFill>
              <a:effectLst/>
              <a:latin typeface="Calibri" panose="020F0502020204030204" pitchFamily="34" charset="0"/>
              <a:ea typeface="+mn-ea"/>
              <a:cs typeface="Calibri" panose="020F0502020204030204" pitchFamily="34" charset="0"/>
            </a:rPr>
            <a:t>q</a:t>
          </a:r>
          <a:r>
            <a:rPr lang="nb-NO" sz="1000" baseline="0">
              <a:solidFill>
                <a:schemeClr val="dk1"/>
              </a:solidFill>
              <a:effectLst/>
              <a:latin typeface="Calibri" panose="020F0502020204030204" pitchFamily="34" charset="0"/>
              <a:ea typeface="+mn-ea"/>
              <a:cs typeface="Calibri" panose="020F0502020204030204" pitchFamily="34" charset="0"/>
            </a:rPr>
            <a:t>) </a:t>
          </a:r>
          <a:r>
            <a:rPr lang="nb-NO" sz="1000">
              <a:solidFill>
                <a:schemeClr val="dk1"/>
              </a:solidFill>
              <a:effectLst/>
              <a:latin typeface="Calibri" panose="020F0502020204030204" pitchFamily="34" charset="0"/>
              <a:ea typeface="+mn-ea"/>
              <a:cs typeface="Calibri" panose="020F0502020204030204" pitchFamily="34" charset="0"/>
            </a:rPr>
            <a:t>in the respective exsposure</a:t>
          </a:r>
          <a:r>
            <a:rPr lang="nb-NO" sz="1000" baseline="0">
              <a:solidFill>
                <a:schemeClr val="dk1"/>
              </a:solidFill>
              <a:effectLst/>
              <a:latin typeface="Calibri" panose="020F0502020204030204" pitchFamily="34" charset="0"/>
              <a:ea typeface="+mn-ea"/>
              <a:cs typeface="Calibri" panose="020F0502020204030204" pitchFamily="34" charset="0"/>
            </a:rPr>
            <a:t> classes </a:t>
          </a:r>
          <a:r>
            <a:rPr lang="nb-NO" sz="1000">
              <a:solidFill>
                <a:schemeClr val="dk1"/>
              </a:solidFill>
              <a:effectLst/>
              <a:latin typeface="Calibri" panose="020F0502020204030204" pitchFamily="34" charset="0"/>
              <a:ea typeface="+mn-ea"/>
              <a:cs typeface="Calibri" panose="020F0502020204030204" pitchFamily="34" charset="0"/>
            </a:rPr>
            <a:t>is not disclosed due to insufficient data on consolidated level.</a:t>
          </a:r>
        </a:p>
        <a:p>
          <a:endParaRPr lang="nb-NO" sz="10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170</xdr:row>
      <xdr:rowOff>0</xdr:rowOff>
    </xdr:from>
    <xdr:to>
      <xdr:col>7</xdr:col>
      <xdr:colOff>539984</xdr:colOff>
      <xdr:row>178</xdr:row>
      <xdr:rowOff>66533</xdr:rowOff>
    </xdr:to>
    <xdr:sp macro="" textlink="">
      <xdr:nvSpPr>
        <xdr:cNvPr id="2" name="TextBox 1">
          <a:extLst>
            <a:ext uri="{FF2B5EF4-FFF2-40B4-BE49-F238E27FC236}">
              <a16:creationId xmlns:a16="http://schemas.microsoft.com/office/drawing/2014/main" id="{59E81AE7-6060-4C93-95DF-5E170BBD3BAE}"/>
            </a:ext>
          </a:extLst>
        </xdr:cNvPr>
        <xdr:cNvSpPr txBox="1"/>
      </xdr:nvSpPr>
      <xdr:spPr>
        <a:xfrm>
          <a:off x="1355912" y="30603265"/>
          <a:ext cx="7274719" cy="1321592"/>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pPr marL="0" marR="0" lvl="0" indent="0" defTabSz="914400" eaLnBrk="1" fontAlgn="auto" latinLnBrk="0" hangingPunct="1">
            <a:lnSpc>
              <a:spcPct val="100000"/>
            </a:lnSpc>
            <a:spcBef>
              <a:spcPts val="0"/>
            </a:spcBef>
            <a:spcAft>
              <a:spcPts val="0"/>
            </a:spcAft>
            <a:buClrTx/>
            <a:buSzTx/>
            <a:buFontTx/>
            <a:buNone/>
            <a:tabLst/>
            <a:defRPr/>
          </a:pPr>
          <a:r>
            <a:rPr lang="nb-NO" sz="1000">
              <a:solidFill>
                <a:schemeClr val="dk1"/>
              </a:solidFill>
              <a:effectLst/>
              <a:latin typeface="Calibri" panose="020F0502020204030204" pitchFamily="34" charset="0"/>
              <a:ea typeface="+mn-ea"/>
              <a:cs typeface="Calibri" panose="020F0502020204030204" pitchFamily="34" charset="0"/>
            </a:rPr>
            <a:t>Information in column </a:t>
          </a:r>
          <a:r>
            <a:rPr lang="nb-NO" sz="1000" i="1">
              <a:solidFill>
                <a:schemeClr val="dk1"/>
              </a:solidFill>
              <a:effectLst/>
              <a:latin typeface="Calibri" panose="020F0502020204030204" pitchFamily="34" charset="0"/>
              <a:ea typeface="+mn-ea"/>
              <a:cs typeface="Calibri" panose="020F0502020204030204" pitchFamily="34" charset="0"/>
            </a:rPr>
            <a:t>g</a:t>
          </a:r>
          <a:r>
            <a:rPr lang="nb-NO" sz="1000">
              <a:solidFill>
                <a:schemeClr val="dk1"/>
              </a:solidFill>
              <a:effectLst/>
              <a:latin typeface="Calibri" panose="020F0502020204030204" pitchFamily="34" charset="0"/>
              <a:ea typeface="+mn-ea"/>
              <a:cs typeface="Calibri" panose="020F0502020204030204" pitchFamily="34" charset="0"/>
            </a:rPr>
            <a:t> and </a:t>
          </a:r>
          <a:r>
            <a:rPr lang="nb-NO" sz="1000" i="1">
              <a:solidFill>
                <a:schemeClr val="dk1"/>
              </a:solidFill>
              <a:effectLst/>
              <a:latin typeface="Calibri" panose="020F0502020204030204" pitchFamily="34" charset="0"/>
              <a:ea typeface="+mn-ea"/>
              <a:cs typeface="Calibri" panose="020F0502020204030204" pitchFamily="34" charset="0"/>
            </a:rPr>
            <a:t>i is excluded due to insufficient data on consolidated level.</a:t>
          </a:r>
          <a:endParaRPr lang="nb-NO" sz="1000" i="1">
            <a:effectLst/>
            <a:latin typeface="Calibri" panose="020F0502020204030204" pitchFamily="34" charset="0"/>
            <a:cs typeface="Calibri" panose="020F0502020204030204" pitchFamily="34" charset="0"/>
          </a:endParaRPr>
        </a:p>
        <a:p>
          <a:endParaRPr lang="nb-NO" sz="1000" b="1"/>
        </a:p>
        <a:p>
          <a:endParaRPr lang="nb-NO" sz="10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xdr:colOff>
      <xdr:row>85</xdr:row>
      <xdr:rowOff>142875</xdr:rowOff>
    </xdr:from>
    <xdr:to>
      <xdr:col>4</xdr:col>
      <xdr:colOff>-1</xdr:colOff>
      <xdr:row>85</xdr:row>
      <xdr:rowOff>273844</xdr:rowOff>
    </xdr:to>
    <xdr:cxnSp macro="">
      <xdr:nvCxnSpPr>
        <xdr:cNvPr id="3" name="Rett linje 2">
          <a:extLst>
            <a:ext uri="{FF2B5EF4-FFF2-40B4-BE49-F238E27FC236}">
              <a16:creationId xmlns:a16="http://schemas.microsoft.com/office/drawing/2014/main" id="{35D566C3-B138-C619-79C2-2A8EFEE7685E}"/>
            </a:ext>
          </a:extLst>
        </xdr:cNvPr>
        <xdr:cNvCxnSpPr/>
      </xdr:nvCxnSpPr>
      <xdr:spPr>
        <a:xfrm>
          <a:off x="10787062" y="16430625"/>
          <a:ext cx="0" cy="130969"/>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86</xdr:row>
      <xdr:rowOff>107154</xdr:rowOff>
    </xdr:from>
    <xdr:to>
      <xdr:col>4</xdr:col>
      <xdr:colOff>0</xdr:colOff>
      <xdr:row>86</xdr:row>
      <xdr:rowOff>238123</xdr:rowOff>
    </xdr:to>
    <xdr:cxnSp macro="">
      <xdr:nvCxnSpPr>
        <xdr:cNvPr id="6" name="Rett linje 5">
          <a:extLst>
            <a:ext uri="{FF2B5EF4-FFF2-40B4-BE49-F238E27FC236}">
              <a16:creationId xmlns:a16="http://schemas.microsoft.com/office/drawing/2014/main" id="{CCA918E1-9E5C-4A7A-9200-068427CD7FAC}"/>
            </a:ext>
          </a:extLst>
        </xdr:cNvPr>
        <xdr:cNvCxnSpPr/>
      </xdr:nvCxnSpPr>
      <xdr:spPr>
        <a:xfrm>
          <a:off x="10787063" y="16752092"/>
          <a:ext cx="0" cy="130969"/>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98</xdr:row>
      <xdr:rowOff>35718</xdr:rowOff>
    </xdr:from>
    <xdr:to>
      <xdr:col>4</xdr:col>
      <xdr:colOff>0</xdr:colOff>
      <xdr:row>99</xdr:row>
      <xdr:rowOff>0</xdr:rowOff>
    </xdr:to>
    <xdr:cxnSp macro="">
      <xdr:nvCxnSpPr>
        <xdr:cNvPr id="7" name="Rett linje 6">
          <a:extLst>
            <a:ext uri="{FF2B5EF4-FFF2-40B4-BE49-F238E27FC236}">
              <a16:creationId xmlns:a16="http://schemas.microsoft.com/office/drawing/2014/main" id="{71682E00-72E1-4503-BE44-36003070A6EC}"/>
            </a:ext>
          </a:extLst>
        </xdr:cNvPr>
        <xdr:cNvCxnSpPr/>
      </xdr:nvCxnSpPr>
      <xdr:spPr>
        <a:xfrm>
          <a:off x="10787063" y="18823781"/>
          <a:ext cx="0" cy="130969"/>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xdr:colOff>
      <xdr:row>99</xdr:row>
      <xdr:rowOff>130966</xdr:rowOff>
    </xdr:from>
    <xdr:to>
      <xdr:col>4</xdr:col>
      <xdr:colOff>0</xdr:colOff>
      <xdr:row>99</xdr:row>
      <xdr:rowOff>345281</xdr:rowOff>
    </xdr:to>
    <xdr:cxnSp macro="">
      <xdr:nvCxnSpPr>
        <xdr:cNvPr id="8" name="Rett linje 7">
          <a:extLst>
            <a:ext uri="{FF2B5EF4-FFF2-40B4-BE49-F238E27FC236}">
              <a16:creationId xmlns:a16="http://schemas.microsoft.com/office/drawing/2014/main" id="{F4BAEE6B-9ACE-49E9-804C-448B275271C6}"/>
            </a:ext>
          </a:extLst>
        </xdr:cNvPr>
        <xdr:cNvCxnSpPr/>
      </xdr:nvCxnSpPr>
      <xdr:spPr>
        <a:xfrm flipH="1">
          <a:off x="10787062" y="19085716"/>
          <a:ext cx="1" cy="214315"/>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105</xdr:row>
      <xdr:rowOff>107154</xdr:rowOff>
    </xdr:from>
    <xdr:to>
      <xdr:col>4</xdr:col>
      <xdr:colOff>1</xdr:colOff>
      <xdr:row>105</xdr:row>
      <xdr:rowOff>321469</xdr:rowOff>
    </xdr:to>
    <xdr:cxnSp macro="">
      <xdr:nvCxnSpPr>
        <xdr:cNvPr id="10" name="Rett linje 9">
          <a:extLst>
            <a:ext uri="{FF2B5EF4-FFF2-40B4-BE49-F238E27FC236}">
              <a16:creationId xmlns:a16="http://schemas.microsoft.com/office/drawing/2014/main" id="{415293E6-B452-4E75-ADA8-34E324EFB140}"/>
            </a:ext>
          </a:extLst>
        </xdr:cNvPr>
        <xdr:cNvCxnSpPr/>
      </xdr:nvCxnSpPr>
      <xdr:spPr>
        <a:xfrm flipH="1">
          <a:off x="10787063" y="20633529"/>
          <a:ext cx="1" cy="214315"/>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106</xdr:row>
      <xdr:rowOff>130966</xdr:rowOff>
    </xdr:from>
    <xdr:to>
      <xdr:col>4</xdr:col>
      <xdr:colOff>1</xdr:colOff>
      <xdr:row>106</xdr:row>
      <xdr:rowOff>345281</xdr:rowOff>
    </xdr:to>
    <xdr:cxnSp macro="">
      <xdr:nvCxnSpPr>
        <xdr:cNvPr id="11" name="Rett linje 10">
          <a:extLst>
            <a:ext uri="{FF2B5EF4-FFF2-40B4-BE49-F238E27FC236}">
              <a16:creationId xmlns:a16="http://schemas.microsoft.com/office/drawing/2014/main" id="{B93FADE4-158A-4DB6-8E77-3F28DD0D3C25}"/>
            </a:ext>
          </a:extLst>
        </xdr:cNvPr>
        <xdr:cNvCxnSpPr/>
      </xdr:nvCxnSpPr>
      <xdr:spPr>
        <a:xfrm flipH="1">
          <a:off x="10787063" y="21062154"/>
          <a:ext cx="1" cy="214315"/>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107</xdr:row>
      <xdr:rowOff>107154</xdr:rowOff>
    </xdr:from>
    <xdr:to>
      <xdr:col>4</xdr:col>
      <xdr:colOff>1</xdr:colOff>
      <xdr:row>107</xdr:row>
      <xdr:rowOff>321469</xdr:rowOff>
    </xdr:to>
    <xdr:cxnSp macro="">
      <xdr:nvCxnSpPr>
        <xdr:cNvPr id="12" name="Rett linje 11">
          <a:extLst>
            <a:ext uri="{FF2B5EF4-FFF2-40B4-BE49-F238E27FC236}">
              <a16:creationId xmlns:a16="http://schemas.microsoft.com/office/drawing/2014/main" id="{CDB38AF3-346D-4931-B74B-5DA2088FF731}"/>
            </a:ext>
          </a:extLst>
        </xdr:cNvPr>
        <xdr:cNvCxnSpPr/>
      </xdr:nvCxnSpPr>
      <xdr:spPr>
        <a:xfrm flipH="1">
          <a:off x="10787063" y="21443154"/>
          <a:ext cx="1" cy="214315"/>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735807</xdr:colOff>
      <xdr:row>28</xdr:row>
      <xdr:rowOff>33337</xdr:rowOff>
    </xdr:from>
    <xdr:to>
      <xdr:col>4</xdr:col>
      <xdr:colOff>1271588</xdr:colOff>
      <xdr:row>36</xdr:row>
      <xdr:rowOff>21429</xdr:rowOff>
    </xdr:to>
    <xdr:sp macro="" textlink="">
      <xdr:nvSpPr>
        <xdr:cNvPr id="3" name="TextBox 1">
          <a:extLst>
            <a:ext uri="{FF2B5EF4-FFF2-40B4-BE49-F238E27FC236}">
              <a16:creationId xmlns:a16="http://schemas.microsoft.com/office/drawing/2014/main" id="{B11B5162-D5D4-43FC-88C1-13D31734E4DD}"/>
            </a:ext>
          </a:extLst>
        </xdr:cNvPr>
        <xdr:cNvSpPr txBox="1"/>
      </xdr:nvSpPr>
      <xdr:spPr>
        <a:xfrm>
          <a:off x="735807" y="5629275"/>
          <a:ext cx="7274719" cy="1321592"/>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endParaRPr lang="nb-NO" sz="1000">
            <a:effectLst/>
            <a:latin typeface="Calibri" panose="020F0502020204030204" pitchFamily="34" charset="0"/>
            <a:cs typeface="Calibri" panose="020F0502020204030204" pitchFamily="34" charset="0"/>
          </a:endParaRPr>
        </a:p>
        <a:p>
          <a:endParaRPr lang="nb-NO" sz="1000" b="1"/>
        </a:p>
        <a:p>
          <a:endParaRPr lang="nb-NO" sz="10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762000</xdr:colOff>
      <xdr:row>40</xdr:row>
      <xdr:rowOff>142875</xdr:rowOff>
    </xdr:from>
    <xdr:to>
      <xdr:col>5</xdr:col>
      <xdr:colOff>869156</xdr:colOff>
      <xdr:row>48</xdr:row>
      <xdr:rowOff>130967</xdr:rowOff>
    </xdr:to>
    <xdr:sp macro="" textlink="">
      <xdr:nvSpPr>
        <xdr:cNvPr id="2" name="TextBox 1">
          <a:extLst>
            <a:ext uri="{FF2B5EF4-FFF2-40B4-BE49-F238E27FC236}">
              <a16:creationId xmlns:a16="http://schemas.microsoft.com/office/drawing/2014/main" id="{4B64FBEA-4345-4F34-8162-9A43BACAD67C}"/>
            </a:ext>
          </a:extLst>
        </xdr:cNvPr>
        <xdr:cNvSpPr txBox="1"/>
      </xdr:nvSpPr>
      <xdr:spPr>
        <a:xfrm>
          <a:off x="762000" y="10001250"/>
          <a:ext cx="7274719" cy="1321592"/>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000">
            <a:solidFill>
              <a:schemeClr val="dk1"/>
            </a:solidFill>
            <a:effectLst/>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endParaRPr lang="nb-NO" sz="1000">
            <a:effectLst/>
            <a:latin typeface="Calibri" panose="020F0502020204030204" pitchFamily="34" charset="0"/>
            <a:cs typeface="Calibri" panose="020F0502020204030204" pitchFamily="34" charset="0"/>
          </a:endParaRPr>
        </a:p>
        <a:p>
          <a:endParaRPr lang="nb-NO" sz="1000" b="1"/>
        </a:p>
        <a:p>
          <a:endParaRPr lang="nb-NO" sz="10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23812</xdr:colOff>
      <xdr:row>22</xdr:row>
      <xdr:rowOff>11905</xdr:rowOff>
    </xdr:from>
    <xdr:to>
      <xdr:col>3</xdr:col>
      <xdr:colOff>1119187</xdr:colOff>
      <xdr:row>34</xdr:row>
      <xdr:rowOff>71436</xdr:rowOff>
    </xdr:to>
    <xdr:sp macro="" textlink="">
      <xdr:nvSpPr>
        <xdr:cNvPr id="3" name="TextBox 1">
          <a:extLst>
            <a:ext uri="{FF2B5EF4-FFF2-40B4-BE49-F238E27FC236}">
              <a16:creationId xmlns:a16="http://schemas.microsoft.com/office/drawing/2014/main" id="{3B353884-3E34-46F1-AE3A-8543D7AF723A}"/>
            </a:ext>
          </a:extLst>
        </xdr:cNvPr>
        <xdr:cNvSpPr txBox="1"/>
      </xdr:nvSpPr>
      <xdr:spPr>
        <a:xfrm>
          <a:off x="357187" y="4667249"/>
          <a:ext cx="5857875" cy="2059781"/>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endParaRPr lang="nb-NO" sz="1000">
            <a:latin typeface="Calibri" panose="020F0502020204030204" pitchFamily="34" charset="0"/>
            <a:cs typeface="Calibri" panose="020F0502020204030204" pitchFamily="34" charset="0"/>
          </a:endParaRPr>
        </a:p>
        <a:p>
          <a:r>
            <a:rPr lang="nb-NO" sz="1000">
              <a:latin typeface="Calibri" panose="020F0502020204030204" pitchFamily="34" charset="0"/>
              <a:cs typeface="Calibri" panose="020F0502020204030204" pitchFamily="34" charset="0"/>
            </a:rPr>
            <a:t>Level of application: Consolidated</a:t>
          </a:r>
        </a:p>
        <a:p>
          <a:endParaRPr lang="nb-NO" sz="1000">
            <a:latin typeface="Calibri" panose="020F0502020204030204" pitchFamily="34" charset="0"/>
            <a:cs typeface="Calibri" panose="020F0502020204030204" pitchFamily="34" charset="0"/>
          </a:endParaRPr>
        </a:p>
        <a:p>
          <a:r>
            <a:rPr lang="nb-NO" sz="1000" i="1">
              <a:latin typeface="Calibri" panose="020F0502020204030204" pitchFamily="34" charset="0"/>
              <a:cs typeface="Calibri" panose="020F0502020204030204" pitchFamily="34" charset="0"/>
            </a:rPr>
            <a:t>RWAs as</a:t>
          </a:r>
          <a:r>
            <a:rPr lang="nb-NO" sz="1000" i="1" baseline="0">
              <a:latin typeface="Calibri" panose="020F0502020204030204" pitchFamily="34" charset="0"/>
              <a:cs typeface="Calibri" panose="020F0502020204030204" pitchFamily="34" charset="0"/>
            </a:rPr>
            <a:t> at the end of the previous reporting period:</a:t>
          </a:r>
        </a:p>
        <a:p>
          <a:r>
            <a:rPr lang="nb-NO" sz="1000" baseline="0">
              <a:latin typeface="Calibri" panose="020F0502020204030204" pitchFamily="34" charset="0"/>
              <a:cs typeface="Calibri" panose="020F0502020204030204" pitchFamily="34" charset="0"/>
            </a:rPr>
            <a:t>31.12.2021</a:t>
          </a:r>
        </a:p>
        <a:p>
          <a:endParaRPr lang="nb-NO" sz="1000" i="0" baseline="0">
            <a:latin typeface="Calibri" panose="020F0502020204030204" pitchFamily="34" charset="0"/>
            <a:cs typeface="Calibri" panose="020F0502020204030204" pitchFamily="34" charset="0"/>
          </a:endParaRPr>
        </a:p>
        <a:p>
          <a:r>
            <a:rPr lang="nb-NO" sz="1000" i="1" baseline="0">
              <a:latin typeface="Calibri" panose="020F0502020204030204" pitchFamily="34" charset="0"/>
              <a:cs typeface="Calibri" panose="020F0502020204030204" pitchFamily="34" charset="0"/>
            </a:rPr>
            <a:t>Other:</a:t>
          </a:r>
        </a:p>
        <a:p>
          <a:pPr marL="0" marR="0" lvl="0" indent="0" defTabSz="914400" eaLnBrk="1" fontAlgn="auto" latinLnBrk="0" hangingPunct="1">
            <a:lnSpc>
              <a:spcPct val="100000"/>
            </a:lnSpc>
            <a:spcBef>
              <a:spcPts val="0"/>
            </a:spcBef>
            <a:spcAft>
              <a:spcPts val="0"/>
            </a:spcAft>
            <a:buClrTx/>
            <a:buSzTx/>
            <a:buFontTx/>
            <a:buNone/>
            <a:tabLst/>
            <a:defRPr/>
          </a:pPr>
          <a:r>
            <a:rPr lang="nb-NO" sz="1000" i="0">
              <a:solidFill>
                <a:schemeClr val="dk1"/>
              </a:solidFill>
              <a:effectLst/>
              <a:latin typeface="Calibri" panose="020F0502020204030204" pitchFamily="34" charset="0"/>
              <a:ea typeface="+mn-ea"/>
              <a:cs typeface="Calibri" panose="020F0502020204030204" pitchFamily="34" charset="0"/>
            </a:rPr>
            <a:t>SpareBank 1 Boligkreditt AS</a:t>
          </a:r>
          <a:r>
            <a:rPr lang="nb-NO" sz="1000" i="0" baseline="0">
              <a:solidFill>
                <a:schemeClr val="dk1"/>
              </a:solidFill>
              <a:effectLst/>
              <a:latin typeface="Calibri" panose="020F0502020204030204" pitchFamily="34" charset="0"/>
              <a:ea typeface="+mn-ea"/>
              <a:cs typeface="Calibri" panose="020F0502020204030204" pitchFamily="34" charset="0"/>
            </a:rPr>
            <a:t> </a:t>
          </a:r>
          <a:r>
            <a:rPr lang="nb-NO" sz="1000" i="0">
              <a:solidFill>
                <a:schemeClr val="dk1"/>
              </a:solidFill>
              <a:effectLst/>
              <a:latin typeface="Calibri" panose="020F0502020204030204" pitchFamily="34" charset="0"/>
              <a:ea typeface="+mn-ea"/>
              <a:cs typeface="Calibri" panose="020F0502020204030204" pitchFamily="34" charset="0"/>
            </a:rPr>
            <a:t>and BN Bank ASA are proportionally consolidated for capital requirement purposes. Insufficient</a:t>
          </a:r>
          <a:r>
            <a:rPr lang="nb-NO" sz="1000" i="0" baseline="0">
              <a:solidFill>
                <a:schemeClr val="dk1"/>
              </a:solidFill>
              <a:effectLst/>
              <a:latin typeface="Calibri" panose="020F0502020204030204" pitchFamily="34" charset="0"/>
              <a:ea typeface="+mn-ea"/>
              <a:cs typeface="Calibri" panose="020F0502020204030204" pitchFamily="34" charset="0"/>
            </a:rPr>
            <a:t> data regarding the entities portfolio.</a:t>
          </a:r>
          <a:endParaRPr lang="nb-NO" sz="1000">
            <a:effectLst/>
            <a:latin typeface="Calibri" panose="020F0502020204030204" pitchFamily="34" charset="0"/>
            <a:cs typeface="Calibri" panose="020F0502020204030204" pitchFamily="34" charset="0"/>
          </a:endParaRPr>
        </a:p>
        <a:p>
          <a:endParaRPr lang="nb-NO" sz="1000" i="0">
            <a:latin typeface="Calibri" panose="020F0502020204030204" pitchFamily="34" charset="0"/>
            <a:cs typeface="Calibri" panose="020F0502020204030204"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23813</xdr:colOff>
      <xdr:row>150</xdr:row>
      <xdr:rowOff>0</xdr:rowOff>
    </xdr:from>
    <xdr:to>
      <xdr:col>6</xdr:col>
      <xdr:colOff>797719</xdr:colOff>
      <xdr:row>159</xdr:row>
      <xdr:rowOff>130968</xdr:rowOff>
    </xdr:to>
    <xdr:sp macro="" textlink="">
      <xdr:nvSpPr>
        <xdr:cNvPr id="2" name="TextBox 1">
          <a:extLst>
            <a:ext uri="{FF2B5EF4-FFF2-40B4-BE49-F238E27FC236}">
              <a16:creationId xmlns:a16="http://schemas.microsoft.com/office/drawing/2014/main" id="{D3BD2759-B492-44DB-B55C-1B7B12F061F1}"/>
            </a:ext>
          </a:extLst>
        </xdr:cNvPr>
        <xdr:cNvSpPr txBox="1"/>
      </xdr:nvSpPr>
      <xdr:spPr>
        <a:xfrm>
          <a:off x="1023938" y="27634406"/>
          <a:ext cx="7274719" cy="1631156"/>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000">
            <a:solidFill>
              <a:schemeClr val="dk1"/>
            </a:solidFill>
            <a:effectLst/>
            <a:latin typeface="Calibri" panose="020F0502020204030204" pitchFamily="34" charset="0"/>
            <a:ea typeface="+mn-ea"/>
            <a:cs typeface="Calibri" panose="020F0502020204030204" pitchFamily="34" charset="0"/>
          </a:endParaRPr>
        </a:p>
        <a:p>
          <a:r>
            <a:rPr lang="nb-NO" sz="1000">
              <a:solidFill>
                <a:schemeClr val="dk1"/>
              </a:solidFill>
              <a:effectLst/>
              <a:latin typeface="Calibri" panose="020F0502020204030204" pitchFamily="34" charset="0"/>
              <a:ea typeface="+mn-ea"/>
              <a:cs typeface="Calibri" panose="020F0502020204030204" pitchFamily="34" charset="0"/>
            </a:rPr>
            <a:t>Level of application: </a:t>
          </a:r>
          <a:r>
            <a:rPr lang="nb-NO" sz="1000" b="0">
              <a:solidFill>
                <a:schemeClr val="dk1"/>
              </a:solidFill>
              <a:effectLst/>
              <a:latin typeface="Calibri" panose="020F0502020204030204" pitchFamily="34" charset="0"/>
              <a:ea typeface="+mn-ea"/>
              <a:cs typeface="Calibri" panose="020F0502020204030204" pitchFamily="34" charset="0"/>
            </a:rPr>
            <a:t>The figures in this template do not include proportionally consolidated entitites</a:t>
          </a:r>
          <a:r>
            <a:rPr lang="nb-NO" sz="1000" b="0" baseline="0">
              <a:solidFill>
                <a:schemeClr val="dk1"/>
              </a:solidFill>
              <a:effectLst/>
              <a:latin typeface="Calibri" panose="020F0502020204030204" pitchFamily="34" charset="0"/>
              <a:ea typeface="+mn-ea"/>
              <a:cs typeface="Calibri" panose="020F0502020204030204" pitchFamily="34" charset="0"/>
            </a:rPr>
            <a:t> due to insufficient data.</a:t>
          </a:r>
          <a:endParaRPr lang="nb-NO" sz="1000">
            <a:effectLst/>
            <a:latin typeface="Calibri" panose="020F0502020204030204" pitchFamily="34" charset="0"/>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nb-NO" sz="1000">
            <a:solidFill>
              <a:schemeClr val="dk1"/>
            </a:solidFill>
            <a:effectLst/>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nb-NO" sz="1000">
              <a:solidFill>
                <a:schemeClr val="dk1"/>
              </a:solidFill>
              <a:effectLst/>
              <a:latin typeface="Calibri" panose="020F0502020204030204" pitchFamily="34" charset="0"/>
              <a:ea typeface="+mn-ea"/>
              <a:cs typeface="Calibri" panose="020F0502020204030204" pitchFamily="34" charset="0"/>
            </a:rPr>
            <a:t>Kategories</a:t>
          </a:r>
          <a:r>
            <a:rPr lang="nb-NO" sz="1000" baseline="0">
              <a:solidFill>
                <a:schemeClr val="dk1"/>
              </a:solidFill>
              <a:effectLst/>
              <a:latin typeface="Calibri" panose="020F0502020204030204" pitchFamily="34" charset="0"/>
              <a:ea typeface="+mn-ea"/>
              <a:cs typeface="Calibri" panose="020F0502020204030204" pitchFamily="34" charset="0"/>
            </a:rPr>
            <a:t> in F-IRB are not included in the above table (immaterial exposure amounts as at 31.12.2022).</a:t>
          </a:r>
        </a:p>
        <a:p>
          <a:pPr marL="0" marR="0" lvl="0" indent="0" defTabSz="914400" eaLnBrk="1" fontAlgn="auto" latinLnBrk="0" hangingPunct="1">
            <a:lnSpc>
              <a:spcPct val="100000"/>
            </a:lnSpc>
            <a:spcBef>
              <a:spcPts val="0"/>
            </a:spcBef>
            <a:spcAft>
              <a:spcPts val="0"/>
            </a:spcAft>
            <a:buClrTx/>
            <a:buSzTx/>
            <a:buFontTx/>
            <a:buNone/>
            <a:tabLst/>
            <a:defRPr/>
          </a:pPr>
          <a:endParaRPr lang="nb-NO" sz="1000" baseline="0">
            <a:solidFill>
              <a:schemeClr val="dk1"/>
            </a:solidFill>
            <a:effectLst/>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nb-NO" sz="1000" baseline="0">
              <a:solidFill>
                <a:schemeClr val="dk1"/>
              </a:solidFill>
              <a:effectLst/>
              <a:latin typeface="Calibri" panose="020F0502020204030204" pitchFamily="34" charset="0"/>
              <a:ea typeface="+mn-ea"/>
              <a:cs typeface="Calibri" panose="020F0502020204030204" pitchFamily="34" charset="0"/>
            </a:rPr>
            <a:t>The A-IRB categories </a:t>
          </a:r>
          <a:r>
            <a:rPr lang="nb-NO" sz="1000" i="1" baseline="0">
              <a:solidFill>
                <a:schemeClr val="dk1"/>
              </a:solidFill>
              <a:effectLst/>
              <a:latin typeface="Calibri" panose="020F0502020204030204" pitchFamily="34" charset="0"/>
              <a:ea typeface="+mn-ea"/>
              <a:cs typeface="Calibri" panose="020F0502020204030204" pitchFamily="34" charset="0"/>
            </a:rPr>
            <a:t>Central governments and central banks</a:t>
          </a:r>
          <a:r>
            <a:rPr lang="nb-NO" sz="1000" baseline="0">
              <a:solidFill>
                <a:schemeClr val="dk1"/>
              </a:solidFill>
              <a:effectLst/>
              <a:latin typeface="Calibri" panose="020F0502020204030204" pitchFamily="34" charset="0"/>
              <a:ea typeface="+mn-ea"/>
              <a:cs typeface="Calibri" panose="020F0502020204030204" pitchFamily="34" charset="0"/>
            </a:rPr>
            <a:t>,</a:t>
          </a:r>
          <a:r>
            <a:rPr lang="nb-NO" sz="1000" i="1" baseline="0">
              <a:solidFill>
                <a:schemeClr val="dk1"/>
              </a:solidFill>
              <a:effectLst/>
              <a:latin typeface="Calibri" panose="020F0502020204030204" pitchFamily="34" charset="0"/>
              <a:ea typeface="+mn-ea"/>
              <a:cs typeface="Calibri" panose="020F0502020204030204" pitchFamily="34" charset="0"/>
            </a:rPr>
            <a:t> Institutions</a:t>
          </a:r>
          <a:r>
            <a:rPr lang="nb-NO" sz="1000" baseline="0">
              <a:solidFill>
                <a:schemeClr val="dk1"/>
              </a:solidFill>
              <a:effectLst/>
              <a:latin typeface="Calibri" panose="020F0502020204030204" pitchFamily="34" charset="0"/>
              <a:ea typeface="+mn-ea"/>
              <a:cs typeface="Calibri" panose="020F0502020204030204" pitchFamily="34" charset="0"/>
            </a:rPr>
            <a:t> and </a:t>
          </a:r>
          <a:r>
            <a:rPr lang="nb-NO" sz="1000" i="1" baseline="0">
              <a:solidFill>
                <a:schemeClr val="dk1"/>
              </a:solidFill>
              <a:effectLst/>
              <a:latin typeface="Calibri" panose="020F0502020204030204" pitchFamily="34" charset="0"/>
              <a:ea typeface="+mn-ea"/>
              <a:cs typeface="Calibri" panose="020F0502020204030204" pitchFamily="34" charset="0"/>
            </a:rPr>
            <a:t>Retail - Qualifying revolving</a:t>
          </a:r>
          <a:r>
            <a:rPr lang="nb-NO" sz="1000" i="0" baseline="0">
              <a:solidFill>
                <a:schemeClr val="dk1"/>
              </a:solidFill>
              <a:effectLst/>
              <a:latin typeface="Calibri" panose="020F0502020204030204" pitchFamily="34" charset="0"/>
              <a:ea typeface="+mn-ea"/>
              <a:cs typeface="Calibri" panose="020F0502020204030204" pitchFamily="34" charset="0"/>
            </a:rPr>
            <a:t> are not included in the above table since there are no exposures in these categories as at 31.12.2022.</a:t>
          </a:r>
          <a:endParaRPr lang="nb-NO" sz="1000">
            <a:effectLst/>
            <a:latin typeface="Calibri" panose="020F0502020204030204" pitchFamily="34" charset="0"/>
            <a:cs typeface="Calibri" panose="020F0502020204030204" pitchFamily="34" charset="0"/>
          </a:endParaRPr>
        </a:p>
        <a:p>
          <a:endParaRPr lang="nb-NO" sz="1000" b="1"/>
        </a:p>
        <a:p>
          <a:endParaRPr lang="nb-NO" sz="10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37</xdr:row>
      <xdr:rowOff>0</xdr:rowOff>
    </xdr:from>
    <xdr:to>
      <xdr:col>4</xdr:col>
      <xdr:colOff>595313</xdr:colOff>
      <xdr:row>46</xdr:row>
      <xdr:rowOff>130969</xdr:rowOff>
    </xdr:to>
    <xdr:sp macro="" textlink="">
      <xdr:nvSpPr>
        <xdr:cNvPr id="2" name="TextBox 1">
          <a:extLst>
            <a:ext uri="{FF2B5EF4-FFF2-40B4-BE49-F238E27FC236}">
              <a16:creationId xmlns:a16="http://schemas.microsoft.com/office/drawing/2014/main" id="{FF587728-50A4-440A-A7FB-31D69846EBA2}"/>
            </a:ext>
          </a:extLst>
        </xdr:cNvPr>
        <xdr:cNvSpPr txBox="1"/>
      </xdr:nvSpPr>
      <xdr:spPr>
        <a:xfrm>
          <a:off x="1000125" y="7036594"/>
          <a:ext cx="7274719" cy="163115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000">
            <a:solidFill>
              <a:schemeClr val="dk1"/>
            </a:solidFill>
            <a:effectLst/>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nb-NO" sz="1000">
              <a:solidFill>
                <a:schemeClr val="dk1"/>
              </a:solidFill>
              <a:effectLst/>
              <a:latin typeface="Calibri" panose="020F0502020204030204" pitchFamily="34" charset="0"/>
              <a:ea typeface="+mn-ea"/>
              <a:cs typeface="Calibri" panose="020F0502020204030204" pitchFamily="34" charset="0"/>
            </a:rPr>
            <a:t>Not applicable</a:t>
          </a:r>
          <a:endParaRPr lang="nb-NO" sz="1000">
            <a:solidFill>
              <a:srgbClr val="FF0000"/>
            </a:solidFill>
            <a:effectLst/>
            <a:latin typeface="Calibri" panose="020F0502020204030204" pitchFamily="34" charset="0"/>
            <a:cs typeface="Calibri" panose="020F0502020204030204" pitchFamily="34" charset="0"/>
          </a:endParaRPr>
        </a:p>
        <a:p>
          <a:endParaRPr lang="nb-NO" sz="1000" b="1"/>
        </a:p>
        <a:p>
          <a:endParaRPr lang="nb-NO" sz="10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22</xdr:row>
      <xdr:rowOff>0</xdr:rowOff>
    </xdr:from>
    <xdr:to>
      <xdr:col>4</xdr:col>
      <xdr:colOff>130969</xdr:colOff>
      <xdr:row>31</xdr:row>
      <xdr:rowOff>130969</xdr:rowOff>
    </xdr:to>
    <xdr:sp macro="" textlink="">
      <xdr:nvSpPr>
        <xdr:cNvPr id="3" name="TextBox 1">
          <a:extLst>
            <a:ext uri="{FF2B5EF4-FFF2-40B4-BE49-F238E27FC236}">
              <a16:creationId xmlns:a16="http://schemas.microsoft.com/office/drawing/2014/main" id="{F775684C-14E8-4A21-8450-C43E9AD39FA2}"/>
            </a:ext>
          </a:extLst>
        </xdr:cNvPr>
        <xdr:cNvSpPr txBox="1"/>
      </xdr:nvSpPr>
      <xdr:spPr>
        <a:xfrm>
          <a:off x="785813" y="6500813"/>
          <a:ext cx="7274719" cy="1631156"/>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000">
            <a:solidFill>
              <a:schemeClr val="dk1"/>
            </a:solidFill>
            <a:effectLst/>
            <a:latin typeface="Calibri" panose="020F0502020204030204" pitchFamily="34" charset="0"/>
            <a:ea typeface="+mn-ea"/>
            <a:cs typeface="Calibri" panose="020F0502020204030204" pitchFamily="34" charset="0"/>
          </a:endParaRPr>
        </a:p>
        <a:p>
          <a:r>
            <a:rPr lang="nb-NO" sz="1000">
              <a:solidFill>
                <a:schemeClr val="dk1"/>
              </a:solidFill>
              <a:effectLst/>
              <a:latin typeface="Calibri" panose="020F0502020204030204" pitchFamily="34" charset="0"/>
              <a:ea typeface="+mn-ea"/>
              <a:cs typeface="Calibri" panose="020F0502020204030204" pitchFamily="34" charset="0"/>
            </a:rPr>
            <a:t>Level of application: Consolidated, a</a:t>
          </a:r>
          <a:r>
            <a:rPr lang="nb-NO" sz="1000">
              <a:effectLst/>
              <a:latin typeface="Calibri" panose="020F0502020204030204" pitchFamily="34" charset="0"/>
              <a:cs typeface="Calibri" panose="020F0502020204030204" pitchFamily="34" charset="0"/>
            </a:rPr>
            <a:t>ll exposures except CCP exposures</a:t>
          </a:r>
        </a:p>
        <a:p>
          <a:pPr marL="0" marR="0" lvl="0" indent="0" defTabSz="914400" eaLnBrk="1" fontAlgn="auto" latinLnBrk="0" hangingPunct="1">
            <a:lnSpc>
              <a:spcPct val="100000"/>
            </a:lnSpc>
            <a:spcBef>
              <a:spcPts val="0"/>
            </a:spcBef>
            <a:spcAft>
              <a:spcPts val="0"/>
            </a:spcAft>
            <a:buClrTx/>
            <a:buSzTx/>
            <a:buFontTx/>
            <a:buNone/>
            <a:tabLst/>
            <a:defRPr/>
          </a:pPr>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b="1">
            <a:latin typeface="Calibri" panose="020F0502020204030204" pitchFamily="34" charset="0"/>
            <a:cs typeface="Calibri" panose="020F0502020204030204" pitchFamily="34" charset="0"/>
          </a:endParaRPr>
        </a:p>
        <a:p>
          <a:endParaRPr lang="nb-NO" sz="1000">
            <a:latin typeface="Calibri" panose="020F0502020204030204" pitchFamily="34" charset="0"/>
            <a:cs typeface="Calibri" panose="020F050202020403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16</xdr:row>
      <xdr:rowOff>0</xdr:rowOff>
    </xdr:from>
    <xdr:to>
      <xdr:col>2</xdr:col>
      <xdr:colOff>6488907</xdr:colOff>
      <xdr:row>25</xdr:row>
      <xdr:rowOff>130969</xdr:rowOff>
    </xdr:to>
    <xdr:sp macro="" textlink="">
      <xdr:nvSpPr>
        <xdr:cNvPr id="3" name="TextBox 1">
          <a:extLst>
            <a:ext uri="{FF2B5EF4-FFF2-40B4-BE49-F238E27FC236}">
              <a16:creationId xmlns:a16="http://schemas.microsoft.com/office/drawing/2014/main" id="{3B7429E8-5AEC-4223-B4D5-49DCB8FD0D0F}"/>
            </a:ext>
          </a:extLst>
        </xdr:cNvPr>
        <xdr:cNvSpPr txBox="1"/>
      </xdr:nvSpPr>
      <xdr:spPr>
        <a:xfrm>
          <a:off x="785813" y="4691063"/>
          <a:ext cx="7274719" cy="1631156"/>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000">
            <a:solidFill>
              <a:schemeClr val="dk1"/>
            </a:solidFill>
            <a:effectLst/>
            <a:latin typeface="Calibri" panose="020F0502020204030204" pitchFamily="34" charset="0"/>
            <a:ea typeface="+mn-ea"/>
            <a:cs typeface="Calibri" panose="020F0502020204030204" pitchFamily="34" charset="0"/>
          </a:endParaRPr>
        </a:p>
        <a:p>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b="1">
            <a:latin typeface="Calibri" panose="020F0502020204030204" pitchFamily="34" charset="0"/>
            <a:cs typeface="Calibri" panose="020F0502020204030204" pitchFamily="34" charset="0"/>
          </a:endParaRPr>
        </a:p>
        <a:p>
          <a:endParaRPr lang="nb-NO" sz="1000">
            <a:latin typeface="Calibri" panose="020F0502020204030204" pitchFamily="34" charset="0"/>
            <a:cs typeface="Calibri" panose="020F050202020403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22</xdr:row>
      <xdr:rowOff>0</xdr:rowOff>
    </xdr:from>
    <xdr:to>
      <xdr:col>11</xdr:col>
      <xdr:colOff>381000</xdr:colOff>
      <xdr:row>31</xdr:row>
      <xdr:rowOff>130968</xdr:rowOff>
    </xdr:to>
    <xdr:sp macro="" textlink="">
      <xdr:nvSpPr>
        <xdr:cNvPr id="4" name="TextBox 1">
          <a:extLst>
            <a:ext uri="{FF2B5EF4-FFF2-40B4-BE49-F238E27FC236}">
              <a16:creationId xmlns:a16="http://schemas.microsoft.com/office/drawing/2014/main" id="{B3BD967B-5FDB-4F74-9900-A7AD67F2D28E}"/>
            </a:ext>
          </a:extLst>
        </xdr:cNvPr>
        <xdr:cNvSpPr txBox="1"/>
      </xdr:nvSpPr>
      <xdr:spPr>
        <a:xfrm>
          <a:off x="785813" y="4714875"/>
          <a:ext cx="8584406" cy="1631156"/>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000">
            <a:solidFill>
              <a:schemeClr val="dk1"/>
            </a:solidFill>
            <a:effectLst/>
            <a:latin typeface="Calibri" panose="020F0502020204030204" pitchFamily="34" charset="0"/>
            <a:ea typeface="+mn-ea"/>
            <a:cs typeface="Calibri" panose="020F0502020204030204" pitchFamily="34" charset="0"/>
          </a:endParaRPr>
        </a:p>
        <a:p>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endParaRPr lang="nb-NO" sz="1000">
            <a:solidFill>
              <a:schemeClr val="dk1"/>
            </a:solidFill>
            <a:effectLst/>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nb-NO" sz="1000" b="0" baseline="0">
              <a:solidFill>
                <a:schemeClr val="dk1"/>
              </a:solidFill>
              <a:effectLst/>
              <a:latin typeface="Calibri" panose="020F0502020204030204" pitchFamily="34" charset="0"/>
              <a:ea typeface="+mn-ea"/>
              <a:cs typeface="Calibri" panose="020F0502020204030204" pitchFamily="34" charset="0"/>
            </a:rPr>
            <a:t>Information regarding distribution of exposure value in the respective risk weigth-categories is not disclosed due to insufficient data on consolidated level.</a:t>
          </a:r>
          <a:endParaRPr lang="nb-NO" sz="1000">
            <a:effectLst/>
            <a:latin typeface="Calibri" panose="020F0502020204030204" pitchFamily="34" charset="0"/>
            <a:cs typeface="Calibri" panose="020F0502020204030204" pitchFamily="34" charset="0"/>
          </a:endParaRP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b="1">
            <a:latin typeface="Calibri" panose="020F0502020204030204" pitchFamily="34" charset="0"/>
            <a:cs typeface="Calibri" panose="020F0502020204030204" pitchFamily="34" charset="0"/>
          </a:endParaRPr>
        </a:p>
        <a:p>
          <a:endParaRPr lang="nb-NO" sz="1000">
            <a:latin typeface="Calibri" panose="020F0502020204030204" pitchFamily="34" charset="0"/>
            <a:cs typeface="Calibri" panose="020F050202020403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23</xdr:row>
      <xdr:rowOff>0</xdr:rowOff>
    </xdr:from>
    <xdr:to>
      <xdr:col>9</xdr:col>
      <xdr:colOff>416719</xdr:colOff>
      <xdr:row>32</xdr:row>
      <xdr:rowOff>130968</xdr:rowOff>
    </xdr:to>
    <xdr:sp macro="" textlink="">
      <xdr:nvSpPr>
        <xdr:cNvPr id="3" name="TextBox 1">
          <a:extLst>
            <a:ext uri="{FF2B5EF4-FFF2-40B4-BE49-F238E27FC236}">
              <a16:creationId xmlns:a16="http://schemas.microsoft.com/office/drawing/2014/main" id="{49EB0DB3-05B7-424A-B805-15D95D54DFA8}"/>
            </a:ext>
          </a:extLst>
        </xdr:cNvPr>
        <xdr:cNvSpPr txBox="1"/>
      </xdr:nvSpPr>
      <xdr:spPr>
        <a:xfrm>
          <a:off x="785813" y="4822031"/>
          <a:ext cx="8584406" cy="1631156"/>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000">
            <a:solidFill>
              <a:schemeClr val="dk1"/>
            </a:solidFill>
            <a:effectLst/>
            <a:latin typeface="Calibri" panose="020F0502020204030204" pitchFamily="34" charset="0"/>
            <a:ea typeface="+mn-ea"/>
            <a:cs typeface="Calibri" panose="020F0502020204030204" pitchFamily="34" charset="0"/>
          </a:endParaRPr>
        </a:p>
        <a:p>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r>
            <a:rPr lang="nb-NO" sz="1000">
              <a:solidFill>
                <a:schemeClr val="dk1"/>
              </a:solidFill>
              <a:effectLst/>
              <a:latin typeface="Calibri" panose="020F0502020204030204" pitchFamily="34" charset="0"/>
              <a:ea typeface="+mn-ea"/>
              <a:cs typeface="Calibri" panose="020F0502020204030204" pitchFamily="34" charset="0"/>
            </a:rPr>
            <a:t>The data also includes recieved and posted inital and</a:t>
          </a:r>
          <a:r>
            <a:rPr lang="nb-NO" sz="1000" baseline="0">
              <a:solidFill>
                <a:schemeClr val="dk1"/>
              </a:solidFill>
              <a:effectLst/>
              <a:latin typeface="Calibri" panose="020F0502020204030204" pitchFamily="34" charset="0"/>
              <a:ea typeface="+mn-ea"/>
              <a:cs typeface="Calibri" panose="020F0502020204030204" pitchFamily="34" charset="0"/>
            </a:rPr>
            <a:t> variation margin twoards CCP.</a:t>
          </a:r>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b="1">
            <a:latin typeface="Calibri" panose="020F0502020204030204" pitchFamily="34" charset="0"/>
            <a:cs typeface="Calibri" panose="020F0502020204030204" pitchFamily="34" charset="0"/>
          </a:endParaRPr>
        </a:p>
        <a:p>
          <a:endParaRPr lang="nb-NO" sz="1000">
            <a:latin typeface="Calibri" panose="020F0502020204030204" pitchFamily="34" charset="0"/>
            <a:cs typeface="Calibri" panose="020F0502020204030204"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31</xdr:row>
      <xdr:rowOff>0</xdr:rowOff>
    </xdr:from>
    <xdr:to>
      <xdr:col>3</xdr:col>
      <xdr:colOff>357188</xdr:colOff>
      <xdr:row>40</xdr:row>
      <xdr:rowOff>130969</xdr:rowOff>
    </xdr:to>
    <xdr:sp macro="" textlink="">
      <xdr:nvSpPr>
        <xdr:cNvPr id="2" name="TextBox 1">
          <a:extLst>
            <a:ext uri="{FF2B5EF4-FFF2-40B4-BE49-F238E27FC236}">
              <a16:creationId xmlns:a16="http://schemas.microsoft.com/office/drawing/2014/main" id="{B2D69A31-1028-4487-BE13-3CBC23A65A47}"/>
            </a:ext>
          </a:extLst>
        </xdr:cNvPr>
        <xdr:cNvSpPr txBox="1"/>
      </xdr:nvSpPr>
      <xdr:spPr>
        <a:xfrm>
          <a:off x="785813" y="7608094"/>
          <a:ext cx="8584406" cy="1631156"/>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000">
            <a:solidFill>
              <a:schemeClr val="dk1"/>
            </a:solidFill>
            <a:effectLst/>
            <a:latin typeface="Calibri" panose="020F0502020204030204" pitchFamily="34" charset="0"/>
            <a:ea typeface="+mn-ea"/>
            <a:cs typeface="Calibri" panose="020F0502020204030204" pitchFamily="34" charset="0"/>
          </a:endParaRPr>
        </a:p>
        <a:p>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b="1">
            <a:latin typeface="Calibri" panose="020F0502020204030204" pitchFamily="34" charset="0"/>
            <a:cs typeface="Calibri" panose="020F0502020204030204" pitchFamily="34" charset="0"/>
          </a:endParaRPr>
        </a:p>
        <a:p>
          <a:endParaRPr lang="nb-NO" sz="1000">
            <a:latin typeface="Calibri" panose="020F0502020204030204" pitchFamily="34" charset="0"/>
            <a:cs typeface="Calibri" panose="020F0502020204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11906</xdr:colOff>
      <xdr:row>35</xdr:row>
      <xdr:rowOff>11906</xdr:rowOff>
    </xdr:from>
    <xdr:to>
      <xdr:col>6</xdr:col>
      <xdr:colOff>830036</xdr:colOff>
      <xdr:row>43</xdr:row>
      <xdr:rowOff>73819</xdr:rowOff>
    </xdr:to>
    <xdr:sp macro="" textlink="">
      <xdr:nvSpPr>
        <xdr:cNvPr id="2" name="TextBox 1">
          <a:extLst>
            <a:ext uri="{FF2B5EF4-FFF2-40B4-BE49-F238E27FC236}">
              <a16:creationId xmlns:a16="http://schemas.microsoft.com/office/drawing/2014/main" id="{D4C63B17-51A2-4D5D-A68C-03BC6A6225DA}"/>
            </a:ext>
          </a:extLst>
        </xdr:cNvPr>
        <xdr:cNvSpPr txBox="1"/>
      </xdr:nvSpPr>
      <xdr:spPr>
        <a:xfrm>
          <a:off x="801120" y="7958477"/>
          <a:ext cx="8805523" cy="1368199"/>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endParaRPr lang="nb-NO" sz="1000" b="0">
            <a:latin typeface="Calibri" panose="020F0502020204030204" pitchFamily="34" charset="0"/>
            <a:cs typeface="Calibri" panose="020F0502020204030204" pitchFamily="34" charset="0"/>
          </a:endParaRPr>
        </a:p>
        <a:p>
          <a:r>
            <a:rPr lang="nb-NO" sz="1000" b="0">
              <a:latin typeface="Calibri" panose="020F0502020204030204" pitchFamily="34" charset="0"/>
              <a:cs typeface="Calibri" panose="020F0502020204030204" pitchFamily="34" charset="0"/>
            </a:rPr>
            <a:t>General	Differences between</a:t>
          </a:r>
          <a:r>
            <a:rPr lang="nb-NO" sz="1000" b="0" baseline="0">
              <a:latin typeface="Calibri" panose="020F0502020204030204" pitchFamily="34" charset="0"/>
              <a:cs typeface="Calibri" panose="020F0502020204030204" pitchFamily="34" charset="0"/>
            </a:rPr>
            <a:t> column </a:t>
          </a:r>
          <a:r>
            <a:rPr lang="nb-NO" sz="1000" b="0" i="1" baseline="0">
              <a:latin typeface="Calibri" panose="020F0502020204030204" pitchFamily="34" charset="0"/>
              <a:cs typeface="Calibri" panose="020F0502020204030204" pitchFamily="34" charset="0"/>
            </a:rPr>
            <a:t>a</a:t>
          </a:r>
          <a:r>
            <a:rPr lang="nb-NO" sz="1000" b="0" baseline="0">
              <a:latin typeface="Calibri" panose="020F0502020204030204" pitchFamily="34" charset="0"/>
              <a:cs typeface="Calibri" panose="020F0502020204030204" pitchFamily="34" charset="0"/>
            </a:rPr>
            <a:t> and</a:t>
          </a:r>
          <a:r>
            <a:rPr lang="nb-NO" sz="1000" b="0" i="1" baseline="0">
              <a:latin typeface="Calibri" panose="020F0502020204030204" pitchFamily="34" charset="0"/>
              <a:cs typeface="Calibri" panose="020F0502020204030204" pitchFamily="34" charset="0"/>
            </a:rPr>
            <a:t> b</a:t>
          </a:r>
          <a:r>
            <a:rPr lang="nb-NO" sz="1000" b="0" baseline="0">
              <a:latin typeface="Calibri" panose="020F0502020204030204" pitchFamily="34" charset="0"/>
              <a:cs typeface="Calibri" panose="020F0502020204030204" pitchFamily="34" charset="0"/>
            </a:rPr>
            <a:t>: several enities have deviant financial and regulatory scope of consolidation (ref. LI3.). </a:t>
          </a:r>
        </a:p>
        <a:p>
          <a:pPr marL="0" marR="0" lvl="0" indent="0" defTabSz="914400" eaLnBrk="1" fontAlgn="auto" latinLnBrk="0" hangingPunct="1">
            <a:lnSpc>
              <a:spcPct val="100000"/>
            </a:lnSpc>
            <a:spcBef>
              <a:spcPts val="0"/>
            </a:spcBef>
            <a:spcAft>
              <a:spcPts val="0"/>
            </a:spcAft>
            <a:buClrTx/>
            <a:buSzTx/>
            <a:buFontTx/>
            <a:buNone/>
            <a:tabLst/>
            <a:defRPr/>
          </a:pPr>
          <a:r>
            <a:rPr lang="nb-NO" sz="1000" b="0" baseline="0">
              <a:solidFill>
                <a:schemeClr val="dk1"/>
              </a:solidFill>
              <a:effectLst/>
              <a:latin typeface="Calibri" panose="020F0502020204030204" pitchFamily="34" charset="0"/>
              <a:ea typeface="+mn-ea"/>
              <a:cs typeface="Calibri" panose="020F0502020204030204" pitchFamily="34" charset="0"/>
            </a:rPr>
            <a:t>	</a:t>
          </a:r>
          <a:r>
            <a:rPr lang="nb-NO" sz="1000">
              <a:solidFill>
                <a:schemeClr val="dk1"/>
              </a:solidFill>
              <a:effectLst/>
              <a:latin typeface="Calibri" panose="020F0502020204030204" pitchFamily="34" charset="0"/>
              <a:ea typeface="+mn-ea"/>
              <a:cs typeface="Calibri" panose="020F0502020204030204" pitchFamily="34" charset="0"/>
            </a:rPr>
            <a:t>All rows: The sum of column </a:t>
          </a:r>
          <a:r>
            <a:rPr lang="nb-NO" sz="1000" i="1">
              <a:solidFill>
                <a:schemeClr val="dk1"/>
              </a:solidFill>
              <a:effectLst/>
              <a:latin typeface="Calibri" panose="020F0502020204030204" pitchFamily="34" charset="0"/>
              <a:ea typeface="+mn-ea"/>
              <a:cs typeface="Calibri" panose="020F0502020204030204" pitchFamily="34" charset="0"/>
            </a:rPr>
            <a:t>c-g</a:t>
          </a:r>
          <a:r>
            <a:rPr lang="nb-NO" sz="1000">
              <a:solidFill>
                <a:schemeClr val="dk1"/>
              </a:solidFill>
              <a:effectLst/>
              <a:latin typeface="Calibri" panose="020F0502020204030204" pitchFamily="34" charset="0"/>
              <a:ea typeface="+mn-ea"/>
              <a:cs typeface="Calibri" panose="020F0502020204030204" pitchFamily="34" charset="0"/>
            </a:rPr>
            <a:t> equals column </a:t>
          </a:r>
          <a:r>
            <a:rPr lang="nb-NO" sz="1000" i="1">
              <a:solidFill>
                <a:schemeClr val="dk1"/>
              </a:solidFill>
              <a:effectLst/>
              <a:latin typeface="Calibri" panose="020F0502020204030204" pitchFamily="34" charset="0"/>
              <a:ea typeface="+mn-ea"/>
              <a:cs typeface="Calibri" panose="020F0502020204030204" pitchFamily="34" charset="0"/>
            </a:rPr>
            <a:t>b</a:t>
          </a:r>
          <a:r>
            <a:rPr lang="nb-NO" sz="1000">
              <a:solidFill>
                <a:schemeClr val="dk1"/>
              </a:solidFill>
              <a:effectLst/>
              <a:latin typeface="Calibri" panose="020F0502020204030204" pitchFamily="34" charset="0"/>
              <a:ea typeface="+mn-ea"/>
              <a:cs typeface="Calibri" panose="020F0502020204030204" pitchFamily="34" charset="0"/>
            </a:rPr>
            <a:t> - hence there</a:t>
          </a:r>
          <a:r>
            <a:rPr lang="nb-NO" sz="1000" baseline="0">
              <a:solidFill>
                <a:schemeClr val="dk1"/>
              </a:solidFill>
              <a:effectLst/>
              <a:latin typeface="Calibri" panose="020F0502020204030204" pitchFamily="34" charset="0"/>
              <a:ea typeface="+mn-ea"/>
              <a:cs typeface="Calibri" panose="020F0502020204030204" pitchFamily="34" charset="0"/>
            </a:rPr>
            <a:t> are no cases of carrying values included in several frameworks</a:t>
          </a:r>
          <a:r>
            <a:rPr lang="nb-NO" sz="1000">
              <a:solidFill>
                <a:schemeClr val="dk1"/>
              </a:solidFill>
              <a:effectLst/>
              <a:latin typeface="Calibri" panose="020F0502020204030204" pitchFamily="34" charset="0"/>
              <a:ea typeface="+mn-ea"/>
              <a:cs typeface="Calibri" panose="020F050202020403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lang="nb-NO" sz="1000">
              <a:solidFill>
                <a:schemeClr val="dk1"/>
              </a:solidFill>
              <a:effectLst/>
              <a:latin typeface="Calibri" panose="020F0502020204030204" pitchFamily="34" charset="0"/>
              <a:ea typeface="+mn-ea"/>
              <a:cs typeface="Calibri" panose="020F0502020204030204" pitchFamily="34" charset="0"/>
            </a:rPr>
            <a:t>	All amounts in MNOK.</a:t>
          </a:r>
          <a:endParaRPr lang="nb-NO" sz="1000" b="0">
            <a:latin typeface="Calibri" panose="020F0502020204030204" pitchFamily="34" charset="0"/>
            <a:cs typeface="Calibri" panose="020F0502020204030204" pitchFamily="34" charset="0"/>
          </a:endParaRPr>
        </a:p>
        <a:p>
          <a:endParaRPr lang="nb-NO"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23813</xdr:colOff>
      <xdr:row>15</xdr:row>
      <xdr:rowOff>11907</xdr:rowOff>
    </xdr:from>
    <xdr:to>
      <xdr:col>9</xdr:col>
      <xdr:colOff>476251</xdr:colOff>
      <xdr:row>24</xdr:row>
      <xdr:rowOff>142875</xdr:rowOff>
    </xdr:to>
    <xdr:sp macro="" textlink="">
      <xdr:nvSpPr>
        <xdr:cNvPr id="2" name="TextBox 1">
          <a:extLst>
            <a:ext uri="{FF2B5EF4-FFF2-40B4-BE49-F238E27FC236}">
              <a16:creationId xmlns:a16="http://schemas.microsoft.com/office/drawing/2014/main" id="{23081B8B-B483-4AF5-B5FE-D29FF8E4A857}"/>
            </a:ext>
          </a:extLst>
        </xdr:cNvPr>
        <xdr:cNvSpPr txBox="1"/>
      </xdr:nvSpPr>
      <xdr:spPr>
        <a:xfrm>
          <a:off x="357188" y="4583907"/>
          <a:ext cx="7048501" cy="1631156"/>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000">
            <a:solidFill>
              <a:schemeClr val="dk1"/>
            </a:solidFill>
            <a:effectLst/>
            <a:latin typeface="Calibri" panose="020F0502020204030204" pitchFamily="34" charset="0"/>
            <a:ea typeface="+mn-ea"/>
            <a:cs typeface="Calibri" panose="020F0502020204030204" pitchFamily="34" charset="0"/>
          </a:endParaRPr>
        </a:p>
        <a:p>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b="1">
            <a:latin typeface="Calibri" panose="020F0502020204030204" pitchFamily="34" charset="0"/>
            <a:cs typeface="Calibri" panose="020F0502020204030204" pitchFamily="34" charset="0"/>
          </a:endParaRPr>
        </a:p>
        <a:p>
          <a:endParaRPr lang="nb-NO" sz="1000">
            <a:latin typeface="Calibri" panose="020F0502020204030204" pitchFamily="34" charset="0"/>
            <a:cs typeface="Calibri" panose="020F0502020204030204"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13</xdr:row>
      <xdr:rowOff>0</xdr:rowOff>
    </xdr:from>
    <xdr:to>
      <xdr:col>6</xdr:col>
      <xdr:colOff>285750</xdr:colOff>
      <xdr:row>22</xdr:row>
      <xdr:rowOff>130968</xdr:rowOff>
    </xdr:to>
    <xdr:sp macro="" textlink="">
      <xdr:nvSpPr>
        <xdr:cNvPr id="2" name="TextBox 1">
          <a:extLst>
            <a:ext uri="{FF2B5EF4-FFF2-40B4-BE49-F238E27FC236}">
              <a16:creationId xmlns:a16="http://schemas.microsoft.com/office/drawing/2014/main" id="{7F3675CC-A35B-4402-A524-59145874361D}"/>
            </a:ext>
          </a:extLst>
        </xdr:cNvPr>
        <xdr:cNvSpPr txBox="1"/>
      </xdr:nvSpPr>
      <xdr:spPr>
        <a:xfrm>
          <a:off x="333375" y="2857500"/>
          <a:ext cx="7167563" cy="1631156"/>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000">
            <a:solidFill>
              <a:schemeClr val="dk1"/>
            </a:solidFill>
            <a:effectLst/>
            <a:latin typeface="Calibri" panose="020F0502020204030204" pitchFamily="34" charset="0"/>
            <a:ea typeface="+mn-ea"/>
            <a:cs typeface="Calibri" panose="020F0502020204030204" pitchFamily="34" charset="0"/>
          </a:endParaRPr>
        </a:p>
        <a:p>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b="1">
            <a:latin typeface="Calibri" panose="020F0502020204030204" pitchFamily="34" charset="0"/>
            <a:cs typeface="Calibri" panose="020F0502020204030204" pitchFamily="34" charset="0"/>
          </a:endParaRPr>
        </a:p>
        <a:p>
          <a:endParaRPr lang="nb-NO" sz="1000">
            <a:latin typeface="Calibri" panose="020F0502020204030204" pitchFamily="34" charset="0"/>
            <a:cs typeface="Calibri" panose="020F0502020204030204"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25</xdr:row>
      <xdr:rowOff>0</xdr:rowOff>
    </xdr:from>
    <xdr:to>
      <xdr:col>2</xdr:col>
      <xdr:colOff>6381750</xdr:colOff>
      <xdr:row>34</xdr:row>
      <xdr:rowOff>130968</xdr:rowOff>
    </xdr:to>
    <xdr:sp macro="" textlink="">
      <xdr:nvSpPr>
        <xdr:cNvPr id="2" name="TextBox 1">
          <a:extLst>
            <a:ext uri="{FF2B5EF4-FFF2-40B4-BE49-F238E27FC236}">
              <a16:creationId xmlns:a16="http://schemas.microsoft.com/office/drawing/2014/main" id="{DDA027C8-24CB-4994-9705-60E1FA1AC02A}"/>
            </a:ext>
          </a:extLst>
        </xdr:cNvPr>
        <xdr:cNvSpPr txBox="1"/>
      </xdr:nvSpPr>
      <xdr:spPr>
        <a:xfrm>
          <a:off x="333375" y="6096000"/>
          <a:ext cx="7167563" cy="1631156"/>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000">
            <a:solidFill>
              <a:schemeClr val="dk1"/>
            </a:solidFill>
            <a:effectLst/>
            <a:latin typeface="Calibri" panose="020F0502020204030204" pitchFamily="34" charset="0"/>
            <a:ea typeface="+mn-ea"/>
            <a:cs typeface="Calibri" panose="020F0502020204030204" pitchFamily="34" charset="0"/>
          </a:endParaRPr>
        </a:p>
        <a:p>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b="1">
            <a:latin typeface="Calibri" panose="020F0502020204030204" pitchFamily="34" charset="0"/>
            <a:cs typeface="Calibri" panose="020F0502020204030204" pitchFamily="34" charset="0"/>
          </a:endParaRPr>
        </a:p>
        <a:p>
          <a:endParaRPr lang="nb-NO" sz="1000">
            <a:latin typeface="Calibri" panose="020F0502020204030204" pitchFamily="34" charset="0"/>
            <a:cs typeface="Calibri" panose="020F0502020204030204" pitchFamily="34"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75</xdr:row>
      <xdr:rowOff>0</xdr:rowOff>
    </xdr:from>
    <xdr:to>
      <xdr:col>2</xdr:col>
      <xdr:colOff>6334125</xdr:colOff>
      <xdr:row>84</xdr:row>
      <xdr:rowOff>130969</xdr:rowOff>
    </xdr:to>
    <xdr:sp macro="" textlink="">
      <xdr:nvSpPr>
        <xdr:cNvPr id="2" name="TextBox 1">
          <a:extLst>
            <a:ext uri="{FF2B5EF4-FFF2-40B4-BE49-F238E27FC236}">
              <a16:creationId xmlns:a16="http://schemas.microsoft.com/office/drawing/2014/main" id="{7C1E41E6-86C5-4797-9645-BDD2EC9924E2}"/>
            </a:ext>
          </a:extLst>
        </xdr:cNvPr>
        <xdr:cNvSpPr txBox="1"/>
      </xdr:nvSpPr>
      <xdr:spPr>
        <a:xfrm>
          <a:off x="333375" y="15894844"/>
          <a:ext cx="7167563" cy="1631156"/>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000">
            <a:solidFill>
              <a:schemeClr val="dk1"/>
            </a:solidFill>
            <a:effectLst/>
            <a:latin typeface="Calibri" panose="020F0502020204030204" pitchFamily="34" charset="0"/>
            <a:ea typeface="+mn-ea"/>
            <a:cs typeface="Calibri" panose="020F0502020204030204" pitchFamily="34" charset="0"/>
          </a:endParaRPr>
        </a:p>
        <a:p>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b="1">
            <a:latin typeface="Calibri" panose="020F0502020204030204" pitchFamily="34" charset="0"/>
            <a:cs typeface="Calibri" panose="020F0502020204030204" pitchFamily="34" charset="0"/>
          </a:endParaRPr>
        </a:p>
        <a:p>
          <a:endParaRPr lang="nb-NO" sz="1000">
            <a:latin typeface="Calibri" panose="020F0502020204030204" pitchFamily="34" charset="0"/>
            <a:cs typeface="Calibri" panose="020F0502020204030204" pitchFamily="34"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21</xdr:row>
      <xdr:rowOff>0</xdr:rowOff>
    </xdr:from>
    <xdr:to>
      <xdr:col>6</xdr:col>
      <xdr:colOff>428625</xdr:colOff>
      <xdr:row>30</xdr:row>
      <xdr:rowOff>130968</xdr:rowOff>
    </xdr:to>
    <xdr:sp macro="" textlink="">
      <xdr:nvSpPr>
        <xdr:cNvPr id="2" name="TextBox 1">
          <a:extLst>
            <a:ext uri="{FF2B5EF4-FFF2-40B4-BE49-F238E27FC236}">
              <a16:creationId xmlns:a16="http://schemas.microsoft.com/office/drawing/2014/main" id="{6B84D2C0-092E-4805-A105-2E7A802E4864}"/>
            </a:ext>
          </a:extLst>
        </xdr:cNvPr>
        <xdr:cNvSpPr txBox="1"/>
      </xdr:nvSpPr>
      <xdr:spPr>
        <a:xfrm>
          <a:off x="333375" y="4488656"/>
          <a:ext cx="7167563" cy="1631156"/>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000">
            <a:solidFill>
              <a:schemeClr val="dk1"/>
            </a:solidFill>
            <a:effectLst/>
            <a:latin typeface="Calibri" panose="020F0502020204030204" pitchFamily="34" charset="0"/>
            <a:ea typeface="+mn-ea"/>
            <a:cs typeface="Calibri" panose="020F0502020204030204" pitchFamily="34" charset="0"/>
          </a:endParaRPr>
        </a:p>
        <a:p>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b="1">
            <a:latin typeface="Calibri" panose="020F0502020204030204" pitchFamily="34" charset="0"/>
            <a:cs typeface="Calibri" panose="020F0502020204030204" pitchFamily="34" charset="0"/>
          </a:endParaRPr>
        </a:p>
        <a:p>
          <a:endParaRPr lang="nb-NO" sz="1000">
            <a:latin typeface="Calibri" panose="020F0502020204030204" pitchFamily="34" charset="0"/>
            <a:cs typeface="Calibri" panose="020F0502020204030204" pitchFamily="34"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50</xdr:row>
      <xdr:rowOff>0</xdr:rowOff>
    </xdr:from>
    <xdr:to>
      <xdr:col>7</xdr:col>
      <xdr:colOff>714374</xdr:colOff>
      <xdr:row>56</xdr:row>
      <xdr:rowOff>35718</xdr:rowOff>
    </xdr:to>
    <xdr:sp macro="" textlink="">
      <xdr:nvSpPr>
        <xdr:cNvPr id="4" name="TextBox 1">
          <a:extLst>
            <a:ext uri="{FF2B5EF4-FFF2-40B4-BE49-F238E27FC236}">
              <a16:creationId xmlns:a16="http://schemas.microsoft.com/office/drawing/2014/main" id="{C0885D59-EF00-45C6-8E49-EAB5600EEDC1}"/>
            </a:ext>
          </a:extLst>
        </xdr:cNvPr>
        <xdr:cNvSpPr txBox="1"/>
      </xdr:nvSpPr>
      <xdr:spPr>
        <a:xfrm>
          <a:off x="785813" y="10560844"/>
          <a:ext cx="8572499" cy="1035843"/>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000" baseline="0">
              <a:solidFill>
                <a:schemeClr val="dk1"/>
              </a:solidFill>
              <a:effectLst/>
              <a:latin typeface="Calibri" panose="020F0502020204030204" pitchFamily="34" charset="0"/>
              <a:ea typeface="+mn-ea"/>
              <a:cs typeface="Calibri" panose="020F0502020204030204" pitchFamily="34" charset="0"/>
            </a:rPr>
            <a:t>By the end of 2021 EUR was no longer defined as a significant currency for SNN. Hence there are not any minimum requirements regarding LCR EUR or NOK by the end of 2022 either. Only LCR Total statistics is therefore reproduced in the table above.   </a:t>
          </a:r>
          <a:endParaRPr lang="nb-NO" sz="1000">
            <a:effectLst/>
            <a:latin typeface="Calibri" panose="020F0502020204030204" pitchFamily="34" charset="0"/>
            <a:cs typeface="Calibri" panose="020F0502020204030204" pitchFamily="34" charset="0"/>
          </a:endParaRPr>
        </a:p>
        <a:p>
          <a:endParaRPr lang="nb-NO" sz="1000" b="0">
            <a:solidFill>
              <a:schemeClr val="dk1"/>
            </a:solidFill>
            <a:effectLst/>
            <a:latin typeface="Calibri" panose="020F0502020204030204" pitchFamily="34" charset="0"/>
            <a:ea typeface="+mn-ea"/>
            <a:cs typeface="Calibri" panose="020F0502020204030204" pitchFamily="34" charset="0"/>
          </a:endParaRP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b="1">
            <a:latin typeface="Calibri" panose="020F0502020204030204" pitchFamily="34" charset="0"/>
            <a:cs typeface="Calibri" panose="020F0502020204030204" pitchFamily="34" charset="0"/>
          </a:endParaRPr>
        </a:p>
        <a:p>
          <a:endParaRPr lang="nb-NO" sz="1000">
            <a:latin typeface="Calibri" panose="020F0502020204030204" pitchFamily="34" charset="0"/>
            <a:cs typeface="Calibri" panose="020F0502020204030204" pitchFamily="34"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57</xdr:row>
      <xdr:rowOff>0</xdr:rowOff>
    </xdr:from>
    <xdr:to>
      <xdr:col>10</xdr:col>
      <xdr:colOff>273844</xdr:colOff>
      <xdr:row>63</xdr:row>
      <xdr:rowOff>95250</xdr:rowOff>
    </xdr:to>
    <xdr:sp macro="" textlink="">
      <xdr:nvSpPr>
        <xdr:cNvPr id="3" name="TextBox 1">
          <a:extLst>
            <a:ext uri="{FF2B5EF4-FFF2-40B4-BE49-F238E27FC236}">
              <a16:creationId xmlns:a16="http://schemas.microsoft.com/office/drawing/2014/main" id="{923818D5-5ABD-46C1-B8BD-F6B844277A78}"/>
            </a:ext>
          </a:extLst>
        </xdr:cNvPr>
        <xdr:cNvSpPr txBox="1"/>
      </xdr:nvSpPr>
      <xdr:spPr>
        <a:xfrm>
          <a:off x="785813" y="12477750"/>
          <a:ext cx="8536781" cy="1095375"/>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000" baseline="0">
              <a:solidFill>
                <a:schemeClr val="dk1"/>
              </a:solidFill>
              <a:effectLst/>
              <a:latin typeface="Calibri" panose="020F0502020204030204" pitchFamily="34" charset="0"/>
              <a:ea typeface="+mn-ea"/>
              <a:cs typeface="Calibri" panose="020F0502020204030204" pitchFamily="34" charset="0"/>
            </a:rPr>
            <a:t>By the end of 2021 EUR was no longer defined as a significant currency for SNN. Hence there are not any minimum requirements regarding NSFR EUR or NOK by the end of 2022 either. Only NSFR Total statistics is therefore reproduced in the table above.   </a:t>
          </a:r>
          <a:endParaRPr lang="nb-NO" sz="1000">
            <a:effectLst/>
            <a:latin typeface="Calibri" panose="020F0502020204030204" pitchFamily="34" charset="0"/>
            <a:cs typeface="Calibri" panose="020F0502020204030204" pitchFamily="34" charset="0"/>
          </a:endParaRPr>
        </a:p>
        <a:p>
          <a:endParaRPr lang="nb-NO" sz="1000" b="0">
            <a:solidFill>
              <a:schemeClr val="dk1"/>
            </a:solidFill>
            <a:effectLst/>
            <a:latin typeface="Calibri" panose="020F0502020204030204" pitchFamily="34" charset="0"/>
            <a:ea typeface="+mn-ea"/>
            <a:cs typeface="Calibri" panose="020F0502020204030204" pitchFamily="34" charset="0"/>
          </a:endParaRP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b="1">
            <a:latin typeface="Calibri" panose="020F0502020204030204" pitchFamily="34" charset="0"/>
            <a:cs typeface="Calibri" panose="020F0502020204030204" pitchFamily="34" charset="0"/>
          </a:endParaRPr>
        </a:p>
        <a:p>
          <a:endParaRPr lang="nb-NO" sz="1000">
            <a:latin typeface="Calibri" panose="020F0502020204030204" pitchFamily="34" charset="0"/>
            <a:cs typeface="Calibri" panose="020F0502020204030204" pitchFamily="34" charset="0"/>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21</xdr:row>
      <xdr:rowOff>0</xdr:rowOff>
    </xdr:from>
    <xdr:to>
      <xdr:col>7</xdr:col>
      <xdr:colOff>95250</xdr:colOff>
      <xdr:row>26</xdr:row>
      <xdr:rowOff>142875</xdr:rowOff>
    </xdr:to>
    <xdr:sp macro="" textlink="">
      <xdr:nvSpPr>
        <xdr:cNvPr id="3" name="TextBox 1">
          <a:extLst>
            <a:ext uri="{FF2B5EF4-FFF2-40B4-BE49-F238E27FC236}">
              <a16:creationId xmlns:a16="http://schemas.microsoft.com/office/drawing/2014/main" id="{A5A4F7B0-88EE-409B-B237-F8B717ACD438}"/>
            </a:ext>
          </a:extLst>
        </xdr:cNvPr>
        <xdr:cNvSpPr txBox="1"/>
      </xdr:nvSpPr>
      <xdr:spPr>
        <a:xfrm>
          <a:off x="785813" y="7239000"/>
          <a:ext cx="8584406" cy="1631156"/>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000">
            <a:solidFill>
              <a:schemeClr val="dk1"/>
            </a:solidFill>
            <a:effectLst/>
            <a:latin typeface="Calibri" panose="020F0502020204030204" pitchFamily="34" charset="0"/>
            <a:ea typeface="+mn-ea"/>
            <a:cs typeface="Calibri" panose="020F0502020204030204" pitchFamily="34" charset="0"/>
          </a:endParaRPr>
        </a:p>
        <a:p>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b="1">
            <a:latin typeface="Calibri" panose="020F0502020204030204" pitchFamily="34" charset="0"/>
            <a:cs typeface="Calibri" panose="020F0502020204030204" pitchFamily="34" charset="0"/>
          </a:endParaRPr>
        </a:p>
        <a:p>
          <a:endParaRPr lang="nb-NO" sz="1000">
            <a:latin typeface="Calibri" panose="020F0502020204030204" pitchFamily="34" charset="0"/>
            <a:cs typeface="Calibri" panose="020F0502020204030204" pitchFamily="34"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1726406</xdr:colOff>
      <xdr:row>27</xdr:row>
      <xdr:rowOff>35719</xdr:rowOff>
    </xdr:from>
    <xdr:to>
      <xdr:col>4</xdr:col>
      <xdr:colOff>1833562</xdr:colOff>
      <xdr:row>37</xdr:row>
      <xdr:rowOff>0</xdr:rowOff>
    </xdr:to>
    <xdr:sp macro="" textlink="">
      <xdr:nvSpPr>
        <xdr:cNvPr id="3" name="TextBox 1">
          <a:extLst>
            <a:ext uri="{FF2B5EF4-FFF2-40B4-BE49-F238E27FC236}">
              <a16:creationId xmlns:a16="http://schemas.microsoft.com/office/drawing/2014/main" id="{2BB106C1-AA75-4BFD-BE9E-1A31243AE8EC}"/>
            </a:ext>
          </a:extLst>
        </xdr:cNvPr>
        <xdr:cNvSpPr txBox="1"/>
      </xdr:nvSpPr>
      <xdr:spPr>
        <a:xfrm>
          <a:off x="1726406" y="8667750"/>
          <a:ext cx="8584406" cy="1631156"/>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000">
            <a:solidFill>
              <a:schemeClr val="dk1"/>
            </a:solidFill>
            <a:effectLst/>
            <a:latin typeface="Calibri" panose="020F0502020204030204" pitchFamily="34" charset="0"/>
            <a:ea typeface="+mn-ea"/>
            <a:cs typeface="Calibri" panose="020F0502020204030204" pitchFamily="34" charset="0"/>
          </a:endParaRPr>
        </a:p>
        <a:p>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pPr eaLnBrk="1" fontAlgn="auto" latinLnBrk="0" hangingPunct="1"/>
          <a:r>
            <a:rPr lang="nb-NO" sz="1000">
              <a:solidFill>
                <a:schemeClr val="dk1"/>
              </a:solidFill>
              <a:effectLst/>
              <a:latin typeface="Calibri" panose="020F0502020204030204" pitchFamily="34" charset="0"/>
              <a:ea typeface="+mn-ea"/>
              <a:cs typeface="Calibri" panose="020F0502020204030204" pitchFamily="34" charset="0"/>
            </a:rPr>
            <a:t>Information in row </a:t>
          </a:r>
          <a:r>
            <a:rPr lang="nb-NO" sz="1000" i="1">
              <a:solidFill>
                <a:schemeClr val="dk1"/>
              </a:solidFill>
              <a:effectLst/>
              <a:latin typeface="Calibri" panose="020F0502020204030204" pitchFamily="34" charset="0"/>
              <a:ea typeface="+mn-ea"/>
              <a:cs typeface="Calibri" panose="020F0502020204030204" pitchFamily="34" charset="0"/>
            </a:rPr>
            <a:t>130-241 is excluded due to insufficient data on consolidated level.</a:t>
          </a:r>
          <a:endParaRPr lang="nb-NO" sz="1000">
            <a:effectLst/>
            <a:latin typeface="Calibri" panose="020F0502020204030204" pitchFamily="34" charset="0"/>
            <a:cs typeface="Calibri" panose="020F0502020204030204" pitchFamily="34" charset="0"/>
          </a:endParaRP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b="1">
            <a:latin typeface="Calibri" panose="020F0502020204030204" pitchFamily="34" charset="0"/>
            <a:cs typeface="Calibri" panose="020F0502020204030204" pitchFamily="34" charset="0"/>
          </a:endParaRPr>
        </a:p>
        <a:p>
          <a:endParaRPr lang="nb-NO" sz="1000">
            <a:latin typeface="Calibri" panose="020F0502020204030204" pitchFamily="34" charset="0"/>
            <a:cs typeface="Calibri" panose="020F0502020204030204" pitchFamily="34" charset="0"/>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750095</xdr:colOff>
      <xdr:row>12</xdr:row>
      <xdr:rowOff>130970</xdr:rowOff>
    </xdr:from>
    <xdr:to>
      <xdr:col>3</xdr:col>
      <xdr:colOff>2447926</xdr:colOff>
      <xdr:row>22</xdr:row>
      <xdr:rowOff>95251</xdr:rowOff>
    </xdr:to>
    <xdr:sp macro="" textlink="">
      <xdr:nvSpPr>
        <xdr:cNvPr id="3" name="TextBox 1">
          <a:extLst>
            <a:ext uri="{FF2B5EF4-FFF2-40B4-BE49-F238E27FC236}">
              <a16:creationId xmlns:a16="http://schemas.microsoft.com/office/drawing/2014/main" id="{46DA11AF-06F2-480D-A98D-A605FB67F9A5}"/>
            </a:ext>
          </a:extLst>
        </xdr:cNvPr>
        <xdr:cNvSpPr txBox="1"/>
      </xdr:nvSpPr>
      <xdr:spPr>
        <a:xfrm>
          <a:off x="750095" y="3095626"/>
          <a:ext cx="6984206" cy="1631156"/>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000">
            <a:solidFill>
              <a:schemeClr val="dk1"/>
            </a:solidFill>
            <a:effectLst/>
            <a:latin typeface="Calibri" panose="020F0502020204030204" pitchFamily="34" charset="0"/>
            <a:ea typeface="+mn-ea"/>
            <a:cs typeface="Calibri" panose="020F0502020204030204" pitchFamily="34" charset="0"/>
          </a:endParaRPr>
        </a:p>
        <a:p>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b="1">
            <a:latin typeface="Calibri" panose="020F0502020204030204" pitchFamily="34" charset="0"/>
            <a:cs typeface="Calibri" panose="020F0502020204030204" pitchFamily="34" charset="0"/>
          </a:endParaRPr>
        </a:p>
        <a:p>
          <a:endParaRPr lang="nb-NO" sz="1000">
            <a:latin typeface="Calibri" panose="020F0502020204030204" pitchFamily="34" charset="0"/>
            <a:cs typeface="Calibri" panose="020F050202020403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523874</xdr:colOff>
      <xdr:row>24</xdr:row>
      <xdr:rowOff>0</xdr:rowOff>
    </xdr:from>
    <xdr:to>
      <xdr:col>5</xdr:col>
      <xdr:colOff>261937</xdr:colOff>
      <xdr:row>31</xdr:row>
      <xdr:rowOff>154780</xdr:rowOff>
    </xdr:to>
    <xdr:sp macro="" textlink="">
      <xdr:nvSpPr>
        <xdr:cNvPr id="2" name="TextBox 1">
          <a:extLst>
            <a:ext uri="{FF2B5EF4-FFF2-40B4-BE49-F238E27FC236}">
              <a16:creationId xmlns:a16="http://schemas.microsoft.com/office/drawing/2014/main" id="{7D6C4DC1-8E75-4AD8-933C-D030446AF5F6}"/>
            </a:ext>
          </a:extLst>
        </xdr:cNvPr>
        <xdr:cNvSpPr txBox="1"/>
      </xdr:nvSpPr>
      <xdr:spPr>
        <a:xfrm>
          <a:off x="523874" y="5988844"/>
          <a:ext cx="9024938" cy="1321592"/>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000" b="1">
            <a:latin typeface="Calibri" panose="020F0502020204030204" pitchFamily="34" charset="0"/>
            <a:cs typeface="Calibri" panose="020F0502020204030204" pitchFamily="34" charset="0"/>
          </a:endParaRPr>
        </a:p>
        <a:p>
          <a:r>
            <a:rPr lang="nb-NO" sz="1000">
              <a:latin typeface="Calibri" panose="020F0502020204030204" pitchFamily="34" charset="0"/>
              <a:cs typeface="Calibri" panose="020F0502020204030204" pitchFamily="34" charset="0"/>
            </a:rPr>
            <a:t>General 	All rows: The sum of column </a:t>
          </a:r>
          <a:r>
            <a:rPr lang="nb-NO" sz="1000" i="1">
              <a:latin typeface="Calibri" panose="020F0502020204030204" pitchFamily="34" charset="0"/>
              <a:cs typeface="Calibri" panose="020F0502020204030204" pitchFamily="34" charset="0"/>
            </a:rPr>
            <a:t>b-e </a:t>
          </a:r>
          <a:r>
            <a:rPr lang="nb-NO" sz="1000">
              <a:latin typeface="Calibri" panose="020F0502020204030204" pitchFamily="34" charset="0"/>
              <a:cs typeface="Calibri" panose="020F0502020204030204" pitchFamily="34" charset="0"/>
            </a:rPr>
            <a:t>equals the sum of column </a:t>
          </a:r>
          <a:r>
            <a:rPr lang="nb-NO" sz="1000" i="1">
              <a:latin typeface="Calibri" panose="020F0502020204030204" pitchFamily="34" charset="0"/>
              <a:cs typeface="Calibri" panose="020F0502020204030204" pitchFamily="34" charset="0"/>
            </a:rPr>
            <a:t>c-f</a:t>
          </a:r>
          <a:r>
            <a:rPr lang="nb-NO" sz="1000" baseline="0">
              <a:latin typeface="Calibri" panose="020F0502020204030204" pitchFamily="34" charset="0"/>
              <a:cs typeface="Calibri" panose="020F0502020204030204" pitchFamily="34" charset="0"/>
            </a:rPr>
            <a:t> in LI1</a:t>
          </a:r>
          <a:r>
            <a:rPr lang="nb-NO" sz="1000">
              <a:latin typeface="Calibri" panose="020F0502020204030204" pitchFamily="34" charset="0"/>
              <a:cs typeface="Calibri" panose="020F0502020204030204" pitchFamily="34" charset="0"/>
            </a:rPr>
            <a:t>.</a:t>
          </a:r>
        </a:p>
        <a:p>
          <a:r>
            <a:rPr lang="nb-NO" sz="1000">
              <a:latin typeface="Calibri" panose="020F0502020204030204" pitchFamily="34" charset="0"/>
              <a:cs typeface="Calibri" panose="020F0502020204030204" pitchFamily="34" charset="0"/>
            </a:rPr>
            <a:t>	All rows: Colum</a:t>
          </a:r>
          <a:r>
            <a:rPr lang="nb-NO" sz="1000" baseline="0">
              <a:latin typeface="Calibri" panose="020F0502020204030204" pitchFamily="34" charset="0"/>
              <a:cs typeface="Calibri" panose="020F0502020204030204" pitchFamily="34" charset="0"/>
            </a:rPr>
            <a:t> </a:t>
          </a:r>
          <a:r>
            <a:rPr lang="nb-NO" sz="1000" i="1" baseline="0">
              <a:latin typeface="Calibri" panose="020F0502020204030204" pitchFamily="34" charset="0"/>
              <a:cs typeface="Calibri" panose="020F0502020204030204" pitchFamily="34" charset="0"/>
            </a:rPr>
            <a:t>a</a:t>
          </a:r>
          <a:r>
            <a:rPr lang="nb-NO" sz="1000" baseline="0">
              <a:latin typeface="Calibri" panose="020F0502020204030204" pitchFamily="34" charset="0"/>
              <a:cs typeface="Calibri" panose="020F0502020204030204" pitchFamily="34" charset="0"/>
            </a:rPr>
            <a:t> equals column </a:t>
          </a:r>
          <a:r>
            <a:rPr lang="nb-NO" sz="1000" i="1" baseline="0">
              <a:latin typeface="Calibri" panose="020F0502020204030204" pitchFamily="34" charset="0"/>
              <a:cs typeface="Calibri" panose="020F0502020204030204" pitchFamily="34" charset="0"/>
            </a:rPr>
            <a:t>b-e</a:t>
          </a:r>
          <a:r>
            <a:rPr lang="nb-NO" sz="1000" baseline="0">
              <a:latin typeface="Calibri" panose="020F0502020204030204" pitchFamily="34" charset="0"/>
              <a:cs typeface="Calibri" panose="020F0502020204030204" pitchFamily="34" charset="0"/>
            </a:rPr>
            <a:t>  in the table above and equals column b minus column </a:t>
          </a:r>
          <a:r>
            <a:rPr lang="nb-NO" sz="1000" i="1" baseline="0">
              <a:latin typeface="Calibri" panose="020F0502020204030204" pitchFamily="34" charset="0"/>
              <a:cs typeface="Calibri" panose="020F0502020204030204" pitchFamily="34" charset="0"/>
            </a:rPr>
            <a:t>g</a:t>
          </a:r>
          <a:r>
            <a:rPr lang="nb-NO" sz="1000" baseline="0">
              <a:latin typeface="Calibri" panose="020F0502020204030204" pitchFamily="34" charset="0"/>
              <a:cs typeface="Calibri" panose="020F0502020204030204" pitchFamily="34" charset="0"/>
            </a:rPr>
            <a:t> i LI1. </a:t>
          </a:r>
          <a:endParaRPr lang="nb-NO" sz="1000">
            <a:latin typeface="Calibri" panose="020F0502020204030204" pitchFamily="34" charset="0"/>
            <a:cs typeface="Calibri" panose="020F0502020204030204" pitchFamily="34" charset="0"/>
          </a:endParaRPr>
        </a:p>
        <a:p>
          <a:r>
            <a:rPr lang="nb-NO" sz="1000">
              <a:solidFill>
                <a:schemeClr val="dk1"/>
              </a:solidFill>
              <a:effectLst/>
              <a:latin typeface="Calibri" panose="020F0502020204030204" pitchFamily="34" charset="0"/>
              <a:ea typeface="+mn-ea"/>
              <a:cs typeface="Calibri" panose="020F0502020204030204" pitchFamily="34" charset="0"/>
            </a:rPr>
            <a:t>	All amounts i MNOK.</a:t>
          </a:r>
          <a:endParaRPr lang="nb-NO" sz="1000">
            <a:effectLst/>
            <a:latin typeface="Calibri" panose="020F0502020204030204" pitchFamily="34" charset="0"/>
            <a:cs typeface="Calibri" panose="020F0502020204030204" pitchFamily="34" charset="0"/>
          </a:endParaRPr>
        </a:p>
        <a:p>
          <a:endParaRPr lang="nb-NO" sz="10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20</xdr:row>
      <xdr:rowOff>0</xdr:rowOff>
    </xdr:from>
    <xdr:to>
      <xdr:col>6</xdr:col>
      <xdr:colOff>631031</xdr:colOff>
      <xdr:row>29</xdr:row>
      <xdr:rowOff>130968</xdr:rowOff>
    </xdr:to>
    <xdr:sp macro="" textlink="">
      <xdr:nvSpPr>
        <xdr:cNvPr id="3" name="TextBox 1">
          <a:extLst>
            <a:ext uri="{FF2B5EF4-FFF2-40B4-BE49-F238E27FC236}">
              <a16:creationId xmlns:a16="http://schemas.microsoft.com/office/drawing/2014/main" id="{F57FA0B9-ED8B-43D1-97F9-1DF6FE315D5D}"/>
            </a:ext>
          </a:extLst>
        </xdr:cNvPr>
        <xdr:cNvSpPr txBox="1"/>
      </xdr:nvSpPr>
      <xdr:spPr>
        <a:xfrm>
          <a:off x="785813" y="4333875"/>
          <a:ext cx="8584406" cy="1631156"/>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000">
            <a:solidFill>
              <a:schemeClr val="dk1"/>
            </a:solidFill>
            <a:effectLst/>
            <a:latin typeface="Calibri" panose="020F0502020204030204" pitchFamily="34" charset="0"/>
            <a:ea typeface="+mn-ea"/>
            <a:cs typeface="Calibri" panose="020F0502020204030204" pitchFamily="34" charset="0"/>
          </a:endParaRPr>
        </a:p>
        <a:p>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b="1">
            <a:latin typeface="Calibri" panose="020F0502020204030204" pitchFamily="34" charset="0"/>
            <a:cs typeface="Calibri" panose="020F0502020204030204" pitchFamily="34" charset="0"/>
          </a:endParaRPr>
        </a:p>
        <a:p>
          <a:endParaRPr lang="nb-NO" sz="1000">
            <a:latin typeface="Calibri" panose="020F0502020204030204" pitchFamily="34" charset="0"/>
            <a:cs typeface="Calibri" panose="020F0502020204030204"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23812</xdr:colOff>
      <xdr:row>19</xdr:row>
      <xdr:rowOff>83344</xdr:rowOff>
    </xdr:from>
    <xdr:to>
      <xdr:col>11</xdr:col>
      <xdr:colOff>514350</xdr:colOff>
      <xdr:row>36</xdr:row>
      <xdr:rowOff>57150</xdr:rowOff>
    </xdr:to>
    <xdr:sp macro="" textlink="">
      <xdr:nvSpPr>
        <xdr:cNvPr id="3" name="TextBox 1">
          <a:extLst>
            <a:ext uri="{FF2B5EF4-FFF2-40B4-BE49-F238E27FC236}">
              <a16:creationId xmlns:a16="http://schemas.microsoft.com/office/drawing/2014/main" id="{8E78EFFA-A761-4981-9097-EF2B25014720}"/>
            </a:ext>
          </a:extLst>
        </xdr:cNvPr>
        <xdr:cNvSpPr txBox="1"/>
      </xdr:nvSpPr>
      <xdr:spPr>
        <a:xfrm>
          <a:off x="814387" y="4645819"/>
          <a:ext cx="5853113" cy="272653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endParaRPr lang="nb-NO" sz="1000">
            <a:solidFill>
              <a:schemeClr val="dk1"/>
            </a:solidFill>
            <a:effectLst/>
            <a:latin typeface="Calibri" panose="020F0502020204030204" pitchFamily="34" charset="0"/>
            <a:ea typeface="+mn-ea"/>
            <a:cs typeface="Calibri" panose="020F0502020204030204" pitchFamily="34" charset="0"/>
          </a:endParaRPr>
        </a:p>
        <a:p>
          <a:r>
            <a:rPr lang="nb-NO" sz="1000" b="0" i="1">
              <a:solidFill>
                <a:schemeClr val="dk1"/>
              </a:solidFill>
              <a:effectLst/>
              <a:latin typeface="Calibri" panose="020F0502020204030204" pitchFamily="34" charset="0"/>
              <a:ea typeface="+mn-ea"/>
              <a:cs typeface="Calibri" panose="020F0502020204030204" pitchFamily="34" charset="0"/>
            </a:rPr>
            <a:t>Changes of the economic value of equity (EVE): </a:t>
          </a:r>
          <a:r>
            <a:rPr lang="nb-NO" sz="1000" b="0" baseline="0">
              <a:solidFill>
                <a:schemeClr val="dk1"/>
              </a:solidFill>
              <a:effectLst/>
              <a:latin typeface="Calibri" panose="020F0502020204030204" pitchFamily="34" charset="0"/>
              <a:ea typeface="+mn-ea"/>
              <a:cs typeface="Calibri" panose="020F0502020204030204" pitchFamily="34" charset="0"/>
            </a:rPr>
            <a:t>The estimates of changes of EVE are calculated on all interest sensitive assets and liabilities as at 31.12.22 (current period) and the EVE represents the changes in the net present value (life time effect) of these assets and liabilities due to various changes in interest rates in acordance to the </a:t>
          </a:r>
          <a:r>
            <a:rPr lang="nb-NO" sz="1000" b="0" i="0" baseline="0">
              <a:solidFill>
                <a:schemeClr val="dk1"/>
              </a:solidFill>
              <a:effectLst/>
              <a:latin typeface="Calibri" panose="020F0502020204030204" pitchFamily="34" charset="0"/>
              <a:ea typeface="+mn-ea"/>
              <a:cs typeface="Calibri" panose="020F0502020204030204" pitchFamily="34" charset="0"/>
            </a:rPr>
            <a:t>six interest rate shock scenarios in </a:t>
          </a:r>
          <a:r>
            <a:rPr lang="nb-NO" sz="1000" b="0" baseline="0">
              <a:solidFill>
                <a:schemeClr val="dk1"/>
              </a:solidFill>
              <a:effectLst/>
              <a:latin typeface="Calibri" panose="020F0502020204030204" pitchFamily="34" charset="0"/>
              <a:ea typeface="+mn-ea"/>
              <a:cs typeface="Calibri" panose="020F0502020204030204" pitchFamily="34" charset="0"/>
            </a:rPr>
            <a:t>EBA/GL/2018/02.  </a:t>
          </a:r>
        </a:p>
        <a:p>
          <a:endParaRPr lang="nb-NO" sz="1000" b="0" baseline="0">
            <a:solidFill>
              <a:schemeClr val="dk1"/>
            </a:solidFill>
            <a:effectLst/>
            <a:latin typeface="Calibri" panose="020F0502020204030204" pitchFamily="34" charset="0"/>
            <a:ea typeface="+mn-ea"/>
            <a:cs typeface="Calibri" panose="020F0502020204030204" pitchFamily="34" charset="0"/>
          </a:endParaRPr>
        </a:p>
        <a:p>
          <a:endParaRPr lang="nb-NO" sz="1000" b="0" baseline="0">
            <a:solidFill>
              <a:schemeClr val="dk1"/>
            </a:solidFill>
            <a:effectLst/>
            <a:latin typeface="Calibri" panose="020F0502020204030204" pitchFamily="34" charset="0"/>
            <a:ea typeface="+mn-ea"/>
            <a:cs typeface="Calibri" panose="020F0502020204030204" pitchFamily="34" charset="0"/>
          </a:endParaRPr>
        </a:p>
        <a:p>
          <a:r>
            <a:rPr lang="nb-NO" sz="1000" b="0" i="1">
              <a:solidFill>
                <a:schemeClr val="dk1"/>
              </a:solidFill>
              <a:effectLst/>
              <a:latin typeface="Calibri" panose="020F0502020204030204" pitchFamily="34" charset="0"/>
              <a:ea typeface="+mn-ea"/>
              <a:cs typeface="Calibri" panose="020F0502020204030204" pitchFamily="34" charset="0"/>
            </a:rPr>
            <a:t>Changes of the net interest income (NII)</a:t>
          </a:r>
          <a:r>
            <a:rPr lang="nb-NO" sz="1000" b="0">
              <a:solidFill>
                <a:schemeClr val="dk1"/>
              </a:solidFill>
              <a:effectLst/>
              <a:latin typeface="Calibri" panose="020F0502020204030204" pitchFamily="34" charset="0"/>
              <a:ea typeface="+mn-ea"/>
              <a:cs typeface="Calibri" panose="020F0502020204030204" pitchFamily="34" charset="0"/>
            </a:rPr>
            <a:t>: Estimates of</a:t>
          </a:r>
          <a:r>
            <a:rPr lang="nb-NO" sz="1000" b="0" baseline="0">
              <a:solidFill>
                <a:schemeClr val="dk1"/>
              </a:solidFill>
              <a:effectLst/>
              <a:latin typeface="Calibri" panose="020F0502020204030204" pitchFamily="34" charset="0"/>
              <a:ea typeface="+mn-ea"/>
              <a:cs typeface="Calibri" panose="020F0502020204030204" pitchFamily="34" charset="0"/>
            </a:rPr>
            <a:t> NII  represents the accumulated expected change in net interest income for the next 12 months as at 31.12.22 due to a: </a:t>
          </a:r>
        </a:p>
        <a:p>
          <a:r>
            <a:rPr lang="nb-NO" sz="1000" b="0" baseline="0">
              <a:solidFill>
                <a:schemeClr val="dk1"/>
              </a:solidFill>
              <a:effectLst/>
              <a:latin typeface="Calibri" panose="020F0502020204030204" pitchFamily="34" charset="0"/>
              <a:ea typeface="+mn-ea"/>
              <a:cs typeface="Calibri" panose="020F0502020204030204" pitchFamily="34" charset="0"/>
            </a:rPr>
            <a:t>         a) parallel shift up in interest rates of 200 bps</a:t>
          </a:r>
        </a:p>
        <a:p>
          <a:r>
            <a:rPr lang="nb-NO" sz="1000" b="0" baseline="0">
              <a:solidFill>
                <a:schemeClr val="dk1"/>
              </a:solidFill>
              <a:effectLst/>
              <a:latin typeface="Calibri" panose="020F0502020204030204" pitchFamily="34" charset="0"/>
              <a:ea typeface="+mn-ea"/>
              <a:cs typeface="Calibri" panose="020F0502020204030204" pitchFamily="34" charset="0"/>
            </a:rPr>
            <a:t>         b) parallel shift down in interest rates of 200 bps</a:t>
          </a:r>
        </a:p>
        <a:p>
          <a:endParaRPr lang="nb-NO" sz="1000" b="0" baseline="0">
            <a:solidFill>
              <a:schemeClr val="dk1"/>
            </a:solidFill>
            <a:effectLst/>
            <a:latin typeface="Calibri" panose="020F0502020204030204" pitchFamily="34" charset="0"/>
            <a:ea typeface="+mn-ea"/>
            <a:cs typeface="Calibri" panose="020F0502020204030204" pitchFamily="34" charset="0"/>
          </a:endParaRPr>
        </a:p>
        <a:p>
          <a:r>
            <a:rPr lang="nb-NO" sz="1000" b="0" i="1" baseline="0">
              <a:solidFill>
                <a:schemeClr val="dk1"/>
              </a:solidFill>
              <a:effectLst/>
              <a:latin typeface="Calibri" panose="020F0502020204030204" pitchFamily="34" charset="0"/>
              <a:ea typeface="+mn-ea"/>
              <a:cs typeface="Calibri" panose="020F0502020204030204" pitchFamily="34" charset="0"/>
            </a:rPr>
            <a:t>Last period (na)</a:t>
          </a:r>
          <a:r>
            <a:rPr lang="nb-NO" sz="1000" b="0" baseline="0">
              <a:solidFill>
                <a:schemeClr val="dk1"/>
              </a:solidFill>
              <a:effectLst/>
              <a:latin typeface="Calibri" panose="020F0502020204030204" pitchFamily="34" charset="0"/>
              <a:ea typeface="+mn-ea"/>
              <a:cs typeface="Calibri" panose="020F0502020204030204" pitchFamily="34" charset="0"/>
            </a:rPr>
            <a:t>: Current period (31.12.22) is the first period of disclosure of the template.  </a:t>
          </a:r>
          <a:endParaRPr lang="nb-NO" sz="1000" b="0">
            <a:solidFill>
              <a:schemeClr val="dk1"/>
            </a:solidFill>
            <a:effectLst/>
            <a:latin typeface="Calibri" panose="020F0502020204030204" pitchFamily="34" charset="0"/>
            <a:ea typeface="+mn-ea"/>
            <a:cs typeface="Calibri" panose="020F0502020204030204" pitchFamily="34" charset="0"/>
          </a:endParaRPr>
        </a:p>
        <a:p>
          <a:endParaRPr lang="nb-NO" sz="1000">
            <a:solidFill>
              <a:schemeClr val="dk1"/>
            </a:solidFill>
            <a:effectLst/>
            <a:latin typeface="Calibri" panose="020F0502020204030204" pitchFamily="34" charset="0"/>
            <a:ea typeface="+mn-ea"/>
            <a:cs typeface="Calibri" panose="020F0502020204030204" pitchFamily="34" charset="0"/>
          </a:endParaRPr>
        </a:p>
        <a:p>
          <a:endParaRPr lang="nb-NO" sz="1000" b="1">
            <a:latin typeface="Calibri" panose="020F0502020204030204" pitchFamily="34" charset="0"/>
            <a:cs typeface="Calibri" panose="020F0502020204030204" pitchFamily="34" charset="0"/>
          </a:endParaRPr>
        </a:p>
        <a:p>
          <a:endParaRPr lang="nb-NO" sz="1000">
            <a:latin typeface="Calibri" panose="020F0502020204030204" pitchFamily="34" charset="0"/>
            <a:cs typeface="Calibri" panose="020F050202020403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30</xdr:row>
      <xdr:rowOff>0</xdr:rowOff>
    </xdr:from>
    <xdr:to>
      <xdr:col>3</xdr:col>
      <xdr:colOff>1143000</xdr:colOff>
      <xdr:row>36</xdr:row>
      <xdr:rowOff>0</xdr:rowOff>
    </xdr:to>
    <xdr:sp macro="" textlink="">
      <xdr:nvSpPr>
        <xdr:cNvPr id="2" name="TextBox 1">
          <a:extLst>
            <a:ext uri="{FF2B5EF4-FFF2-40B4-BE49-F238E27FC236}">
              <a16:creationId xmlns:a16="http://schemas.microsoft.com/office/drawing/2014/main" id="{C0F32754-CB2F-4C10-AC81-2B301274E230}"/>
            </a:ext>
          </a:extLst>
        </xdr:cNvPr>
        <xdr:cNvSpPr txBox="1"/>
      </xdr:nvSpPr>
      <xdr:spPr>
        <a:xfrm>
          <a:off x="785813" y="6858000"/>
          <a:ext cx="4762500" cy="1000125"/>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endParaRPr lang="nb-NO" sz="1000">
            <a:latin typeface="Calibri" panose="020F0502020204030204" pitchFamily="34" charset="0"/>
            <a:cs typeface="Calibri" panose="020F0502020204030204" pitchFamily="34" charset="0"/>
          </a:endParaRPr>
        </a:p>
        <a:p>
          <a:r>
            <a:rPr lang="nb-NO" sz="1000">
              <a:latin typeface="Calibri" panose="020F0502020204030204" pitchFamily="34" charset="0"/>
              <a:cs typeface="Calibri" panose="020F0502020204030204" pitchFamily="34" charset="0"/>
            </a:rPr>
            <a:t>* Companies are risk weighted based on their accounting value.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130</xdr:row>
      <xdr:rowOff>0</xdr:rowOff>
    </xdr:from>
    <xdr:to>
      <xdr:col>3</xdr:col>
      <xdr:colOff>1220156</xdr:colOff>
      <xdr:row>138</xdr:row>
      <xdr:rowOff>153124</xdr:rowOff>
    </xdr:to>
    <xdr:sp macro="" textlink="">
      <xdr:nvSpPr>
        <xdr:cNvPr id="2" name="TextBox 1">
          <a:extLst>
            <a:ext uri="{FF2B5EF4-FFF2-40B4-BE49-F238E27FC236}">
              <a16:creationId xmlns:a16="http://schemas.microsoft.com/office/drawing/2014/main" id="{6378097F-0A97-4051-9FD7-BB8E0C9DB16C}"/>
            </a:ext>
          </a:extLst>
        </xdr:cNvPr>
        <xdr:cNvSpPr txBox="1"/>
      </xdr:nvSpPr>
      <xdr:spPr>
        <a:xfrm>
          <a:off x="333375" y="30908625"/>
          <a:ext cx="7351875" cy="1486624"/>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endParaRPr lang="nb-NO" sz="1000" b="1"/>
        </a:p>
        <a:p>
          <a:endParaRPr lang="nb-NO" sz="10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57</xdr:row>
      <xdr:rowOff>0</xdr:rowOff>
    </xdr:from>
    <xdr:to>
      <xdr:col>3</xdr:col>
      <xdr:colOff>0</xdr:colOff>
      <xdr:row>64</xdr:row>
      <xdr:rowOff>154780</xdr:rowOff>
    </xdr:to>
    <xdr:sp macro="" textlink="">
      <xdr:nvSpPr>
        <xdr:cNvPr id="2" name="TextBox 1">
          <a:extLst>
            <a:ext uri="{FF2B5EF4-FFF2-40B4-BE49-F238E27FC236}">
              <a16:creationId xmlns:a16="http://schemas.microsoft.com/office/drawing/2014/main" id="{20B930D8-F4A0-495C-BB99-E52F5E3507E4}"/>
            </a:ext>
          </a:extLst>
        </xdr:cNvPr>
        <xdr:cNvSpPr txBox="1"/>
      </xdr:nvSpPr>
      <xdr:spPr>
        <a:xfrm>
          <a:off x="190500" y="13649325"/>
          <a:ext cx="7277100" cy="1288255"/>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endParaRPr lang="nb-NO" sz="10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10</xdr:row>
      <xdr:rowOff>0</xdr:rowOff>
    </xdr:from>
    <xdr:to>
      <xdr:col>4</xdr:col>
      <xdr:colOff>404812</xdr:colOff>
      <xdr:row>17</xdr:row>
      <xdr:rowOff>154780</xdr:rowOff>
    </xdr:to>
    <xdr:sp macro="" textlink="">
      <xdr:nvSpPr>
        <xdr:cNvPr id="2" name="TextBox 1">
          <a:extLst>
            <a:ext uri="{FF2B5EF4-FFF2-40B4-BE49-F238E27FC236}">
              <a16:creationId xmlns:a16="http://schemas.microsoft.com/office/drawing/2014/main" id="{A93A7FCD-DD52-4B71-9AB6-BA516CD2414F}"/>
            </a:ext>
          </a:extLst>
        </xdr:cNvPr>
        <xdr:cNvSpPr txBox="1"/>
      </xdr:nvSpPr>
      <xdr:spPr>
        <a:xfrm>
          <a:off x="333375" y="2428875"/>
          <a:ext cx="5298281" cy="1321593"/>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endParaRPr lang="nb-NO" sz="1000">
            <a:effectLst/>
            <a:latin typeface="Calibri" panose="020F0502020204030204" pitchFamily="34" charset="0"/>
            <a:cs typeface="Calibri" panose="020F0502020204030204" pitchFamily="34" charset="0"/>
          </a:endParaRPr>
        </a:p>
        <a:p>
          <a:endParaRPr lang="nb-NO" sz="10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55</xdr:row>
      <xdr:rowOff>0</xdr:rowOff>
    </xdr:from>
    <xdr:to>
      <xdr:col>5</xdr:col>
      <xdr:colOff>624843</xdr:colOff>
      <xdr:row>63</xdr:row>
      <xdr:rowOff>153124</xdr:rowOff>
    </xdr:to>
    <xdr:sp macro="" textlink="">
      <xdr:nvSpPr>
        <xdr:cNvPr id="2" name="TextBox 1">
          <a:extLst>
            <a:ext uri="{FF2B5EF4-FFF2-40B4-BE49-F238E27FC236}">
              <a16:creationId xmlns:a16="http://schemas.microsoft.com/office/drawing/2014/main" id="{2E642F6C-5E22-4B7F-B08A-D86E9A9E0B8C}"/>
            </a:ext>
          </a:extLst>
        </xdr:cNvPr>
        <xdr:cNvSpPr txBox="1"/>
      </xdr:nvSpPr>
      <xdr:spPr>
        <a:xfrm>
          <a:off x="381000" y="9705975"/>
          <a:ext cx="7092318" cy="1448524"/>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b="1">
              <a:latin typeface="Calibri" panose="020F0502020204030204" pitchFamily="34" charset="0"/>
              <a:cs typeface="Calibri" panose="020F0502020204030204" pitchFamily="34" charset="0"/>
            </a:rPr>
            <a:t>Accompanying narrative:</a:t>
          </a:r>
        </a:p>
        <a:p>
          <a:pPr marL="0" marR="0" lvl="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000">
              <a:solidFill>
                <a:schemeClr val="dk1"/>
              </a:solidFill>
              <a:effectLst/>
              <a:latin typeface="Calibri" panose="020F0502020204030204" pitchFamily="34" charset="0"/>
              <a:ea typeface="+mn-ea"/>
              <a:cs typeface="Calibri" panose="020F0502020204030204" pitchFamily="34" charset="0"/>
            </a:rPr>
            <a:t>Level of application: Consolidated</a:t>
          </a:r>
        </a:p>
        <a:p>
          <a:endParaRPr lang="nb-NO" sz="1000" b="1"/>
        </a:p>
        <a:p>
          <a:endParaRPr lang="nb-NO" sz="10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SREGNSKAPSRAPPORTER/Dagsbalansen/DB01-08-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MP/Bal%20Sheet,%20P&amp;L%20v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D37997/FINANPAK/DAGSBAI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12mdr."/>
      <sheetName val="Kommentar"/>
      <sheetName val="DiagrUtlån"/>
      <sheetName val="DiagrInnskudd"/>
      <sheetName val="Tabell"/>
      <sheetName val="Grunnlag"/>
      <sheetName val="Verdiberegning før skatt"/>
      <sheetName val="DiagrUtl?n"/>
      <sheetName val="Verdiberegning f?r skatt"/>
      <sheetName val="Utvikling nettonedskrivninger"/>
      <sheetName val="beh_1010"/>
      <sheetName val="beh_1110"/>
      <sheetName val="beh_1210"/>
      <sheetName val="beh_211"/>
      <sheetName val="31.07.2010"/>
      <sheetName val="beh_511"/>
      <sheetName val="beh_611"/>
      <sheetName val="beh_0710"/>
      <sheetName val="beh_0810"/>
      <sheetName val="beh_910"/>
      <sheetName val="31.08.gml"/>
      <sheetName val="Gjeld_311210"/>
      <sheetName val="Gjeld_280211"/>
      <sheetName val="beh_0811"/>
      <sheetName val="beh_311"/>
      <sheetName val="beh_411"/>
      <sheetName val="beh_711"/>
      <sheetName val="Gjeld_3103.2011"/>
      <sheetName val="Gjeld_2904.2011"/>
      <sheetName val="Gjeld_31.05.2011"/>
      <sheetName val="beh_0911"/>
      <sheetName val="beh_1011"/>
      <sheetName val="beh_1111"/>
      <sheetName val="beh_1211"/>
      <sheetName val="310_beh_1011"/>
      <sheetName val="310_beh_1211"/>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Cap"/>
      <sheetName val="Market_Cap"/>
      <sheetName val="Tabell"/>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ktoplan"/>
      <sheetName val="In01"/>
      <sheetName val="In00"/>
      <sheetName val="In99"/>
      <sheetName val="Val.kurs"/>
      <sheetName val="Avst01"/>
      <sheetName val="Avst98"/>
      <sheetName val="Sammenlign"/>
      <sheetName val="DiaSam"/>
      <sheetName val="INPUT 5-10"/>
      <sheetName val="G.N.S Resultat 0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persons/person.xml><?xml version="1.0" encoding="utf-8"?>
<personList xmlns="http://schemas.microsoft.com/office/spreadsheetml/2018/threadedcomments" xmlns:x="http://schemas.openxmlformats.org/spreadsheetml/2006/main">
  <person displayName="EBA staff" id="{7DD13271-B3F1-475B-BDF6-460922588DF4}" userId="EBA staff" providerId="None"/>
</personList>
</file>

<file path=xl/theme/theme1.xml><?xml version="1.0" encoding="utf-8"?>
<a:theme xmlns:a="http://schemas.openxmlformats.org/drawingml/2006/main" name="SNN">
  <a:themeElements>
    <a:clrScheme name="SpareBank1">
      <a:dk1>
        <a:sysClr val="windowText" lastClr="000000"/>
      </a:dk1>
      <a:lt1>
        <a:sysClr val="window" lastClr="FFFFFF"/>
      </a:lt1>
      <a:dk2>
        <a:srgbClr val="005AA4"/>
      </a:dk2>
      <a:lt2>
        <a:srgbClr val="B7CEE6"/>
      </a:lt2>
      <a:accent1>
        <a:srgbClr val="005AA4"/>
      </a:accent1>
      <a:accent2>
        <a:srgbClr val="002776"/>
      </a:accent2>
      <a:accent3>
        <a:srgbClr val="7EB5D2"/>
      </a:accent3>
      <a:accent4>
        <a:srgbClr val="F8E9DD"/>
      </a:accent4>
      <a:accent5>
        <a:srgbClr val="D3D3EA"/>
      </a:accent5>
      <a:accent6>
        <a:srgbClr val="EE8D9C"/>
      </a:accent6>
      <a:hlink>
        <a:srgbClr val="0563C1"/>
      </a:hlink>
      <a:folHlink>
        <a:srgbClr val="954F72"/>
      </a:folHlink>
    </a:clrScheme>
    <a:fontScheme name="SpareBank1">
      <a:majorFont>
        <a:latin typeface="SpareBank 1 Title"/>
        <a:ea typeface=""/>
        <a:cs typeface=""/>
      </a:majorFont>
      <a:minorFont>
        <a:latin typeface="SpareBank 1"/>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SNN" id="{D33CBD44-6A70-4885-8418-C5B9D6AE7D0B}" vid="{BF5F152C-66F9-4F1A-9D75-48AD23B66D9B}"/>
    </a:ext>
  </a:extLst>
</a:theme>
</file>

<file path=xl/threadedComments/threadedComment1.xml><?xml version="1.0" encoding="utf-8"?>
<ThreadedComments xmlns="http://schemas.microsoft.com/office/spreadsheetml/2018/threadedcomments" xmlns:x="http://schemas.openxmlformats.org/spreadsheetml/2006/main">
  <threadedComment ref="D8" dT="2021-07-01T15:18:05.74" personId="{7DD13271-B3F1-475B-BDF6-460922588DF4}" id="{9597140F-A7A3-48A6-BD77-AA67713A5807}">
    <text>'TSL' (type of specialised lending exposure) is the dimension used to model the z-axis of C 08.06 in the EBA DPM. 'eba_TA:x129' is the technical code for the entry 'Project finance' in the drop-down list linked to that z-axis (ordinate).</text>
  </threadedComment>
</ThreadedComments>
</file>

<file path=xl/threadedComments/threadedComment2.xml><?xml version="1.0" encoding="utf-8"?>
<ThreadedComments xmlns="http://schemas.microsoft.com/office/spreadsheetml/2018/threadedcomments" xmlns:x="http://schemas.openxmlformats.org/spreadsheetml/2006/main">
  <threadedComment ref="C13" dT="2021-07-02T10:25:07.63" personId="{7DD13271-B3F1-475B-BDF6-460922588DF4}" id="{79CE43C8-5412-4E1D-89A3-FC01C7FCE9E6}">
    <text>Several cells in this mapping included wrongly C 14.01, c0061 / c0080, instead of pointing to C 14.00, c0061 / c0080. This issue was rectified everywhere here, but is not highlighted in tracked changes.</text>
  </threadedComment>
</ThreadedComments>
</file>

<file path=xl/threadedComments/threadedComment3.xml><?xml version="1.0" encoding="utf-8"?>
<ThreadedComments xmlns="http://schemas.microsoft.com/office/spreadsheetml/2018/threadedcomments" xmlns:x="http://schemas.openxmlformats.org/spreadsheetml/2006/main">
  <threadedComment ref="K12" dT="2021-07-13T08:32:53.17" personId="{7DD13271-B3F1-475B-BDF6-460922588DF4}" id="{8DE14E52-AE58-488E-8136-55ADEBFDE01B}">
    <text>The '!=' in '{C 14.01, c0450} != empty' stands for 'is not', i.e. the conditions is 'where c0450 is not empty'.</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nordictrustee.com/" TargetMode="External"/><Relationship Id="rId2" Type="http://schemas.openxmlformats.org/officeDocument/2006/relationships/hyperlink" Target="https://nordictrustee.com/" TargetMode="External"/><Relationship Id="rId1" Type="http://schemas.openxmlformats.org/officeDocument/2006/relationships/hyperlink" Target="https://nordictrustee.com/" TargetMode="External"/><Relationship Id="rId6" Type="http://schemas.openxmlformats.org/officeDocument/2006/relationships/drawing" Target="../drawings/drawing7.xml"/><Relationship Id="rId5" Type="http://schemas.openxmlformats.org/officeDocument/2006/relationships/printerSettings" Target="../printerSettings/printerSettings10.bin"/><Relationship Id="rId4" Type="http://schemas.openxmlformats.org/officeDocument/2006/relationships/hyperlink" Target="https://nordictrustee.com/"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7.bin"/><Relationship Id="rId4" Type="http://schemas.microsoft.com/office/2017/10/relationships/threadedComment" Target="../threadedComments/threadedComment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8.bin"/><Relationship Id="rId4" Type="http://schemas.microsoft.com/office/2017/10/relationships/threadedComment" Target="../threadedComments/threadedComment2.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9.bin"/><Relationship Id="rId4" Type="http://schemas.microsoft.com/office/2017/10/relationships/threadedComment" Target="../threadedComments/threadedComment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8E4E0-C07D-492A-868C-7203FE6BA052}">
  <sheetPr>
    <pageSetUpPr fitToPage="1"/>
  </sheetPr>
  <dimension ref="A1:M60"/>
  <sheetViews>
    <sheetView showGridLines="0" showRowColHeaders="0" tabSelected="1" zoomScale="85" zoomScaleNormal="85" workbookViewId="0"/>
  </sheetViews>
  <sheetFormatPr baseColWidth="10" defaultColWidth="0" defaultRowHeight="15" zeroHeight="1" x14ac:dyDescent="0.25"/>
  <cols>
    <col min="1" max="1" width="2.21875" style="360" customWidth="1"/>
    <col min="2" max="12" width="7.109375" style="360" customWidth="1"/>
    <col min="13" max="13" width="9.33203125" style="360" customWidth="1"/>
    <col min="14" max="16384" width="7.109375" style="360" hidden="1"/>
  </cols>
  <sheetData>
    <row r="1" spans="2:2" x14ac:dyDescent="0.25"/>
    <row r="2" spans="2:2" ht="26.25" x14ac:dyDescent="0.4">
      <c r="B2" s="359"/>
    </row>
    <row r="3" spans="2:2" x14ac:dyDescent="0.25"/>
    <row r="4" spans="2:2" ht="15.75" x14ac:dyDescent="0.25">
      <c r="B4" s="361"/>
    </row>
    <row r="5" spans="2:2" x14ac:dyDescent="0.25"/>
    <row r="6" spans="2:2" x14ac:dyDescent="0.25">
      <c r="B6" s="362"/>
    </row>
    <row r="7" spans="2:2" x14ac:dyDescent="0.25"/>
    <row r="8" spans="2:2" x14ac:dyDescent="0.25"/>
    <row r="9" spans="2:2" x14ac:dyDescent="0.25"/>
    <row r="10" spans="2:2" x14ac:dyDescent="0.25"/>
    <row r="11" spans="2:2" x14ac:dyDescent="0.25"/>
    <row r="12" spans="2:2" x14ac:dyDescent="0.25"/>
    <row r="13" spans="2:2" x14ac:dyDescent="0.25"/>
    <row r="14" spans="2:2" x14ac:dyDescent="0.25"/>
    <row r="15" spans="2:2" x14ac:dyDescent="0.25"/>
    <row r="16" spans="2:2"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sheetData>
  <pageMargins left="0.7" right="0.7" top="0.75" bottom="0.75" header="0.3" footer="0.3"/>
  <pageSetup paperSize="9" scale="75" orientation="portrait" verticalDpi="14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D6C76-BD33-4204-A7C2-7DBBEA6006EB}">
  <sheetPr>
    <pageSetUpPr fitToPage="1"/>
  </sheetPr>
  <dimension ref="B2:U57"/>
  <sheetViews>
    <sheetView showGridLines="0" showRowColHeaders="0" zoomScale="80" zoomScaleNormal="80" workbookViewId="0">
      <selection activeCell="B2" sqref="B2"/>
    </sheetView>
  </sheetViews>
  <sheetFormatPr baseColWidth="10" defaultColWidth="7.109375" defaultRowHeight="12.75" x14ac:dyDescent="0.2"/>
  <cols>
    <col min="1" max="1" width="3.88671875" style="346" customWidth="1"/>
    <col min="2" max="2" width="7.109375" style="346"/>
    <col min="3" max="3" width="56.77734375" style="346" customWidth="1"/>
    <col min="4" max="21" width="12.6640625" style="346" customWidth="1"/>
    <col min="22" max="22" width="19.21875" style="346" customWidth="1"/>
    <col min="23" max="16384" width="7.109375" style="346"/>
  </cols>
  <sheetData>
    <row r="2" spans="2:21" ht="15" customHeight="1" x14ac:dyDescent="0.25">
      <c r="B2" s="940" t="s">
        <v>3521</v>
      </c>
    </row>
    <row r="3" spans="2:21" ht="15" customHeight="1" x14ac:dyDescent="0.2">
      <c r="B3" s="258"/>
    </row>
    <row r="4" spans="2:21" ht="21" x14ac:dyDescent="0.35">
      <c r="B4" s="375" t="s">
        <v>3659</v>
      </c>
    </row>
    <row r="5" spans="2:21" ht="18.75" customHeight="1" x14ac:dyDescent="0.4">
      <c r="E5" s="376"/>
      <c r="F5" s="347"/>
      <c r="G5" s="347"/>
      <c r="H5" s="347"/>
    </row>
    <row r="6" spans="2:21" ht="15" customHeight="1" x14ac:dyDescent="0.2"/>
    <row r="7" spans="2:21" ht="15" customHeight="1" x14ac:dyDescent="0.2">
      <c r="S7" s="377"/>
      <c r="T7" s="377"/>
      <c r="U7" s="377"/>
    </row>
    <row r="8" spans="2:21" ht="30" customHeight="1" x14ac:dyDescent="0.2">
      <c r="B8" s="511">
        <v>1</v>
      </c>
      <c r="C8" s="520" t="s">
        <v>3372</v>
      </c>
      <c r="D8" s="521" t="s">
        <v>3373</v>
      </c>
      <c r="E8" s="521" t="s">
        <v>3373</v>
      </c>
      <c r="F8" s="521" t="s">
        <v>3373</v>
      </c>
      <c r="G8" s="521" t="s">
        <v>3373</v>
      </c>
      <c r="H8" s="521" t="s">
        <v>3373</v>
      </c>
      <c r="I8" s="521" t="s">
        <v>3373</v>
      </c>
      <c r="J8" s="521" t="s">
        <v>3374</v>
      </c>
      <c r="K8" s="521" t="s">
        <v>3374</v>
      </c>
      <c r="L8" s="521" t="s">
        <v>3374</v>
      </c>
      <c r="M8" s="521" t="s">
        <v>3374</v>
      </c>
      <c r="N8" s="521" t="s">
        <v>3374</v>
      </c>
      <c r="O8" s="521" t="s">
        <v>3374</v>
      </c>
      <c r="P8" s="521" t="s">
        <v>3374</v>
      </c>
      <c r="Q8" s="521" t="s">
        <v>3374</v>
      </c>
      <c r="R8" s="521" t="s">
        <v>3375</v>
      </c>
      <c r="S8" s="521" t="s">
        <v>3375</v>
      </c>
      <c r="T8" s="521" t="s">
        <v>3375</v>
      </c>
      <c r="U8" s="521" t="s">
        <v>3375</v>
      </c>
    </row>
    <row r="9" spans="2:21" ht="20.100000000000001" customHeight="1" x14ac:dyDescent="0.2">
      <c r="B9" s="508"/>
      <c r="C9" s="513" t="s">
        <v>3376</v>
      </c>
      <c r="D9" s="895" t="s">
        <v>50</v>
      </c>
      <c r="E9" s="895" t="s">
        <v>50</v>
      </c>
      <c r="F9" s="895" t="s">
        <v>50</v>
      </c>
      <c r="G9" s="896" t="s">
        <v>50</v>
      </c>
      <c r="H9" s="895" t="s">
        <v>50</v>
      </c>
      <c r="I9" s="895" t="s">
        <v>50</v>
      </c>
      <c r="J9" s="897">
        <v>0.15579999999999999</v>
      </c>
      <c r="K9" s="897">
        <v>0.15579999999999999</v>
      </c>
      <c r="L9" s="897">
        <v>0.15579999999999999</v>
      </c>
      <c r="M9" s="897">
        <v>0.15579999999999999</v>
      </c>
      <c r="N9" s="897">
        <v>0.15579999999999999</v>
      </c>
      <c r="O9" s="897">
        <v>0.15579999999999999</v>
      </c>
      <c r="P9" s="897">
        <v>0.15579999999999999</v>
      </c>
      <c r="Q9" s="897">
        <v>0.15579999999999999</v>
      </c>
      <c r="R9" s="897">
        <v>9.9900000000000003E-2</v>
      </c>
      <c r="S9" s="897">
        <v>9.9900000000000003E-2</v>
      </c>
      <c r="T9" s="897">
        <v>9.9900000000000003E-2</v>
      </c>
      <c r="U9" s="897">
        <v>9.9900000000000003E-2</v>
      </c>
    </row>
    <row r="10" spans="2:21" ht="20.100000000000001" customHeight="1" x14ac:dyDescent="0.2">
      <c r="B10" s="508">
        <v>2</v>
      </c>
      <c r="C10" s="510" t="s">
        <v>3377</v>
      </c>
      <c r="D10" s="895" t="s">
        <v>3378</v>
      </c>
      <c r="E10" s="895" t="s">
        <v>3560</v>
      </c>
      <c r="F10" s="895" t="s">
        <v>3379</v>
      </c>
      <c r="G10" s="896" t="s">
        <v>3380</v>
      </c>
      <c r="H10" s="895" t="s">
        <v>3381</v>
      </c>
      <c r="I10" s="895" t="s">
        <v>3382</v>
      </c>
      <c r="J10" s="895" t="s">
        <v>3383</v>
      </c>
      <c r="K10" s="895" t="s">
        <v>3562</v>
      </c>
      <c r="L10" s="895" t="s">
        <v>3384</v>
      </c>
      <c r="M10" s="895" t="s">
        <v>3385</v>
      </c>
      <c r="N10" s="895" t="s">
        <v>3386</v>
      </c>
      <c r="O10" s="895" t="s">
        <v>3387</v>
      </c>
      <c r="P10" s="895" t="s">
        <v>3388</v>
      </c>
      <c r="Q10" s="895" t="s">
        <v>3389</v>
      </c>
      <c r="R10" s="895" t="s">
        <v>3390</v>
      </c>
      <c r="S10" s="895" t="s">
        <v>3564</v>
      </c>
      <c r="T10" s="895" t="s">
        <v>3391</v>
      </c>
      <c r="U10" s="895" t="s">
        <v>3565</v>
      </c>
    </row>
    <row r="11" spans="2:21" ht="20.100000000000001" customHeight="1" x14ac:dyDescent="0.2">
      <c r="B11" s="508" t="s">
        <v>309</v>
      </c>
      <c r="C11" s="513" t="s">
        <v>3392</v>
      </c>
      <c r="D11" s="898" t="s">
        <v>3393</v>
      </c>
      <c r="E11" s="898" t="s">
        <v>3393</v>
      </c>
      <c r="F11" s="898" t="s">
        <v>3393</v>
      </c>
      <c r="G11" s="899" t="s">
        <v>3393</v>
      </c>
      <c r="H11" s="898" t="s">
        <v>3393</v>
      </c>
      <c r="I11" s="898" t="s">
        <v>3393</v>
      </c>
      <c r="J11" s="898" t="s">
        <v>3393</v>
      </c>
      <c r="K11" s="898" t="s">
        <v>3393</v>
      </c>
      <c r="L11" s="898" t="s">
        <v>3393</v>
      </c>
      <c r="M11" s="898" t="s">
        <v>3393</v>
      </c>
      <c r="N11" s="898" t="s">
        <v>3393</v>
      </c>
      <c r="O11" s="898" t="s">
        <v>3393</v>
      </c>
      <c r="P11" s="898" t="s">
        <v>3393</v>
      </c>
      <c r="Q11" s="898" t="s">
        <v>3393</v>
      </c>
      <c r="R11" s="898" t="s">
        <v>3393</v>
      </c>
      <c r="S11" s="898" t="s">
        <v>3393</v>
      </c>
      <c r="T11" s="898" t="s">
        <v>3393</v>
      </c>
      <c r="U11" s="898" t="s">
        <v>3393</v>
      </c>
    </row>
    <row r="12" spans="2:21" ht="20.100000000000001" customHeight="1" x14ac:dyDescent="0.2">
      <c r="B12" s="508">
        <v>3</v>
      </c>
      <c r="C12" s="513" t="s">
        <v>3394</v>
      </c>
      <c r="D12" s="895" t="s">
        <v>3395</v>
      </c>
      <c r="E12" s="895" t="s">
        <v>3395</v>
      </c>
      <c r="F12" s="895" t="s">
        <v>3395</v>
      </c>
      <c r="G12" s="896" t="s">
        <v>3395</v>
      </c>
      <c r="H12" s="895" t="s">
        <v>3395</v>
      </c>
      <c r="I12" s="895" t="s">
        <v>3395</v>
      </c>
      <c r="J12" s="895" t="s">
        <v>3395</v>
      </c>
      <c r="K12" s="895" t="s">
        <v>3395</v>
      </c>
      <c r="L12" s="895" t="s">
        <v>3395</v>
      </c>
      <c r="M12" s="895" t="s">
        <v>3395</v>
      </c>
      <c r="N12" s="895" t="s">
        <v>3395</v>
      </c>
      <c r="O12" s="895" t="s">
        <v>3395</v>
      </c>
      <c r="P12" s="895" t="s">
        <v>3395</v>
      </c>
      <c r="Q12" s="895" t="s">
        <v>3395</v>
      </c>
      <c r="R12" s="895" t="s">
        <v>3395</v>
      </c>
      <c r="S12" s="895" t="s">
        <v>3395</v>
      </c>
      <c r="T12" s="895" t="s">
        <v>3395</v>
      </c>
      <c r="U12" s="895" t="s">
        <v>3395</v>
      </c>
    </row>
    <row r="13" spans="2:21" ht="20.100000000000001" customHeight="1" x14ac:dyDescent="0.2">
      <c r="B13" s="508" t="s">
        <v>3396</v>
      </c>
      <c r="C13" s="513" t="s">
        <v>3397</v>
      </c>
      <c r="D13" s="900" t="s">
        <v>50</v>
      </c>
      <c r="E13" s="900" t="s">
        <v>3398</v>
      </c>
      <c r="F13" s="900" t="s">
        <v>3398</v>
      </c>
      <c r="G13" s="901" t="s">
        <v>3398</v>
      </c>
      <c r="H13" s="900" t="s">
        <v>3398</v>
      </c>
      <c r="I13" s="900" t="s">
        <v>3398</v>
      </c>
      <c r="J13" s="900" t="s">
        <v>3398</v>
      </c>
      <c r="K13" s="900" t="s">
        <v>3398</v>
      </c>
      <c r="L13" s="900" t="s">
        <v>3398</v>
      </c>
      <c r="M13" s="900" t="s">
        <v>3398</v>
      </c>
      <c r="N13" s="900" t="s">
        <v>3398</v>
      </c>
      <c r="O13" s="900" t="s">
        <v>3398</v>
      </c>
      <c r="P13" s="900" t="s">
        <v>3398</v>
      </c>
      <c r="Q13" s="900" t="s">
        <v>3398</v>
      </c>
      <c r="R13" s="900" t="s">
        <v>3398</v>
      </c>
      <c r="S13" s="900" t="s">
        <v>3398</v>
      </c>
      <c r="T13" s="900" t="s">
        <v>3398</v>
      </c>
      <c r="U13" s="900" t="s">
        <v>3398</v>
      </c>
    </row>
    <row r="14" spans="2:21" ht="20.100000000000001" customHeight="1" x14ac:dyDescent="0.2">
      <c r="B14" s="515"/>
      <c r="C14" s="933" t="s">
        <v>3399</v>
      </c>
      <c r="D14" s="516"/>
      <c r="E14" s="516"/>
      <c r="F14" s="516"/>
      <c r="G14" s="517"/>
      <c r="H14" s="516"/>
      <c r="I14" s="516"/>
      <c r="J14" s="516"/>
      <c r="K14" s="516"/>
      <c r="L14" s="516"/>
      <c r="M14" s="516"/>
      <c r="N14" s="516"/>
      <c r="O14" s="516"/>
      <c r="P14" s="516"/>
      <c r="Q14" s="516"/>
      <c r="R14" s="516"/>
      <c r="S14" s="516"/>
      <c r="T14" s="516"/>
      <c r="U14" s="516"/>
    </row>
    <row r="15" spans="2:21" ht="27.75" customHeight="1" x14ac:dyDescent="0.2">
      <c r="B15" s="508">
        <v>4</v>
      </c>
      <c r="C15" s="513" t="s">
        <v>3400</v>
      </c>
      <c r="D15" s="895" t="s">
        <v>130</v>
      </c>
      <c r="E15" s="895" t="s">
        <v>3401</v>
      </c>
      <c r="F15" s="895" t="s">
        <v>3401</v>
      </c>
      <c r="G15" s="896" t="s">
        <v>3402</v>
      </c>
      <c r="H15" s="895" t="s">
        <v>3402</v>
      </c>
      <c r="I15" s="895" t="s">
        <v>3402</v>
      </c>
      <c r="J15" s="895" t="s">
        <v>3401</v>
      </c>
      <c r="K15" s="895" t="s">
        <v>3401</v>
      </c>
      <c r="L15" s="895" t="s">
        <v>3401</v>
      </c>
      <c r="M15" s="895" t="s">
        <v>3401</v>
      </c>
      <c r="N15" s="895" t="s">
        <v>3402</v>
      </c>
      <c r="O15" s="895" t="s">
        <v>3402</v>
      </c>
      <c r="P15" s="895" t="s">
        <v>3402</v>
      </c>
      <c r="Q15" s="895" t="s">
        <v>3402</v>
      </c>
      <c r="R15" s="895" t="s">
        <v>3401</v>
      </c>
      <c r="S15" s="895" t="s">
        <v>3401</v>
      </c>
      <c r="T15" s="895" t="s">
        <v>3402</v>
      </c>
      <c r="U15" s="895" t="s">
        <v>3402</v>
      </c>
    </row>
    <row r="16" spans="2:21" ht="27.75" customHeight="1" x14ac:dyDescent="0.2">
      <c r="B16" s="508">
        <v>5</v>
      </c>
      <c r="C16" s="513" t="s">
        <v>3403</v>
      </c>
      <c r="D16" s="895" t="s">
        <v>130</v>
      </c>
      <c r="E16" s="895" t="s">
        <v>3401</v>
      </c>
      <c r="F16" s="895" t="s">
        <v>3401</v>
      </c>
      <c r="G16" s="896" t="s">
        <v>3402</v>
      </c>
      <c r="H16" s="895" t="s">
        <v>3402</v>
      </c>
      <c r="I16" s="895" t="s">
        <v>3402</v>
      </c>
      <c r="J16" s="895" t="s">
        <v>3401</v>
      </c>
      <c r="K16" s="895" t="s">
        <v>3401</v>
      </c>
      <c r="L16" s="895" t="s">
        <v>3401</v>
      </c>
      <c r="M16" s="895" t="s">
        <v>3401</v>
      </c>
      <c r="N16" s="895" t="s">
        <v>3402</v>
      </c>
      <c r="O16" s="895" t="s">
        <v>3402</v>
      </c>
      <c r="P16" s="895" t="s">
        <v>3402</v>
      </c>
      <c r="Q16" s="895" t="s">
        <v>3402</v>
      </c>
      <c r="R16" s="895" t="s">
        <v>3401</v>
      </c>
      <c r="S16" s="895" t="s">
        <v>3401</v>
      </c>
      <c r="T16" s="895" t="s">
        <v>3402</v>
      </c>
      <c r="U16" s="895" t="s">
        <v>3402</v>
      </c>
    </row>
    <row r="17" spans="2:21" ht="27.75" customHeight="1" x14ac:dyDescent="0.2">
      <c r="B17" s="508">
        <v>6</v>
      </c>
      <c r="C17" s="513" t="s">
        <v>3404</v>
      </c>
      <c r="D17" s="895" t="s">
        <v>3405</v>
      </c>
      <c r="E17" s="895" t="s">
        <v>3405</v>
      </c>
      <c r="F17" s="895" t="s">
        <v>3405</v>
      </c>
      <c r="G17" s="896" t="s">
        <v>3405</v>
      </c>
      <c r="H17" s="895" t="s">
        <v>3405</v>
      </c>
      <c r="I17" s="895" t="s">
        <v>3405</v>
      </c>
      <c r="J17" s="895" t="s">
        <v>3406</v>
      </c>
      <c r="K17" s="895" t="s">
        <v>3406</v>
      </c>
      <c r="L17" s="895" t="s">
        <v>3406</v>
      </c>
      <c r="M17" s="895" t="s">
        <v>3406</v>
      </c>
      <c r="N17" s="895" t="s">
        <v>3406</v>
      </c>
      <c r="O17" s="895" t="s">
        <v>3406</v>
      </c>
      <c r="P17" s="895" t="s">
        <v>3406</v>
      </c>
      <c r="Q17" s="895" t="s">
        <v>3406</v>
      </c>
      <c r="R17" s="895" t="s">
        <v>3406</v>
      </c>
      <c r="S17" s="895" t="s">
        <v>3406</v>
      </c>
      <c r="T17" s="895" t="s">
        <v>3406</v>
      </c>
      <c r="U17" s="895" t="s">
        <v>3406</v>
      </c>
    </row>
    <row r="18" spans="2:21" ht="24.95" customHeight="1" x14ac:dyDescent="0.2">
      <c r="B18" s="508">
        <v>7</v>
      </c>
      <c r="C18" s="513" t="s">
        <v>3407</v>
      </c>
      <c r="D18" s="895" t="s">
        <v>3408</v>
      </c>
      <c r="E18" s="895" t="s">
        <v>3409</v>
      </c>
      <c r="F18" s="895" t="s">
        <v>3409</v>
      </c>
      <c r="G18" s="896" t="s">
        <v>3410</v>
      </c>
      <c r="H18" s="895" t="s">
        <v>3410</v>
      </c>
      <c r="I18" s="895" t="s">
        <v>3410</v>
      </c>
      <c r="J18" s="895" t="s">
        <v>3409</v>
      </c>
      <c r="K18" s="895" t="s">
        <v>3409</v>
      </c>
      <c r="L18" s="895" t="s">
        <v>3409</v>
      </c>
      <c r="M18" s="895" t="s">
        <v>3409</v>
      </c>
      <c r="N18" s="895" t="s">
        <v>3410</v>
      </c>
      <c r="O18" s="895" t="s">
        <v>3410</v>
      </c>
      <c r="P18" s="895" t="s">
        <v>3410</v>
      </c>
      <c r="Q18" s="895" t="s">
        <v>3410</v>
      </c>
      <c r="R18" s="895" t="s">
        <v>3409</v>
      </c>
      <c r="S18" s="895" t="s">
        <v>3409</v>
      </c>
      <c r="T18" s="895" t="s">
        <v>3410</v>
      </c>
      <c r="U18" s="895" t="s">
        <v>3410</v>
      </c>
    </row>
    <row r="19" spans="2:21" ht="24.95" customHeight="1" x14ac:dyDescent="0.2">
      <c r="B19" s="508">
        <v>8</v>
      </c>
      <c r="C19" s="510" t="s">
        <v>3411</v>
      </c>
      <c r="D19" s="902">
        <f>1807164288/1000000</f>
        <v>1807.1642879999999</v>
      </c>
      <c r="E19" s="902">
        <v>350</v>
      </c>
      <c r="F19" s="902">
        <v>250</v>
      </c>
      <c r="G19" s="902">
        <v>500</v>
      </c>
      <c r="H19" s="902">
        <v>350</v>
      </c>
      <c r="I19" s="902">
        <v>200</v>
      </c>
      <c r="J19" s="902">
        <v>250</v>
      </c>
      <c r="K19" s="902">
        <v>100</v>
      </c>
      <c r="L19" s="902">
        <v>350</v>
      </c>
      <c r="M19" s="902">
        <v>200</v>
      </c>
      <c r="N19" s="902">
        <v>250</v>
      </c>
      <c r="O19" s="902">
        <v>475</v>
      </c>
      <c r="P19" s="902">
        <v>400</v>
      </c>
      <c r="Q19" s="902">
        <v>300</v>
      </c>
      <c r="R19" s="902">
        <v>225</v>
      </c>
      <c r="S19" s="902">
        <v>100</v>
      </c>
      <c r="T19" s="902">
        <v>300</v>
      </c>
      <c r="U19" s="902">
        <v>100</v>
      </c>
    </row>
    <row r="20" spans="2:21" ht="20.100000000000001" customHeight="1" x14ac:dyDescent="0.2">
      <c r="B20" s="508">
        <v>9</v>
      </c>
      <c r="C20" s="513" t="s">
        <v>3412</v>
      </c>
      <c r="D20" s="902">
        <f>1807164288/1000000</f>
        <v>1807.1642879999999</v>
      </c>
      <c r="E20" s="902">
        <v>350</v>
      </c>
      <c r="F20" s="902">
        <v>250</v>
      </c>
      <c r="G20" s="902">
        <v>500</v>
      </c>
      <c r="H20" s="902">
        <v>350</v>
      </c>
      <c r="I20" s="902">
        <v>200</v>
      </c>
      <c r="J20" s="902">
        <v>250</v>
      </c>
      <c r="K20" s="902">
        <v>100</v>
      </c>
      <c r="L20" s="902">
        <v>350</v>
      </c>
      <c r="M20" s="902">
        <v>200</v>
      </c>
      <c r="N20" s="902">
        <v>250</v>
      </c>
      <c r="O20" s="902">
        <v>475</v>
      </c>
      <c r="P20" s="902">
        <v>400</v>
      </c>
      <c r="Q20" s="902">
        <v>300</v>
      </c>
      <c r="R20" s="902">
        <v>225</v>
      </c>
      <c r="S20" s="902">
        <v>100</v>
      </c>
      <c r="T20" s="902">
        <v>300</v>
      </c>
      <c r="U20" s="902">
        <v>100</v>
      </c>
    </row>
    <row r="21" spans="2:21" ht="20.100000000000001" customHeight="1" x14ac:dyDescent="0.2">
      <c r="B21" s="508" t="s">
        <v>2767</v>
      </c>
      <c r="C21" s="513" t="s">
        <v>3413</v>
      </c>
      <c r="D21" s="903" t="s">
        <v>3414</v>
      </c>
      <c r="E21" s="902">
        <v>100</v>
      </c>
      <c r="F21" s="902">
        <v>100</v>
      </c>
      <c r="G21" s="902">
        <v>100</v>
      </c>
      <c r="H21" s="902">
        <v>100</v>
      </c>
      <c r="I21" s="902">
        <v>100</v>
      </c>
      <c r="J21" s="902">
        <v>100</v>
      </c>
      <c r="K21" s="902">
        <v>100</v>
      </c>
      <c r="L21" s="902">
        <v>100</v>
      </c>
      <c r="M21" s="902">
        <v>100</v>
      </c>
      <c r="N21" s="902">
        <v>100</v>
      </c>
      <c r="O21" s="902">
        <v>100</v>
      </c>
      <c r="P21" s="902">
        <v>100</v>
      </c>
      <c r="Q21" s="902">
        <v>100</v>
      </c>
      <c r="R21" s="902">
        <v>100</v>
      </c>
      <c r="S21" s="902">
        <v>100</v>
      </c>
      <c r="T21" s="902">
        <v>100</v>
      </c>
      <c r="U21" s="902">
        <v>100</v>
      </c>
    </row>
    <row r="22" spans="2:21" ht="20.100000000000001" customHeight="1" x14ac:dyDescent="0.2">
      <c r="B22" s="508" t="s">
        <v>2769</v>
      </c>
      <c r="C22" s="513" t="s">
        <v>3415</v>
      </c>
      <c r="D22" s="903" t="s">
        <v>50</v>
      </c>
      <c r="E22" s="902">
        <v>100</v>
      </c>
      <c r="F22" s="902">
        <v>100</v>
      </c>
      <c r="G22" s="902">
        <v>100</v>
      </c>
      <c r="H22" s="902">
        <v>100</v>
      </c>
      <c r="I22" s="902">
        <v>100</v>
      </c>
      <c r="J22" s="902">
        <v>100</v>
      </c>
      <c r="K22" s="902">
        <v>100</v>
      </c>
      <c r="L22" s="902">
        <v>100</v>
      </c>
      <c r="M22" s="902">
        <v>100</v>
      </c>
      <c r="N22" s="902">
        <v>100</v>
      </c>
      <c r="O22" s="902">
        <v>100</v>
      </c>
      <c r="P22" s="902">
        <v>100</v>
      </c>
      <c r="Q22" s="902">
        <v>100</v>
      </c>
      <c r="R22" s="902">
        <v>100</v>
      </c>
      <c r="S22" s="902">
        <v>100</v>
      </c>
      <c r="T22" s="902">
        <v>100</v>
      </c>
      <c r="U22" s="902">
        <v>100</v>
      </c>
    </row>
    <row r="23" spans="2:21" ht="32.25" customHeight="1" x14ac:dyDescent="0.2">
      <c r="B23" s="508">
        <v>10</v>
      </c>
      <c r="C23" s="513" t="s">
        <v>3416</v>
      </c>
      <c r="D23" s="903" t="s">
        <v>3417</v>
      </c>
      <c r="E23" s="903" t="s">
        <v>3418</v>
      </c>
      <c r="F23" s="903" t="s">
        <v>3418</v>
      </c>
      <c r="G23" s="902" t="s">
        <v>3419</v>
      </c>
      <c r="H23" s="903" t="s">
        <v>3419</v>
      </c>
      <c r="I23" s="903" t="s">
        <v>3419</v>
      </c>
      <c r="J23" s="903" t="s">
        <v>3418</v>
      </c>
      <c r="K23" s="903" t="s">
        <v>3418</v>
      </c>
      <c r="L23" s="903" t="s">
        <v>3418</v>
      </c>
      <c r="M23" s="903" t="s">
        <v>3418</v>
      </c>
      <c r="N23" s="903" t="s">
        <v>3419</v>
      </c>
      <c r="O23" s="903" t="s">
        <v>3419</v>
      </c>
      <c r="P23" s="903" t="s">
        <v>3419</v>
      </c>
      <c r="Q23" s="903" t="s">
        <v>3419</v>
      </c>
      <c r="R23" s="903" t="s">
        <v>3418</v>
      </c>
      <c r="S23" s="903" t="s">
        <v>3418</v>
      </c>
      <c r="T23" s="903" t="s">
        <v>3419</v>
      </c>
      <c r="U23" s="903" t="s">
        <v>3419</v>
      </c>
    </row>
    <row r="24" spans="2:21" ht="20.100000000000001" customHeight="1" x14ac:dyDescent="0.2">
      <c r="B24" s="508">
        <v>11</v>
      </c>
      <c r="C24" s="513" t="s">
        <v>3420</v>
      </c>
      <c r="D24" s="904" t="s">
        <v>50</v>
      </c>
      <c r="E24" s="905">
        <v>44595</v>
      </c>
      <c r="F24" s="905">
        <v>43340</v>
      </c>
      <c r="G24" s="905">
        <v>44278</v>
      </c>
      <c r="H24" s="905">
        <v>43340</v>
      </c>
      <c r="I24" s="905">
        <v>43608</v>
      </c>
      <c r="J24" s="905">
        <v>44322</v>
      </c>
      <c r="K24" s="905">
        <v>44881</v>
      </c>
      <c r="L24" s="905">
        <v>43585</v>
      </c>
      <c r="M24" s="905">
        <v>44069</v>
      </c>
      <c r="N24" s="905">
        <v>43273</v>
      </c>
      <c r="O24" s="905">
        <v>43406</v>
      </c>
      <c r="P24" s="905">
        <v>43381</v>
      </c>
      <c r="Q24" s="905">
        <v>43489</v>
      </c>
      <c r="R24" s="905">
        <v>43398</v>
      </c>
      <c r="S24" s="905">
        <v>44621</v>
      </c>
      <c r="T24" s="905">
        <v>43817</v>
      </c>
      <c r="U24" s="905">
        <v>44621</v>
      </c>
    </row>
    <row r="25" spans="2:21" ht="20.100000000000001" customHeight="1" x14ac:dyDescent="0.2">
      <c r="B25" s="508">
        <v>12</v>
      </c>
      <c r="C25" s="513" t="s">
        <v>3421</v>
      </c>
      <c r="D25" s="903" t="s">
        <v>3422</v>
      </c>
      <c r="E25" s="903" t="s">
        <v>3422</v>
      </c>
      <c r="F25" s="903" t="s">
        <v>3422</v>
      </c>
      <c r="G25" s="902" t="s">
        <v>3423</v>
      </c>
      <c r="H25" s="903" t="s">
        <v>3423</v>
      </c>
      <c r="I25" s="903" t="s">
        <v>3423</v>
      </c>
      <c r="J25" s="903" t="s">
        <v>3422</v>
      </c>
      <c r="K25" s="903" t="s">
        <v>3422</v>
      </c>
      <c r="L25" s="903" t="s">
        <v>3422</v>
      </c>
      <c r="M25" s="903" t="s">
        <v>3422</v>
      </c>
      <c r="N25" s="903" t="s">
        <v>3423</v>
      </c>
      <c r="O25" s="903" t="s">
        <v>3423</v>
      </c>
      <c r="P25" s="903" t="s">
        <v>3423</v>
      </c>
      <c r="Q25" s="903" t="s">
        <v>3423</v>
      </c>
      <c r="R25" s="903" t="s">
        <v>3422</v>
      </c>
      <c r="S25" s="903" t="s">
        <v>3422</v>
      </c>
      <c r="T25" s="903" t="s">
        <v>3423</v>
      </c>
      <c r="U25" s="903" t="s">
        <v>3423</v>
      </c>
    </row>
    <row r="26" spans="2:21" ht="20.100000000000001" customHeight="1" x14ac:dyDescent="0.2">
      <c r="B26" s="508">
        <v>13</v>
      </c>
      <c r="C26" s="513" t="s">
        <v>3424</v>
      </c>
      <c r="D26" s="903" t="s">
        <v>3425</v>
      </c>
      <c r="E26" s="903" t="s">
        <v>3425</v>
      </c>
      <c r="F26" s="903" t="s">
        <v>3425</v>
      </c>
      <c r="G26" s="905">
        <v>48296</v>
      </c>
      <c r="H26" s="905">
        <v>46993</v>
      </c>
      <c r="I26" s="905">
        <v>47261</v>
      </c>
      <c r="J26" s="903" t="s">
        <v>3425</v>
      </c>
      <c r="K26" s="903" t="s">
        <v>3425</v>
      </c>
      <c r="L26" s="903" t="s">
        <v>3425</v>
      </c>
      <c r="M26" s="903" t="s">
        <v>3425</v>
      </c>
      <c r="N26" s="905">
        <v>46926</v>
      </c>
      <c r="O26" s="905">
        <v>47059</v>
      </c>
      <c r="P26" s="905">
        <v>47764</v>
      </c>
      <c r="Q26" s="905">
        <v>47142</v>
      </c>
      <c r="R26" s="903" t="s">
        <v>3425</v>
      </c>
      <c r="S26" s="903" t="s">
        <v>3425</v>
      </c>
      <c r="T26" s="904">
        <v>47470</v>
      </c>
      <c r="U26" s="905">
        <v>48366</v>
      </c>
    </row>
    <row r="27" spans="2:21" ht="20.100000000000001" customHeight="1" x14ac:dyDescent="0.2">
      <c r="B27" s="508">
        <v>14</v>
      </c>
      <c r="C27" s="513" t="s">
        <v>3426</v>
      </c>
      <c r="D27" s="903" t="s">
        <v>3427</v>
      </c>
      <c r="E27" s="903" t="s">
        <v>3398</v>
      </c>
      <c r="F27" s="903" t="s">
        <v>3398</v>
      </c>
      <c r="G27" s="902" t="s">
        <v>3398</v>
      </c>
      <c r="H27" s="903" t="s">
        <v>3398</v>
      </c>
      <c r="I27" s="903" t="s">
        <v>3398</v>
      </c>
      <c r="J27" s="903" t="s">
        <v>3398</v>
      </c>
      <c r="K27" s="903" t="s">
        <v>3398</v>
      </c>
      <c r="L27" s="903" t="s">
        <v>3398</v>
      </c>
      <c r="M27" s="903" t="s">
        <v>3398</v>
      </c>
      <c r="N27" s="903" t="s">
        <v>3398</v>
      </c>
      <c r="O27" s="903" t="s">
        <v>3398</v>
      </c>
      <c r="P27" s="903" t="s">
        <v>3398</v>
      </c>
      <c r="Q27" s="903" t="s">
        <v>3398</v>
      </c>
      <c r="R27" s="903" t="s">
        <v>3398</v>
      </c>
      <c r="S27" s="903" t="s">
        <v>3398</v>
      </c>
      <c r="T27" s="903" t="s">
        <v>3398</v>
      </c>
      <c r="U27" s="903" t="s">
        <v>3398</v>
      </c>
    </row>
    <row r="28" spans="2:21" ht="20.100000000000001" customHeight="1" x14ac:dyDescent="0.2">
      <c r="B28" s="971">
        <v>15</v>
      </c>
      <c r="C28" s="972" t="s">
        <v>3428</v>
      </c>
      <c r="D28" s="903" t="s">
        <v>50</v>
      </c>
      <c r="E28" s="905">
        <v>46421</v>
      </c>
      <c r="F28" s="905">
        <v>45166</v>
      </c>
      <c r="G28" s="905">
        <v>46469</v>
      </c>
      <c r="H28" s="905">
        <v>45166</v>
      </c>
      <c r="I28" s="905">
        <v>45435</v>
      </c>
      <c r="J28" s="905">
        <v>46148</v>
      </c>
      <c r="K28" s="905">
        <v>46707</v>
      </c>
      <c r="L28" s="905">
        <v>45412</v>
      </c>
      <c r="M28" s="905">
        <v>45895</v>
      </c>
      <c r="N28" s="905">
        <v>45099</v>
      </c>
      <c r="O28" s="905">
        <v>45232</v>
      </c>
      <c r="P28" s="905">
        <v>45938</v>
      </c>
      <c r="Q28" s="905">
        <v>45315</v>
      </c>
      <c r="R28" s="905">
        <v>45224</v>
      </c>
      <c r="S28" s="905">
        <v>46447</v>
      </c>
      <c r="T28" s="905">
        <v>45644</v>
      </c>
      <c r="U28" s="905">
        <v>46447</v>
      </c>
    </row>
    <row r="29" spans="2:21" ht="54.75" customHeight="1" x14ac:dyDescent="0.2">
      <c r="B29" s="971"/>
      <c r="C29" s="972"/>
      <c r="D29" s="903" t="s">
        <v>50</v>
      </c>
      <c r="E29" s="903" t="s">
        <v>3429</v>
      </c>
      <c r="F29" s="903" t="s">
        <v>3429</v>
      </c>
      <c r="G29" s="902" t="s">
        <v>3429</v>
      </c>
      <c r="H29" s="903" t="s">
        <v>3429</v>
      </c>
      <c r="I29" s="903" t="s">
        <v>3429</v>
      </c>
      <c r="J29" s="903" t="s">
        <v>3429</v>
      </c>
      <c r="K29" s="903" t="s">
        <v>3429</v>
      </c>
      <c r="L29" s="903" t="s">
        <v>3429</v>
      </c>
      <c r="M29" s="903" t="s">
        <v>3429</v>
      </c>
      <c r="N29" s="903" t="s">
        <v>3429</v>
      </c>
      <c r="O29" s="903" t="s">
        <v>3429</v>
      </c>
      <c r="P29" s="903" t="s">
        <v>3429</v>
      </c>
      <c r="Q29" s="903" t="s">
        <v>3429</v>
      </c>
      <c r="R29" s="903" t="s">
        <v>3429</v>
      </c>
      <c r="S29" s="903" t="s">
        <v>3429</v>
      </c>
      <c r="T29" s="903" t="s">
        <v>3429</v>
      </c>
      <c r="U29" s="903" t="s">
        <v>3429</v>
      </c>
    </row>
    <row r="30" spans="2:21" ht="20.100000000000001" customHeight="1" x14ac:dyDescent="0.2">
      <c r="B30" s="508">
        <v>16</v>
      </c>
      <c r="C30" s="509" t="s">
        <v>3430</v>
      </c>
      <c r="D30" s="903" t="s">
        <v>50</v>
      </c>
      <c r="E30" s="903" t="s">
        <v>3190</v>
      </c>
      <c r="F30" s="903" t="s">
        <v>3190</v>
      </c>
      <c r="G30" s="902" t="s">
        <v>3190</v>
      </c>
      <c r="H30" s="903" t="s">
        <v>3190</v>
      </c>
      <c r="I30" s="903" t="s">
        <v>3190</v>
      </c>
      <c r="J30" s="903" t="s">
        <v>3190</v>
      </c>
      <c r="K30" s="903" t="s">
        <v>3190</v>
      </c>
      <c r="L30" s="903" t="s">
        <v>3190</v>
      </c>
      <c r="M30" s="903" t="s">
        <v>3190</v>
      </c>
      <c r="N30" s="903" t="s">
        <v>3190</v>
      </c>
      <c r="O30" s="903" t="s">
        <v>3190</v>
      </c>
      <c r="P30" s="903" t="s">
        <v>3190</v>
      </c>
      <c r="Q30" s="903" t="s">
        <v>3190</v>
      </c>
      <c r="R30" s="903" t="s">
        <v>3190</v>
      </c>
      <c r="S30" s="903" t="s">
        <v>3190</v>
      </c>
      <c r="T30" s="903" t="s">
        <v>3190</v>
      </c>
      <c r="U30" s="903" t="s">
        <v>3190</v>
      </c>
    </row>
    <row r="31" spans="2:21" ht="20.100000000000001" customHeight="1" x14ac:dyDescent="0.2">
      <c r="B31" s="518"/>
      <c r="C31" s="933" t="s">
        <v>3431</v>
      </c>
      <c r="D31" s="519"/>
      <c r="E31" s="519"/>
      <c r="F31" s="519"/>
      <c r="G31" s="519"/>
      <c r="H31" s="519"/>
      <c r="I31" s="519"/>
      <c r="J31" s="519"/>
      <c r="K31" s="519"/>
      <c r="L31" s="519"/>
      <c r="M31" s="519"/>
      <c r="N31" s="519"/>
      <c r="O31" s="519"/>
      <c r="P31" s="519"/>
      <c r="Q31" s="519"/>
      <c r="R31" s="519"/>
      <c r="S31" s="519"/>
      <c r="T31" s="937"/>
      <c r="U31" s="519"/>
    </row>
    <row r="32" spans="2:21" ht="20.100000000000001" customHeight="1" x14ac:dyDescent="0.2">
      <c r="B32" s="508">
        <v>17</v>
      </c>
      <c r="C32" s="934" t="s">
        <v>3432</v>
      </c>
      <c r="D32" s="903" t="s">
        <v>3433</v>
      </c>
      <c r="E32" s="903" t="s">
        <v>3433</v>
      </c>
      <c r="F32" s="903" t="s">
        <v>3433</v>
      </c>
      <c r="G32" s="903" t="s">
        <v>3433</v>
      </c>
      <c r="H32" s="903" t="s">
        <v>3433</v>
      </c>
      <c r="I32" s="903" t="s">
        <v>3433</v>
      </c>
      <c r="J32" s="903" t="s">
        <v>3433</v>
      </c>
      <c r="K32" s="903" t="s">
        <v>3433</v>
      </c>
      <c r="L32" s="903" t="s">
        <v>3433</v>
      </c>
      <c r="M32" s="903" t="s">
        <v>3433</v>
      </c>
      <c r="N32" s="903" t="s">
        <v>3433</v>
      </c>
      <c r="O32" s="903" t="s">
        <v>3433</v>
      </c>
      <c r="P32" s="903" t="s">
        <v>3433</v>
      </c>
      <c r="Q32" s="903" t="s">
        <v>3433</v>
      </c>
      <c r="R32" s="903" t="s">
        <v>3433</v>
      </c>
      <c r="S32" s="903" t="s">
        <v>3433</v>
      </c>
      <c r="T32" s="903" t="s">
        <v>3433</v>
      </c>
      <c r="U32" s="903" t="s">
        <v>3433</v>
      </c>
    </row>
    <row r="33" spans="2:21" ht="31.5" customHeight="1" x14ac:dyDescent="0.2">
      <c r="B33" s="508">
        <v>18</v>
      </c>
      <c r="C33" s="934" t="s">
        <v>3434</v>
      </c>
      <c r="D33" s="903" t="s">
        <v>50</v>
      </c>
      <c r="E33" s="903" t="s">
        <v>3561</v>
      </c>
      <c r="F33" s="903" t="s">
        <v>3435</v>
      </c>
      <c r="G33" s="903" t="s">
        <v>3436</v>
      </c>
      <c r="H33" s="903" t="s">
        <v>3437</v>
      </c>
      <c r="I33" s="903" t="s">
        <v>3437</v>
      </c>
      <c r="J33" s="903" t="s">
        <v>3438</v>
      </c>
      <c r="K33" s="903" t="s">
        <v>3563</v>
      </c>
      <c r="L33" s="903" t="s">
        <v>3439</v>
      </c>
      <c r="M33" s="903" t="s">
        <v>3440</v>
      </c>
      <c r="N33" s="903" t="s">
        <v>3441</v>
      </c>
      <c r="O33" s="903" t="s">
        <v>3442</v>
      </c>
      <c r="P33" s="903" t="s">
        <v>3443</v>
      </c>
      <c r="Q33" s="903" t="s">
        <v>3444</v>
      </c>
      <c r="R33" s="903" t="s">
        <v>3445</v>
      </c>
      <c r="S33" s="903" t="s">
        <v>3440</v>
      </c>
      <c r="T33" s="903" t="s">
        <v>3446</v>
      </c>
      <c r="U33" s="903" t="s">
        <v>3566</v>
      </c>
    </row>
    <row r="34" spans="2:21" ht="20.100000000000001" customHeight="1" x14ac:dyDescent="0.2">
      <c r="B34" s="508">
        <v>19</v>
      </c>
      <c r="C34" s="934" t="s">
        <v>3447</v>
      </c>
      <c r="D34" s="903" t="s">
        <v>3398</v>
      </c>
      <c r="E34" s="903" t="s">
        <v>3427</v>
      </c>
      <c r="F34" s="903" t="s">
        <v>3427</v>
      </c>
      <c r="G34" s="903" t="s">
        <v>3427</v>
      </c>
      <c r="H34" s="903" t="s">
        <v>3427</v>
      </c>
      <c r="I34" s="903" t="s">
        <v>3427</v>
      </c>
      <c r="J34" s="903" t="s">
        <v>3427</v>
      </c>
      <c r="K34" s="903" t="s">
        <v>3427</v>
      </c>
      <c r="L34" s="903" t="s">
        <v>3427</v>
      </c>
      <c r="M34" s="903" t="s">
        <v>3427</v>
      </c>
      <c r="N34" s="903" t="s">
        <v>3427</v>
      </c>
      <c r="O34" s="903" t="s">
        <v>3427</v>
      </c>
      <c r="P34" s="903" t="s">
        <v>3427</v>
      </c>
      <c r="Q34" s="903" t="s">
        <v>3427</v>
      </c>
      <c r="R34" s="903" t="s">
        <v>3427</v>
      </c>
      <c r="S34" s="903" t="s">
        <v>3427</v>
      </c>
      <c r="T34" s="903" t="s">
        <v>3427</v>
      </c>
      <c r="U34" s="903" t="s">
        <v>3427</v>
      </c>
    </row>
    <row r="35" spans="2:21" ht="28.5" customHeight="1" x14ac:dyDescent="0.2">
      <c r="B35" s="508" t="s">
        <v>61</v>
      </c>
      <c r="C35" s="934" t="s">
        <v>3448</v>
      </c>
      <c r="D35" s="903" t="s">
        <v>3449</v>
      </c>
      <c r="E35" s="906" t="s">
        <v>3449</v>
      </c>
      <c r="F35" s="903" t="s">
        <v>3449</v>
      </c>
      <c r="G35" s="903" t="s">
        <v>3450</v>
      </c>
      <c r="H35" s="903" t="s">
        <v>3450</v>
      </c>
      <c r="I35" s="903" t="s">
        <v>3450</v>
      </c>
      <c r="J35" s="903" t="s">
        <v>3449</v>
      </c>
      <c r="K35" s="903" t="s">
        <v>3449</v>
      </c>
      <c r="L35" s="903" t="s">
        <v>3449</v>
      </c>
      <c r="M35" s="903" t="s">
        <v>3449</v>
      </c>
      <c r="N35" s="903" t="s">
        <v>3450</v>
      </c>
      <c r="O35" s="903" t="s">
        <v>3450</v>
      </c>
      <c r="P35" s="903" t="s">
        <v>3450</v>
      </c>
      <c r="Q35" s="903" t="s">
        <v>3450</v>
      </c>
      <c r="R35" s="903" t="s">
        <v>3449</v>
      </c>
      <c r="S35" s="903" t="s">
        <v>3449</v>
      </c>
      <c r="T35" s="903" t="s">
        <v>3450</v>
      </c>
      <c r="U35" s="903" t="s">
        <v>3450</v>
      </c>
    </row>
    <row r="36" spans="2:21" ht="28.5" customHeight="1" x14ac:dyDescent="0.2">
      <c r="B36" s="508" t="s">
        <v>63</v>
      </c>
      <c r="C36" s="934" t="s">
        <v>3451</v>
      </c>
      <c r="D36" s="903" t="s">
        <v>3449</v>
      </c>
      <c r="E36" s="903" t="s">
        <v>3449</v>
      </c>
      <c r="F36" s="903" t="s">
        <v>3449</v>
      </c>
      <c r="G36" s="903" t="s">
        <v>3450</v>
      </c>
      <c r="H36" s="903" t="s">
        <v>3450</v>
      </c>
      <c r="I36" s="903" t="s">
        <v>3450</v>
      </c>
      <c r="J36" s="903" t="s">
        <v>3449</v>
      </c>
      <c r="K36" s="903" t="s">
        <v>3449</v>
      </c>
      <c r="L36" s="903" t="s">
        <v>3449</v>
      </c>
      <c r="M36" s="903" t="s">
        <v>3449</v>
      </c>
      <c r="N36" s="903" t="s">
        <v>3450</v>
      </c>
      <c r="O36" s="903" t="s">
        <v>3450</v>
      </c>
      <c r="P36" s="903" t="s">
        <v>3450</v>
      </c>
      <c r="Q36" s="903" t="s">
        <v>3450</v>
      </c>
      <c r="R36" s="903" t="s">
        <v>3449</v>
      </c>
      <c r="S36" s="903" t="s">
        <v>3449</v>
      </c>
      <c r="T36" s="903" t="s">
        <v>3450</v>
      </c>
      <c r="U36" s="903" t="s">
        <v>3450</v>
      </c>
    </row>
    <row r="37" spans="2:21" ht="20.100000000000001" customHeight="1" x14ac:dyDescent="0.2">
      <c r="B37" s="508">
        <v>21</v>
      </c>
      <c r="C37" s="934" t="s">
        <v>3452</v>
      </c>
      <c r="D37" s="903" t="s">
        <v>50</v>
      </c>
      <c r="E37" s="903" t="s">
        <v>3427</v>
      </c>
      <c r="F37" s="903" t="s">
        <v>3427</v>
      </c>
      <c r="G37" s="903" t="s">
        <v>3427</v>
      </c>
      <c r="H37" s="903" t="s">
        <v>3427</v>
      </c>
      <c r="I37" s="903" t="s">
        <v>3427</v>
      </c>
      <c r="J37" s="903" t="s">
        <v>3427</v>
      </c>
      <c r="K37" s="903" t="s">
        <v>3427</v>
      </c>
      <c r="L37" s="903" t="s">
        <v>3427</v>
      </c>
      <c r="M37" s="903" t="s">
        <v>3427</v>
      </c>
      <c r="N37" s="903" t="s">
        <v>3427</v>
      </c>
      <c r="O37" s="903" t="s">
        <v>3427</v>
      </c>
      <c r="P37" s="903" t="s">
        <v>3427</v>
      </c>
      <c r="Q37" s="903" t="s">
        <v>3427</v>
      </c>
      <c r="R37" s="903" t="s">
        <v>3427</v>
      </c>
      <c r="S37" s="903" t="s">
        <v>3427</v>
      </c>
      <c r="T37" s="903" t="s">
        <v>3427</v>
      </c>
      <c r="U37" s="903" t="s">
        <v>3427</v>
      </c>
    </row>
    <row r="38" spans="2:21" ht="35.25" customHeight="1" x14ac:dyDescent="0.2">
      <c r="B38" s="508">
        <v>22</v>
      </c>
      <c r="C38" s="934" t="s">
        <v>3453</v>
      </c>
      <c r="D38" s="903" t="s">
        <v>50</v>
      </c>
      <c r="E38" s="903" t="s">
        <v>3454</v>
      </c>
      <c r="F38" s="903" t="s">
        <v>3454</v>
      </c>
      <c r="G38" s="903" t="s">
        <v>3454</v>
      </c>
      <c r="H38" s="903" t="s">
        <v>3454</v>
      </c>
      <c r="I38" s="903" t="s">
        <v>3454</v>
      </c>
      <c r="J38" s="903" t="s">
        <v>3454</v>
      </c>
      <c r="K38" s="903" t="s">
        <v>3454</v>
      </c>
      <c r="L38" s="903" t="s">
        <v>3454</v>
      </c>
      <c r="M38" s="903" t="s">
        <v>3454</v>
      </c>
      <c r="N38" s="903" t="s">
        <v>3454</v>
      </c>
      <c r="O38" s="903" t="s">
        <v>3454</v>
      </c>
      <c r="P38" s="903" t="s">
        <v>3454</v>
      </c>
      <c r="Q38" s="903" t="s">
        <v>3454</v>
      </c>
      <c r="R38" s="903" t="s">
        <v>3454</v>
      </c>
      <c r="S38" s="903" t="s">
        <v>3454</v>
      </c>
      <c r="T38" s="903" t="s">
        <v>3454</v>
      </c>
      <c r="U38" s="903" t="s">
        <v>3454</v>
      </c>
    </row>
    <row r="39" spans="2:21" ht="20.100000000000001" customHeight="1" x14ac:dyDescent="0.2">
      <c r="B39" s="515">
        <v>23</v>
      </c>
      <c r="C39" s="935" t="s">
        <v>3455</v>
      </c>
      <c r="D39" s="936" t="s">
        <v>50</v>
      </c>
      <c r="E39" s="936" t="s">
        <v>3456</v>
      </c>
      <c r="F39" s="936" t="s">
        <v>3456</v>
      </c>
      <c r="G39" s="936" t="s">
        <v>3456</v>
      </c>
      <c r="H39" s="936" t="s">
        <v>3456</v>
      </c>
      <c r="I39" s="936" t="s">
        <v>3456</v>
      </c>
      <c r="J39" s="936" t="s">
        <v>3456</v>
      </c>
      <c r="K39" s="936" t="s">
        <v>3456</v>
      </c>
      <c r="L39" s="936" t="s">
        <v>3456</v>
      </c>
      <c r="M39" s="936" t="s">
        <v>3456</v>
      </c>
      <c r="N39" s="936" t="s">
        <v>3456</v>
      </c>
      <c r="O39" s="936" t="s">
        <v>3456</v>
      </c>
      <c r="P39" s="936" t="s">
        <v>3456</v>
      </c>
      <c r="Q39" s="936" t="s">
        <v>3456</v>
      </c>
      <c r="R39" s="936" t="s">
        <v>3456</v>
      </c>
      <c r="S39" s="936" t="s">
        <v>3456</v>
      </c>
      <c r="T39" s="936" t="s">
        <v>3456</v>
      </c>
      <c r="U39" s="936" t="s">
        <v>3456</v>
      </c>
    </row>
    <row r="40" spans="2:21" ht="20.100000000000001" customHeight="1" x14ac:dyDescent="0.2">
      <c r="B40" s="508">
        <v>24</v>
      </c>
      <c r="C40" s="934" t="s">
        <v>3457</v>
      </c>
      <c r="D40" s="895" t="s">
        <v>50</v>
      </c>
      <c r="E40" s="895" t="s">
        <v>50</v>
      </c>
      <c r="F40" s="895" t="s">
        <v>50</v>
      </c>
      <c r="G40" s="895" t="s">
        <v>50</v>
      </c>
      <c r="H40" s="895" t="s">
        <v>50</v>
      </c>
      <c r="I40" s="895" t="s">
        <v>50</v>
      </c>
      <c r="J40" s="895" t="s">
        <v>50</v>
      </c>
      <c r="K40" s="895" t="s">
        <v>50</v>
      </c>
      <c r="L40" s="895" t="s">
        <v>50</v>
      </c>
      <c r="M40" s="895" t="s">
        <v>50</v>
      </c>
      <c r="N40" s="895" t="s">
        <v>50</v>
      </c>
      <c r="O40" s="895" t="s">
        <v>50</v>
      </c>
      <c r="P40" s="895" t="s">
        <v>50</v>
      </c>
      <c r="Q40" s="895" t="s">
        <v>50</v>
      </c>
      <c r="R40" s="895" t="s">
        <v>50</v>
      </c>
      <c r="S40" s="895" t="s">
        <v>50</v>
      </c>
      <c r="T40" s="895" t="s">
        <v>50</v>
      </c>
      <c r="U40" s="895" t="s">
        <v>50</v>
      </c>
    </row>
    <row r="41" spans="2:21" ht="20.100000000000001" customHeight="1" x14ac:dyDescent="0.2">
      <c r="B41" s="508">
        <v>25</v>
      </c>
      <c r="C41" s="934" t="s">
        <v>3458</v>
      </c>
      <c r="D41" s="895" t="s">
        <v>50</v>
      </c>
      <c r="E41" s="895" t="s">
        <v>50</v>
      </c>
      <c r="F41" s="895" t="s">
        <v>50</v>
      </c>
      <c r="G41" s="895" t="s">
        <v>50</v>
      </c>
      <c r="H41" s="895" t="s">
        <v>50</v>
      </c>
      <c r="I41" s="895" t="s">
        <v>50</v>
      </c>
      <c r="J41" s="895" t="s">
        <v>50</v>
      </c>
      <c r="K41" s="895" t="s">
        <v>50</v>
      </c>
      <c r="L41" s="895" t="s">
        <v>50</v>
      </c>
      <c r="M41" s="895" t="s">
        <v>50</v>
      </c>
      <c r="N41" s="895" t="s">
        <v>50</v>
      </c>
      <c r="O41" s="895" t="s">
        <v>50</v>
      </c>
      <c r="P41" s="895" t="s">
        <v>50</v>
      </c>
      <c r="Q41" s="895" t="s">
        <v>50</v>
      </c>
      <c r="R41" s="895" t="s">
        <v>50</v>
      </c>
      <c r="S41" s="895" t="s">
        <v>50</v>
      </c>
      <c r="T41" s="895" t="s">
        <v>50</v>
      </c>
      <c r="U41" s="895" t="s">
        <v>50</v>
      </c>
    </row>
    <row r="42" spans="2:21" ht="20.100000000000001" customHeight="1" x14ac:dyDescent="0.2">
      <c r="B42" s="508">
        <v>26</v>
      </c>
      <c r="C42" s="934" t="s">
        <v>3459</v>
      </c>
      <c r="D42" s="895" t="s">
        <v>50</v>
      </c>
      <c r="E42" s="895" t="s">
        <v>50</v>
      </c>
      <c r="F42" s="895" t="s">
        <v>50</v>
      </c>
      <c r="G42" s="895" t="s">
        <v>50</v>
      </c>
      <c r="H42" s="895" t="s">
        <v>50</v>
      </c>
      <c r="I42" s="895" t="s">
        <v>50</v>
      </c>
      <c r="J42" s="895" t="s">
        <v>50</v>
      </c>
      <c r="K42" s="895" t="s">
        <v>50</v>
      </c>
      <c r="L42" s="895" t="s">
        <v>50</v>
      </c>
      <c r="M42" s="895" t="s">
        <v>50</v>
      </c>
      <c r="N42" s="895" t="s">
        <v>50</v>
      </c>
      <c r="O42" s="895" t="s">
        <v>50</v>
      </c>
      <c r="P42" s="895" t="s">
        <v>50</v>
      </c>
      <c r="Q42" s="895" t="s">
        <v>50</v>
      </c>
      <c r="R42" s="895" t="s">
        <v>50</v>
      </c>
      <c r="S42" s="895" t="s">
        <v>50</v>
      </c>
      <c r="T42" s="895" t="s">
        <v>50</v>
      </c>
      <c r="U42" s="895" t="s">
        <v>50</v>
      </c>
    </row>
    <row r="43" spans="2:21" ht="20.100000000000001" customHeight="1" x14ac:dyDescent="0.2">
      <c r="B43" s="508">
        <v>27</v>
      </c>
      <c r="C43" s="934" t="s">
        <v>3460</v>
      </c>
      <c r="D43" s="895" t="s">
        <v>50</v>
      </c>
      <c r="E43" s="895" t="s">
        <v>50</v>
      </c>
      <c r="F43" s="895" t="s">
        <v>50</v>
      </c>
      <c r="G43" s="895" t="s">
        <v>50</v>
      </c>
      <c r="H43" s="895" t="s">
        <v>50</v>
      </c>
      <c r="I43" s="895" t="s">
        <v>50</v>
      </c>
      <c r="J43" s="895" t="s">
        <v>50</v>
      </c>
      <c r="K43" s="895" t="s">
        <v>50</v>
      </c>
      <c r="L43" s="895" t="s">
        <v>50</v>
      </c>
      <c r="M43" s="895" t="s">
        <v>50</v>
      </c>
      <c r="N43" s="895" t="s">
        <v>50</v>
      </c>
      <c r="O43" s="895" t="s">
        <v>50</v>
      </c>
      <c r="P43" s="895" t="s">
        <v>50</v>
      </c>
      <c r="Q43" s="895" t="s">
        <v>50</v>
      </c>
      <c r="R43" s="895" t="s">
        <v>50</v>
      </c>
      <c r="S43" s="895" t="s">
        <v>50</v>
      </c>
      <c r="T43" s="895" t="s">
        <v>50</v>
      </c>
      <c r="U43" s="895" t="s">
        <v>50</v>
      </c>
    </row>
    <row r="44" spans="2:21" ht="20.100000000000001" customHeight="1" x14ac:dyDescent="0.2">
      <c r="B44" s="508">
        <v>28</v>
      </c>
      <c r="C44" s="934" t="s">
        <v>3461</v>
      </c>
      <c r="D44" s="895" t="s">
        <v>50</v>
      </c>
      <c r="E44" s="895" t="s">
        <v>50</v>
      </c>
      <c r="F44" s="895" t="s">
        <v>50</v>
      </c>
      <c r="G44" s="895" t="s">
        <v>50</v>
      </c>
      <c r="H44" s="895" t="s">
        <v>50</v>
      </c>
      <c r="I44" s="895" t="s">
        <v>50</v>
      </c>
      <c r="J44" s="895" t="s">
        <v>50</v>
      </c>
      <c r="K44" s="895" t="s">
        <v>50</v>
      </c>
      <c r="L44" s="895" t="s">
        <v>50</v>
      </c>
      <c r="M44" s="895" t="s">
        <v>50</v>
      </c>
      <c r="N44" s="895" t="s">
        <v>50</v>
      </c>
      <c r="O44" s="895" t="s">
        <v>50</v>
      </c>
      <c r="P44" s="895" t="s">
        <v>50</v>
      </c>
      <c r="Q44" s="895" t="s">
        <v>50</v>
      </c>
      <c r="R44" s="895" t="s">
        <v>50</v>
      </c>
      <c r="S44" s="895" t="s">
        <v>50</v>
      </c>
      <c r="T44" s="895" t="s">
        <v>50</v>
      </c>
      <c r="U44" s="895" t="s">
        <v>50</v>
      </c>
    </row>
    <row r="45" spans="2:21" ht="20.100000000000001" customHeight="1" x14ac:dyDescent="0.2">
      <c r="B45" s="508">
        <v>29</v>
      </c>
      <c r="C45" s="934" t="s">
        <v>3462</v>
      </c>
      <c r="D45" s="895" t="s">
        <v>50</v>
      </c>
      <c r="E45" s="895" t="s">
        <v>50</v>
      </c>
      <c r="F45" s="895" t="s">
        <v>50</v>
      </c>
      <c r="G45" s="895" t="s">
        <v>50</v>
      </c>
      <c r="H45" s="895" t="s">
        <v>50</v>
      </c>
      <c r="I45" s="895" t="s">
        <v>50</v>
      </c>
      <c r="J45" s="895" t="s">
        <v>50</v>
      </c>
      <c r="K45" s="895" t="s">
        <v>50</v>
      </c>
      <c r="L45" s="895" t="s">
        <v>50</v>
      </c>
      <c r="M45" s="895" t="s">
        <v>50</v>
      </c>
      <c r="N45" s="895" t="s">
        <v>50</v>
      </c>
      <c r="O45" s="895" t="s">
        <v>50</v>
      </c>
      <c r="P45" s="895" t="s">
        <v>50</v>
      </c>
      <c r="Q45" s="895" t="s">
        <v>50</v>
      </c>
      <c r="R45" s="895" t="s">
        <v>50</v>
      </c>
      <c r="S45" s="895" t="s">
        <v>50</v>
      </c>
      <c r="T45" s="895" t="s">
        <v>50</v>
      </c>
      <c r="U45" s="895" t="s">
        <v>50</v>
      </c>
    </row>
    <row r="46" spans="2:21" ht="20.100000000000001" customHeight="1" x14ac:dyDescent="0.2">
      <c r="B46" s="515">
        <v>30</v>
      </c>
      <c r="C46" s="935" t="s">
        <v>3463</v>
      </c>
      <c r="D46" s="936" t="s">
        <v>50</v>
      </c>
      <c r="E46" s="936" t="s">
        <v>3398</v>
      </c>
      <c r="F46" s="936" t="s">
        <v>3398</v>
      </c>
      <c r="G46" s="936" t="s">
        <v>3427</v>
      </c>
      <c r="H46" s="936" t="s">
        <v>3427</v>
      </c>
      <c r="I46" s="936" t="s">
        <v>3427</v>
      </c>
      <c r="J46" s="936" t="s">
        <v>3398</v>
      </c>
      <c r="K46" s="936" t="s">
        <v>3398</v>
      </c>
      <c r="L46" s="936" t="s">
        <v>3398</v>
      </c>
      <c r="M46" s="936" t="s">
        <v>3398</v>
      </c>
      <c r="N46" s="936" t="s">
        <v>3427</v>
      </c>
      <c r="O46" s="936" t="s">
        <v>3427</v>
      </c>
      <c r="P46" s="936" t="s">
        <v>3427</v>
      </c>
      <c r="Q46" s="936" t="s">
        <v>3427</v>
      </c>
      <c r="R46" s="936" t="s">
        <v>3398</v>
      </c>
      <c r="S46" s="936" t="s">
        <v>3398</v>
      </c>
      <c r="T46" s="936" t="s">
        <v>3427</v>
      </c>
      <c r="U46" s="936" t="s">
        <v>3427</v>
      </c>
    </row>
    <row r="47" spans="2:21" ht="69.75" customHeight="1" x14ac:dyDescent="0.2">
      <c r="B47" s="508">
        <v>31</v>
      </c>
      <c r="C47" s="513" t="s">
        <v>3464</v>
      </c>
      <c r="D47" s="895" t="s">
        <v>50</v>
      </c>
      <c r="E47" s="895" t="s">
        <v>3465</v>
      </c>
      <c r="F47" s="895" t="s">
        <v>3465</v>
      </c>
      <c r="G47" s="895" t="s">
        <v>50</v>
      </c>
      <c r="H47" s="895" t="s">
        <v>50</v>
      </c>
      <c r="I47" s="895" t="s">
        <v>50</v>
      </c>
      <c r="J47" s="895" t="s">
        <v>3466</v>
      </c>
      <c r="K47" s="895" t="s">
        <v>3466</v>
      </c>
      <c r="L47" s="895" t="s">
        <v>3466</v>
      </c>
      <c r="M47" s="895" t="s">
        <v>3466</v>
      </c>
      <c r="N47" s="895" t="s">
        <v>50</v>
      </c>
      <c r="O47" s="895" t="s">
        <v>50</v>
      </c>
      <c r="P47" s="895" t="s">
        <v>50</v>
      </c>
      <c r="Q47" s="895" t="s">
        <v>50</v>
      </c>
      <c r="R47" s="895" t="s">
        <v>3467</v>
      </c>
      <c r="S47" s="895" t="s">
        <v>3467</v>
      </c>
      <c r="T47" s="895" t="s">
        <v>50</v>
      </c>
      <c r="U47" s="895" t="s">
        <v>50</v>
      </c>
    </row>
    <row r="48" spans="2:21" ht="24.95" customHeight="1" x14ac:dyDescent="0.2">
      <c r="B48" s="508">
        <v>32</v>
      </c>
      <c r="C48" s="513" t="s">
        <v>3468</v>
      </c>
      <c r="D48" s="895" t="s">
        <v>50</v>
      </c>
      <c r="E48" s="895" t="s">
        <v>3469</v>
      </c>
      <c r="F48" s="895" t="s">
        <v>3469</v>
      </c>
      <c r="G48" s="895" t="s">
        <v>50</v>
      </c>
      <c r="H48" s="895" t="s">
        <v>50</v>
      </c>
      <c r="I48" s="895" t="s">
        <v>50</v>
      </c>
      <c r="J48" s="895" t="s">
        <v>3469</v>
      </c>
      <c r="K48" s="895" t="s">
        <v>3469</v>
      </c>
      <c r="L48" s="895" t="s">
        <v>3469</v>
      </c>
      <c r="M48" s="895" t="s">
        <v>3469</v>
      </c>
      <c r="N48" s="895" t="s">
        <v>50</v>
      </c>
      <c r="O48" s="895" t="s">
        <v>50</v>
      </c>
      <c r="P48" s="895" t="s">
        <v>50</v>
      </c>
      <c r="Q48" s="895" t="s">
        <v>50</v>
      </c>
      <c r="R48" s="895" t="s">
        <v>3469</v>
      </c>
      <c r="S48" s="895" t="s">
        <v>3469</v>
      </c>
      <c r="T48" s="895" t="s">
        <v>50</v>
      </c>
      <c r="U48" s="895" t="s">
        <v>50</v>
      </c>
    </row>
    <row r="49" spans="2:21" ht="20.100000000000001" customHeight="1" x14ac:dyDescent="0.2">
      <c r="B49" s="508">
        <v>33</v>
      </c>
      <c r="C49" s="513" t="s">
        <v>3470</v>
      </c>
      <c r="D49" s="895" t="s">
        <v>50</v>
      </c>
      <c r="E49" s="895" t="s">
        <v>3471</v>
      </c>
      <c r="F49" s="895" t="s">
        <v>3471</v>
      </c>
      <c r="G49" s="895" t="s">
        <v>50</v>
      </c>
      <c r="H49" s="895" t="s">
        <v>50</v>
      </c>
      <c r="I49" s="895" t="s">
        <v>50</v>
      </c>
      <c r="J49" s="895" t="s">
        <v>3471</v>
      </c>
      <c r="K49" s="895" t="s">
        <v>3471</v>
      </c>
      <c r="L49" s="895" t="s">
        <v>3471</v>
      </c>
      <c r="M49" s="895" t="s">
        <v>3471</v>
      </c>
      <c r="N49" s="895" t="s">
        <v>50</v>
      </c>
      <c r="O49" s="895" t="s">
        <v>50</v>
      </c>
      <c r="P49" s="895" t="s">
        <v>50</v>
      </c>
      <c r="Q49" s="895" t="s">
        <v>50</v>
      </c>
      <c r="R49" s="895" t="s">
        <v>3471</v>
      </c>
      <c r="S49" s="895" t="s">
        <v>3471</v>
      </c>
      <c r="T49" s="895" t="s">
        <v>50</v>
      </c>
      <c r="U49" s="895" t="s">
        <v>50</v>
      </c>
    </row>
    <row r="50" spans="2:21" ht="51" x14ac:dyDescent="0.2">
      <c r="B50" s="508">
        <v>34</v>
      </c>
      <c r="C50" s="513" t="s">
        <v>3472</v>
      </c>
      <c r="D50" s="895" t="s">
        <v>50</v>
      </c>
      <c r="E50" s="895" t="s">
        <v>3473</v>
      </c>
      <c r="F50" s="895" t="s">
        <v>3473</v>
      </c>
      <c r="G50" s="895" t="s">
        <v>50</v>
      </c>
      <c r="H50" s="895" t="s">
        <v>50</v>
      </c>
      <c r="I50" s="895" t="s">
        <v>50</v>
      </c>
      <c r="J50" s="895" t="s">
        <v>3473</v>
      </c>
      <c r="K50" s="895" t="s">
        <v>3473</v>
      </c>
      <c r="L50" s="895" t="s">
        <v>3473</v>
      </c>
      <c r="M50" s="895" t="s">
        <v>3473</v>
      </c>
      <c r="N50" s="895" t="s">
        <v>50</v>
      </c>
      <c r="O50" s="895" t="s">
        <v>50</v>
      </c>
      <c r="P50" s="895" t="s">
        <v>50</v>
      </c>
      <c r="Q50" s="895" t="s">
        <v>50</v>
      </c>
      <c r="R50" s="895" t="s">
        <v>3473</v>
      </c>
      <c r="S50" s="895" t="s">
        <v>3473</v>
      </c>
      <c r="T50" s="895" t="s">
        <v>50</v>
      </c>
      <c r="U50" s="895" t="s">
        <v>50</v>
      </c>
    </row>
    <row r="51" spans="2:21" ht="20.100000000000001" customHeight="1" x14ac:dyDescent="0.2">
      <c r="B51" s="512" t="s">
        <v>3474</v>
      </c>
      <c r="C51" s="514" t="s">
        <v>3475</v>
      </c>
      <c r="D51" s="895" t="s">
        <v>50</v>
      </c>
      <c r="E51" s="898" t="s">
        <v>3476</v>
      </c>
      <c r="F51" s="898" t="s">
        <v>3476</v>
      </c>
      <c r="G51" s="898" t="s">
        <v>3476</v>
      </c>
      <c r="H51" s="898" t="s">
        <v>3476</v>
      </c>
      <c r="I51" s="898" t="s">
        <v>3476</v>
      </c>
      <c r="J51" s="898" t="s">
        <v>3476</v>
      </c>
      <c r="K51" s="898" t="s">
        <v>3476</v>
      </c>
      <c r="L51" s="898" t="s">
        <v>3476</v>
      </c>
      <c r="M51" s="898" t="s">
        <v>3476</v>
      </c>
      <c r="N51" s="898" t="s">
        <v>3476</v>
      </c>
      <c r="O51" s="898" t="s">
        <v>3476</v>
      </c>
      <c r="P51" s="898" t="s">
        <v>3476</v>
      </c>
      <c r="Q51" s="898" t="s">
        <v>3476</v>
      </c>
      <c r="R51" s="898" t="s">
        <v>3476</v>
      </c>
      <c r="S51" s="898" t="s">
        <v>3476</v>
      </c>
      <c r="T51" s="938" t="s">
        <v>3476</v>
      </c>
      <c r="U51" s="898" t="s">
        <v>3476</v>
      </c>
    </row>
    <row r="52" spans="2:21" ht="20.100000000000001" customHeight="1" x14ac:dyDescent="0.2">
      <c r="B52" s="512" t="s">
        <v>3477</v>
      </c>
      <c r="C52" s="514" t="s">
        <v>3478</v>
      </c>
      <c r="D52" s="901">
        <v>1</v>
      </c>
      <c r="E52" s="899">
        <v>2</v>
      </c>
      <c r="F52" s="899">
        <v>2</v>
      </c>
      <c r="G52" s="899">
        <v>3</v>
      </c>
      <c r="H52" s="899">
        <v>3</v>
      </c>
      <c r="I52" s="899">
        <v>3</v>
      </c>
      <c r="J52" s="899">
        <v>2</v>
      </c>
      <c r="K52" s="899">
        <v>2</v>
      </c>
      <c r="L52" s="899">
        <v>2</v>
      </c>
      <c r="M52" s="899">
        <v>2</v>
      </c>
      <c r="N52" s="899">
        <v>3</v>
      </c>
      <c r="O52" s="899">
        <v>3</v>
      </c>
      <c r="P52" s="899">
        <v>3</v>
      </c>
      <c r="Q52" s="899">
        <v>3</v>
      </c>
      <c r="R52" s="899">
        <v>2</v>
      </c>
      <c r="S52" s="899">
        <v>2</v>
      </c>
      <c r="T52" s="939">
        <v>3</v>
      </c>
      <c r="U52" s="899">
        <v>3</v>
      </c>
    </row>
    <row r="53" spans="2:21" ht="39" customHeight="1" x14ac:dyDescent="0.2">
      <c r="B53" s="508">
        <v>35</v>
      </c>
      <c r="C53" s="510" t="s">
        <v>3479</v>
      </c>
      <c r="D53" s="895" t="s">
        <v>3409</v>
      </c>
      <c r="E53" s="900" t="s">
        <v>3410</v>
      </c>
      <c r="F53" s="900" t="s">
        <v>3410</v>
      </c>
      <c r="G53" s="900" t="s">
        <v>3480</v>
      </c>
      <c r="H53" s="900" t="s">
        <v>3480</v>
      </c>
      <c r="I53" s="900" t="s">
        <v>3480</v>
      </c>
      <c r="J53" s="900" t="s">
        <v>3410</v>
      </c>
      <c r="K53" s="900" t="s">
        <v>3410</v>
      </c>
      <c r="L53" s="900" t="s">
        <v>3410</v>
      </c>
      <c r="M53" s="900" t="s">
        <v>3410</v>
      </c>
      <c r="N53" s="900" t="s">
        <v>3480</v>
      </c>
      <c r="O53" s="900" t="s">
        <v>3481</v>
      </c>
      <c r="P53" s="900" t="s">
        <v>3482</v>
      </c>
      <c r="Q53" s="900" t="s">
        <v>3482</v>
      </c>
      <c r="R53" s="900" t="s">
        <v>3410</v>
      </c>
      <c r="S53" s="900" t="s">
        <v>3410</v>
      </c>
      <c r="T53" s="938" t="s">
        <v>3480</v>
      </c>
      <c r="U53" s="900" t="s">
        <v>3480</v>
      </c>
    </row>
    <row r="54" spans="2:21" ht="20.100000000000001" customHeight="1" x14ac:dyDescent="0.2">
      <c r="B54" s="508">
        <v>36</v>
      </c>
      <c r="C54" s="513" t="s">
        <v>3483</v>
      </c>
      <c r="D54" s="895" t="s">
        <v>3427</v>
      </c>
      <c r="E54" s="895" t="s">
        <v>3427</v>
      </c>
      <c r="F54" s="895" t="s">
        <v>3427</v>
      </c>
      <c r="G54" s="895" t="s">
        <v>3427</v>
      </c>
      <c r="H54" s="895" t="s">
        <v>3427</v>
      </c>
      <c r="I54" s="895" t="s">
        <v>3427</v>
      </c>
      <c r="J54" s="895" t="s">
        <v>3427</v>
      </c>
      <c r="K54" s="895" t="s">
        <v>3427</v>
      </c>
      <c r="L54" s="895" t="s">
        <v>3427</v>
      </c>
      <c r="M54" s="895" t="s">
        <v>3427</v>
      </c>
      <c r="N54" s="895" t="s">
        <v>50</v>
      </c>
      <c r="O54" s="895" t="s">
        <v>50</v>
      </c>
      <c r="P54" s="895" t="s">
        <v>50</v>
      </c>
      <c r="Q54" s="895" t="s">
        <v>50</v>
      </c>
      <c r="R54" s="895" t="s">
        <v>3427</v>
      </c>
      <c r="S54" s="895" t="s">
        <v>3427</v>
      </c>
      <c r="T54" s="895" t="s">
        <v>3427</v>
      </c>
      <c r="U54" s="895" t="s">
        <v>3427</v>
      </c>
    </row>
    <row r="55" spans="2:21" ht="20.100000000000001" customHeight="1" x14ac:dyDescent="0.2">
      <c r="B55" s="508">
        <v>37</v>
      </c>
      <c r="C55" s="934" t="s">
        <v>3484</v>
      </c>
      <c r="D55" s="895" t="s">
        <v>50</v>
      </c>
      <c r="E55" s="895" t="s">
        <v>50</v>
      </c>
      <c r="F55" s="895" t="s">
        <v>50</v>
      </c>
      <c r="G55" s="895" t="s">
        <v>50</v>
      </c>
      <c r="H55" s="895" t="s">
        <v>50</v>
      </c>
      <c r="I55" s="895" t="s">
        <v>50</v>
      </c>
      <c r="J55" s="895" t="s">
        <v>50</v>
      </c>
      <c r="K55" s="895" t="s">
        <v>50</v>
      </c>
      <c r="L55" s="895" t="s">
        <v>50</v>
      </c>
      <c r="M55" s="895" t="s">
        <v>50</v>
      </c>
      <c r="N55" s="895" t="s">
        <v>50</v>
      </c>
      <c r="O55" s="895" t="s">
        <v>50</v>
      </c>
      <c r="P55" s="895" t="s">
        <v>50</v>
      </c>
      <c r="Q55" s="895" t="s">
        <v>50</v>
      </c>
      <c r="R55" s="895" t="s">
        <v>50</v>
      </c>
      <c r="S55" s="895" t="s">
        <v>50</v>
      </c>
      <c r="T55" s="895" t="s">
        <v>50</v>
      </c>
      <c r="U55" s="895" t="s">
        <v>50</v>
      </c>
    </row>
    <row r="56" spans="2:21" ht="24.95" customHeight="1" x14ac:dyDescent="0.2">
      <c r="B56" s="512" t="s">
        <v>3485</v>
      </c>
      <c r="C56" s="514" t="s">
        <v>3486</v>
      </c>
      <c r="D56" s="907" t="s">
        <v>3487</v>
      </c>
      <c r="E56" s="907" t="s">
        <v>3487</v>
      </c>
      <c r="F56" s="907" t="s">
        <v>3487</v>
      </c>
      <c r="G56" s="907" t="s">
        <v>3487</v>
      </c>
      <c r="H56" s="907" t="s">
        <v>3487</v>
      </c>
      <c r="I56" s="907" t="s">
        <v>3487</v>
      </c>
      <c r="J56" s="907" t="s">
        <v>3487</v>
      </c>
      <c r="K56" s="907" t="s">
        <v>3487</v>
      </c>
      <c r="L56" s="907" t="s">
        <v>3487</v>
      </c>
      <c r="M56" s="907" t="s">
        <v>3487</v>
      </c>
      <c r="N56" s="907" t="s">
        <v>3487</v>
      </c>
      <c r="O56" s="907" t="s">
        <v>3487</v>
      </c>
      <c r="P56" s="907" t="s">
        <v>3487</v>
      </c>
      <c r="Q56" s="907" t="s">
        <v>3487</v>
      </c>
      <c r="R56" s="907" t="s">
        <v>3487</v>
      </c>
      <c r="S56" s="907" t="s">
        <v>3487</v>
      </c>
      <c r="T56" s="907" t="s">
        <v>3487</v>
      </c>
      <c r="U56" s="907" t="s">
        <v>3487</v>
      </c>
    </row>
    <row r="57" spans="2:21" ht="22.5" customHeight="1" x14ac:dyDescent="0.2"/>
  </sheetData>
  <sheetProtection algorithmName="SHA-512" hashValue="rxa6cawlya5wXgd8wZcOy/ufKGzSIYB+99GrZ68rul/5KkEtPhWcsAVIhZcfns6fhpLdmPaJugzjELOLtb9jeg==" saltValue="goc+lbSLWYQ80TG3Rh4NtQ==" spinCount="100000" sheet="1" objects="1" scenarios="1"/>
  <mergeCells count="2">
    <mergeCell ref="B28:B29"/>
    <mergeCell ref="C28:C29"/>
  </mergeCells>
  <hyperlinks>
    <hyperlink ref="D56" r:id="rId1" xr:uid="{14792AF7-BAE6-4197-AA39-5BB65598C582}"/>
    <hyperlink ref="E56:T56" r:id="rId2" display="https://nordictrustee.com/" xr:uid="{D7CF10C5-715B-457E-ACD7-7E192EDDDD9A}"/>
    <hyperlink ref="B2" location="Contents!A1" display="Back to Contents page" xr:uid="{F88A7830-F148-41BA-991E-608E8A728845}"/>
    <hyperlink ref="U56" r:id="rId3" xr:uid="{D175927C-62E4-4E52-9B26-A4F0D5905A0C}"/>
    <hyperlink ref="S56" r:id="rId4" xr:uid="{C9A3ECE8-10B9-46E6-BAA6-E69F4916B412}"/>
  </hyperlinks>
  <pageMargins left="0.7" right="0.7" top="0.75" bottom="0.75" header="0.3" footer="0.3"/>
  <pageSetup paperSize="9" scale="11" orientation="portrait" horizontalDpi="144" verticalDpi="144"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E12"/>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254" customWidth="1"/>
    <col min="2" max="2" width="5.109375" style="254" customWidth="1"/>
    <col min="3" max="3" width="52.6640625" style="254" customWidth="1"/>
    <col min="4" max="5" width="12.5546875" style="254" customWidth="1"/>
    <col min="6" max="16384" width="9.21875" style="254"/>
  </cols>
  <sheetData>
    <row r="2" spans="2:5" ht="15" x14ac:dyDescent="0.25">
      <c r="B2" s="940" t="s">
        <v>3521</v>
      </c>
    </row>
    <row r="4" spans="2:5" ht="21" x14ac:dyDescent="0.35">
      <c r="B4" s="369" t="s">
        <v>258</v>
      </c>
    </row>
    <row r="6" spans="2:5" ht="20.100000000000001" customHeight="1" x14ac:dyDescent="0.2">
      <c r="C6" s="343"/>
      <c r="D6" s="489" t="s">
        <v>161</v>
      </c>
      <c r="E6" s="489" t="s">
        <v>162</v>
      </c>
    </row>
    <row r="7" spans="2:5" ht="24.95" customHeight="1" x14ac:dyDescent="0.2">
      <c r="B7" s="865"/>
      <c r="C7" s="866"/>
      <c r="D7" s="867" t="s">
        <v>259</v>
      </c>
      <c r="E7" s="867" t="s">
        <v>260</v>
      </c>
    </row>
    <row r="8" spans="2:5" ht="24.95" customHeight="1" x14ac:dyDescent="0.2">
      <c r="B8" s="489">
        <v>1</v>
      </c>
      <c r="C8" s="503" t="s">
        <v>261</v>
      </c>
      <c r="D8" s="728">
        <f>1347634906/1000000</f>
        <v>1347.634906</v>
      </c>
      <c r="E8" s="728">
        <f>D8*250%</f>
        <v>3369.0872650000001</v>
      </c>
    </row>
    <row r="10" spans="2:5" x14ac:dyDescent="0.2">
      <c r="B10" s="344"/>
    </row>
    <row r="11" spans="2:5" x14ac:dyDescent="0.2">
      <c r="B11" s="344"/>
    </row>
    <row r="12" spans="2:5" x14ac:dyDescent="0.2">
      <c r="B12" s="345"/>
    </row>
  </sheetData>
  <sheetProtection algorithmName="SHA-512" hashValue="POKlrBFUI2F/d6f79AqxUm2xD5Ho4tGmKTerATbb/D7sPvuU0T7Wf0dAAXw1Aoh7njdbKgRYSNOU5N5MOX4oIg==" saltValue="RC3KMhtUP0OG7L7xRTFGaQ==" spinCount="100000" sheet="1" objects="1" scenarios="1"/>
  <hyperlinks>
    <hyperlink ref="B2" location="Contents!A1" display="Back to Contents page" xr:uid="{E6D93DD1-726C-4388-8F1B-F4A5C07513C8}"/>
  </hyperlinks>
  <pageMargins left="0.7" right="0.7" top="0.75" bottom="0.75" header="0.3" footer="0.3"/>
  <pageSetup paperSize="9" scale="58" orientation="portrait" horizontalDpi="144" verticalDpi="144"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C10"/>
  <sheetViews>
    <sheetView workbookViewId="0"/>
  </sheetViews>
  <sheetFormatPr baseColWidth="10" defaultColWidth="9.21875" defaultRowHeight="15" x14ac:dyDescent="0.25"/>
  <cols>
    <col min="1" max="1" width="6.33203125" customWidth="1"/>
    <col min="2" max="2" width="74.33203125" customWidth="1"/>
    <col min="3" max="3" width="28.6640625" customWidth="1"/>
  </cols>
  <sheetData>
    <row r="3" spans="1:3" ht="18" customHeight="1" x14ac:dyDescent="0.25">
      <c r="A3" s="973" t="s">
        <v>263</v>
      </c>
      <c r="B3" s="973"/>
      <c r="C3" s="973"/>
    </row>
    <row r="4" spans="1:3" x14ac:dyDescent="0.25">
      <c r="A4" s="973"/>
      <c r="B4" s="973"/>
      <c r="C4" s="973"/>
    </row>
    <row r="7" spans="1:3" x14ac:dyDescent="0.25">
      <c r="C7" s="36" t="s">
        <v>161</v>
      </c>
    </row>
    <row r="8" spans="1:3" x14ac:dyDescent="0.25">
      <c r="A8" s="47"/>
      <c r="B8" s="204"/>
      <c r="C8" s="36" t="s">
        <v>164</v>
      </c>
    </row>
    <row r="9" spans="1:3" ht="15.75" customHeight="1" x14ac:dyDescent="0.25">
      <c r="A9" s="36">
        <v>1</v>
      </c>
      <c r="B9" s="48" t="s">
        <v>264</v>
      </c>
      <c r="C9" s="190" t="s">
        <v>262</v>
      </c>
    </row>
    <row r="10" spans="1:3" x14ac:dyDescent="0.25">
      <c r="A10" s="36">
        <v>2</v>
      </c>
      <c r="B10" s="48" t="s">
        <v>265</v>
      </c>
      <c r="C10" s="190" t="s">
        <v>262</v>
      </c>
    </row>
  </sheetData>
  <mergeCells count="1">
    <mergeCell ref="A3:C4"/>
  </mergeCells>
  <pageMargins left="0.7" right="0.7" top="0.75" bottom="0.75" header="0.3" footer="0.3"/>
  <pageSetup paperSize="9" orientation="landscape" verticalDpi="90" r:id="rId1"/>
  <headerFooter>
    <oddHeader>&amp;CEN
Annex 1</oddHead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H52"/>
  <sheetViews>
    <sheetView showGridLines="0" showRowColHeaders="0" zoomScale="80" zoomScaleNormal="80" workbookViewId="0">
      <selection activeCell="D24" sqref="D24"/>
    </sheetView>
  </sheetViews>
  <sheetFormatPr baseColWidth="10" defaultColWidth="9.21875" defaultRowHeight="12.75" x14ac:dyDescent="0.2"/>
  <cols>
    <col min="1" max="1" width="3.88671875" style="271" customWidth="1"/>
    <col min="2" max="2" width="6.88671875" style="271" customWidth="1"/>
    <col min="3" max="3" width="54.77734375" style="271" customWidth="1"/>
    <col min="4" max="8" width="9.33203125" style="271" customWidth="1"/>
    <col min="9" max="16384" width="9.21875" style="271"/>
  </cols>
  <sheetData>
    <row r="2" spans="2:8" ht="15" x14ac:dyDescent="0.25">
      <c r="B2" s="940" t="s">
        <v>3521</v>
      </c>
    </row>
    <row r="4" spans="2:8" ht="21" x14ac:dyDescent="0.35">
      <c r="B4" s="369" t="s">
        <v>199</v>
      </c>
    </row>
    <row r="6" spans="2:8" ht="20.100000000000001" customHeight="1" x14ac:dyDescent="0.2">
      <c r="B6" s="342"/>
      <c r="C6" s="272"/>
      <c r="D6" s="411" t="s">
        <v>161</v>
      </c>
      <c r="E6" s="411" t="s">
        <v>162</v>
      </c>
      <c r="F6" s="411" t="s">
        <v>163</v>
      </c>
      <c r="G6" s="411" t="s">
        <v>200</v>
      </c>
      <c r="H6" s="411" t="s">
        <v>201</v>
      </c>
    </row>
    <row r="7" spans="2:8" ht="20.100000000000001" customHeight="1" x14ac:dyDescent="0.2">
      <c r="B7" s="342"/>
      <c r="C7" s="342"/>
      <c r="D7" s="908">
        <v>44926</v>
      </c>
      <c r="E7" s="908" t="s">
        <v>3633</v>
      </c>
      <c r="F7" s="908">
        <v>44742</v>
      </c>
      <c r="G7" s="908">
        <v>44651</v>
      </c>
      <c r="H7" s="908">
        <v>44560</v>
      </c>
    </row>
    <row r="8" spans="2:8" s="455" customFormat="1" ht="20.100000000000001" customHeight="1" x14ac:dyDescent="0.2">
      <c r="B8" s="454"/>
      <c r="C8" s="974" t="s">
        <v>202</v>
      </c>
      <c r="D8" s="974"/>
      <c r="E8" s="974"/>
      <c r="F8" s="974"/>
      <c r="G8" s="974"/>
      <c r="H8" s="974"/>
    </row>
    <row r="9" spans="2:8" ht="20.100000000000001" customHeight="1" x14ac:dyDescent="0.2">
      <c r="B9" s="411">
        <v>1</v>
      </c>
      <c r="C9" s="463" t="s">
        <v>203</v>
      </c>
      <c r="D9" s="403">
        <f>12350381946/1000000</f>
        <v>12350.381946</v>
      </c>
      <c r="E9" s="403">
        <f>13182471906/1000000</f>
        <v>13182.471906000001</v>
      </c>
      <c r="F9" s="403">
        <f>13753290076/1000000</f>
        <v>13753.290075999999</v>
      </c>
      <c r="G9" s="403">
        <f>13464053444/1000000</f>
        <v>13464.053443999999</v>
      </c>
      <c r="H9" s="403">
        <f>13096902132/1000000</f>
        <v>13096.902131999999</v>
      </c>
    </row>
    <row r="10" spans="2:8" ht="20.100000000000001" customHeight="1" x14ac:dyDescent="0.2">
      <c r="B10" s="411">
        <v>2</v>
      </c>
      <c r="C10" s="463" t="s">
        <v>204</v>
      </c>
      <c r="D10" s="403">
        <f>13081585693/1000000</f>
        <v>13081.585693000001</v>
      </c>
      <c r="E10" s="453">
        <v>14098.605089999999</v>
      </c>
      <c r="F10" s="403">
        <f>14669314620/1000000</f>
        <v>14669.314619999999</v>
      </c>
      <c r="G10" s="403">
        <f>14618128389/1000000</f>
        <v>14618.128389</v>
      </c>
      <c r="H10" s="403">
        <f>14000763412/1000000</f>
        <v>14000.763412</v>
      </c>
    </row>
    <row r="11" spans="2:8" ht="20.100000000000001" customHeight="1" x14ac:dyDescent="0.2">
      <c r="B11" s="411">
        <v>3</v>
      </c>
      <c r="C11" s="463" t="s">
        <v>205</v>
      </c>
      <c r="D11" s="403">
        <f>14230082768/1000000</f>
        <v>14230.082768</v>
      </c>
      <c r="E11" s="453">
        <v>15270.739291</v>
      </c>
      <c r="F11" s="403">
        <f>15789954339/1000000</f>
        <v>15789.954339</v>
      </c>
      <c r="G11" s="403">
        <f>15724494484/1000000</f>
        <v>15724.494484000001</v>
      </c>
      <c r="H11" s="403">
        <f>15109356727/1000000</f>
        <v>15109.356727</v>
      </c>
    </row>
    <row r="12" spans="2:8" s="455" customFormat="1" ht="20.100000000000001" customHeight="1" x14ac:dyDescent="0.2">
      <c r="B12" s="454"/>
      <c r="C12" s="975" t="s">
        <v>206</v>
      </c>
      <c r="D12" s="975"/>
      <c r="E12" s="975"/>
      <c r="F12" s="975"/>
      <c r="G12" s="975"/>
      <c r="H12" s="975"/>
    </row>
    <row r="13" spans="2:8" ht="20.100000000000001" customHeight="1" x14ac:dyDescent="0.2">
      <c r="B13" s="411">
        <v>4</v>
      </c>
      <c r="C13" s="463" t="s">
        <v>207</v>
      </c>
      <c r="D13" s="403">
        <f>71399318019/1000000</f>
        <v>71399.318018999998</v>
      </c>
      <c r="E13" s="403">
        <v>70035.643148000003</v>
      </c>
      <c r="F13" s="403">
        <f>71081580732/1000000</f>
        <v>71081.580732000002</v>
      </c>
      <c r="G13" s="403">
        <f>71703176009/1000000</f>
        <v>71703.176009000003</v>
      </c>
      <c r="H13" s="403">
        <f>70061875553/1000000</f>
        <v>70061.875553000005</v>
      </c>
    </row>
    <row r="14" spans="2:8" s="455" customFormat="1" ht="20.100000000000001" customHeight="1" x14ac:dyDescent="0.2">
      <c r="B14" s="454"/>
      <c r="C14" s="974" t="s">
        <v>208</v>
      </c>
      <c r="D14" s="974"/>
      <c r="E14" s="974"/>
      <c r="F14" s="974"/>
      <c r="G14" s="974"/>
      <c r="H14" s="974"/>
    </row>
    <row r="15" spans="2:8" ht="20.100000000000001" customHeight="1" x14ac:dyDescent="0.2">
      <c r="B15" s="411">
        <v>5</v>
      </c>
      <c r="C15" s="456" t="s">
        <v>2974</v>
      </c>
      <c r="D15" s="464">
        <v>0.17297618925034344</v>
      </c>
      <c r="E15" s="464">
        <v>0.18822518525520887</v>
      </c>
      <c r="F15" s="464">
        <v>0.19350000000000001</v>
      </c>
      <c r="G15" s="464">
        <v>0.18779999999999999</v>
      </c>
      <c r="H15" s="464">
        <v>0.18690000000000001</v>
      </c>
    </row>
    <row r="16" spans="2:8" ht="20.100000000000001" customHeight="1" x14ac:dyDescent="0.2">
      <c r="B16" s="411">
        <v>6</v>
      </c>
      <c r="C16" s="456" t="s">
        <v>209</v>
      </c>
      <c r="D16" s="464">
        <v>0.18321723590579497</v>
      </c>
      <c r="E16" s="464">
        <v>0.20130614150578571</v>
      </c>
      <c r="F16" s="464">
        <v>0.2064</v>
      </c>
      <c r="G16" s="464">
        <v>0.2039</v>
      </c>
      <c r="H16" s="464">
        <v>0.19980000000000001</v>
      </c>
    </row>
    <row r="17" spans="2:8" ht="20.100000000000001" customHeight="1" x14ac:dyDescent="0.2">
      <c r="B17" s="411">
        <v>7</v>
      </c>
      <c r="C17" s="456" t="s">
        <v>210</v>
      </c>
      <c r="D17" s="464">
        <v>0.19930278275505722</v>
      </c>
      <c r="E17" s="464">
        <v>0.21804239390976571</v>
      </c>
      <c r="F17" s="464">
        <v>0.22209999999999999</v>
      </c>
      <c r="G17" s="464">
        <v>0.21929999999999999</v>
      </c>
      <c r="H17" s="464">
        <v>0.2157</v>
      </c>
    </row>
    <row r="18" spans="2:8" s="455" customFormat="1" ht="20.100000000000001" customHeight="1" x14ac:dyDescent="0.2">
      <c r="B18" s="454"/>
      <c r="C18" s="974" t="s">
        <v>211</v>
      </c>
      <c r="D18" s="974"/>
      <c r="E18" s="974"/>
      <c r="F18" s="974"/>
      <c r="G18" s="974"/>
      <c r="H18" s="974"/>
    </row>
    <row r="19" spans="2:8" ht="24.95" customHeight="1" x14ac:dyDescent="0.2">
      <c r="B19" s="452" t="s">
        <v>212</v>
      </c>
      <c r="C19" s="457" t="s">
        <v>213</v>
      </c>
      <c r="D19" s="464">
        <v>1.4999999999999999E-2</v>
      </c>
      <c r="E19" s="464">
        <v>1.4999999999999999E-2</v>
      </c>
      <c r="F19" s="464">
        <v>1.4999999999999999E-2</v>
      </c>
      <c r="G19" s="464">
        <v>1.4999999999999999E-2</v>
      </c>
      <c r="H19" s="464">
        <v>1.4999999999999999E-2</v>
      </c>
    </row>
    <row r="20" spans="2:8" ht="20.100000000000001" customHeight="1" x14ac:dyDescent="0.2">
      <c r="B20" s="452" t="s">
        <v>214</v>
      </c>
      <c r="C20" s="458" t="s">
        <v>215</v>
      </c>
      <c r="D20" s="465">
        <v>1.4999999999999999E-2</v>
      </c>
      <c r="E20" s="465">
        <v>1.4999999999999999E-2</v>
      </c>
      <c r="F20" s="465">
        <v>1.4999999999999999E-2</v>
      </c>
      <c r="G20" s="465">
        <v>1.4999999999999999E-2</v>
      </c>
      <c r="H20" s="465">
        <v>1.4999999999999999E-2</v>
      </c>
    </row>
    <row r="21" spans="2:8" ht="20.100000000000001" customHeight="1" x14ac:dyDescent="0.2">
      <c r="B21" s="452" t="s">
        <v>216</v>
      </c>
      <c r="C21" s="459" t="s">
        <v>217</v>
      </c>
      <c r="D21" s="465">
        <v>1.4999999999999999E-2</v>
      </c>
      <c r="E21" s="465">
        <v>1.4999999999999999E-2</v>
      </c>
      <c r="F21" s="465">
        <v>1.4999999999999999E-2</v>
      </c>
      <c r="G21" s="465">
        <v>1.4999999999999999E-2</v>
      </c>
      <c r="H21" s="465">
        <v>1.4999999999999999E-2</v>
      </c>
    </row>
    <row r="22" spans="2:8" ht="20.100000000000001" customHeight="1" x14ac:dyDescent="0.2">
      <c r="B22" s="411" t="s">
        <v>218</v>
      </c>
      <c r="C22" s="456" t="s">
        <v>219</v>
      </c>
      <c r="D22" s="464">
        <v>9.5000000000000001E-2</v>
      </c>
      <c r="E22" s="464">
        <v>9.5000000000000001E-2</v>
      </c>
      <c r="F22" s="464">
        <v>9.5000000000000001E-2</v>
      </c>
      <c r="G22" s="464">
        <v>9.5000000000000001E-2</v>
      </c>
      <c r="H22" s="464">
        <v>9.5000000000000001E-2</v>
      </c>
    </row>
    <row r="23" spans="2:8" s="455" customFormat="1" ht="20.100000000000001" customHeight="1" x14ac:dyDescent="0.2">
      <c r="B23" s="454"/>
      <c r="C23" s="974" t="s">
        <v>220</v>
      </c>
      <c r="D23" s="974"/>
      <c r="E23" s="974"/>
      <c r="F23" s="974"/>
      <c r="G23" s="974"/>
      <c r="H23" s="974"/>
    </row>
    <row r="24" spans="2:8" ht="20.100000000000001" customHeight="1" x14ac:dyDescent="0.2">
      <c r="B24" s="411">
        <v>8</v>
      </c>
      <c r="C24" s="456" t="s">
        <v>221</v>
      </c>
      <c r="D24" s="464">
        <v>2.5000000000000001E-2</v>
      </c>
      <c r="E24" s="464">
        <v>2.5000000000000001E-2</v>
      </c>
      <c r="F24" s="464">
        <v>2.5000000000000001E-2</v>
      </c>
      <c r="G24" s="464">
        <v>2.5000000000000001E-2</v>
      </c>
      <c r="H24" s="464">
        <v>2.5000000000000001E-2</v>
      </c>
    </row>
    <row r="25" spans="2:8" ht="24.95" customHeight="1" x14ac:dyDescent="0.2">
      <c r="B25" s="411" t="s">
        <v>176</v>
      </c>
      <c r="C25" s="456" t="s">
        <v>222</v>
      </c>
      <c r="D25" s="464">
        <v>0</v>
      </c>
      <c r="E25" s="464">
        <v>0</v>
      </c>
      <c r="F25" s="464">
        <v>0</v>
      </c>
      <c r="G25" s="464">
        <v>0</v>
      </c>
      <c r="H25" s="464">
        <v>0</v>
      </c>
    </row>
    <row r="26" spans="2:8" ht="20.100000000000001" customHeight="1" x14ac:dyDescent="0.2">
      <c r="B26" s="411">
        <v>9</v>
      </c>
      <c r="C26" s="456" t="s">
        <v>223</v>
      </c>
      <c r="D26" s="464">
        <v>0.02</v>
      </c>
      <c r="E26" s="464">
        <v>1.4999999999999999E-2</v>
      </c>
      <c r="F26" s="464">
        <v>1.4999999999999999E-2</v>
      </c>
      <c r="G26" s="464">
        <v>9.9999999931608009E-3</v>
      </c>
      <c r="H26" s="464">
        <v>9.9999999931608009E-3</v>
      </c>
    </row>
    <row r="27" spans="2:8" ht="20.100000000000001" customHeight="1" x14ac:dyDescent="0.2">
      <c r="B27" s="411" t="s">
        <v>224</v>
      </c>
      <c r="C27" s="456" t="s">
        <v>225</v>
      </c>
      <c r="D27" s="464">
        <v>4.4499999999999998E-2</v>
      </c>
      <c r="E27" s="464">
        <v>4.4499999999999998E-2</v>
      </c>
      <c r="F27" s="464">
        <v>4.4499999999999998E-2</v>
      </c>
      <c r="G27" s="464">
        <v>4.4299999999999999E-2</v>
      </c>
      <c r="H27" s="464">
        <v>4.4200000000000003E-2</v>
      </c>
    </row>
    <row r="28" spans="2:8" ht="20.100000000000001" customHeight="1" x14ac:dyDescent="0.2">
      <c r="B28" s="411">
        <v>10</v>
      </c>
      <c r="C28" s="456" t="s">
        <v>226</v>
      </c>
      <c r="D28" s="464">
        <v>0</v>
      </c>
      <c r="E28" s="464">
        <v>0</v>
      </c>
      <c r="F28" s="464">
        <v>0</v>
      </c>
      <c r="G28" s="464">
        <v>0</v>
      </c>
      <c r="H28" s="464">
        <v>0</v>
      </c>
    </row>
    <row r="29" spans="2:8" ht="20.100000000000001" customHeight="1" x14ac:dyDescent="0.2">
      <c r="B29" s="411" t="s">
        <v>227</v>
      </c>
      <c r="C29" s="456" t="s">
        <v>228</v>
      </c>
      <c r="D29" s="464">
        <v>0</v>
      </c>
      <c r="E29" s="464">
        <v>0</v>
      </c>
      <c r="F29" s="464">
        <v>0</v>
      </c>
      <c r="G29" s="464">
        <v>0</v>
      </c>
      <c r="H29" s="464">
        <v>0</v>
      </c>
    </row>
    <row r="30" spans="2:8" ht="20.100000000000001" customHeight="1" x14ac:dyDescent="0.2">
      <c r="B30" s="411">
        <v>11</v>
      </c>
      <c r="C30" s="456" t="s">
        <v>229</v>
      </c>
      <c r="D30" s="466">
        <v>8.9499999999999996E-2</v>
      </c>
      <c r="E30" s="464">
        <v>8.4500000000000006E-2</v>
      </c>
      <c r="F30" s="464">
        <v>8.4500000000000006E-2</v>
      </c>
      <c r="G30" s="464">
        <v>7.9299999999999995E-2</v>
      </c>
      <c r="H30" s="464">
        <v>7.9200000000000007E-2</v>
      </c>
    </row>
    <row r="31" spans="2:8" ht="20.100000000000001" customHeight="1" x14ac:dyDescent="0.2">
      <c r="B31" s="411" t="s">
        <v>230</v>
      </c>
      <c r="C31" s="456" t="s">
        <v>231</v>
      </c>
      <c r="D31" s="464">
        <v>0.1845</v>
      </c>
      <c r="E31" s="464">
        <v>0.17949999999999999</v>
      </c>
      <c r="F31" s="464">
        <v>0.17949999999999999</v>
      </c>
      <c r="G31" s="464">
        <v>0.17430000000000001</v>
      </c>
      <c r="H31" s="464">
        <v>0.17419999999999999</v>
      </c>
    </row>
    <row r="32" spans="2:8" ht="20.100000000000001" customHeight="1" x14ac:dyDescent="0.2">
      <c r="B32" s="411">
        <v>12</v>
      </c>
      <c r="C32" s="456" t="s">
        <v>232</v>
      </c>
      <c r="D32" s="464">
        <v>0.12797618924831261</v>
      </c>
      <c r="E32" s="464">
        <v>0.14322518525520889</v>
      </c>
      <c r="F32" s="466">
        <v>0.16139999999999999</v>
      </c>
      <c r="G32" s="466">
        <v>0.15890000000000001</v>
      </c>
      <c r="H32" s="466">
        <v>0.15129999999999999</v>
      </c>
    </row>
    <row r="33" spans="2:8" s="455" customFormat="1" ht="20.100000000000001" customHeight="1" x14ac:dyDescent="0.2">
      <c r="B33" s="454"/>
      <c r="C33" s="974" t="s">
        <v>233</v>
      </c>
      <c r="D33" s="974"/>
      <c r="E33" s="974"/>
      <c r="F33" s="974"/>
      <c r="G33" s="974"/>
      <c r="H33" s="974"/>
    </row>
    <row r="34" spans="2:8" ht="20.100000000000001" customHeight="1" x14ac:dyDescent="0.2">
      <c r="B34" s="411">
        <v>13</v>
      </c>
      <c r="C34" s="456" t="s">
        <v>234</v>
      </c>
      <c r="D34" s="467">
        <f>176983083032/1000000</f>
        <v>176983.083032</v>
      </c>
      <c r="E34" s="468">
        <f>176330876412/1000000</f>
        <v>176330.87641200001</v>
      </c>
      <c r="F34" s="467">
        <f>181181521385.798/1000000</f>
        <v>181181.521385798</v>
      </c>
      <c r="G34" s="467">
        <f>172277955348/1000000</f>
        <v>172277.95534799999</v>
      </c>
      <c r="H34" s="467">
        <f>169050397874/1000000</f>
        <v>169050.39787399999</v>
      </c>
    </row>
    <row r="35" spans="2:8" ht="20.100000000000001" customHeight="1" x14ac:dyDescent="0.2">
      <c r="B35" s="411">
        <v>14</v>
      </c>
      <c r="C35" s="456" t="s">
        <v>235</v>
      </c>
      <c r="D35" s="464">
        <v>7.3910723990692692E-2</v>
      </c>
      <c r="E35" s="469">
        <v>0.08</v>
      </c>
      <c r="F35" s="464">
        <v>8.0964739163572011E-2</v>
      </c>
      <c r="G35" s="464">
        <v>8.4900000000000003E-2</v>
      </c>
      <c r="H35" s="464">
        <v>8.2799999999999999E-2</v>
      </c>
    </row>
    <row r="36" spans="2:8" s="455" customFormat="1" ht="20.100000000000001" customHeight="1" x14ac:dyDescent="0.2">
      <c r="B36" s="454"/>
      <c r="C36" s="974" t="s">
        <v>236</v>
      </c>
      <c r="D36" s="974"/>
      <c r="E36" s="974"/>
      <c r="F36" s="974"/>
      <c r="G36" s="974"/>
      <c r="H36" s="974"/>
    </row>
    <row r="37" spans="2:8" ht="20.100000000000001" customHeight="1" x14ac:dyDescent="0.2">
      <c r="B37" s="452" t="s">
        <v>237</v>
      </c>
      <c r="C37" s="457" t="s">
        <v>238</v>
      </c>
      <c r="D37" s="411"/>
      <c r="E37" s="411"/>
      <c r="F37" s="411"/>
      <c r="G37" s="411"/>
      <c r="H37" s="411"/>
    </row>
    <row r="38" spans="2:8" ht="20.100000000000001" customHeight="1" x14ac:dyDescent="0.2">
      <c r="B38" s="452" t="s">
        <v>239</v>
      </c>
      <c r="C38" s="459" t="s">
        <v>215</v>
      </c>
      <c r="D38" s="461"/>
      <c r="E38" s="461"/>
      <c r="F38" s="461"/>
      <c r="G38" s="462"/>
      <c r="H38" s="462"/>
    </row>
    <row r="39" spans="2:8" ht="20.100000000000001" customHeight="1" x14ac:dyDescent="0.2">
      <c r="B39" s="452" t="s">
        <v>240</v>
      </c>
      <c r="C39" s="457" t="s">
        <v>241</v>
      </c>
      <c r="D39" s="411"/>
      <c r="E39" s="411"/>
      <c r="F39" s="411"/>
      <c r="G39" s="411"/>
      <c r="H39" s="411"/>
    </row>
    <row r="40" spans="2:8" s="455" customFormat="1" ht="20.100000000000001" customHeight="1" x14ac:dyDescent="0.2">
      <c r="B40" s="454"/>
      <c r="C40" s="963" t="s">
        <v>242</v>
      </c>
      <c r="D40" s="963"/>
      <c r="E40" s="963"/>
      <c r="F40" s="963"/>
      <c r="G40" s="963"/>
      <c r="H40" s="963"/>
    </row>
    <row r="41" spans="2:8" ht="20.100000000000001" customHeight="1" x14ac:dyDescent="0.2">
      <c r="B41" s="452" t="s">
        <v>243</v>
      </c>
      <c r="C41" s="457" t="s">
        <v>244</v>
      </c>
      <c r="D41" s="451"/>
      <c r="E41" s="451"/>
      <c r="F41" s="451"/>
      <c r="G41" s="470">
        <v>0.02</v>
      </c>
      <c r="H41" s="470">
        <v>0.02</v>
      </c>
    </row>
    <row r="42" spans="2:8" ht="20.100000000000001" customHeight="1" x14ac:dyDescent="0.2">
      <c r="B42" s="452" t="s">
        <v>245</v>
      </c>
      <c r="C42" s="456" t="s">
        <v>246</v>
      </c>
      <c r="D42" s="470">
        <v>0.03</v>
      </c>
      <c r="E42" s="470">
        <v>0.03</v>
      </c>
      <c r="F42" s="470">
        <v>0.03</v>
      </c>
      <c r="G42" s="470">
        <v>0.03</v>
      </c>
      <c r="H42" s="470">
        <v>0.03</v>
      </c>
    </row>
    <row r="43" spans="2:8" s="455" customFormat="1" ht="20.100000000000001" customHeight="1" x14ac:dyDescent="0.2">
      <c r="B43" s="454"/>
      <c r="C43" s="974" t="s">
        <v>247</v>
      </c>
      <c r="D43" s="974"/>
      <c r="E43" s="974"/>
      <c r="F43" s="974"/>
      <c r="G43" s="974"/>
      <c r="H43" s="974"/>
    </row>
    <row r="44" spans="2:8" ht="20.100000000000001" customHeight="1" x14ac:dyDescent="0.2">
      <c r="B44" s="411">
        <v>15</v>
      </c>
      <c r="C44" s="456" t="s">
        <v>248</v>
      </c>
      <c r="D44" s="523">
        <v>16782.714326003043</v>
      </c>
      <c r="E44" s="523">
        <v>16152.082216002495</v>
      </c>
      <c r="F44" s="523">
        <v>20123.980584429897</v>
      </c>
      <c r="G44" s="523">
        <v>18031.087068170898</v>
      </c>
      <c r="H44" s="523">
        <v>17719.228433618202</v>
      </c>
    </row>
    <row r="45" spans="2:8" ht="20.100000000000001" customHeight="1" x14ac:dyDescent="0.2">
      <c r="B45" s="411" t="s">
        <v>249</v>
      </c>
      <c r="C45" s="456" t="s">
        <v>250</v>
      </c>
      <c r="D45" s="523">
        <v>13179.604884494147</v>
      </c>
      <c r="E45" s="523">
        <v>13544.994146678004</v>
      </c>
      <c r="F45" s="523">
        <v>14120.4908446762</v>
      </c>
      <c r="G45" s="523">
        <v>14741.455670606616</v>
      </c>
      <c r="H45" s="523">
        <v>13042.654080299068</v>
      </c>
    </row>
    <row r="46" spans="2:8" ht="20.100000000000001" customHeight="1" x14ac:dyDescent="0.2">
      <c r="B46" s="411" t="s">
        <v>251</v>
      </c>
      <c r="C46" s="456" t="s">
        <v>252</v>
      </c>
      <c r="D46" s="523">
        <v>1690.9207046867004</v>
      </c>
      <c r="E46" s="523">
        <v>1357.2087170750399</v>
      </c>
      <c r="F46" s="523">
        <v>815.78349396318015</v>
      </c>
      <c r="G46" s="523">
        <v>1430.8698333585701</v>
      </c>
      <c r="H46" s="523">
        <v>558.86463369380988</v>
      </c>
    </row>
    <row r="47" spans="2:8" ht="20.100000000000001" customHeight="1" x14ac:dyDescent="0.2">
      <c r="B47" s="411">
        <v>16</v>
      </c>
      <c r="C47" s="456" t="s">
        <v>253</v>
      </c>
      <c r="D47" s="523">
        <v>11488.684179807446</v>
      </c>
      <c r="E47" s="523">
        <v>12187.785429602962</v>
      </c>
      <c r="F47" s="523">
        <v>13304.707350713019</v>
      </c>
      <c r="G47" s="523">
        <v>13310.585837248045</v>
      </c>
      <c r="H47" s="523">
        <v>12483.789446605257</v>
      </c>
    </row>
    <row r="48" spans="2:8" ht="20.100000000000001" customHeight="1" x14ac:dyDescent="0.2">
      <c r="B48" s="411">
        <v>17</v>
      </c>
      <c r="C48" s="456" t="s">
        <v>254</v>
      </c>
      <c r="D48" s="470">
        <v>1.4608038712997617</v>
      </c>
      <c r="E48" s="470">
        <v>1.3252680160228809</v>
      </c>
      <c r="F48" s="470">
        <v>1.5125459022855865</v>
      </c>
      <c r="G48" s="470">
        <v>1.3546426347150784</v>
      </c>
      <c r="H48" s="470">
        <v>1.4193789881995029</v>
      </c>
    </row>
    <row r="49" spans="2:8" s="455" customFormat="1" ht="20.100000000000001" customHeight="1" x14ac:dyDescent="0.2">
      <c r="B49" s="454"/>
      <c r="C49" s="974" t="s">
        <v>24</v>
      </c>
      <c r="D49" s="974"/>
      <c r="E49" s="974"/>
      <c r="F49" s="974"/>
      <c r="G49" s="974"/>
      <c r="H49" s="974"/>
    </row>
    <row r="50" spans="2:8" ht="20.100000000000001" customHeight="1" x14ac:dyDescent="0.2">
      <c r="B50" s="411">
        <v>18</v>
      </c>
      <c r="C50" s="456" t="s">
        <v>255</v>
      </c>
      <c r="D50" s="523">
        <v>96311.399845529537</v>
      </c>
      <c r="E50" s="523">
        <v>93387.866150698421</v>
      </c>
      <c r="F50" s="523">
        <v>97056.673495375275</v>
      </c>
      <c r="G50" s="523">
        <v>92778.240633310357</v>
      </c>
      <c r="H50" s="523">
        <v>92272.662955004635</v>
      </c>
    </row>
    <row r="51" spans="2:8" ht="20.100000000000001" customHeight="1" x14ac:dyDescent="0.2">
      <c r="B51" s="411">
        <v>19</v>
      </c>
      <c r="C51" s="456" t="s">
        <v>256</v>
      </c>
      <c r="D51" s="523">
        <v>79956.038919766608</v>
      </c>
      <c r="E51" s="523">
        <v>80065.693129951411</v>
      </c>
      <c r="F51" s="523">
        <v>79358.716171291089</v>
      </c>
      <c r="G51" s="523">
        <v>79619.278460164525</v>
      </c>
      <c r="H51" s="523">
        <v>78388.010054639541</v>
      </c>
    </row>
    <row r="52" spans="2:8" ht="20.100000000000001" customHeight="1" x14ac:dyDescent="0.2">
      <c r="B52" s="411">
        <v>20</v>
      </c>
      <c r="C52" s="456" t="s">
        <v>257</v>
      </c>
      <c r="D52" s="470">
        <v>1.2045544169862521</v>
      </c>
      <c r="E52" s="470">
        <v>1.1663905288264267</v>
      </c>
      <c r="F52" s="470">
        <v>1.2230121425589118</v>
      </c>
      <c r="G52" s="470">
        <v>1.1653</v>
      </c>
      <c r="H52" s="470">
        <v>1.1771</v>
      </c>
    </row>
  </sheetData>
  <sheetProtection algorithmName="SHA-512" hashValue="0Q/8kG3QLQQm0s+3tILl9XF1I9gg76YI32E8ZKR2u3i2HEe0X4gRmpgQyVGJxR4e6Stv7fcY0ry8Wc4MWBpWAw==" saltValue="h8ydEnz4NcUJIglKpSamwA==" spinCount="100000" sheet="1" objects="1" scenarios="1"/>
  <mergeCells count="10">
    <mergeCell ref="C36:H36"/>
    <mergeCell ref="C43:H43"/>
    <mergeCell ref="C49:H49"/>
    <mergeCell ref="C8:H8"/>
    <mergeCell ref="C12:H12"/>
    <mergeCell ref="C14:H14"/>
    <mergeCell ref="C18:H18"/>
    <mergeCell ref="C23:H23"/>
    <mergeCell ref="C33:H33"/>
    <mergeCell ref="C40:H40"/>
  </mergeCells>
  <hyperlinks>
    <hyperlink ref="B2" location="Contents!A1" display="Back to Contents page" xr:uid="{B7157E9E-AB49-46EC-BDEE-4E9A2B1628DB}"/>
  </hyperlinks>
  <pageMargins left="0.7" right="0.7" top="0.75" bottom="0.75" header="0.3" footer="0.3"/>
  <pageSetup paperSize="9" scale="33" orientation="portrait" horizontalDpi="144" verticalDpi="14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H47"/>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271" customWidth="1"/>
    <col min="2" max="2" width="7.77734375" style="271" customWidth="1"/>
    <col min="3" max="3" width="43.33203125" style="271" customWidth="1"/>
    <col min="4" max="6" width="11.77734375" style="290" customWidth="1"/>
    <col min="7" max="7" width="9.21875" style="271"/>
    <col min="8" max="8" width="10.33203125" style="271" bestFit="1" customWidth="1"/>
    <col min="9" max="16384" width="9.21875" style="271"/>
  </cols>
  <sheetData>
    <row r="2" spans="2:6" ht="15" x14ac:dyDescent="0.25">
      <c r="B2" s="940" t="s">
        <v>3521</v>
      </c>
    </row>
    <row r="4" spans="2:6" ht="21" x14ac:dyDescent="0.35">
      <c r="B4" s="369" t="s">
        <v>158</v>
      </c>
    </row>
    <row r="6" spans="2:6" ht="24.95" customHeight="1" x14ac:dyDescent="0.2">
      <c r="B6" s="976"/>
      <c r="C6" s="976"/>
      <c r="D6" s="964" t="s">
        <v>159</v>
      </c>
      <c r="E6" s="964"/>
      <c r="F6" s="411" t="s">
        <v>160</v>
      </c>
    </row>
    <row r="7" spans="2:6" ht="20.100000000000001" customHeight="1" x14ac:dyDescent="0.2">
      <c r="B7" s="976"/>
      <c r="C7" s="976"/>
      <c r="D7" s="909">
        <v>44926</v>
      </c>
      <c r="E7" s="909">
        <v>44561</v>
      </c>
      <c r="F7" s="909">
        <v>44561</v>
      </c>
    </row>
    <row r="8" spans="2:6" ht="20.100000000000001" customHeight="1" x14ac:dyDescent="0.2">
      <c r="B8" s="976"/>
      <c r="C8" s="976"/>
      <c r="D8" s="460" t="s">
        <v>164</v>
      </c>
      <c r="E8" s="460" t="s">
        <v>165</v>
      </c>
      <c r="F8" s="460" t="s">
        <v>164</v>
      </c>
    </row>
    <row r="9" spans="2:6" ht="20.100000000000001" customHeight="1" x14ac:dyDescent="0.2">
      <c r="B9" s="421">
        <v>1</v>
      </c>
      <c r="C9" s="398" t="s">
        <v>166</v>
      </c>
      <c r="D9" s="506">
        <f>62866875417/1000000</f>
        <v>62866.875417000003</v>
      </c>
      <c r="E9" s="506">
        <v>60947</v>
      </c>
      <c r="F9" s="506">
        <f>D9*8%</f>
        <v>5029.3500333600005</v>
      </c>
    </row>
    <row r="10" spans="2:6" ht="20.100000000000001" customHeight="1" x14ac:dyDescent="0.2">
      <c r="B10" s="411">
        <v>2</v>
      </c>
      <c r="C10" s="527" t="s">
        <v>167</v>
      </c>
      <c r="D10" s="467">
        <f>21608860202/1000000</f>
        <v>21608.860202</v>
      </c>
      <c r="E10" s="467">
        <v>20735</v>
      </c>
      <c r="F10" s="467">
        <f t="shared" ref="F10:F20" si="0">D10*8%</f>
        <v>1728.70881616</v>
      </c>
    </row>
    <row r="11" spans="2:6" ht="20.100000000000001" customHeight="1" x14ac:dyDescent="0.2">
      <c r="B11" s="411">
        <v>3</v>
      </c>
      <c r="C11" s="527" t="s">
        <v>168</v>
      </c>
      <c r="D11" s="467">
        <f>8042302/1000000</f>
        <v>8.0423019999999994</v>
      </c>
      <c r="E11" s="467">
        <v>22</v>
      </c>
      <c r="F11" s="467">
        <f t="shared" si="0"/>
        <v>0.64338415999999998</v>
      </c>
    </row>
    <row r="12" spans="2:6" ht="20.100000000000001" customHeight="1" x14ac:dyDescent="0.2">
      <c r="B12" s="411">
        <v>4</v>
      </c>
      <c r="C12" s="527" t="s">
        <v>169</v>
      </c>
      <c r="D12" s="467"/>
      <c r="E12" s="467"/>
      <c r="F12" s="467"/>
    </row>
    <row r="13" spans="2:6" ht="20.100000000000001" customHeight="1" x14ac:dyDescent="0.2">
      <c r="B13" s="411" t="s">
        <v>170</v>
      </c>
      <c r="C13" s="527" t="s">
        <v>171</v>
      </c>
      <c r="D13" s="467"/>
      <c r="E13" s="467"/>
      <c r="F13" s="467"/>
    </row>
    <row r="14" spans="2:6" ht="20.100000000000001" customHeight="1" x14ac:dyDescent="0.2">
      <c r="B14" s="411">
        <v>5</v>
      </c>
      <c r="C14" s="527" t="s">
        <v>173</v>
      </c>
      <c r="D14" s="467">
        <f>41249972913/1000000</f>
        <v>41249.972912999998</v>
      </c>
      <c r="E14" s="467">
        <v>40191</v>
      </c>
      <c r="F14" s="467">
        <f t="shared" si="0"/>
        <v>3299.9978330399999</v>
      </c>
    </row>
    <row r="15" spans="2:6" ht="20.100000000000001" customHeight="1" x14ac:dyDescent="0.2">
      <c r="B15" s="421">
        <v>6</v>
      </c>
      <c r="C15" s="398" t="s">
        <v>174</v>
      </c>
      <c r="D15" s="506">
        <f>1398427602/1000000</f>
        <v>1398.427602</v>
      </c>
      <c r="E15" s="506">
        <v>1843</v>
      </c>
      <c r="F15" s="506">
        <f t="shared" si="0"/>
        <v>111.87420815999999</v>
      </c>
    </row>
    <row r="16" spans="2:6" ht="20.100000000000001" customHeight="1" x14ac:dyDescent="0.2">
      <c r="B16" s="411">
        <v>7</v>
      </c>
      <c r="C16" s="527" t="s">
        <v>167</v>
      </c>
      <c r="D16" s="467">
        <f>741724063/1000000</f>
        <v>741.724063</v>
      </c>
      <c r="E16" s="467">
        <f>913718214/1000000</f>
        <v>913.71821399999999</v>
      </c>
      <c r="F16" s="467">
        <f t="shared" si="0"/>
        <v>59.337925040000002</v>
      </c>
    </row>
    <row r="17" spans="2:8" ht="20.100000000000001" customHeight="1" x14ac:dyDescent="0.2">
      <c r="B17" s="411">
        <v>8</v>
      </c>
      <c r="C17" s="527" t="s">
        <v>175</v>
      </c>
      <c r="D17" s="467"/>
      <c r="E17" s="467"/>
      <c r="F17" s="467"/>
      <c r="H17" s="396"/>
    </row>
    <row r="18" spans="2:8" ht="20.100000000000001" customHeight="1" x14ac:dyDescent="0.2">
      <c r="B18" s="411" t="s">
        <v>176</v>
      </c>
      <c r="C18" s="527" t="s">
        <v>177</v>
      </c>
      <c r="D18" s="467"/>
      <c r="E18" s="467"/>
      <c r="F18" s="467">
        <f t="shared" si="0"/>
        <v>0</v>
      </c>
    </row>
    <row r="19" spans="2:8" ht="20.100000000000001" customHeight="1" x14ac:dyDescent="0.2">
      <c r="B19" s="411" t="s">
        <v>178</v>
      </c>
      <c r="C19" s="527" t="s">
        <v>179</v>
      </c>
      <c r="D19" s="467">
        <f>653665913/1000000</f>
        <v>653.66591300000005</v>
      </c>
      <c r="E19" s="467">
        <v>929</v>
      </c>
      <c r="F19" s="467">
        <f t="shared" si="0"/>
        <v>52.293273040000003</v>
      </c>
    </row>
    <row r="20" spans="2:8" ht="20.100000000000001" customHeight="1" x14ac:dyDescent="0.2">
      <c r="B20" s="411">
        <v>9</v>
      </c>
      <c r="C20" s="527" t="s">
        <v>180</v>
      </c>
      <c r="D20" s="467">
        <f>D15-D16-D18-D19</f>
        <v>3.037625999999932</v>
      </c>
      <c r="E20" s="467">
        <f>E15-E16-E18-E19</f>
        <v>0.28178600000001097</v>
      </c>
      <c r="F20" s="467">
        <f t="shared" si="0"/>
        <v>0.24301007999999458</v>
      </c>
    </row>
    <row r="21" spans="2:8" ht="20.100000000000001" customHeight="1" x14ac:dyDescent="0.2">
      <c r="B21" s="411">
        <v>10</v>
      </c>
      <c r="C21" s="527" t="s">
        <v>50</v>
      </c>
      <c r="D21" s="525"/>
      <c r="E21" s="526"/>
      <c r="F21" s="526"/>
    </row>
    <row r="22" spans="2:8" ht="20.100000000000001" customHeight="1" x14ac:dyDescent="0.2">
      <c r="B22" s="411">
        <v>11</v>
      </c>
      <c r="C22" s="527" t="s">
        <v>50</v>
      </c>
      <c r="D22" s="525"/>
      <c r="E22" s="526"/>
      <c r="F22" s="526"/>
    </row>
    <row r="23" spans="2:8" ht="20.100000000000001" customHeight="1" x14ac:dyDescent="0.2">
      <c r="B23" s="411">
        <v>12</v>
      </c>
      <c r="C23" s="527" t="s">
        <v>50</v>
      </c>
      <c r="D23" s="525"/>
      <c r="E23" s="526"/>
      <c r="F23" s="526"/>
    </row>
    <row r="24" spans="2:8" ht="20.100000000000001" customHeight="1" x14ac:dyDescent="0.2">
      <c r="B24" s="411">
        <v>13</v>
      </c>
      <c r="C24" s="527" t="s">
        <v>50</v>
      </c>
      <c r="D24" s="525"/>
      <c r="E24" s="526"/>
      <c r="F24" s="526"/>
    </row>
    <row r="25" spans="2:8" ht="20.100000000000001" customHeight="1" x14ac:dyDescent="0.2">
      <c r="B25" s="411">
        <v>14</v>
      </c>
      <c r="C25" s="527" t="s">
        <v>50</v>
      </c>
      <c r="D25" s="525"/>
      <c r="E25" s="526"/>
      <c r="F25" s="526"/>
    </row>
    <row r="26" spans="2:8" ht="20.100000000000001" customHeight="1" x14ac:dyDescent="0.2">
      <c r="B26" s="421">
        <v>15</v>
      </c>
      <c r="C26" s="398" t="s">
        <v>181</v>
      </c>
      <c r="D26" s="524"/>
      <c r="E26" s="524"/>
      <c r="F26" s="506"/>
    </row>
    <row r="27" spans="2:8" ht="20.100000000000001" customHeight="1" x14ac:dyDescent="0.2">
      <c r="B27" s="421">
        <v>16</v>
      </c>
      <c r="C27" s="398" t="s">
        <v>182</v>
      </c>
      <c r="D27" s="524"/>
      <c r="E27" s="524"/>
      <c r="F27" s="506"/>
    </row>
    <row r="28" spans="2:8" ht="20.100000000000001" customHeight="1" x14ac:dyDescent="0.2">
      <c r="B28" s="411">
        <v>17</v>
      </c>
      <c r="C28" s="527" t="s">
        <v>183</v>
      </c>
      <c r="D28" s="460"/>
      <c r="E28" s="460"/>
      <c r="F28" s="467"/>
    </row>
    <row r="29" spans="2:8" ht="20.100000000000001" customHeight="1" x14ac:dyDescent="0.2">
      <c r="B29" s="411">
        <v>18</v>
      </c>
      <c r="C29" s="527" t="s">
        <v>184</v>
      </c>
      <c r="D29" s="460"/>
      <c r="E29" s="460"/>
      <c r="F29" s="467"/>
    </row>
    <row r="30" spans="2:8" ht="20.100000000000001" customHeight="1" x14ac:dyDescent="0.2">
      <c r="B30" s="411">
        <v>19</v>
      </c>
      <c r="C30" s="527" t="s">
        <v>185</v>
      </c>
      <c r="D30" s="460"/>
      <c r="E30" s="460"/>
      <c r="F30" s="467"/>
    </row>
    <row r="31" spans="2:8" ht="20.100000000000001" customHeight="1" x14ac:dyDescent="0.2">
      <c r="B31" s="411" t="s">
        <v>186</v>
      </c>
      <c r="C31" s="527" t="s">
        <v>2962</v>
      </c>
      <c r="D31" s="460"/>
      <c r="E31" s="460"/>
      <c r="F31" s="467"/>
    </row>
    <row r="32" spans="2:8" ht="20.100000000000001" customHeight="1" x14ac:dyDescent="0.2">
      <c r="B32" s="421">
        <v>20</v>
      </c>
      <c r="C32" s="398" t="s">
        <v>187</v>
      </c>
      <c r="D32" s="524"/>
      <c r="E32" s="524">
        <v>33</v>
      </c>
      <c r="F32" s="506"/>
    </row>
    <row r="33" spans="2:6" ht="20.100000000000001" customHeight="1" x14ac:dyDescent="0.2">
      <c r="B33" s="411">
        <v>21</v>
      </c>
      <c r="C33" s="527" t="s">
        <v>167</v>
      </c>
      <c r="D33" s="460"/>
      <c r="E33" s="460">
        <v>33</v>
      </c>
      <c r="F33" s="467"/>
    </row>
    <row r="34" spans="2:6" ht="20.100000000000001" customHeight="1" x14ac:dyDescent="0.2">
      <c r="B34" s="411">
        <v>22</v>
      </c>
      <c r="C34" s="527" t="s">
        <v>188</v>
      </c>
      <c r="D34" s="460"/>
      <c r="E34" s="460"/>
      <c r="F34" s="467"/>
    </row>
    <row r="35" spans="2:6" ht="20.100000000000001" customHeight="1" x14ac:dyDescent="0.2">
      <c r="B35" s="421" t="s">
        <v>189</v>
      </c>
      <c r="C35" s="398" t="s">
        <v>190</v>
      </c>
      <c r="D35" s="524"/>
      <c r="E35" s="528"/>
      <c r="F35" s="506"/>
    </row>
    <row r="36" spans="2:6" ht="20.100000000000001" customHeight="1" x14ac:dyDescent="0.2">
      <c r="B36" s="421">
        <v>23</v>
      </c>
      <c r="C36" s="398" t="s">
        <v>191</v>
      </c>
      <c r="D36" s="506">
        <f>7134015000/1000000</f>
        <v>7134.0150000000003</v>
      </c>
      <c r="E36" s="506">
        <v>7239</v>
      </c>
      <c r="F36" s="506">
        <f>D36*8%</f>
        <v>570.72120000000007</v>
      </c>
    </row>
    <row r="37" spans="2:6" ht="20.100000000000001" customHeight="1" x14ac:dyDescent="0.2">
      <c r="B37" s="411" t="s">
        <v>192</v>
      </c>
      <c r="C37" s="527" t="s">
        <v>193</v>
      </c>
      <c r="D37" s="467"/>
      <c r="E37" s="467"/>
      <c r="F37" s="467"/>
    </row>
    <row r="38" spans="2:6" ht="20.100000000000001" customHeight="1" x14ac:dyDescent="0.2">
      <c r="B38" s="411" t="s">
        <v>194</v>
      </c>
      <c r="C38" s="527" t="s">
        <v>195</v>
      </c>
      <c r="D38" s="467">
        <f>7134015000/1000000</f>
        <v>7134.0150000000003</v>
      </c>
      <c r="E38" s="467">
        <v>7239</v>
      </c>
      <c r="F38" s="467">
        <f>D38*8%</f>
        <v>570.72120000000007</v>
      </c>
    </row>
    <row r="39" spans="2:6" ht="20.100000000000001" customHeight="1" x14ac:dyDescent="0.2">
      <c r="B39" s="411" t="s">
        <v>196</v>
      </c>
      <c r="C39" s="527" t="s">
        <v>197</v>
      </c>
      <c r="D39" s="460"/>
      <c r="E39" s="467"/>
      <c r="F39" s="467"/>
    </row>
    <row r="40" spans="2:6" ht="24.95" customHeight="1" x14ac:dyDescent="0.2">
      <c r="B40" s="411">
        <v>24</v>
      </c>
      <c r="C40" s="458" t="s">
        <v>3635</v>
      </c>
      <c r="D40" s="529">
        <f>(1347634906.01*250%)/1000000</f>
        <v>3369.0872650250003</v>
      </c>
      <c r="E40" s="529">
        <f>(1405378361*250%)/1000000</f>
        <v>3513.4459025000001</v>
      </c>
      <c r="F40" s="529">
        <f>D40*8%</f>
        <v>269.526981202</v>
      </c>
    </row>
    <row r="41" spans="2:6" ht="20.100000000000001" customHeight="1" x14ac:dyDescent="0.2">
      <c r="B41" s="411">
        <v>25</v>
      </c>
      <c r="C41" s="527" t="s">
        <v>50</v>
      </c>
      <c r="D41" s="525"/>
      <c r="E41" s="525"/>
      <c r="F41" s="526"/>
    </row>
    <row r="42" spans="2:6" ht="20.100000000000001" customHeight="1" x14ac:dyDescent="0.2">
      <c r="B42" s="411">
        <v>26</v>
      </c>
      <c r="C42" s="527" t="s">
        <v>50</v>
      </c>
      <c r="D42" s="525"/>
      <c r="E42" s="525"/>
      <c r="F42" s="526"/>
    </row>
    <row r="43" spans="2:6" ht="20.100000000000001" customHeight="1" x14ac:dyDescent="0.2">
      <c r="B43" s="411">
        <v>27</v>
      </c>
      <c r="C43" s="527" t="s">
        <v>50</v>
      </c>
      <c r="D43" s="525"/>
      <c r="E43" s="525"/>
      <c r="F43" s="526"/>
    </row>
    <row r="44" spans="2:6" ht="20.100000000000001" customHeight="1" x14ac:dyDescent="0.2">
      <c r="B44" s="411">
        <v>28</v>
      </c>
      <c r="C44" s="527" t="s">
        <v>50</v>
      </c>
      <c r="D44" s="525"/>
      <c r="E44" s="525"/>
      <c r="F44" s="526"/>
    </row>
    <row r="45" spans="2:6" ht="20.100000000000001" customHeight="1" x14ac:dyDescent="0.2">
      <c r="B45" s="439">
        <v>29</v>
      </c>
      <c r="C45" s="507" t="s">
        <v>198</v>
      </c>
      <c r="D45" s="505">
        <f>D9+D15+D26+D27+D32+D35+D36</f>
        <v>71399.318019000013</v>
      </c>
      <c r="E45" s="505">
        <f>E9+E15+E26+E27+E32+E35+E36</f>
        <v>70062</v>
      </c>
      <c r="F45" s="505">
        <f>D45*8%</f>
        <v>5711.9454415200007</v>
      </c>
    </row>
    <row r="47" spans="2:6" x14ac:dyDescent="0.2">
      <c r="D47" s="341"/>
    </row>
  </sheetData>
  <sheetProtection algorithmName="SHA-512" hashValue="6vOMmluBX5MdL6z2TYxL5WDQI+0qNwEnZxyfRJmOqqiWUCljT5MDXUX8ttT+F+IhKKuThprt9OHjHkc1p0UCEQ==" saltValue="IqahLVNVI1ajRknz6DLjMQ==" spinCount="100000" sheet="1" objects="1" scenarios="1"/>
  <mergeCells count="2">
    <mergeCell ref="B6:C8"/>
    <mergeCell ref="D6:E6"/>
  </mergeCells>
  <hyperlinks>
    <hyperlink ref="B2" location="Contents!A1" display="Back to Contents page" xr:uid="{BA175EFF-88F3-4329-9026-C02C4F72D4C7}"/>
  </hyperlinks>
  <pageMargins left="0.7" right="0.7" top="0.75" bottom="0.75" header="0.3" footer="0.3"/>
  <pageSetup paperSize="9" scale="30" orientation="portrait" horizontalDpi="144" verticalDpi="14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P68"/>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254" customWidth="1"/>
    <col min="2" max="2" width="6.109375" style="254" customWidth="1"/>
    <col min="3" max="3" width="9.21875" style="254"/>
    <col min="4" max="4" width="13.6640625" style="254" customWidth="1"/>
    <col min="5" max="5" width="9.6640625" style="254" customWidth="1"/>
    <col min="6" max="6" width="8.21875" style="254" customWidth="1"/>
    <col min="7" max="7" width="4.88671875" style="254" customWidth="1"/>
    <col min="8" max="8" width="5.109375" style="254" customWidth="1"/>
    <col min="9" max="9" width="10.33203125" style="254" customWidth="1"/>
    <col min="10" max="11" width="12.5546875" style="254" customWidth="1"/>
    <col min="12" max="12" width="4.6640625" style="254" customWidth="1"/>
    <col min="13" max="13" width="5" style="254" customWidth="1"/>
    <col min="14" max="14" width="9.88671875" style="254" customWidth="1"/>
    <col min="15" max="15" width="8.109375" style="254" customWidth="1"/>
    <col min="16" max="16" width="7.109375" style="254" customWidth="1"/>
    <col min="17" max="16384" width="9.21875" style="254"/>
  </cols>
  <sheetData>
    <row r="2" spans="2:16" ht="15" x14ac:dyDescent="0.25">
      <c r="B2" s="940" t="s">
        <v>3521</v>
      </c>
    </row>
    <row r="4" spans="2:16" ht="21" x14ac:dyDescent="0.2">
      <c r="B4" s="979" t="s">
        <v>2149</v>
      </c>
      <c r="C4" s="980"/>
      <c r="D4" s="980"/>
      <c r="E4" s="980"/>
      <c r="F4" s="980"/>
      <c r="G4" s="980"/>
      <c r="H4" s="980"/>
      <c r="I4" s="980"/>
      <c r="L4" s="977"/>
      <c r="M4" s="977"/>
      <c r="N4" s="977"/>
      <c r="O4" s="977"/>
      <c r="P4" s="977"/>
    </row>
    <row r="5" spans="2:16" x14ac:dyDescent="0.2">
      <c r="C5" s="977"/>
      <c r="D5" s="977"/>
      <c r="G5" s="977"/>
      <c r="H5" s="977"/>
      <c r="L5" s="977"/>
      <c r="M5" s="977"/>
      <c r="N5" s="977"/>
      <c r="O5" s="977"/>
      <c r="P5" s="977"/>
    </row>
    <row r="6" spans="2:16" x14ac:dyDescent="0.2">
      <c r="C6" s="977"/>
      <c r="D6" s="977"/>
      <c r="G6" s="977"/>
      <c r="H6" s="977"/>
      <c r="L6" s="977"/>
      <c r="M6" s="977"/>
      <c r="N6" s="977"/>
      <c r="O6" s="977"/>
      <c r="P6" s="977"/>
    </row>
    <row r="7" spans="2:16" ht="20.100000000000001" customHeight="1" x14ac:dyDescent="0.2">
      <c r="C7" s="977"/>
      <c r="D7" s="977"/>
      <c r="E7" s="522" t="s">
        <v>161</v>
      </c>
      <c r="F7" s="522" t="s">
        <v>162</v>
      </c>
      <c r="G7" s="978" t="s">
        <v>163</v>
      </c>
      <c r="H7" s="978"/>
      <c r="I7" s="522" t="s">
        <v>200</v>
      </c>
      <c r="J7" s="522" t="s">
        <v>201</v>
      </c>
      <c r="K7" s="522" t="s">
        <v>266</v>
      </c>
      <c r="L7" s="978" t="s">
        <v>267</v>
      </c>
      <c r="M7" s="978"/>
      <c r="N7" s="978" t="s">
        <v>268</v>
      </c>
      <c r="O7" s="978"/>
      <c r="P7" s="978"/>
    </row>
    <row r="8" spans="2:16" ht="42.75" customHeight="1" x14ac:dyDescent="0.2">
      <c r="B8" s="328"/>
      <c r="C8" s="981"/>
      <c r="D8" s="981"/>
      <c r="E8" s="982" t="s">
        <v>2150</v>
      </c>
      <c r="F8" s="982"/>
      <c r="G8" s="982"/>
      <c r="H8" s="982"/>
      <c r="I8" s="982"/>
      <c r="J8" s="982" t="s">
        <v>900</v>
      </c>
      <c r="K8" s="982"/>
      <c r="L8" s="983" t="s">
        <v>2151</v>
      </c>
      <c r="M8" s="984"/>
      <c r="N8" s="984"/>
      <c r="O8" s="984"/>
      <c r="P8" s="985"/>
    </row>
    <row r="9" spans="2:16" ht="23.25" customHeight="1" x14ac:dyDescent="0.2">
      <c r="B9" s="328"/>
      <c r="C9" s="981"/>
      <c r="D9" s="981"/>
      <c r="E9" s="986" t="s">
        <v>2152</v>
      </c>
      <c r="F9" s="988" t="s">
        <v>2153</v>
      </c>
      <c r="G9" s="989"/>
      <c r="H9" s="989"/>
      <c r="I9" s="990"/>
      <c r="J9" s="991" t="s">
        <v>2154</v>
      </c>
      <c r="K9" s="987" t="s">
        <v>2155</v>
      </c>
      <c r="L9" s="992"/>
      <c r="M9" s="993"/>
      <c r="N9" s="982" t="s">
        <v>2156</v>
      </c>
      <c r="O9" s="982"/>
      <c r="P9" s="982"/>
    </row>
    <row r="10" spans="2:16" ht="27.75" customHeight="1" x14ac:dyDescent="0.2">
      <c r="B10" s="328"/>
      <c r="C10" s="981"/>
      <c r="D10" s="981"/>
      <c r="E10" s="987"/>
      <c r="F10" s="533"/>
      <c r="G10" s="982" t="s">
        <v>2157</v>
      </c>
      <c r="H10" s="982"/>
      <c r="I10" s="452" t="s">
        <v>2158</v>
      </c>
      <c r="J10" s="991"/>
      <c r="K10" s="987"/>
      <c r="L10" s="992"/>
      <c r="M10" s="993"/>
      <c r="N10" s="982"/>
      <c r="O10" s="982"/>
      <c r="P10" s="982"/>
    </row>
    <row r="11" spans="2:16" ht="24.95" customHeight="1" x14ac:dyDescent="0.2">
      <c r="B11" s="537" t="s">
        <v>912</v>
      </c>
      <c r="C11" s="997" t="s">
        <v>913</v>
      </c>
      <c r="D11" s="997"/>
      <c r="E11" s="538">
        <v>0</v>
      </c>
      <c r="F11" s="538">
        <v>0</v>
      </c>
      <c r="G11" s="998"/>
      <c r="H11" s="998"/>
      <c r="I11" s="539"/>
      <c r="J11" s="538"/>
      <c r="K11" s="538"/>
      <c r="L11" s="999">
        <v>0</v>
      </c>
      <c r="M11" s="999"/>
      <c r="N11" s="999"/>
      <c r="O11" s="999"/>
      <c r="P11" s="999"/>
    </row>
    <row r="12" spans="2:16" ht="20.100000000000001" customHeight="1" x14ac:dyDescent="0.2">
      <c r="B12" s="537" t="s">
        <v>289</v>
      </c>
      <c r="C12" s="997" t="s">
        <v>914</v>
      </c>
      <c r="D12" s="997"/>
      <c r="E12" s="540">
        <f>757029037/1000000</f>
        <v>757.02903700000002</v>
      </c>
      <c r="F12" s="540">
        <f>243183552/1000000</f>
        <v>243.18355199999999</v>
      </c>
      <c r="G12" s="1000">
        <f>2790785/1000000</f>
        <v>2.7907850000000001</v>
      </c>
      <c r="H12" s="1000"/>
      <c r="I12" s="540">
        <f>238627560/1000000</f>
        <v>238.62755999999999</v>
      </c>
      <c r="J12" s="540">
        <f>-20464963/1000000</f>
        <v>-20.464963000000001</v>
      </c>
      <c r="K12" s="540">
        <f>-70009158/1000000</f>
        <v>-70.009157999999999</v>
      </c>
      <c r="L12" s="1000">
        <f>826493931/1000000</f>
        <v>826.49393099999998</v>
      </c>
      <c r="M12" s="1000"/>
      <c r="N12" s="1000">
        <f>(13500000+204198235)/1000000</f>
        <v>217.69823500000001</v>
      </c>
      <c r="O12" s="1000"/>
      <c r="P12" s="1000"/>
    </row>
    <row r="13" spans="2:16" ht="20.100000000000001" customHeight="1" x14ac:dyDescent="0.2">
      <c r="B13" s="532" t="s">
        <v>291</v>
      </c>
      <c r="C13" s="994" t="s">
        <v>2159</v>
      </c>
      <c r="D13" s="994"/>
      <c r="E13" s="534"/>
      <c r="F13" s="534"/>
      <c r="G13" s="995"/>
      <c r="H13" s="995"/>
      <c r="I13" s="534"/>
      <c r="J13" s="534"/>
      <c r="K13" s="534"/>
      <c r="L13" s="996"/>
      <c r="M13" s="996"/>
      <c r="N13" s="996"/>
      <c r="O13" s="996"/>
      <c r="P13" s="996"/>
    </row>
    <row r="14" spans="2:16" ht="20.100000000000001" customHeight="1" x14ac:dyDescent="0.2">
      <c r="B14" s="532" t="s">
        <v>916</v>
      </c>
      <c r="C14" s="994" t="s">
        <v>2160</v>
      </c>
      <c r="D14" s="994"/>
      <c r="E14" s="534"/>
      <c r="F14" s="534"/>
      <c r="G14" s="995"/>
      <c r="H14" s="995"/>
      <c r="I14" s="534"/>
      <c r="J14" s="534"/>
      <c r="K14" s="534"/>
      <c r="L14" s="996"/>
      <c r="M14" s="996"/>
      <c r="N14" s="996"/>
      <c r="O14" s="996"/>
      <c r="P14" s="996"/>
    </row>
    <row r="15" spans="2:16" ht="20.100000000000001" customHeight="1" x14ac:dyDescent="0.2">
      <c r="B15" s="532" t="s">
        <v>918</v>
      </c>
      <c r="C15" s="994" t="s">
        <v>2161</v>
      </c>
      <c r="D15" s="994"/>
      <c r="E15" s="534"/>
      <c r="F15" s="534"/>
      <c r="G15" s="995"/>
      <c r="H15" s="995"/>
      <c r="I15" s="534"/>
      <c r="J15" s="534"/>
      <c r="K15" s="535"/>
      <c r="L15" s="996"/>
      <c r="M15" s="996"/>
      <c r="N15" s="996"/>
      <c r="O15" s="996"/>
      <c r="P15" s="996"/>
    </row>
    <row r="16" spans="2:16" ht="20.100000000000001" customHeight="1" x14ac:dyDescent="0.2">
      <c r="B16" s="532" t="s">
        <v>920</v>
      </c>
      <c r="C16" s="994" t="s">
        <v>2162</v>
      </c>
      <c r="D16" s="994"/>
      <c r="E16" s="536">
        <f>3319316/1000000</f>
        <v>3.3193160000000002</v>
      </c>
      <c r="F16" s="534"/>
      <c r="G16" s="995"/>
      <c r="H16" s="995"/>
      <c r="I16" s="534"/>
      <c r="J16" s="536">
        <f>-39050/1000000</f>
        <v>-3.9050000000000001E-2</v>
      </c>
      <c r="K16" s="536"/>
      <c r="L16" s="996"/>
      <c r="M16" s="996"/>
      <c r="N16" s="996"/>
      <c r="O16" s="996"/>
      <c r="P16" s="996"/>
    </row>
    <row r="17" spans="2:16" ht="20.100000000000001" customHeight="1" x14ac:dyDescent="0.2">
      <c r="B17" s="532" t="s">
        <v>922</v>
      </c>
      <c r="C17" s="994" t="s">
        <v>2163</v>
      </c>
      <c r="D17" s="994"/>
      <c r="E17" s="536">
        <f>444347961/1000000</f>
        <v>444.347961</v>
      </c>
      <c r="F17" s="536">
        <f>226386837/1000000</f>
        <v>226.38683700000001</v>
      </c>
      <c r="G17" s="996">
        <f>2242270/1000000</f>
        <v>2.24227</v>
      </c>
      <c r="H17" s="996"/>
      <c r="I17" s="536">
        <f>221830846/1000000</f>
        <v>221.83084600000001</v>
      </c>
      <c r="J17" s="536">
        <f>-17425053/1000000</f>
        <v>-17.425052999999998</v>
      </c>
      <c r="K17" s="536">
        <f>-66512259/1000000</f>
        <v>-66.512259</v>
      </c>
      <c r="L17" s="996">
        <f>586556925/1000000</f>
        <v>586.55692499999998</v>
      </c>
      <c r="M17" s="996"/>
      <c r="N17" s="996">
        <f>201754508/1000000</f>
        <v>201.75450799999999</v>
      </c>
      <c r="O17" s="996"/>
      <c r="P17" s="996"/>
    </row>
    <row r="18" spans="2:16" ht="20.100000000000001" customHeight="1" x14ac:dyDescent="0.2">
      <c r="B18" s="532" t="s">
        <v>924</v>
      </c>
      <c r="C18" s="994" t="s">
        <v>2164</v>
      </c>
      <c r="D18" s="994"/>
      <c r="E18" s="536">
        <f>309361759/1000000</f>
        <v>309.36175900000001</v>
      </c>
      <c r="F18" s="536">
        <f>16796714/1000000</f>
        <v>16.796714000000001</v>
      </c>
      <c r="G18" s="996">
        <f>548515/1000000</f>
        <v>0.54851499999999997</v>
      </c>
      <c r="H18" s="996"/>
      <c r="I18" s="536">
        <f>16796714/1000000</f>
        <v>16.796714000000001</v>
      </c>
      <c r="J18" s="536">
        <f>-3000859/1000000</f>
        <v>-3.0008590000000002</v>
      </c>
      <c r="K18" s="536">
        <f>-3496899/1000000</f>
        <v>-3.496899</v>
      </c>
      <c r="L18" s="996">
        <f>239937006/1000000</f>
        <v>239.937006</v>
      </c>
      <c r="M18" s="996"/>
      <c r="N18" s="996">
        <f>15943727/1000000</f>
        <v>15.943727000000001</v>
      </c>
      <c r="O18" s="996"/>
      <c r="P18" s="996"/>
    </row>
    <row r="19" spans="2:16" ht="20.100000000000001" customHeight="1" x14ac:dyDescent="0.2">
      <c r="B19" s="537" t="s">
        <v>926</v>
      </c>
      <c r="C19" s="997" t="s">
        <v>929</v>
      </c>
      <c r="D19" s="997"/>
      <c r="E19" s="538"/>
      <c r="F19" s="538"/>
      <c r="G19" s="999"/>
      <c r="H19" s="999"/>
      <c r="I19" s="538"/>
      <c r="J19" s="538"/>
      <c r="K19" s="538"/>
      <c r="L19" s="999"/>
      <c r="M19" s="999"/>
      <c r="N19" s="999"/>
      <c r="O19" s="999"/>
      <c r="P19" s="999"/>
    </row>
    <row r="20" spans="2:16" ht="20.100000000000001" customHeight="1" x14ac:dyDescent="0.2">
      <c r="B20" s="541" t="s">
        <v>928</v>
      </c>
      <c r="C20" s="1004" t="s">
        <v>2165</v>
      </c>
      <c r="D20" s="1004"/>
      <c r="E20" s="540">
        <f>743659/1000000</f>
        <v>0.74365899999999996</v>
      </c>
      <c r="F20" s="540">
        <f>77700223/1000000</f>
        <v>77.700222999999994</v>
      </c>
      <c r="G20" s="1005"/>
      <c r="H20" s="1005"/>
      <c r="I20" s="540">
        <f>61675444/1000000</f>
        <v>61.675443999999999</v>
      </c>
      <c r="J20" s="540">
        <f>4535/1000000</f>
        <v>4.535E-3</v>
      </c>
      <c r="K20" s="540">
        <f>48272/1000000</f>
        <v>4.8272000000000002E-2</v>
      </c>
      <c r="L20" s="1005"/>
      <c r="M20" s="1005"/>
      <c r="N20" s="1005"/>
      <c r="O20" s="1005"/>
      <c r="P20" s="1005"/>
    </row>
    <row r="21" spans="2:16" ht="20.100000000000001" customHeight="1" x14ac:dyDescent="0.2">
      <c r="B21" s="541" t="s">
        <v>928</v>
      </c>
      <c r="C21" s="1001" t="s">
        <v>198</v>
      </c>
      <c r="D21" s="1001"/>
      <c r="E21" s="554">
        <f>E11+E12+E20+E19</f>
        <v>757.772696</v>
      </c>
      <c r="F21" s="554">
        <f>F11+F12+F20+F19</f>
        <v>320.88377500000001</v>
      </c>
      <c r="G21" s="1002">
        <f>G11+G12+G20+G19</f>
        <v>2.7907850000000001</v>
      </c>
      <c r="H21" s="1003">
        <f t="shared" ref="H21" si="0">H11+H12+H20+H19</f>
        <v>0</v>
      </c>
      <c r="I21" s="554">
        <f>I11+I12+I20+I19</f>
        <v>300.30300399999999</v>
      </c>
      <c r="J21" s="554">
        <f>J11+J12+J20+J19</f>
        <v>-20.460428</v>
      </c>
      <c r="K21" s="554">
        <f>K11+K12+K20+K19</f>
        <v>-69.960886000000002</v>
      </c>
      <c r="L21" s="1002">
        <f>L11+L12+L20+L19</f>
        <v>826.49393099999998</v>
      </c>
      <c r="M21" s="1003">
        <f t="shared" ref="M21" si="1">M11+M12+M20+M19</f>
        <v>0</v>
      </c>
      <c r="N21" s="1002">
        <f>N12+N19+N20</f>
        <v>217.69823500000001</v>
      </c>
      <c r="O21" s="1003"/>
      <c r="P21" s="1003"/>
    </row>
    <row r="22" spans="2:16" x14ac:dyDescent="0.2">
      <c r="C22" s="977"/>
      <c r="D22" s="977"/>
      <c r="G22" s="977"/>
      <c r="H22" s="977"/>
      <c r="L22" s="977"/>
      <c r="M22" s="977"/>
      <c r="N22" s="977"/>
      <c r="O22" s="977"/>
      <c r="P22" s="977"/>
    </row>
    <row r="23" spans="2:16" x14ac:dyDescent="0.2">
      <c r="B23" s="980"/>
      <c r="C23" s="980"/>
      <c r="D23" s="980"/>
      <c r="G23" s="977"/>
      <c r="H23" s="977"/>
      <c r="L23" s="977"/>
      <c r="M23" s="977"/>
      <c r="N23" s="977"/>
      <c r="O23" s="977"/>
      <c r="P23" s="977"/>
    </row>
    <row r="24" spans="2:16" x14ac:dyDescent="0.2">
      <c r="C24" s="977"/>
      <c r="D24" s="977"/>
      <c r="G24" s="977"/>
      <c r="H24" s="977"/>
      <c r="L24" s="977"/>
      <c r="M24" s="977"/>
      <c r="N24" s="977"/>
      <c r="O24" s="977"/>
      <c r="P24" s="977"/>
    </row>
    <row r="25" spans="2:16" x14ac:dyDescent="0.2">
      <c r="B25" s="980"/>
      <c r="C25" s="980"/>
      <c r="D25" s="980"/>
      <c r="G25" s="977"/>
      <c r="H25" s="977"/>
      <c r="L25" s="977"/>
      <c r="M25" s="977"/>
      <c r="N25" s="977"/>
      <c r="O25" s="977"/>
      <c r="P25" s="977"/>
    </row>
    <row r="26" spans="2:16" ht="36" customHeight="1" x14ac:dyDescent="0.2">
      <c r="B26" s="1006"/>
      <c r="C26" s="1006"/>
      <c r="D26" s="1006"/>
      <c r="E26" s="1006"/>
      <c r="F26" s="1006"/>
      <c r="G26" s="1006"/>
      <c r="H26" s="1006"/>
      <c r="I26" s="1006"/>
      <c r="J26" s="1006"/>
      <c r="K26" s="1006"/>
      <c r="L26" s="1006"/>
      <c r="M26" s="1006"/>
      <c r="N26" s="1006"/>
      <c r="O26" s="1006"/>
      <c r="P26" s="1006"/>
    </row>
    <row r="27" spans="2:16" x14ac:dyDescent="0.2">
      <c r="B27" s="1007"/>
      <c r="C27" s="1007"/>
      <c r="D27" s="1007"/>
      <c r="E27" s="1007"/>
      <c r="F27" s="1007"/>
      <c r="G27" s="1007"/>
      <c r="H27" s="1007"/>
      <c r="I27" s="1007"/>
      <c r="J27" s="1007"/>
      <c r="K27" s="1007"/>
      <c r="L27" s="1007"/>
      <c r="M27" s="1007"/>
      <c r="N27" s="1007"/>
      <c r="O27" s="1007"/>
      <c r="P27" s="1007"/>
    </row>
    <row r="28" spans="2:16" ht="36" customHeight="1" x14ac:dyDescent="0.2">
      <c r="B28" s="1006"/>
      <c r="C28" s="1006"/>
      <c r="D28" s="1006"/>
      <c r="E28" s="1006"/>
      <c r="F28" s="1006"/>
      <c r="G28" s="1006"/>
      <c r="H28" s="1006"/>
      <c r="I28" s="1006"/>
      <c r="J28" s="1006"/>
      <c r="K28" s="1006"/>
      <c r="L28" s="1006"/>
      <c r="M28" s="1006"/>
      <c r="N28" s="1006"/>
      <c r="O28" s="1006"/>
      <c r="P28" s="1006"/>
    </row>
    <row r="29" spans="2:16" ht="24" customHeight="1" x14ac:dyDescent="0.2">
      <c r="B29" s="1006"/>
      <c r="C29" s="1006"/>
      <c r="D29" s="1006"/>
      <c r="E29" s="1006"/>
      <c r="F29" s="1006"/>
      <c r="G29" s="1006"/>
      <c r="H29" s="1006"/>
      <c r="I29" s="1006"/>
      <c r="J29" s="1006"/>
      <c r="K29" s="1006"/>
      <c r="L29" s="1006"/>
      <c r="M29" s="1006"/>
      <c r="N29" s="1006"/>
      <c r="O29" s="1006"/>
      <c r="P29" s="1006"/>
    </row>
    <row r="30" spans="2:16" x14ac:dyDescent="0.2">
      <c r="B30" s="1006"/>
      <c r="C30" s="1006"/>
      <c r="D30" s="1006"/>
      <c r="E30" s="1006"/>
      <c r="F30" s="1006"/>
      <c r="G30" s="1006"/>
      <c r="H30" s="1006"/>
      <c r="I30" s="1006"/>
      <c r="J30" s="1006"/>
      <c r="K30" s="1006"/>
      <c r="L30" s="1006"/>
      <c r="M30" s="1006"/>
      <c r="N30" s="1006"/>
      <c r="O30" s="1006"/>
      <c r="P30" s="1006"/>
    </row>
    <row r="31" spans="2:16" ht="24" customHeight="1" x14ac:dyDescent="0.2">
      <c r="B31" s="1006"/>
      <c r="C31" s="1006"/>
      <c r="D31" s="1006"/>
      <c r="E31" s="1006"/>
      <c r="F31" s="1006"/>
      <c r="G31" s="1006"/>
      <c r="H31" s="1006"/>
      <c r="I31" s="1006"/>
      <c r="J31" s="1006"/>
      <c r="K31" s="1006"/>
      <c r="L31" s="1006"/>
      <c r="M31" s="1006"/>
      <c r="N31" s="1006"/>
      <c r="O31" s="1006"/>
      <c r="P31" s="1006"/>
    </row>
    <row r="32" spans="2:16" ht="48" customHeight="1" x14ac:dyDescent="0.2">
      <c r="B32" s="1006"/>
      <c r="C32" s="1006"/>
      <c r="D32" s="1006"/>
      <c r="E32" s="952"/>
      <c r="F32" s="1006"/>
      <c r="G32" s="1006"/>
      <c r="H32" s="1006"/>
      <c r="I32" s="1006"/>
      <c r="J32" s="1006"/>
      <c r="K32" s="1006"/>
      <c r="L32" s="1006"/>
      <c r="M32" s="1006"/>
      <c r="N32" s="1006"/>
      <c r="O32" s="1006"/>
      <c r="P32" s="1006"/>
    </row>
    <row r="33" spans="2:16" ht="60" customHeight="1" x14ac:dyDescent="0.2">
      <c r="B33" s="1006"/>
      <c r="C33" s="1006"/>
      <c r="D33" s="1006"/>
      <c r="E33" s="1006"/>
      <c r="F33" s="1006"/>
      <c r="G33" s="1006"/>
      <c r="H33" s="1006"/>
      <c r="I33" s="1006"/>
      <c r="J33" s="1006"/>
      <c r="K33" s="1006"/>
      <c r="L33" s="1006"/>
      <c r="M33" s="1006"/>
      <c r="N33" s="1006"/>
      <c r="O33" s="1006"/>
      <c r="P33" s="1006"/>
    </row>
    <row r="34" spans="2:16" x14ac:dyDescent="0.2">
      <c r="C34" s="977"/>
      <c r="D34" s="977"/>
      <c r="G34" s="977"/>
      <c r="H34" s="977"/>
      <c r="L34" s="977"/>
      <c r="M34" s="977"/>
      <c r="N34" s="977"/>
      <c r="O34" s="977"/>
      <c r="P34" s="977"/>
    </row>
    <row r="35" spans="2:16" x14ac:dyDescent="0.2">
      <c r="B35" s="1009"/>
      <c r="C35" s="1009"/>
      <c r="D35" s="1009"/>
      <c r="G35" s="977"/>
      <c r="H35" s="977"/>
      <c r="L35" s="977"/>
      <c r="M35" s="977"/>
      <c r="N35" s="977"/>
      <c r="O35" s="977"/>
      <c r="P35" s="977"/>
    </row>
    <row r="36" spans="2:16" ht="39.75" customHeight="1" x14ac:dyDescent="0.2">
      <c r="B36" s="1006"/>
      <c r="C36" s="1006"/>
      <c r="D36" s="1006"/>
      <c r="E36" s="1006"/>
      <c r="F36" s="1006"/>
      <c r="G36" s="1006"/>
      <c r="H36" s="1006"/>
      <c r="I36" s="1006"/>
      <c r="J36" s="1006"/>
      <c r="K36" s="1006"/>
      <c r="L36" s="1006"/>
      <c r="M36" s="1006"/>
      <c r="N36" s="1006"/>
      <c r="O36" s="1006"/>
      <c r="P36" s="1006"/>
    </row>
    <row r="37" spans="2:16" x14ac:dyDescent="0.2">
      <c r="B37" s="1008"/>
      <c r="C37" s="1008"/>
      <c r="D37" s="1008"/>
      <c r="E37" s="1008"/>
      <c r="F37" s="1008"/>
      <c r="G37" s="1008"/>
      <c r="H37" s="1008"/>
      <c r="I37" s="1008"/>
      <c r="J37" s="1008"/>
      <c r="K37" s="1008"/>
      <c r="L37" s="1008"/>
      <c r="M37" s="1008"/>
      <c r="N37" s="1008"/>
      <c r="O37" s="1008"/>
      <c r="P37" s="1008"/>
    </row>
    <row r="38" spans="2:16" x14ac:dyDescent="0.2">
      <c r="B38" s="1008"/>
      <c r="C38" s="1008"/>
      <c r="D38" s="1008"/>
      <c r="E38" s="1008"/>
      <c r="F38" s="1008"/>
      <c r="G38" s="1008"/>
      <c r="H38" s="1008"/>
      <c r="I38" s="1008"/>
      <c r="J38" s="1008"/>
      <c r="K38" s="1008"/>
      <c r="L38" s="1008"/>
      <c r="M38" s="1008"/>
      <c r="N38" s="1008"/>
      <c r="O38" s="1008"/>
      <c r="P38" s="1008"/>
    </row>
    <row r="39" spans="2:16" x14ac:dyDescent="0.2">
      <c r="B39" s="1008"/>
      <c r="C39" s="1008"/>
      <c r="D39" s="1008"/>
      <c r="E39" s="1008"/>
      <c r="F39" s="1008"/>
      <c r="G39" s="1008"/>
      <c r="H39" s="1008"/>
      <c r="I39" s="1008"/>
      <c r="J39" s="1008"/>
      <c r="K39" s="1008"/>
      <c r="L39" s="1008"/>
      <c r="M39" s="1008"/>
      <c r="N39" s="1008"/>
      <c r="O39" s="1008"/>
      <c r="P39" s="1008"/>
    </row>
    <row r="40" spans="2:16" x14ac:dyDescent="0.2">
      <c r="B40" s="1008"/>
      <c r="C40" s="1008"/>
      <c r="D40" s="1008"/>
      <c r="E40" s="1008"/>
      <c r="F40" s="1008"/>
      <c r="G40" s="1008"/>
      <c r="H40" s="1008"/>
      <c r="I40" s="1008"/>
      <c r="J40" s="1008"/>
      <c r="K40" s="1008"/>
      <c r="L40" s="1008"/>
      <c r="M40" s="1008"/>
      <c r="N40" s="1008"/>
      <c r="O40" s="1008"/>
      <c r="P40" s="1008"/>
    </row>
    <row r="41" spans="2:16" x14ac:dyDescent="0.2">
      <c r="B41" s="1008"/>
      <c r="C41" s="1008"/>
      <c r="D41" s="1008"/>
      <c r="E41" s="1008"/>
      <c r="F41" s="1008"/>
      <c r="G41" s="1008"/>
      <c r="H41" s="1008"/>
      <c r="I41" s="1008"/>
      <c r="J41" s="1008"/>
      <c r="K41" s="1008"/>
      <c r="L41" s="1008"/>
      <c r="M41" s="1008"/>
      <c r="N41" s="1008"/>
      <c r="O41" s="1008"/>
      <c r="P41" s="1008"/>
    </row>
    <row r="42" spans="2:16" x14ac:dyDescent="0.2">
      <c r="B42" s="1008"/>
      <c r="C42" s="1008"/>
      <c r="D42" s="1008"/>
      <c r="E42" s="1008"/>
      <c r="F42" s="1008"/>
      <c r="G42" s="1008"/>
      <c r="H42" s="1008"/>
      <c r="I42" s="1008"/>
      <c r="J42" s="1008"/>
      <c r="K42" s="1008"/>
      <c r="L42" s="1008"/>
      <c r="M42" s="1008"/>
      <c r="N42" s="1008"/>
      <c r="O42" s="1008"/>
      <c r="P42" s="1008"/>
    </row>
    <row r="43" spans="2:16" x14ac:dyDescent="0.2">
      <c r="P43" s="267"/>
    </row>
    <row r="44" spans="2:16" x14ac:dyDescent="0.2">
      <c r="P44" s="267"/>
    </row>
    <row r="45" spans="2:16" x14ac:dyDescent="0.2">
      <c r="P45" s="267"/>
    </row>
    <row r="46" spans="2:16" ht="24" customHeight="1" x14ac:dyDescent="0.2">
      <c r="P46" s="267"/>
    </row>
    <row r="47" spans="2:16" ht="24" customHeight="1" x14ac:dyDescent="0.2">
      <c r="P47" s="267"/>
    </row>
    <row r="48" spans="2:16" x14ac:dyDescent="0.2">
      <c r="P48" s="267"/>
    </row>
    <row r="49" spans="16:16" x14ac:dyDescent="0.2">
      <c r="P49" s="267"/>
    </row>
    <row r="50" spans="16:16" x14ac:dyDescent="0.2">
      <c r="P50" s="267"/>
    </row>
    <row r="51" spans="16:16" x14ac:dyDescent="0.2">
      <c r="P51" s="267"/>
    </row>
    <row r="52" spans="16:16" x14ac:dyDescent="0.2">
      <c r="P52" s="267"/>
    </row>
    <row r="53" spans="16:16" x14ac:dyDescent="0.2">
      <c r="P53" s="267"/>
    </row>
    <row r="54" spans="16:16" x14ac:dyDescent="0.2">
      <c r="P54" s="267"/>
    </row>
    <row r="55" spans="16:16" x14ac:dyDescent="0.2">
      <c r="P55" s="267"/>
    </row>
    <row r="56" spans="16:16" ht="36" customHeight="1" x14ac:dyDescent="0.2">
      <c r="P56" s="267"/>
    </row>
    <row r="57" spans="16:16" x14ac:dyDescent="0.2">
      <c r="P57" s="267"/>
    </row>
    <row r="58" spans="16:16" x14ac:dyDescent="0.2">
      <c r="P58" s="267"/>
    </row>
    <row r="59" spans="16:16" x14ac:dyDescent="0.2">
      <c r="P59" s="267"/>
    </row>
    <row r="60" spans="16:16" x14ac:dyDescent="0.2">
      <c r="P60" s="267"/>
    </row>
    <row r="61" spans="16:16" x14ac:dyDescent="0.2">
      <c r="P61" s="267"/>
    </row>
    <row r="62" spans="16:16" x14ac:dyDescent="0.2">
      <c r="P62" s="267"/>
    </row>
    <row r="63" spans="16:16" x14ac:dyDescent="0.2">
      <c r="P63" s="267"/>
    </row>
    <row r="64" spans="16:16" x14ac:dyDescent="0.2">
      <c r="P64" s="267"/>
    </row>
    <row r="65" spans="2:16" x14ac:dyDescent="0.2">
      <c r="P65" s="267"/>
    </row>
    <row r="66" spans="2:16" ht="36" customHeight="1" x14ac:dyDescent="0.2">
      <c r="P66" s="267"/>
    </row>
    <row r="67" spans="2:16" ht="48" customHeight="1" x14ac:dyDescent="0.2">
      <c r="P67" s="267"/>
    </row>
    <row r="68" spans="2:16" x14ac:dyDescent="0.2">
      <c r="B68" s="977"/>
      <c r="C68" s="977"/>
      <c r="D68" s="977"/>
      <c r="E68" s="977"/>
      <c r="F68" s="977"/>
      <c r="G68" s="977"/>
      <c r="H68" s="977"/>
      <c r="I68" s="977"/>
      <c r="J68" s="977"/>
      <c r="K68" s="977"/>
      <c r="L68" s="977"/>
      <c r="M68" s="977"/>
      <c r="N68" s="977"/>
      <c r="P68" s="267"/>
    </row>
  </sheetData>
  <sheetProtection algorithmName="SHA-512" hashValue="CJcXh6lwA6/vingB3j0Im2PYv5plN89WUouDnL6kj+5AWW/2N30U7Pa/p0w8Pq+j4rY8cvugCFbQeN4ytx/uAw==" saltValue="gCfWI4k6be0LYmFvOO6b6Q==" spinCount="100000" sheet="1" objects="1" scenarios="1"/>
  <mergeCells count="111">
    <mergeCell ref="B36:P36"/>
    <mergeCell ref="B37:P42"/>
    <mergeCell ref="B68:C68"/>
    <mergeCell ref="D68:G68"/>
    <mergeCell ref="H68:L68"/>
    <mergeCell ref="M68:N68"/>
    <mergeCell ref="C34:D34"/>
    <mergeCell ref="G34:H34"/>
    <mergeCell ref="L34:M34"/>
    <mergeCell ref="N34:P34"/>
    <mergeCell ref="B35:D35"/>
    <mergeCell ref="G35:H35"/>
    <mergeCell ref="L35:M35"/>
    <mergeCell ref="N35:P35"/>
    <mergeCell ref="B28:P28"/>
    <mergeCell ref="B29:P29"/>
    <mergeCell ref="B30:P30"/>
    <mergeCell ref="B31:P31"/>
    <mergeCell ref="B32:P32"/>
    <mergeCell ref="B33:P33"/>
    <mergeCell ref="B25:D25"/>
    <mergeCell ref="G25:H25"/>
    <mergeCell ref="L25:M25"/>
    <mergeCell ref="N25:P25"/>
    <mergeCell ref="B26:P26"/>
    <mergeCell ref="B27:P27"/>
    <mergeCell ref="B23:D23"/>
    <mergeCell ref="G23:H23"/>
    <mergeCell ref="L23:M23"/>
    <mergeCell ref="N23:P23"/>
    <mergeCell ref="C24:D24"/>
    <mergeCell ref="G24:H24"/>
    <mergeCell ref="L24:M24"/>
    <mergeCell ref="N24:P24"/>
    <mergeCell ref="C22:D22"/>
    <mergeCell ref="G22:H22"/>
    <mergeCell ref="L22:M22"/>
    <mergeCell ref="N22:P22"/>
    <mergeCell ref="C21:D21"/>
    <mergeCell ref="G21:H21"/>
    <mergeCell ref="L21:M21"/>
    <mergeCell ref="N21:P21"/>
    <mergeCell ref="C19:D19"/>
    <mergeCell ref="G19:H19"/>
    <mergeCell ref="L19:M19"/>
    <mergeCell ref="N19:P19"/>
    <mergeCell ref="C20:D20"/>
    <mergeCell ref="G20:H20"/>
    <mergeCell ref="L20:M20"/>
    <mergeCell ref="N20:P20"/>
    <mergeCell ref="C17:D17"/>
    <mergeCell ref="G17:H17"/>
    <mergeCell ref="L17:M17"/>
    <mergeCell ref="N17:P17"/>
    <mergeCell ref="C18:D18"/>
    <mergeCell ref="G18:H18"/>
    <mergeCell ref="L18:M18"/>
    <mergeCell ref="N18:P18"/>
    <mergeCell ref="C15:D15"/>
    <mergeCell ref="G15:H15"/>
    <mergeCell ref="L15:M15"/>
    <mergeCell ref="N15:P15"/>
    <mergeCell ref="C16:D16"/>
    <mergeCell ref="G16:H16"/>
    <mergeCell ref="L16:M16"/>
    <mergeCell ref="N16:P16"/>
    <mergeCell ref="C13:D13"/>
    <mergeCell ref="G13:H13"/>
    <mergeCell ref="L13:M13"/>
    <mergeCell ref="N13:P13"/>
    <mergeCell ref="C14:D14"/>
    <mergeCell ref="G14:H14"/>
    <mergeCell ref="L14:M14"/>
    <mergeCell ref="N14:P14"/>
    <mergeCell ref="N9:P10"/>
    <mergeCell ref="C10:D10"/>
    <mergeCell ref="G10:H10"/>
    <mergeCell ref="L10:M10"/>
    <mergeCell ref="C11:D11"/>
    <mergeCell ref="G11:H11"/>
    <mergeCell ref="L11:M11"/>
    <mergeCell ref="N11:P11"/>
    <mergeCell ref="C12:D12"/>
    <mergeCell ref="G12:H12"/>
    <mergeCell ref="L12:M12"/>
    <mergeCell ref="N12:P12"/>
    <mergeCell ref="C8:D8"/>
    <mergeCell ref="E8:I8"/>
    <mergeCell ref="J8:K8"/>
    <mergeCell ref="L8:P8"/>
    <mergeCell ref="C9:D9"/>
    <mergeCell ref="E9:E10"/>
    <mergeCell ref="F9:I9"/>
    <mergeCell ref="J9:J10"/>
    <mergeCell ref="K9:K10"/>
    <mergeCell ref="L9:M9"/>
    <mergeCell ref="C6:D6"/>
    <mergeCell ref="G6:H6"/>
    <mergeCell ref="L6:M6"/>
    <mergeCell ref="N6:P6"/>
    <mergeCell ref="C7:D7"/>
    <mergeCell ref="G7:H7"/>
    <mergeCell ref="L7:M7"/>
    <mergeCell ref="N7:P7"/>
    <mergeCell ref="B4:I4"/>
    <mergeCell ref="L4:M4"/>
    <mergeCell ref="N4:P4"/>
    <mergeCell ref="C5:D5"/>
    <mergeCell ref="G5:H5"/>
    <mergeCell ref="L5:M5"/>
    <mergeCell ref="N5:P5"/>
  </mergeCells>
  <hyperlinks>
    <hyperlink ref="B2" location="Contents!A1" display="Back to Contents page" xr:uid="{67063622-D134-4477-9E49-D8C57CC649E7}"/>
  </hyperlinks>
  <pageMargins left="0.7" right="0.7" top="0.75" bottom="0.75" header="0.3" footer="0.3"/>
  <pageSetup paperSize="9" scale="24" orientation="portrait" horizontalDpi="144" verticalDpi="144" r:id="rId1"/>
  <ignoredErrors>
    <ignoredError sqref="B11:B21"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N19"/>
  <sheetViews>
    <sheetView workbookViewId="0"/>
  </sheetViews>
  <sheetFormatPr baseColWidth="10" defaultColWidth="9.21875" defaultRowHeight="28.5" customHeight="1" x14ac:dyDescent="0.25"/>
  <sheetData>
    <row r="2" spans="2:14" ht="28.5" customHeight="1" x14ac:dyDescent="0.25">
      <c r="B2" s="1012" t="s">
        <v>2166</v>
      </c>
      <c r="C2" s="1012"/>
      <c r="D2" s="1012"/>
      <c r="E2" s="1012"/>
      <c r="F2" s="1012"/>
      <c r="G2" s="1012"/>
      <c r="H2" s="1012"/>
      <c r="I2" s="1012"/>
      <c r="J2" s="1012"/>
      <c r="K2" s="1012"/>
      <c r="L2" s="1010"/>
      <c r="M2" s="1010"/>
      <c r="N2" s="146"/>
    </row>
    <row r="3" spans="2:14" ht="28.5" customHeight="1" x14ac:dyDescent="0.25">
      <c r="B3" s="146"/>
      <c r="C3" s="1010"/>
      <c r="D3" s="1010"/>
      <c r="E3" s="1010"/>
      <c r="F3" s="1010"/>
      <c r="G3" s="1010"/>
      <c r="H3" s="1010"/>
      <c r="I3" s="1010"/>
      <c r="J3" s="1010"/>
      <c r="K3" s="1010"/>
      <c r="L3" s="1010"/>
      <c r="M3" s="1010"/>
      <c r="N3" s="146"/>
    </row>
    <row r="4" spans="2:14" ht="28.5" customHeight="1" thickBot="1" x14ac:dyDescent="0.3">
      <c r="B4" s="146"/>
      <c r="C4" s="1010"/>
      <c r="D4" s="1010"/>
      <c r="E4" s="1010"/>
      <c r="F4" s="1010"/>
      <c r="G4" s="1011"/>
      <c r="H4" s="1011"/>
      <c r="I4" s="1011"/>
      <c r="J4" s="1011"/>
      <c r="K4" s="1011"/>
      <c r="L4" s="1010"/>
      <c r="M4" s="1010"/>
      <c r="N4" s="146"/>
    </row>
    <row r="5" spans="2:14" ht="28.5" customHeight="1" thickBot="1" x14ac:dyDescent="0.3">
      <c r="B5" s="146"/>
      <c r="C5" s="1010"/>
      <c r="D5" s="1010"/>
      <c r="E5" s="1010"/>
      <c r="F5" s="1013"/>
      <c r="G5" s="1014" t="s">
        <v>161</v>
      </c>
      <c r="H5" s="1015"/>
      <c r="I5" s="1015"/>
      <c r="J5" s="1015"/>
      <c r="K5" s="1016"/>
      <c r="L5" s="1017"/>
      <c r="M5" s="1010"/>
      <c r="N5" s="146"/>
    </row>
    <row r="6" spans="2:14" ht="28.5" customHeight="1" thickBot="1" x14ac:dyDescent="0.3">
      <c r="B6" s="147"/>
      <c r="C6" s="1011"/>
      <c r="D6" s="1011"/>
      <c r="E6" s="1011"/>
      <c r="F6" s="1018"/>
      <c r="G6" s="1019" t="s">
        <v>2167</v>
      </c>
      <c r="H6" s="1020"/>
      <c r="I6" s="1020"/>
      <c r="J6" s="1020"/>
      <c r="K6" s="1021"/>
      <c r="L6" s="1017"/>
      <c r="M6" s="1010"/>
      <c r="N6" s="146"/>
    </row>
    <row r="7" spans="2:14" ht="28.5" customHeight="1" thickBot="1" x14ac:dyDescent="0.3">
      <c r="B7" s="93" t="s">
        <v>289</v>
      </c>
      <c r="C7" s="1022" t="s">
        <v>2168</v>
      </c>
      <c r="D7" s="1023"/>
      <c r="E7" s="1023"/>
      <c r="F7" s="1024"/>
      <c r="G7" s="1025" t="s">
        <v>2169</v>
      </c>
      <c r="H7" s="1026"/>
      <c r="I7" s="1026"/>
      <c r="J7" s="1026"/>
      <c r="K7" s="1027"/>
      <c r="L7" s="1017"/>
      <c r="M7" s="1010"/>
      <c r="N7" s="146"/>
    </row>
    <row r="8" spans="2:14" ht="36" customHeight="1" thickBot="1" x14ac:dyDescent="0.3">
      <c r="B8" s="89" t="s">
        <v>291</v>
      </c>
      <c r="C8" s="1028" t="s">
        <v>2170</v>
      </c>
      <c r="D8" s="1029"/>
      <c r="E8" s="1029"/>
      <c r="F8" s="1030"/>
      <c r="G8" s="1025" t="s">
        <v>2171</v>
      </c>
      <c r="H8" s="1026"/>
      <c r="I8" s="1026"/>
      <c r="J8" s="1026"/>
      <c r="K8" s="1027"/>
      <c r="L8" s="1017"/>
      <c r="M8" s="1010"/>
      <c r="N8" s="146"/>
    </row>
    <row r="9" spans="2:14" ht="28.5" customHeight="1" x14ac:dyDescent="0.25">
      <c r="B9" s="148"/>
      <c r="C9" s="1031"/>
      <c r="D9" s="1031"/>
      <c r="E9" s="1031"/>
      <c r="F9" s="1031"/>
      <c r="G9" s="1031"/>
      <c r="H9" s="1031"/>
      <c r="I9" s="1031"/>
      <c r="J9" s="1031"/>
      <c r="K9" s="1031"/>
      <c r="L9" s="1010"/>
      <c r="M9" s="1010"/>
      <c r="N9" s="146"/>
    </row>
    <row r="10" spans="2:14" ht="28.5" customHeight="1" x14ac:dyDescent="0.25">
      <c r="B10" s="1032"/>
      <c r="C10" s="1032"/>
      <c r="D10" s="1032"/>
      <c r="E10" s="1032"/>
      <c r="F10" s="1032"/>
      <c r="G10" s="1010"/>
      <c r="H10" s="1010"/>
      <c r="I10" s="1010"/>
      <c r="J10" s="1010"/>
      <c r="K10" s="1010"/>
      <c r="L10" s="1010"/>
      <c r="M10" s="1010"/>
      <c r="N10" s="146"/>
    </row>
    <row r="11" spans="2:14" ht="28.5" customHeight="1" x14ac:dyDescent="0.25">
      <c r="B11" s="146"/>
      <c r="C11" s="1010"/>
      <c r="D11" s="1010"/>
      <c r="E11" s="1010"/>
      <c r="F11" s="1010"/>
      <c r="G11" s="1010"/>
      <c r="H11" s="1010"/>
      <c r="I11" s="1010"/>
      <c r="J11" s="1010"/>
      <c r="K11" s="1010"/>
      <c r="L11" s="1010"/>
      <c r="M11" s="1010"/>
      <c r="N11" s="146"/>
    </row>
    <row r="12" spans="2:14" ht="28.5" customHeight="1" x14ac:dyDescent="0.25">
      <c r="B12" s="216"/>
      <c r="C12" s="1010"/>
      <c r="D12" s="1010"/>
      <c r="E12" s="1010"/>
      <c r="F12" s="1010"/>
      <c r="G12" s="1010"/>
      <c r="H12" s="1010"/>
      <c r="I12" s="1010"/>
      <c r="J12" s="1010"/>
      <c r="K12" s="1010"/>
      <c r="L12" s="1010"/>
      <c r="M12" s="1010"/>
      <c r="N12" s="146"/>
    </row>
    <row r="13" spans="2:14" ht="28.5" customHeight="1" x14ac:dyDescent="0.25">
      <c r="B13" s="1035"/>
      <c r="C13" s="1035"/>
      <c r="D13" s="1035"/>
      <c r="E13" s="1035"/>
      <c r="F13" s="1035"/>
      <c r="G13" s="1035"/>
      <c r="H13" s="1035"/>
      <c r="I13" s="1035"/>
      <c r="J13" s="1035"/>
      <c r="K13" s="1035"/>
      <c r="L13" s="1035"/>
      <c r="M13" s="1035"/>
      <c r="N13" s="95"/>
    </row>
    <row r="14" spans="2:14" ht="28.5" customHeight="1" x14ac:dyDescent="0.25">
      <c r="B14" s="1035"/>
      <c r="C14" s="1035"/>
      <c r="D14" s="1035"/>
      <c r="E14" s="1035"/>
      <c r="F14" s="1035"/>
      <c r="G14" s="1035"/>
      <c r="H14" s="1035"/>
      <c r="I14" s="1035"/>
      <c r="J14" s="1035"/>
      <c r="K14" s="1035"/>
      <c r="L14" s="1035"/>
      <c r="M14" s="1035"/>
      <c r="N14" s="95"/>
    </row>
    <row r="15" spans="2:14" ht="28.5" customHeight="1" x14ac:dyDescent="0.25">
      <c r="B15" s="146"/>
      <c r="C15" s="1010"/>
      <c r="D15" s="1010"/>
      <c r="E15" s="1010"/>
      <c r="F15" s="1010"/>
      <c r="G15" s="1010"/>
      <c r="H15" s="1010"/>
      <c r="I15" s="1010"/>
      <c r="J15" s="1010"/>
      <c r="K15" s="1010"/>
      <c r="L15" s="1010"/>
      <c r="M15" s="1010"/>
      <c r="N15" s="146"/>
    </row>
    <row r="16" spans="2:14" ht="28.5" customHeight="1" x14ac:dyDescent="0.25">
      <c r="B16" s="216"/>
      <c r="C16" s="1010"/>
      <c r="D16" s="1010"/>
      <c r="E16" s="1010"/>
      <c r="F16" s="1010"/>
      <c r="G16" s="1010"/>
      <c r="H16" s="1010"/>
      <c r="I16" s="1010"/>
      <c r="J16" s="1010"/>
      <c r="K16" s="1010"/>
      <c r="L16" s="1010"/>
      <c r="M16" s="1010"/>
      <c r="N16" s="146"/>
    </row>
    <row r="17" spans="2:14" ht="28.5" customHeight="1" x14ac:dyDescent="0.25">
      <c r="B17" s="1033"/>
      <c r="C17" s="1033"/>
      <c r="D17" s="1033"/>
      <c r="E17" s="1033"/>
      <c r="F17" s="1033"/>
      <c r="G17" s="1033"/>
      <c r="H17" s="1033"/>
      <c r="I17" s="1033"/>
      <c r="J17" s="1033"/>
      <c r="K17" s="1033"/>
      <c r="L17" s="1033"/>
      <c r="M17" s="1033"/>
      <c r="N17" s="96"/>
    </row>
    <row r="18" spans="2:14" ht="48" customHeight="1" x14ac:dyDescent="0.25">
      <c r="B18" s="1034"/>
      <c r="C18" s="1034"/>
      <c r="D18" s="1034"/>
      <c r="E18" s="1034"/>
      <c r="F18" s="1034"/>
      <c r="G18" s="1034"/>
      <c r="H18" s="1034"/>
      <c r="I18" s="1034"/>
      <c r="J18" s="1034"/>
      <c r="K18" s="1034"/>
      <c r="L18" s="1034"/>
      <c r="M18" s="1034"/>
      <c r="N18" s="96"/>
    </row>
    <row r="19" spans="2:14" ht="63.75" customHeight="1" x14ac:dyDescent="0.25">
      <c r="B19" s="1034"/>
      <c r="C19" s="1034"/>
      <c r="D19" s="1034"/>
      <c r="E19" s="1034"/>
      <c r="F19" s="1034"/>
      <c r="G19" s="1034"/>
      <c r="H19" s="1034"/>
      <c r="I19" s="1034"/>
      <c r="J19" s="1034"/>
      <c r="K19" s="1034"/>
      <c r="L19" s="1034"/>
      <c r="M19" s="1034"/>
      <c r="N19" s="96"/>
    </row>
  </sheetData>
  <mergeCells count="43">
    <mergeCell ref="B17:M17"/>
    <mergeCell ref="B18:M18"/>
    <mergeCell ref="B19:M19"/>
    <mergeCell ref="B13:M13"/>
    <mergeCell ref="B14:M14"/>
    <mergeCell ref="C15:F15"/>
    <mergeCell ref="G15:K15"/>
    <mergeCell ref="L15:M15"/>
    <mergeCell ref="C16:F16"/>
    <mergeCell ref="G16:K16"/>
    <mergeCell ref="L16:M16"/>
    <mergeCell ref="C11:F11"/>
    <mergeCell ref="G11:K11"/>
    <mergeCell ref="L11:M11"/>
    <mergeCell ref="C12:F12"/>
    <mergeCell ref="G12:K12"/>
    <mergeCell ref="L12:M12"/>
    <mergeCell ref="C9:F9"/>
    <mergeCell ref="G9:K9"/>
    <mergeCell ref="L9:M9"/>
    <mergeCell ref="B10:F10"/>
    <mergeCell ref="G10:K10"/>
    <mergeCell ref="L10:M10"/>
    <mergeCell ref="C7:F7"/>
    <mergeCell ref="G7:K7"/>
    <mergeCell ref="L7:M7"/>
    <mergeCell ref="C8:F8"/>
    <mergeCell ref="G8:K8"/>
    <mergeCell ref="L8:M8"/>
    <mergeCell ref="C5:F5"/>
    <mergeCell ref="G5:K5"/>
    <mergeCell ref="L5:M5"/>
    <mergeCell ref="C6:F6"/>
    <mergeCell ref="G6:K6"/>
    <mergeCell ref="L6:M6"/>
    <mergeCell ref="C4:F4"/>
    <mergeCell ref="G4:K4"/>
    <mergeCell ref="L4:M4"/>
    <mergeCell ref="B2:K2"/>
    <mergeCell ref="L2:M2"/>
    <mergeCell ref="C3:F3"/>
    <mergeCell ref="G3:K3"/>
    <mergeCell ref="L3:M3"/>
  </mergeCell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AC51"/>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334" customWidth="1"/>
    <col min="2" max="2" width="7.109375" style="334" customWidth="1"/>
    <col min="3" max="3" width="9.21875" style="334"/>
    <col min="4" max="4" width="21.21875" style="334" customWidth="1"/>
    <col min="5" max="5" width="7.77734375" style="334" customWidth="1"/>
    <col min="6" max="8" width="3" style="334" customWidth="1"/>
    <col min="9" max="16" width="4.109375" style="334" customWidth="1"/>
    <col min="17" max="19" width="2.77734375" style="334" customWidth="1"/>
    <col min="20" max="29" width="4.5546875" style="334" customWidth="1"/>
    <col min="30" max="16384" width="9.21875" style="334"/>
  </cols>
  <sheetData>
    <row r="2" spans="2:29" ht="15" x14ac:dyDescent="0.25">
      <c r="B2" s="940" t="s">
        <v>3521</v>
      </c>
    </row>
    <row r="4" spans="2:29" ht="21" x14ac:dyDescent="0.2">
      <c r="B4" s="373" t="s">
        <v>2172</v>
      </c>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row>
    <row r="5" spans="2:29" x14ac:dyDescent="0.2">
      <c r="C5" s="1039"/>
      <c r="D5" s="1039"/>
      <c r="F5" s="1039"/>
      <c r="G5" s="1039"/>
      <c r="H5" s="1039"/>
      <c r="I5" s="1039"/>
      <c r="J5" s="1039"/>
      <c r="K5" s="1039"/>
      <c r="L5" s="1039"/>
      <c r="M5" s="1039"/>
      <c r="N5" s="1039"/>
      <c r="O5" s="1039"/>
      <c r="P5" s="1039"/>
      <c r="Q5" s="1039"/>
      <c r="R5" s="1039"/>
      <c r="S5" s="1039"/>
      <c r="T5" s="1039"/>
      <c r="U5" s="1039"/>
      <c r="V5" s="1039"/>
      <c r="W5" s="1039"/>
      <c r="X5" s="1039"/>
      <c r="Y5" s="1039"/>
      <c r="Z5" s="1039"/>
      <c r="AA5" s="1039"/>
      <c r="AB5" s="1039"/>
      <c r="AC5" s="1039"/>
    </row>
    <row r="6" spans="2:29" x14ac:dyDescent="0.2">
      <c r="C6" s="1039"/>
      <c r="D6" s="1039"/>
      <c r="F6" s="1039"/>
      <c r="G6" s="1039"/>
      <c r="H6" s="1039"/>
      <c r="I6" s="1039"/>
      <c r="J6" s="1039"/>
      <c r="K6" s="1039"/>
      <c r="L6" s="1039"/>
      <c r="M6" s="1039"/>
      <c r="N6" s="1039"/>
      <c r="O6" s="1039"/>
      <c r="P6" s="1039"/>
      <c r="Q6" s="1039"/>
      <c r="R6" s="1039"/>
      <c r="S6" s="1039"/>
      <c r="T6" s="1039"/>
      <c r="U6" s="1039"/>
      <c r="V6" s="1039"/>
      <c r="W6" s="1039"/>
      <c r="X6" s="1039"/>
      <c r="Y6" s="1039"/>
      <c r="Z6" s="1039"/>
      <c r="AA6" s="1039"/>
      <c r="AB6" s="1039"/>
      <c r="AC6" s="1039"/>
    </row>
    <row r="7" spans="2:29" x14ac:dyDescent="0.2">
      <c r="C7" s="1039"/>
      <c r="D7" s="1039"/>
      <c r="F7" s="1039"/>
      <c r="G7" s="1039"/>
      <c r="H7" s="1039"/>
      <c r="I7" s="1039"/>
      <c r="J7" s="1039"/>
      <c r="K7" s="1039"/>
      <c r="L7" s="1039"/>
      <c r="M7" s="1039"/>
      <c r="N7" s="1039"/>
      <c r="O7" s="1039"/>
      <c r="P7" s="1039"/>
      <c r="Q7" s="1039"/>
      <c r="R7" s="1039"/>
      <c r="S7" s="1039"/>
      <c r="T7" s="1039"/>
      <c r="U7" s="1039"/>
      <c r="V7" s="1039"/>
      <c r="W7" s="1039"/>
      <c r="X7" s="1039"/>
      <c r="Y7" s="1039"/>
      <c r="Z7" s="1039"/>
      <c r="AA7" s="1039"/>
      <c r="AB7" s="1039"/>
      <c r="AC7" s="1039"/>
    </row>
    <row r="8" spans="2:29" x14ac:dyDescent="0.2">
      <c r="C8" s="1041"/>
      <c r="D8" s="1041"/>
      <c r="E8" s="549" t="s">
        <v>161</v>
      </c>
      <c r="F8" s="1040" t="s">
        <v>162</v>
      </c>
      <c r="G8" s="1040"/>
      <c r="H8" s="1040"/>
      <c r="I8" s="1040" t="s">
        <v>163</v>
      </c>
      <c r="J8" s="1040"/>
      <c r="K8" s="1040" t="s">
        <v>200</v>
      </c>
      <c r="L8" s="1040"/>
      <c r="M8" s="1040" t="s">
        <v>201</v>
      </c>
      <c r="N8" s="1040"/>
      <c r="O8" s="1040" t="s">
        <v>266</v>
      </c>
      <c r="P8" s="1040"/>
      <c r="Q8" s="1040" t="s">
        <v>267</v>
      </c>
      <c r="R8" s="1040"/>
      <c r="S8" s="1040"/>
      <c r="T8" s="1040" t="s">
        <v>268</v>
      </c>
      <c r="U8" s="1040"/>
      <c r="V8" s="1040" t="s">
        <v>269</v>
      </c>
      <c r="W8" s="1040"/>
      <c r="X8" s="1040" t="s">
        <v>270</v>
      </c>
      <c r="Y8" s="1040"/>
      <c r="Z8" s="1040" t="s">
        <v>271</v>
      </c>
      <c r="AA8" s="1040"/>
      <c r="AB8" s="1040" t="s">
        <v>272</v>
      </c>
      <c r="AC8" s="1040"/>
    </row>
    <row r="9" spans="2:29" x14ac:dyDescent="0.2">
      <c r="B9" s="335"/>
      <c r="C9" s="1042"/>
      <c r="D9" s="1042"/>
      <c r="E9" s="1043" t="s">
        <v>2173</v>
      </c>
      <c r="F9" s="1043"/>
      <c r="G9" s="1043"/>
      <c r="H9" s="1043"/>
      <c r="I9" s="1043"/>
      <c r="J9" s="1043"/>
      <c r="K9" s="1043"/>
      <c r="L9" s="1043"/>
      <c r="M9" s="1043"/>
      <c r="N9" s="1043"/>
      <c r="O9" s="1043"/>
      <c r="P9" s="1043"/>
      <c r="Q9" s="1043"/>
      <c r="R9" s="1043"/>
      <c r="S9" s="1043"/>
      <c r="T9" s="1043"/>
      <c r="U9" s="1043"/>
      <c r="V9" s="1043"/>
      <c r="W9" s="1043"/>
      <c r="X9" s="1043"/>
      <c r="Y9" s="1043"/>
      <c r="Z9" s="1043"/>
      <c r="AA9" s="1043"/>
      <c r="AB9" s="1043"/>
      <c r="AC9" s="1043"/>
    </row>
    <row r="10" spans="2:29" ht="15" customHeight="1" x14ac:dyDescent="0.2">
      <c r="B10" s="335"/>
      <c r="C10" s="1042"/>
      <c r="D10" s="1042"/>
      <c r="E10" s="1044" t="s">
        <v>903</v>
      </c>
      <c r="F10" s="1045"/>
      <c r="G10" s="1045"/>
      <c r="H10" s="1045"/>
      <c r="I10" s="1045"/>
      <c r="J10" s="1046"/>
      <c r="K10" s="1047" t="s">
        <v>904</v>
      </c>
      <c r="L10" s="1047"/>
      <c r="M10" s="1048"/>
      <c r="N10" s="1048"/>
      <c r="O10" s="1048"/>
      <c r="P10" s="1048"/>
      <c r="Q10" s="1048"/>
      <c r="R10" s="1048"/>
      <c r="S10" s="1048"/>
      <c r="T10" s="1048"/>
      <c r="U10" s="1048"/>
      <c r="V10" s="1048"/>
      <c r="W10" s="1048"/>
      <c r="X10" s="1048"/>
      <c r="Y10" s="1048"/>
      <c r="Z10" s="1048"/>
      <c r="AA10" s="1048"/>
      <c r="AB10" s="1048"/>
      <c r="AC10" s="1048"/>
    </row>
    <row r="11" spans="2:29" ht="81" customHeight="1" x14ac:dyDescent="0.2">
      <c r="C11" s="1041"/>
      <c r="D11" s="1041"/>
      <c r="E11" s="546"/>
      <c r="F11" s="1049" t="s">
        <v>2174</v>
      </c>
      <c r="G11" s="1049"/>
      <c r="H11" s="1049"/>
      <c r="I11" s="1049" t="s">
        <v>2175</v>
      </c>
      <c r="J11" s="1050"/>
      <c r="K11" s="1051"/>
      <c r="L11" s="1041"/>
      <c r="M11" s="1049" t="s">
        <v>2176</v>
      </c>
      <c r="N11" s="1049"/>
      <c r="O11" s="1049" t="s">
        <v>2177</v>
      </c>
      <c r="P11" s="1049"/>
      <c r="Q11" s="1049" t="s">
        <v>2178</v>
      </c>
      <c r="R11" s="1049"/>
      <c r="S11" s="1049"/>
      <c r="T11" s="1049" t="s">
        <v>2179</v>
      </c>
      <c r="U11" s="1049"/>
      <c r="V11" s="1049" t="s">
        <v>2180</v>
      </c>
      <c r="W11" s="1049"/>
      <c r="X11" s="1049" t="s">
        <v>2181</v>
      </c>
      <c r="Y11" s="1049"/>
      <c r="Z11" s="1049" t="s">
        <v>2182</v>
      </c>
      <c r="AA11" s="1049"/>
      <c r="AB11" s="1049" t="s">
        <v>2157</v>
      </c>
      <c r="AC11" s="1049"/>
    </row>
    <row r="12" spans="2:29" ht="24.95" customHeight="1" x14ac:dyDescent="0.2">
      <c r="B12" s="550" t="s">
        <v>912</v>
      </c>
      <c r="C12" s="1036" t="s">
        <v>913</v>
      </c>
      <c r="D12" s="1037"/>
      <c r="E12" s="551">
        <f>876147173/1000000</f>
        <v>876.14717299999995</v>
      </c>
      <c r="F12" s="1057">
        <f>876147173/1000000</f>
        <v>876.14717299999995</v>
      </c>
      <c r="G12" s="1057"/>
      <c r="H12" s="1057"/>
      <c r="I12" s="1052"/>
      <c r="J12" s="1052"/>
      <c r="K12" s="1052"/>
      <c r="L12" s="1052"/>
      <c r="M12" s="1052"/>
      <c r="N12" s="1052"/>
      <c r="O12" s="1052"/>
      <c r="P12" s="1052"/>
      <c r="Q12" s="1052"/>
      <c r="R12" s="1052"/>
      <c r="S12" s="1052"/>
      <c r="T12" s="1052"/>
      <c r="U12" s="1052"/>
      <c r="V12" s="1052"/>
      <c r="W12" s="1052"/>
      <c r="X12" s="1052"/>
      <c r="Y12" s="1052"/>
      <c r="Z12" s="1052"/>
      <c r="AA12" s="1052"/>
      <c r="AB12" s="1052"/>
      <c r="AC12" s="1052"/>
    </row>
    <row r="13" spans="2:29" ht="20.100000000000001" customHeight="1" x14ac:dyDescent="0.2">
      <c r="B13" s="550" t="s">
        <v>289</v>
      </c>
      <c r="C13" s="1036" t="s">
        <v>914</v>
      </c>
      <c r="D13" s="1037"/>
      <c r="E13" s="551">
        <f>138705538182/1000000</f>
        <v>138705.53818199999</v>
      </c>
      <c r="F13" s="1000">
        <f>138697074494/1000000</f>
        <v>138697.074494</v>
      </c>
      <c r="G13" s="1000"/>
      <c r="H13" s="1000"/>
      <c r="I13" s="1000">
        <f>8463688/1000000</f>
        <v>8.4636879999999994</v>
      </c>
      <c r="J13" s="1000"/>
      <c r="K13" s="1038">
        <f>743943662/1000000</f>
        <v>743.94366200000002</v>
      </c>
      <c r="L13" s="1000"/>
      <c r="M13" s="1000">
        <f>88841411/1000000</f>
        <v>88.841410999999994</v>
      </c>
      <c r="N13" s="1000"/>
      <c r="O13" s="1000">
        <f>83569207/1000000</f>
        <v>83.569207000000006</v>
      </c>
      <c r="P13" s="1000"/>
      <c r="Q13" s="1000">
        <f>295531426/1000000</f>
        <v>295.53142600000001</v>
      </c>
      <c r="R13" s="1000"/>
      <c r="S13" s="1000"/>
      <c r="T13" s="1000">
        <f>140345916/1000000</f>
        <v>140.34591599999999</v>
      </c>
      <c r="U13" s="1000"/>
      <c r="V13" s="1000">
        <f>126113432/1000000</f>
        <v>126.113432</v>
      </c>
      <c r="W13" s="1000"/>
      <c r="X13" s="1000">
        <f>7362769/1000000</f>
        <v>7.3627690000000001</v>
      </c>
      <c r="Y13" s="1000"/>
      <c r="Z13" s="1000">
        <f>2179502/1000000</f>
        <v>2.1795019999999998</v>
      </c>
      <c r="AA13" s="1000"/>
      <c r="AB13" s="1000">
        <f>52231188/1000000</f>
        <v>52.231188000000003</v>
      </c>
      <c r="AC13" s="1000"/>
    </row>
    <row r="14" spans="2:29" ht="20.100000000000001" customHeight="1" x14ac:dyDescent="0.2">
      <c r="B14" s="544" t="s">
        <v>291</v>
      </c>
      <c r="C14" s="1053" t="s">
        <v>2159</v>
      </c>
      <c r="D14" s="1054"/>
      <c r="E14" s="547"/>
      <c r="F14" s="1055"/>
      <c r="G14" s="1055"/>
      <c r="H14" s="1055"/>
      <c r="I14" s="1055"/>
      <c r="J14" s="1055"/>
      <c r="K14" s="1056"/>
      <c r="L14" s="1055"/>
      <c r="M14" s="1055"/>
      <c r="N14" s="1055"/>
      <c r="O14" s="1055"/>
      <c r="P14" s="1055"/>
      <c r="Q14" s="1055"/>
      <c r="R14" s="1055"/>
      <c r="S14" s="1055"/>
      <c r="T14" s="1055"/>
      <c r="U14" s="1055"/>
      <c r="V14" s="1055"/>
      <c r="W14" s="1055"/>
      <c r="X14" s="1055"/>
      <c r="Y14" s="1055"/>
      <c r="Z14" s="1055"/>
      <c r="AA14" s="1055"/>
      <c r="AB14" s="1055"/>
      <c r="AC14" s="1055"/>
    </row>
    <row r="15" spans="2:29" ht="20.100000000000001" customHeight="1" x14ac:dyDescent="0.2">
      <c r="B15" s="544" t="s">
        <v>916</v>
      </c>
      <c r="C15" s="1053" t="s">
        <v>2160</v>
      </c>
      <c r="D15" s="1054"/>
      <c r="E15" s="547">
        <f>226916437/1000000</f>
        <v>226.916437</v>
      </c>
      <c r="F15" s="1055">
        <f>226916437/1000000</f>
        <v>226.916437</v>
      </c>
      <c r="G15" s="1055"/>
      <c r="H15" s="1055"/>
      <c r="I15" s="1055"/>
      <c r="J15" s="1055"/>
      <c r="K15" s="1056"/>
      <c r="L15" s="1055"/>
      <c r="M15" s="1055"/>
      <c r="N15" s="1055"/>
      <c r="O15" s="1055"/>
      <c r="P15" s="1055"/>
      <c r="Q15" s="1055"/>
      <c r="R15" s="1055"/>
      <c r="S15" s="1055"/>
      <c r="T15" s="1055"/>
      <c r="U15" s="1055"/>
      <c r="V15" s="1055"/>
      <c r="W15" s="1055"/>
      <c r="X15" s="1055"/>
      <c r="Y15" s="1055"/>
      <c r="Z15" s="1055"/>
      <c r="AA15" s="1055"/>
      <c r="AB15" s="1055"/>
      <c r="AC15" s="1055"/>
    </row>
    <row r="16" spans="2:29" ht="20.100000000000001" customHeight="1" x14ac:dyDescent="0.2">
      <c r="B16" s="544" t="s">
        <v>918</v>
      </c>
      <c r="C16" s="1053" t="s">
        <v>2161</v>
      </c>
      <c r="D16" s="1054"/>
      <c r="E16" s="547">
        <f>1245382210/1000000</f>
        <v>1245.38221</v>
      </c>
      <c r="F16" s="1055">
        <f>1245382210/1000000</f>
        <v>1245.38221</v>
      </c>
      <c r="G16" s="1055"/>
      <c r="H16" s="1055"/>
      <c r="I16" s="1055"/>
      <c r="J16" s="1055"/>
      <c r="K16" s="1056"/>
      <c r="L16" s="1055"/>
      <c r="M16" s="1055"/>
      <c r="N16" s="1055"/>
      <c r="O16" s="1055"/>
      <c r="P16" s="1055"/>
      <c r="Q16" s="1055"/>
      <c r="R16" s="1055"/>
      <c r="S16" s="1055"/>
      <c r="T16" s="1055"/>
      <c r="U16" s="1055"/>
      <c r="V16" s="1055"/>
      <c r="W16" s="1055"/>
      <c r="X16" s="1055"/>
      <c r="Y16" s="1055"/>
      <c r="Z16" s="1055"/>
      <c r="AA16" s="1055"/>
      <c r="AB16" s="1055"/>
      <c r="AC16" s="1055"/>
    </row>
    <row r="17" spans="2:29" ht="20.100000000000001" customHeight="1" x14ac:dyDescent="0.2">
      <c r="B17" s="544" t="s">
        <v>920</v>
      </c>
      <c r="C17" s="1053" t="s">
        <v>2162</v>
      </c>
      <c r="D17" s="1054"/>
      <c r="E17" s="547">
        <f>1402506654/1000000</f>
        <v>1402.506654</v>
      </c>
      <c r="F17" s="1055">
        <f>1402506654/1000000</f>
        <v>1402.506654</v>
      </c>
      <c r="G17" s="1055"/>
      <c r="H17" s="1055"/>
      <c r="I17" s="1055"/>
      <c r="J17" s="1055"/>
      <c r="K17" s="1056"/>
      <c r="L17" s="1055"/>
      <c r="M17" s="1055"/>
      <c r="N17" s="1055"/>
      <c r="O17" s="1055"/>
      <c r="P17" s="1055"/>
      <c r="Q17" s="1055"/>
      <c r="R17" s="1055"/>
      <c r="S17" s="1055"/>
      <c r="T17" s="1055"/>
      <c r="U17" s="1055"/>
      <c r="V17" s="1055"/>
      <c r="W17" s="1055"/>
      <c r="X17" s="1055"/>
      <c r="Y17" s="1055"/>
      <c r="Z17" s="1055"/>
      <c r="AA17" s="1055"/>
      <c r="AB17" s="1055"/>
      <c r="AC17" s="1055"/>
    </row>
    <row r="18" spans="2:29" ht="20.100000000000001" customHeight="1" x14ac:dyDescent="0.2">
      <c r="B18" s="544" t="s">
        <v>922</v>
      </c>
      <c r="C18" s="1053" t="s">
        <v>2163</v>
      </c>
      <c r="D18" s="1054"/>
      <c r="E18" s="547">
        <f>39823070105/1000000</f>
        <v>39823.070104999999</v>
      </c>
      <c r="F18" s="1055">
        <f>39821973472/1000000</f>
        <v>39821.973471999998</v>
      </c>
      <c r="G18" s="1055"/>
      <c r="H18" s="1055"/>
      <c r="I18" s="1055">
        <f>1096634/1000000</f>
        <v>1.0966340000000001</v>
      </c>
      <c r="J18" s="1055"/>
      <c r="K18" s="1056">
        <f>426938531/1000000</f>
        <v>426.93853100000001</v>
      </c>
      <c r="L18" s="1055"/>
      <c r="M18" s="1055">
        <f>31951453/1000000</f>
        <v>31.951453000000001</v>
      </c>
      <c r="N18" s="1055"/>
      <c r="O18" s="1055">
        <f>14015140/1000000</f>
        <v>14.015140000000001</v>
      </c>
      <c r="P18" s="1055"/>
      <c r="Q18" s="1058">
        <f>233614990/1000000</f>
        <v>233.61499000000001</v>
      </c>
      <c r="R18" s="1058"/>
      <c r="S18" s="1058"/>
      <c r="T18" s="1055">
        <f>78640716/1000000</f>
        <v>78.640715999999998</v>
      </c>
      <c r="U18" s="1055"/>
      <c r="V18" s="1055">
        <f>67706191/1000000</f>
        <v>67.706191000000004</v>
      </c>
      <c r="W18" s="1055"/>
      <c r="X18" s="1055">
        <f>1010041/1000000</f>
        <v>1.010041</v>
      </c>
      <c r="Y18" s="1055"/>
      <c r="Z18" s="1055"/>
      <c r="AA18" s="1055"/>
      <c r="AB18" s="1055">
        <f>10278406/1000000</f>
        <v>10.278406</v>
      </c>
      <c r="AC18" s="1055"/>
    </row>
    <row r="19" spans="2:29" ht="20.100000000000001" customHeight="1" x14ac:dyDescent="0.2">
      <c r="B19" s="544" t="s">
        <v>924</v>
      </c>
      <c r="C19" s="1053" t="s">
        <v>2183</v>
      </c>
      <c r="D19" s="1054"/>
      <c r="E19" s="547">
        <f>24167058954/1000000</f>
        <v>24167.058954</v>
      </c>
      <c r="F19" s="1055">
        <f>24167058954/1000000</f>
        <v>24167.058954</v>
      </c>
      <c r="G19" s="1055"/>
      <c r="H19" s="1055"/>
      <c r="I19" s="1055"/>
      <c r="J19" s="1055"/>
      <c r="K19" s="1056">
        <f>333731429/1000000</f>
        <v>333.73142899999999</v>
      </c>
      <c r="L19" s="1055"/>
      <c r="M19" s="1055">
        <f>6252811/1000000</f>
        <v>6.2528110000000003</v>
      </c>
      <c r="N19" s="1055"/>
      <c r="O19" s="1055">
        <f>453230/1000000</f>
        <v>0.45323000000000002</v>
      </c>
      <c r="P19" s="1055"/>
      <c r="Q19" s="1055">
        <f>203660030/1000000</f>
        <v>203.66003000000001</v>
      </c>
      <c r="R19" s="1055"/>
      <c r="S19" s="1055"/>
      <c r="T19" s="1055">
        <f>64720996/1000000</f>
        <v>64.720996</v>
      </c>
      <c r="U19" s="1055"/>
      <c r="V19" s="1055">
        <f>58644362/1000000</f>
        <v>58.644362000000001</v>
      </c>
      <c r="W19" s="1055"/>
      <c r="X19" s="1055"/>
      <c r="Y19" s="1055"/>
      <c r="Z19" s="1055"/>
      <c r="AA19" s="1055"/>
      <c r="AB19" s="1055"/>
      <c r="AC19" s="1055"/>
    </row>
    <row r="20" spans="2:29" ht="20.100000000000001" customHeight="1" x14ac:dyDescent="0.2">
      <c r="B20" s="544" t="s">
        <v>926</v>
      </c>
      <c r="C20" s="1053" t="s">
        <v>2164</v>
      </c>
      <c r="D20" s="1054"/>
      <c r="E20" s="547">
        <f>96007662775/1000000</f>
        <v>96007.662775000004</v>
      </c>
      <c r="F20" s="1055">
        <f>96000295721/1000000</f>
        <v>96000.295721000002</v>
      </c>
      <c r="G20" s="1055"/>
      <c r="H20" s="1055"/>
      <c r="I20" s="1055">
        <f>7367054/1000000</f>
        <v>7.3670540000000004</v>
      </c>
      <c r="J20" s="1055"/>
      <c r="K20" s="1056">
        <f>317005132/1000000</f>
        <v>317.005132</v>
      </c>
      <c r="L20" s="1055"/>
      <c r="M20" s="1055">
        <f>56889958/1000000</f>
        <v>56.889958</v>
      </c>
      <c r="N20" s="1055"/>
      <c r="O20" s="1055">
        <f>69554067/1000000</f>
        <v>69.554067000000003</v>
      </c>
      <c r="P20" s="1055"/>
      <c r="Q20" s="1055">
        <f>61916436/1000000</f>
        <v>61.916435999999997</v>
      </c>
      <c r="R20" s="1055"/>
      <c r="S20" s="1055"/>
      <c r="T20" s="1055">
        <f>61705200/1000000</f>
        <v>61.705199999999998</v>
      </c>
      <c r="U20" s="1055"/>
      <c r="V20" s="1055">
        <f>58407241/1000000</f>
        <v>58.407240999999999</v>
      </c>
      <c r="W20" s="1055"/>
      <c r="X20" s="1055">
        <f>6352728/1000000</f>
        <v>6.3527279999999999</v>
      </c>
      <c r="Y20" s="1055"/>
      <c r="Z20" s="1055">
        <f>2179502/1000000</f>
        <v>2.1795019999999998</v>
      </c>
      <c r="AA20" s="1055"/>
      <c r="AB20" s="1055">
        <f>41952783/1000000</f>
        <v>41.952782999999997</v>
      </c>
      <c r="AC20" s="1055"/>
    </row>
    <row r="21" spans="2:29" ht="20.100000000000001" customHeight="1" x14ac:dyDescent="0.2">
      <c r="B21" s="543" t="s">
        <v>928</v>
      </c>
      <c r="C21" s="1053" t="s">
        <v>929</v>
      </c>
      <c r="D21" s="1054"/>
      <c r="E21" s="547">
        <f>23296290982/1000000</f>
        <v>23296.290981999999</v>
      </c>
      <c r="F21" s="1055">
        <f>23296290982/1000000</f>
        <v>23296.290981999999</v>
      </c>
      <c r="G21" s="1055"/>
      <c r="H21" s="1055"/>
      <c r="I21" s="1055"/>
      <c r="J21" s="1055"/>
      <c r="K21" s="1056"/>
      <c r="L21" s="1055"/>
      <c r="M21" s="1055"/>
      <c r="N21" s="1055"/>
      <c r="O21" s="1055"/>
      <c r="P21" s="1055"/>
      <c r="Q21" s="1055"/>
      <c r="R21" s="1055"/>
      <c r="S21" s="1055"/>
      <c r="T21" s="1055"/>
      <c r="U21" s="1055"/>
      <c r="V21" s="1055"/>
      <c r="W21" s="1055"/>
      <c r="X21" s="1055"/>
      <c r="Y21" s="1055"/>
      <c r="Z21" s="1055"/>
      <c r="AA21" s="1055"/>
      <c r="AB21" s="1055"/>
      <c r="AC21" s="1055"/>
    </row>
    <row r="22" spans="2:29" ht="20.100000000000001" customHeight="1" x14ac:dyDescent="0.2">
      <c r="B22" s="544" t="s">
        <v>930</v>
      </c>
      <c r="C22" s="1053" t="s">
        <v>2159</v>
      </c>
      <c r="D22" s="1054"/>
      <c r="E22" s="547"/>
      <c r="F22" s="1055"/>
      <c r="G22" s="1055"/>
      <c r="H22" s="1055"/>
      <c r="I22" s="1055"/>
      <c r="J22" s="1055"/>
      <c r="K22" s="1056"/>
      <c r="L22" s="1055"/>
      <c r="M22" s="1055"/>
      <c r="N22" s="1055"/>
      <c r="O22" s="1055"/>
      <c r="P22" s="1055"/>
      <c r="Q22" s="1055"/>
      <c r="R22" s="1055"/>
      <c r="S22" s="1055"/>
      <c r="T22" s="1055"/>
      <c r="U22" s="1055"/>
      <c r="V22" s="1055"/>
      <c r="W22" s="1055"/>
      <c r="X22" s="1055"/>
      <c r="Y22" s="1055"/>
      <c r="Z22" s="1055"/>
      <c r="AA22" s="1055"/>
      <c r="AB22" s="1055"/>
      <c r="AC22" s="1055"/>
    </row>
    <row r="23" spans="2:29" ht="20.100000000000001" customHeight="1" x14ac:dyDescent="0.2">
      <c r="B23" s="543" t="s">
        <v>931</v>
      </c>
      <c r="C23" s="1053" t="s">
        <v>2160</v>
      </c>
      <c r="D23" s="1054"/>
      <c r="E23" s="547">
        <f>4968353579/1000000</f>
        <v>4968.3535789999996</v>
      </c>
      <c r="F23" s="1055">
        <f>4968353579/1000000</f>
        <v>4968.3535789999996</v>
      </c>
      <c r="G23" s="1055"/>
      <c r="H23" s="1055"/>
      <c r="I23" s="1055"/>
      <c r="J23" s="1055"/>
      <c r="K23" s="1056"/>
      <c r="L23" s="1055"/>
      <c r="M23" s="1055"/>
      <c r="N23" s="1055"/>
      <c r="O23" s="1055"/>
      <c r="P23" s="1055"/>
      <c r="Q23" s="1055"/>
      <c r="R23" s="1055"/>
      <c r="S23" s="1055"/>
      <c r="T23" s="1055"/>
      <c r="U23" s="1055"/>
      <c r="V23" s="1055"/>
      <c r="W23" s="1055"/>
      <c r="X23" s="1055"/>
      <c r="Y23" s="1055"/>
      <c r="Z23" s="1055"/>
      <c r="AA23" s="1055"/>
      <c r="AB23" s="1055"/>
      <c r="AC23" s="1055"/>
    </row>
    <row r="24" spans="2:29" ht="20.100000000000001" customHeight="1" x14ac:dyDescent="0.2">
      <c r="B24" s="543" t="s">
        <v>932</v>
      </c>
      <c r="C24" s="1053" t="s">
        <v>2161</v>
      </c>
      <c r="D24" s="1054"/>
      <c r="E24" s="547">
        <f>18106107648/1000000</f>
        <v>18106.107648000001</v>
      </c>
      <c r="F24" s="1055">
        <f>18106107648/1000000</f>
        <v>18106.107648000001</v>
      </c>
      <c r="G24" s="1055"/>
      <c r="H24" s="1055"/>
      <c r="I24" s="1055"/>
      <c r="J24" s="1055"/>
      <c r="K24" s="1056"/>
      <c r="L24" s="1055"/>
      <c r="M24" s="1055"/>
      <c r="N24" s="1055"/>
      <c r="O24" s="1055"/>
      <c r="P24" s="1055"/>
      <c r="Q24" s="1055"/>
      <c r="R24" s="1055"/>
      <c r="S24" s="1055"/>
      <c r="T24" s="1055"/>
      <c r="U24" s="1055"/>
      <c r="V24" s="1055"/>
      <c r="W24" s="1055"/>
      <c r="X24" s="1055"/>
      <c r="Y24" s="1055"/>
      <c r="Z24" s="1055"/>
      <c r="AA24" s="1055"/>
      <c r="AB24" s="1055"/>
      <c r="AC24" s="1055"/>
    </row>
    <row r="25" spans="2:29" ht="20.100000000000001" customHeight="1" x14ac:dyDescent="0.2">
      <c r="B25" s="543" t="s">
        <v>933</v>
      </c>
      <c r="C25" s="1053" t="s">
        <v>2162</v>
      </c>
      <c r="D25" s="1054"/>
      <c r="E25" s="547">
        <f>218022425/1000000</f>
        <v>218.022425</v>
      </c>
      <c r="F25" s="1055">
        <f>218022425/1000000</f>
        <v>218.022425</v>
      </c>
      <c r="G25" s="1055"/>
      <c r="H25" s="1055"/>
      <c r="I25" s="1055"/>
      <c r="J25" s="1055"/>
      <c r="K25" s="1056"/>
      <c r="L25" s="1055"/>
      <c r="M25" s="1055"/>
      <c r="N25" s="1055"/>
      <c r="O25" s="1055"/>
      <c r="P25" s="1055"/>
      <c r="Q25" s="1055"/>
      <c r="R25" s="1055"/>
      <c r="S25" s="1055"/>
      <c r="T25" s="1055"/>
      <c r="U25" s="1055"/>
      <c r="V25" s="1055"/>
      <c r="W25" s="1055"/>
      <c r="X25" s="1055"/>
      <c r="Y25" s="1055"/>
      <c r="Z25" s="1055"/>
      <c r="AA25" s="1055"/>
      <c r="AB25" s="1055"/>
      <c r="AC25" s="1055"/>
    </row>
    <row r="26" spans="2:29" ht="20.100000000000001" customHeight="1" x14ac:dyDescent="0.2">
      <c r="B26" s="543" t="s">
        <v>934</v>
      </c>
      <c r="C26" s="1053" t="s">
        <v>2163</v>
      </c>
      <c r="D26" s="1054"/>
      <c r="E26" s="547">
        <f>3807330/1000000</f>
        <v>3.8073299999999999</v>
      </c>
      <c r="F26" s="1055">
        <f>3807330/1000000</f>
        <v>3.8073299999999999</v>
      </c>
      <c r="G26" s="1055"/>
      <c r="H26" s="1055"/>
      <c r="I26" s="1055"/>
      <c r="J26" s="1055"/>
      <c r="K26" s="1056"/>
      <c r="L26" s="1055"/>
      <c r="M26" s="1055"/>
      <c r="N26" s="1055"/>
      <c r="O26" s="1055"/>
      <c r="P26" s="1055"/>
      <c r="Q26" s="1055"/>
      <c r="R26" s="1055"/>
      <c r="S26" s="1055"/>
      <c r="T26" s="1055"/>
      <c r="U26" s="1055"/>
      <c r="V26" s="1055"/>
      <c r="W26" s="1055"/>
      <c r="X26" s="1055"/>
      <c r="Y26" s="1055"/>
      <c r="Z26" s="1055"/>
      <c r="AA26" s="1055"/>
      <c r="AB26" s="1055"/>
      <c r="AC26" s="1055"/>
    </row>
    <row r="27" spans="2:29" ht="20.100000000000001" customHeight="1" x14ac:dyDescent="0.2">
      <c r="B27" s="550" t="s">
        <v>935</v>
      </c>
      <c r="C27" s="1036" t="s">
        <v>936</v>
      </c>
      <c r="D27" s="1037"/>
      <c r="E27" s="551">
        <f>17614388838/1000000</f>
        <v>17614.388837999999</v>
      </c>
      <c r="F27" s="1059"/>
      <c r="G27" s="1059"/>
      <c r="H27" s="1059"/>
      <c r="I27" s="1059"/>
      <c r="J27" s="1059"/>
      <c r="K27" s="1060">
        <f>176665891/1000000</f>
        <v>176.66589099999999</v>
      </c>
      <c r="L27" s="1057"/>
      <c r="M27" s="1059"/>
      <c r="N27" s="1059"/>
      <c r="O27" s="1059"/>
      <c r="P27" s="1059"/>
      <c r="Q27" s="1059"/>
      <c r="R27" s="1059"/>
      <c r="S27" s="1059"/>
      <c r="T27" s="1059"/>
      <c r="U27" s="1059"/>
      <c r="V27" s="1059"/>
      <c r="W27" s="1059"/>
      <c r="X27" s="1059"/>
      <c r="Y27" s="1059"/>
      <c r="Z27" s="1059"/>
      <c r="AA27" s="1059"/>
      <c r="AB27" s="1052"/>
      <c r="AC27" s="1052"/>
    </row>
    <row r="28" spans="2:29" ht="20.100000000000001" customHeight="1" x14ac:dyDescent="0.2">
      <c r="B28" s="544" t="s">
        <v>937</v>
      </c>
      <c r="C28" s="1053" t="s">
        <v>2159</v>
      </c>
      <c r="D28" s="1054"/>
      <c r="E28" s="548"/>
      <c r="F28" s="1059"/>
      <c r="G28" s="1059"/>
      <c r="H28" s="1059"/>
      <c r="I28" s="1059"/>
      <c r="J28" s="1059"/>
      <c r="K28" s="1061"/>
      <c r="L28" s="1062"/>
      <c r="M28" s="1059"/>
      <c r="N28" s="1059"/>
      <c r="O28" s="1059"/>
      <c r="P28" s="1059"/>
      <c r="Q28" s="1059"/>
      <c r="R28" s="1059"/>
      <c r="S28" s="1059"/>
      <c r="T28" s="1059"/>
      <c r="U28" s="1059"/>
      <c r="V28" s="1059"/>
      <c r="W28" s="1059"/>
      <c r="X28" s="1059"/>
      <c r="Y28" s="1059"/>
      <c r="Z28" s="1059"/>
      <c r="AA28" s="1059"/>
      <c r="AB28" s="1062"/>
      <c r="AC28" s="1062"/>
    </row>
    <row r="29" spans="2:29" ht="20.100000000000001" customHeight="1" x14ac:dyDescent="0.2">
      <c r="B29" s="544" t="s">
        <v>938</v>
      </c>
      <c r="C29" s="1053" t="s">
        <v>2160</v>
      </c>
      <c r="D29" s="1054"/>
      <c r="E29" s="547">
        <f>412882142/1000000</f>
        <v>412.88214199999999</v>
      </c>
      <c r="F29" s="1059"/>
      <c r="G29" s="1059"/>
      <c r="H29" s="1059"/>
      <c r="I29" s="1059"/>
      <c r="J29" s="1059"/>
      <c r="K29" s="1061"/>
      <c r="L29" s="1062"/>
      <c r="M29" s="1059"/>
      <c r="N29" s="1059"/>
      <c r="O29" s="1059"/>
      <c r="P29" s="1059"/>
      <c r="Q29" s="1059"/>
      <c r="R29" s="1059"/>
      <c r="S29" s="1059"/>
      <c r="T29" s="1059"/>
      <c r="U29" s="1059"/>
      <c r="V29" s="1059"/>
      <c r="W29" s="1059"/>
      <c r="X29" s="1059"/>
      <c r="Y29" s="1059"/>
      <c r="Z29" s="1059"/>
      <c r="AA29" s="1059"/>
      <c r="AB29" s="1062"/>
      <c r="AC29" s="1062"/>
    </row>
    <row r="30" spans="2:29" ht="20.100000000000001" customHeight="1" x14ac:dyDescent="0.2">
      <c r="B30" s="545" t="s">
        <v>939</v>
      </c>
      <c r="C30" s="1053" t="s">
        <v>2161</v>
      </c>
      <c r="D30" s="1054"/>
      <c r="E30" s="547">
        <f>35406430/1000000</f>
        <v>35.40643</v>
      </c>
      <c r="F30" s="1059"/>
      <c r="G30" s="1059"/>
      <c r="H30" s="1059"/>
      <c r="I30" s="1059"/>
      <c r="J30" s="1059"/>
      <c r="K30" s="1061"/>
      <c r="L30" s="1062"/>
      <c r="M30" s="1059"/>
      <c r="N30" s="1059"/>
      <c r="O30" s="1059"/>
      <c r="P30" s="1059"/>
      <c r="Q30" s="1059"/>
      <c r="R30" s="1059"/>
      <c r="S30" s="1059"/>
      <c r="T30" s="1059"/>
      <c r="U30" s="1059"/>
      <c r="V30" s="1059"/>
      <c r="W30" s="1059"/>
      <c r="X30" s="1059"/>
      <c r="Y30" s="1059"/>
      <c r="Z30" s="1059"/>
      <c r="AA30" s="1059"/>
      <c r="AB30" s="1062"/>
      <c r="AC30" s="1062"/>
    </row>
    <row r="31" spans="2:29" ht="20.100000000000001" customHeight="1" x14ac:dyDescent="0.2">
      <c r="B31" s="545" t="s">
        <v>940</v>
      </c>
      <c r="C31" s="1053" t="s">
        <v>2162</v>
      </c>
      <c r="D31" s="1054"/>
      <c r="E31" s="547">
        <f>321938/1000000</f>
        <v>0.321938</v>
      </c>
      <c r="F31" s="1059"/>
      <c r="G31" s="1059"/>
      <c r="H31" s="1059"/>
      <c r="I31" s="1059"/>
      <c r="J31" s="1059"/>
      <c r="K31" s="1061"/>
      <c r="L31" s="1062"/>
      <c r="M31" s="1059"/>
      <c r="N31" s="1059"/>
      <c r="O31" s="1059"/>
      <c r="P31" s="1059"/>
      <c r="Q31" s="1059"/>
      <c r="R31" s="1059"/>
      <c r="S31" s="1059"/>
      <c r="T31" s="1059"/>
      <c r="U31" s="1059"/>
      <c r="V31" s="1059"/>
      <c r="W31" s="1059"/>
      <c r="X31" s="1059"/>
      <c r="Y31" s="1059"/>
      <c r="Z31" s="1059"/>
      <c r="AA31" s="1059"/>
      <c r="AB31" s="1062"/>
      <c r="AC31" s="1062"/>
    </row>
    <row r="32" spans="2:29" ht="20.100000000000001" customHeight="1" x14ac:dyDescent="0.2">
      <c r="B32" s="545" t="s">
        <v>941</v>
      </c>
      <c r="C32" s="1053" t="s">
        <v>2163</v>
      </c>
      <c r="D32" s="1054"/>
      <c r="E32" s="547">
        <f>11751644980/1000000</f>
        <v>11751.644979999999</v>
      </c>
      <c r="F32" s="1059"/>
      <c r="G32" s="1059"/>
      <c r="H32" s="1059"/>
      <c r="I32" s="1059"/>
      <c r="J32" s="1059"/>
      <c r="K32" s="1056">
        <f>176165386/1000000</f>
        <v>176.16538600000001</v>
      </c>
      <c r="L32" s="1055"/>
      <c r="M32" s="1059"/>
      <c r="N32" s="1059"/>
      <c r="O32" s="1059"/>
      <c r="P32" s="1059"/>
      <c r="Q32" s="1059"/>
      <c r="R32" s="1059"/>
      <c r="S32" s="1059"/>
      <c r="T32" s="1059"/>
      <c r="U32" s="1059"/>
      <c r="V32" s="1059"/>
      <c r="W32" s="1059"/>
      <c r="X32" s="1059"/>
      <c r="Y32" s="1059"/>
      <c r="Z32" s="1059"/>
      <c r="AA32" s="1059"/>
      <c r="AB32" s="1062"/>
      <c r="AC32" s="1062"/>
    </row>
    <row r="33" spans="2:29" ht="20.100000000000001" customHeight="1" x14ac:dyDescent="0.2">
      <c r="B33" s="545" t="s">
        <v>942</v>
      </c>
      <c r="C33" s="1053" t="s">
        <v>2164</v>
      </c>
      <c r="D33" s="1054"/>
      <c r="E33" s="547">
        <f>5414133349/1000000</f>
        <v>5414.1333489999997</v>
      </c>
      <c r="F33" s="1059"/>
      <c r="G33" s="1059"/>
      <c r="H33" s="1059"/>
      <c r="I33" s="1059"/>
      <c r="J33" s="1059"/>
      <c r="K33" s="1056">
        <f>500506/1000000</f>
        <v>0.50050600000000001</v>
      </c>
      <c r="L33" s="1055"/>
      <c r="M33" s="1059"/>
      <c r="N33" s="1059"/>
      <c r="O33" s="1059"/>
      <c r="P33" s="1059"/>
      <c r="Q33" s="1059"/>
      <c r="R33" s="1059"/>
      <c r="S33" s="1059"/>
      <c r="T33" s="1059"/>
      <c r="U33" s="1059"/>
      <c r="V33" s="1059"/>
      <c r="W33" s="1059"/>
      <c r="X33" s="1059"/>
      <c r="Y33" s="1059"/>
      <c r="Z33" s="1059"/>
      <c r="AA33" s="1059"/>
      <c r="AB33" s="1062"/>
      <c r="AC33" s="1062"/>
    </row>
    <row r="34" spans="2:29" ht="20.100000000000001" customHeight="1" x14ac:dyDescent="0.2">
      <c r="B34" s="552" t="s">
        <v>943</v>
      </c>
      <c r="C34" s="1063" t="s">
        <v>198</v>
      </c>
      <c r="D34" s="1064"/>
      <c r="E34" s="553">
        <f>E12+E13+E21+E27</f>
        <v>180492.36517499998</v>
      </c>
      <c r="F34" s="1065">
        <f>F12+F13+F21</f>
        <v>162869.51264900001</v>
      </c>
      <c r="G34" s="1065"/>
      <c r="H34" s="1065"/>
      <c r="I34" s="1065">
        <f>I12+I13+I21</f>
        <v>8.4636879999999994</v>
      </c>
      <c r="J34" s="1065"/>
      <c r="K34" s="1066">
        <f>K12+K13+K21+K27</f>
        <v>920.60955300000001</v>
      </c>
      <c r="L34" s="1065"/>
      <c r="M34" s="1065">
        <f>M12+M21+M13</f>
        <v>88.841410999999994</v>
      </c>
      <c r="N34" s="1065"/>
      <c r="O34" s="1065">
        <f>O12+O21+O13</f>
        <v>83.569207000000006</v>
      </c>
      <c r="P34" s="1065"/>
      <c r="Q34" s="1065">
        <f>Q12+Q13+Q21</f>
        <v>295.53142600000001</v>
      </c>
      <c r="R34" s="1065"/>
      <c r="S34" s="1065"/>
      <c r="T34" s="1065">
        <f>T12+T13+T21</f>
        <v>140.34591599999999</v>
      </c>
      <c r="U34" s="1065"/>
      <c r="V34" s="1065">
        <f>V12+V13</f>
        <v>126.113432</v>
      </c>
      <c r="W34" s="1065"/>
      <c r="X34" s="1065">
        <f>X13</f>
        <v>7.3627690000000001</v>
      </c>
      <c r="Y34" s="1065"/>
      <c r="Z34" s="1065">
        <f>Z13</f>
        <v>2.1795019999999998</v>
      </c>
      <c r="AA34" s="1065"/>
      <c r="AB34" s="1065">
        <f>AB13</f>
        <v>52.231188000000003</v>
      </c>
      <c r="AC34" s="1065"/>
    </row>
    <row r="35" spans="2:29" x14ac:dyDescent="0.2">
      <c r="B35" s="1067"/>
      <c r="C35" s="1067"/>
      <c r="D35" s="1067"/>
      <c r="E35" s="1068"/>
      <c r="F35" s="1067"/>
      <c r="G35" s="1067"/>
      <c r="H35" s="1067"/>
      <c r="I35" s="1067"/>
      <c r="J35" s="1067"/>
      <c r="K35" s="1067"/>
      <c r="L35" s="1067"/>
      <c r="M35" s="1067"/>
      <c r="N35" s="1067"/>
      <c r="O35" s="1067"/>
      <c r="P35" s="1067"/>
      <c r="Q35" s="1067"/>
      <c r="R35" s="337"/>
      <c r="S35" s="1041"/>
      <c r="T35" s="1041"/>
      <c r="U35" s="1041"/>
      <c r="V35" s="1041"/>
      <c r="W35" s="1041"/>
      <c r="X35" s="1041"/>
      <c r="Y35" s="1041"/>
      <c r="Z35" s="1041"/>
      <c r="AA35" s="1041"/>
      <c r="AB35" s="1041"/>
      <c r="AC35" s="337"/>
    </row>
    <row r="36" spans="2:29" x14ac:dyDescent="0.2">
      <c r="B36" s="1069"/>
      <c r="C36" s="1069"/>
      <c r="D36" s="1069"/>
      <c r="E36" s="1069"/>
      <c r="F36" s="1069"/>
      <c r="G36" s="336"/>
      <c r="H36" s="1069"/>
      <c r="I36" s="1069"/>
      <c r="J36" s="1069"/>
      <c r="K36" s="1069"/>
      <c r="L36" s="1069"/>
      <c r="M36" s="1069"/>
      <c r="N36" s="1069"/>
      <c r="O36" s="1069"/>
      <c r="P36" s="1069"/>
      <c r="Q36" s="1069"/>
      <c r="R36" s="336"/>
      <c r="S36" s="1039"/>
      <c r="T36" s="1039"/>
      <c r="U36" s="1039"/>
      <c r="V36" s="1039"/>
      <c r="W36" s="1039"/>
      <c r="X36" s="1039"/>
      <c r="Y36" s="1039"/>
      <c r="Z36" s="1039"/>
      <c r="AA36" s="1039"/>
      <c r="AB36" s="1039"/>
      <c r="AC36" s="336"/>
    </row>
    <row r="37" spans="2:29" x14ac:dyDescent="0.2">
      <c r="B37" s="1072"/>
      <c r="C37" s="1072"/>
      <c r="D37" s="1072"/>
      <c r="E37" s="1072"/>
      <c r="F37" s="1072"/>
      <c r="G37" s="1072"/>
      <c r="H37" s="1072"/>
      <c r="I37" s="1072"/>
      <c r="J37" s="1072"/>
      <c r="K37" s="1072"/>
      <c r="L37" s="1072"/>
      <c r="M37" s="1072"/>
      <c r="N37" s="1072"/>
      <c r="O37" s="1072"/>
      <c r="P37" s="1072"/>
      <c r="Q37" s="1072"/>
      <c r="R37" s="336"/>
      <c r="S37" s="1069"/>
      <c r="T37" s="1069"/>
      <c r="U37" s="1039"/>
      <c r="V37" s="1039"/>
      <c r="W37" s="1039"/>
      <c r="X37" s="1039"/>
      <c r="Y37" s="1039"/>
      <c r="Z37" s="1039"/>
      <c r="AA37" s="1039"/>
      <c r="AB37" s="1039"/>
      <c r="AC37" s="336"/>
    </row>
    <row r="38" spans="2:29" x14ac:dyDescent="0.2">
      <c r="B38" s="1070"/>
      <c r="C38" s="1070"/>
      <c r="D38" s="1070"/>
      <c r="E38" s="1070"/>
      <c r="F38" s="1070"/>
      <c r="G38" s="1070"/>
      <c r="H38" s="1070"/>
      <c r="I38" s="1070"/>
      <c r="J38" s="1070"/>
      <c r="K38" s="1070"/>
      <c r="L38" s="1070"/>
      <c r="M38" s="1070"/>
      <c r="N38" s="1070"/>
      <c r="O38" s="1070"/>
      <c r="P38" s="1070"/>
      <c r="Q38" s="1070"/>
      <c r="R38" s="1070"/>
      <c r="S38" s="1070"/>
      <c r="T38" s="1070"/>
      <c r="U38" s="1070"/>
      <c r="V38" s="1070"/>
      <c r="W38" s="1070"/>
      <c r="X38" s="1070"/>
      <c r="Y38" s="1070"/>
      <c r="Z38" s="1070"/>
      <c r="AA38" s="1070"/>
      <c r="AB38" s="1070"/>
      <c r="AC38" s="336"/>
    </row>
    <row r="39" spans="2:29" x14ac:dyDescent="0.2">
      <c r="B39" s="1070"/>
      <c r="C39" s="1070"/>
      <c r="D39" s="1070"/>
      <c r="E39" s="1070"/>
      <c r="F39" s="1070"/>
      <c r="G39" s="1070"/>
      <c r="H39" s="1070"/>
      <c r="I39" s="1070"/>
      <c r="J39" s="1070"/>
      <c r="K39" s="1070"/>
      <c r="L39" s="1070"/>
      <c r="M39" s="1070"/>
      <c r="N39" s="1070"/>
      <c r="O39" s="1070"/>
      <c r="P39" s="1070"/>
      <c r="Q39" s="1070"/>
      <c r="R39" s="1070"/>
      <c r="S39" s="1070"/>
      <c r="T39" s="1070"/>
      <c r="U39" s="1070"/>
      <c r="V39" s="1070"/>
      <c r="W39" s="1070"/>
      <c r="X39" s="1070"/>
      <c r="Y39" s="1070"/>
      <c r="Z39" s="1070"/>
      <c r="AA39" s="1070"/>
      <c r="AB39" s="1070"/>
      <c r="AC39" s="336"/>
    </row>
    <row r="40" spans="2:29" x14ac:dyDescent="0.2">
      <c r="B40" s="1071"/>
      <c r="C40" s="1071"/>
      <c r="D40" s="1071"/>
      <c r="E40" s="1071"/>
      <c r="F40" s="1071"/>
      <c r="G40" s="1071"/>
      <c r="H40" s="1071"/>
      <c r="I40" s="1071"/>
      <c r="J40" s="1071"/>
      <c r="K40" s="1071"/>
      <c r="L40" s="1071"/>
      <c r="M40" s="1071"/>
      <c r="N40" s="1071"/>
      <c r="O40" s="1071"/>
      <c r="P40" s="1071"/>
      <c r="Q40" s="1071"/>
      <c r="R40" s="1071"/>
      <c r="S40" s="1071"/>
      <c r="T40" s="1071"/>
      <c r="U40" s="1071"/>
      <c r="V40" s="1071"/>
      <c r="W40" s="1071"/>
      <c r="X40" s="1071"/>
      <c r="Y40" s="1071"/>
      <c r="Z40" s="1071"/>
      <c r="AA40" s="1071"/>
      <c r="AB40" s="1071"/>
      <c r="AC40" s="336"/>
    </row>
    <row r="41" spans="2:29" x14ac:dyDescent="0.2">
      <c r="B41" s="1070"/>
      <c r="C41" s="1070"/>
      <c r="D41" s="1070"/>
      <c r="E41" s="1070"/>
      <c r="F41" s="1070"/>
      <c r="G41" s="1070"/>
      <c r="H41" s="1070"/>
      <c r="I41" s="1070"/>
      <c r="J41" s="1070"/>
      <c r="K41" s="1070"/>
      <c r="L41" s="1070"/>
      <c r="M41" s="1070"/>
      <c r="N41" s="1070"/>
      <c r="O41" s="1070"/>
      <c r="P41" s="1070"/>
      <c r="Q41" s="1070"/>
      <c r="R41" s="1070"/>
      <c r="S41" s="1070"/>
      <c r="T41" s="1070"/>
      <c r="U41" s="1070"/>
      <c r="V41" s="1070"/>
      <c r="W41" s="1070"/>
      <c r="X41" s="1070"/>
      <c r="Y41" s="1070"/>
      <c r="Z41" s="1070"/>
      <c r="AA41" s="1070"/>
      <c r="AB41" s="1070"/>
      <c r="AC41" s="336"/>
    </row>
    <row r="42" spans="2:29" x14ac:dyDescent="0.2">
      <c r="B42" s="1070"/>
      <c r="C42" s="1070"/>
      <c r="D42" s="1070"/>
      <c r="E42" s="1070"/>
      <c r="F42" s="1070"/>
      <c r="G42" s="1070"/>
      <c r="H42" s="1070"/>
      <c r="I42" s="1070"/>
      <c r="J42" s="1070"/>
      <c r="K42" s="1070"/>
      <c r="L42" s="1070"/>
      <c r="M42" s="1070"/>
      <c r="N42" s="1070"/>
      <c r="O42" s="1070"/>
      <c r="P42" s="1070"/>
      <c r="Q42" s="1070"/>
      <c r="R42" s="1070"/>
      <c r="S42" s="1070"/>
      <c r="T42" s="1070"/>
      <c r="U42" s="1070"/>
      <c r="V42" s="1070"/>
      <c r="W42" s="1070"/>
      <c r="X42" s="1070"/>
      <c r="Y42" s="1070"/>
      <c r="Z42" s="1070"/>
      <c r="AA42" s="1070"/>
      <c r="AB42" s="1070"/>
      <c r="AC42" s="336"/>
    </row>
    <row r="43" spans="2:29" x14ac:dyDescent="0.2">
      <c r="B43" s="1070"/>
      <c r="C43" s="1070"/>
      <c r="D43" s="1070"/>
      <c r="E43" s="1070"/>
      <c r="F43" s="1070"/>
      <c r="G43" s="1070"/>
      <c r="H43" s="1070"/>
      <c r="I43" s="1070"/>
      <c r="J43" s="1070"/>
      <c r="K43" s="1070"/>
      <c r="L43" s="1070"/>
      <c r="M43" s="1070"/>
      <c r="N43" s="1070"/>
      <c r="O43" s="1070"/>
      <c r="P43" s="1070"/>
      <c r="Q43" s="1070"/>
      <c r="R43" s="1070"/>
      <c r="S43" s="1070"/>
      <c r="T43" s="1070"/>
      <c r="U43" s="1070"/>
      <c r="V43" s="1070"/>
      <c r="W43" s="1070"/>
      <c r="X43" s="1070"/>
      <c r="Y43" s="1070"/>
      <c r="Z43" s="1070"/>
      <c r="AA43" s="1070"/>
      <c r="AB43" s="1070"/>
      <c r="AC43" s="336"/>
    </row>
    <row r="44" spans="2:29" ht="21" customHeight="1" x14ac:dyDescent="0.2">
      <c r="B44" s="1070"/>
      <c r="C44" s="1070"/>
      <c r="D44" s="1070"/>
      <c r="E44" s="1070"/>
      <c r="F44" s="1070"/>
      <c r="G44" s="1070"/>
      <c r="H44" s="1070"/>
      <c r="I44" s="1070"/>
      <c r="J44" s="1070"/>
      <c r="K44" s="1070"/>
      <c r="L44" s="1070"/>
      <c r="M44" s="1070"/>
      <c r="N44" s="1070"/>
      <c r="O44" s="1070"/>
      <c r="P44" s="1070"/>
      <c r="Q44" s="1070"/>
      <c r="R44" s="1070"/>
      <c r="S44" s="1070"/>
      <c r="T44" s="1070"/>
      <c r="U44" s="1070"/>
      <c r="V44" s="1070"/>
      <c r="W44" s="1070"/>
      <c r="X44" s="1070"/>
      <c r="Y44" s="1070"/>
      <c r="Z44" s="1070"/>
      <c r="AA44" s="1070"/>
      <c r="AB44" s="1070"/>
      <c r="AC44" s="336"/>
    </row>
    <row r="45" spans="2:29" x14ac:dyDescent="0.2">
      <c r="B45" s="1073"/>
      <c r="C45" s="1073"/>
      <c r="D45" s="1073"/>
      <c r="E45" s="1073"/>
      <c r="F45" s="1073"/>
      <c r="G45" s="335"/>
      <c r="H45" s="1073"/>
      <c r="I45" s="1073"/>
      <c r="J45" s="1073"/>
      <c r="K45" s="1073"/>
      <c r="L45" s="1073"/>
      <c r="M45" s="1073"/>
      <c r="N45" s="1073"/>
      <c r="O45" s="1073"/>
      <c r="P45" s="1073"/>
      <c r="Q45" s="1073"/>
      <c r="R45" s="335"/>
      <c r="S45" s="1073"/>
      <c r="T45" s="1073"/>
      <c r="U45" s="1039"/>
      <c r="V45" s="1039"/>
      <c r="W45" s="1039"/>
      <c r="X45" s="1039"/>
      <c r="Y45" s="1039"/>
      <c r="Z45" s="1039"/>
      <c r="AA45" s="1039"/>
      <c r="AB45" s="1039"/>
      <c r="AC45" s="336"/>
    </row>
    <row r="46" spans="2:29" x14ac:dyDescent="0.2">
      <c r="B46" s="1072"/>
      <c r="C46" s="1072"/>
      <c r="D46" s="1072"/>
      <c r="E46" s="1072"/>
      <c r="F46" s="1072"/>
      <c r="G46" s="1072"/>
      <c r="H46" s="1072"/>
      <c r="I46" s="1072"/>
      <c r="J46" s="1072"/>
      <c r="K46" s="1072"/>
      <c r="L46" s="1072"/>
      <c r="M46" s="1072"/>
      <c r="N46" s="1072"/>
      <c r="O46" s="1072"/>
      <c r="P46" s="1072"/>
      <c r="Q46" s="1072"/>
      <c r="R46" s="335"/>
      <c r="S46" s="1073"/>
      <c r="T46" s="1073"/>
      <c r="U46" s="1039"/>
      <c r="V46" s="1039"/>
      <c r="W46" s="1039"/>
      <c r="X46" s="1039"/>
      <c r="Y46" s="1039"/>
      <c r="Z46" s="1039"/>
      <c r="AA46" s="1039"/>
      <c r="AB46" s="1039"/>
      <c r="AC46" s="336"/>
    </row>
    <row r="47" spans="2:29" x14ac:dyDescent="0.2">
      <c r="B47" s="1070"/>
      <c r="C47" s="1070"/>
      <c r="D47" s="1070"/>
      <c r="E47" s="1070"/>
      <c r="F47" s="1070"/>
      <c r="G47" s="1070"/>
      <c r="H47" s="1070"/>
      <c r="I47" s="1070"/>
      <c r="J47" s="1070"/>
      <c r="K47" s="1070"/>
      <c r="L47" s="1070"/>
      <c r="M47" s="1070"/>
      <c r="N47" s="1070"/>
      <c r="O47" s="1070"/>
      <c r="P47" s="1070"/>
      <c r="Q47" s="1070"/>
      <c r="R47" s="1070"/>
      <c r="S47" s="1070"/>
      <c r="T47" s="1070"/>
      <c r="U47" s="1070"/>
      <c r="V47" s="1070"/>
      <c r="W47" s="1070"/>
      <c r="X47" s="1070"/>
      <c r="Y47" s="1070"/>
      <c r="Z47" s="1070"/>
      <c r="AA47" s="1070"/>
      <c r="AB47" s="1070"/>
      <c r="AC47" s="1069"/>
    </row>
    <row r="48" spans="2:29" x14ac:dyDescent="0.2">
      <c r="B48" s="1074"/>
      <c r="C48" s="1074"/>
      <c r="D48" s="1074"/>
      <c r="E48" s="1074"/>
      <c r="F48" s="1074"/>
      <c r="G48" s="1074"/>
      <c r="H48" s="1074"/>
      <c r="I48" s="1074"/>
      <c r="J48" s="1074"/>
      <c r="K48" s="1074"/>
      <c r="L48" s="1074"/>
      <c r="M48" s="1074"/>
      <c r="N48" s="1074"/>
      <c r="O48" s="1074"/>
      <c r="P48" s="1074"/>
      <c r="Q48" s="1074"/>
      <c r="R48" s="1074"/>
      <c r="S48" s="1074"/>
      <c r="T48" s="1074"/>
      <c r="U48" s="1074"/>
      <c r="V48" s="1074"/>
      <c r="W48" s="1074"/>
      <c r="X48" s="1074"/>
      <c r="Y48" s="1074"/>
      <c r="Z48" s="1074"/>
      <c r="AA48" s="1074"/>
      <c r="AB48" s="1074"/>
      <c r="AC48" s="1069"/>
    </row>
    <row r="49" spans="2:29" ht="21" customHeight="1" x14ac:dyDescent="0.2">
      <c r="B49" s="1074"/>
      <c r="C49" s="1074"/>
      <c r="D49" s="1074"/>
      <c r="E49" s="1074"/>
      <c r="F49" s="1074"/>
      <c r="G49" s="1074"/>
      <c r="H49" s="1074"/>
      <c r="I49" s="1074"/>
      <c r="J49" s="1074"/>
      <c r="K49" s="1074"/>
      <c r="L49" s="1074"/>
      <c r="M49" s="1074"/>
      <c r="N49" s="1074"/>
      <c r="O49" s="1074"/>
      <c r="P49" s="1074"/>
      <c r="Q49" s="1074"/>
      <c r="R49" s="1074"/>
      <c r="S49" s="1074"/>
      <c r="T49" s="1074"/>
      <c r="U49" s="1074"/>
      <c r="V49" s="1074"/>
      <c r="W49" s="1074"/>
      <c r="X49" s="1074"/>
      <c r="Y49" s="1074"/>
      <c r="Z49" s="1074"/>
      <c r="AA49" s="1074"/>
      <c r="AB49" s="1074"/>
      <c r="AC49" s="1069"/>
    </row>
    <row r="51" spans="2:29" x14ac:dyDescent="0.2">
      <c r="B51" s="1074"/>
      <c r="C51" s="1074"/>
      <c r="D51" s="1074"/>
      <c r="E51" s="1074"/>
      <c r="F51" s="1074"/>
      <c r="G51" s="1074"/>
      <c r="H51" s="1074"/>
      <c r="I51" s="1074"/>
      <c r="J51" s="1074"/>
      <c r="K51" s="1074"/>
      <c r="L51" s="1074"/>
      <c r="M51" s="1074"/>
      <c r="N51" s="1074"/>
      <c r="O51" s="1074"/>
      <c r="P51" s="1074"/>
    </row>
  </sheetData>
  <sheetProtection algorithmName="SHA-512" hashValue="5xxMx/raS21pPZ3LW4bCMlVv7kcZfV46Iw+7PMn4cmiXQXD6Znm6W9Ln4NtS5BfbXvfWkQjBeXqI8DoZKz0wyQ==" saltValue="pktOo9XulpVQ1+iFT5DsXg==" spinCount="100000" sheet="1" objects="1" scenarios="1"/>
  <mergeCells count="395">
    <mergeCell ref="B47:AB47"/>
    <mergeCell ref="AC47:AC49"/>
    <mergeCell ref="B48:AB48"/>
    <mergeCell ref="B49:AB49"/>
    <mergeCell ref="B51:P51"/>
    <mergeCell ref="W45:X45"/>
    <mergeCell ref="Y45:Z45"/>
    <mergeCell ref="AA45:AB45"/>
    <mergeCell ref="B46:Q46"/>
    <mergeCell ref="S46:T46"/>
    <mergeCell ref="U46:V46"/>
    <mergeCell ref="W46:X46"/>
    <mergeCell ref="Y46:Z46"/>
    <mergeCell ref="AA46:AB46"/>
    <mergeCell ref="B44:AB44"/>
    <mergeCell ref="B45:C45"/>
    <mergeCell ref="D45:F45"/>
    <mergeCell ref="H45:I45"/>
    <mergeCell ref="J45:K45"/>
    <mergeCell ref="L45:M45"/>
    <mergeCell ref="N45:O45"/>
    <mergeCell ref="P45:Q45"/>
    <mergeCell ref="S45:T45"/>
    <mergeCell ref="U45:V45"/>
    <mergeCell ref="B38:AB38"/>
    <mergeCell ref="B39:AB39"/>
    <mergeCell ref="B40:AB40"/>
    <mergeCell ref="B41:AB41"/>
    <mergeCell ref="B42:AB42"/>
    <mergeCell ref="B43:AB43"/>
    <mergeCell ref="B37:Q37"/>
    <mergeCell ref="S37:T37"/>
    <mergeCell ref="U37:V37"/>
    <mergeCell ref="W37:X37"/>
    <mergeCell ref="Y37:Z37"/>
    <mergeCell ref="AA37:AB37"/>
    <mergeCell ref="B35:Q35"/>
    <mergeCell ref="S35:T35"/>
    <mergeCell ref="U35:V35"/>
    <mergeCell ref="W35:X35"/>
    <mergeCell ref="Y35:Z35"/>
    <mergeCell ref="AA35:AB35"/>
    <mergeCell ref="P36:Q36"/>
    <mergeCell ref="S36:T36"/>
    <mergeCell ref="U36:V36"/>
    <mergeCell ref="W36:X36"/>
    <mergeCell ref="Y36:Z36"/>
    <mergeCell ref="AA36:AB36"/>
    <mergeCell ref="B36:C36"/>
    <mergeCell ref="D36:F36"/>
    <mergeCell ref="H36:I36"/>
    <mergeCell ref="J36:K36"/>
    <mergeCell ref="L36:M36"/>
    <mergeCell ref="N36:O36"/>
    <mergeCell ref="C33:D33"/>
    <mergeCell ref="F33:H33"/>
    <mergeCell ref="I33:J33"/>
    <mergeCell ref="K33:L33"/>
    <mergeCell ref="M33:N33"/>
    <mergeCell ref="AB33:AC33"/>
    <mergeCell ref="C34:D34"/>
    <mergeCell ref="F34:H34"/>
    <mergeCell ref="I34:J34"/>
    <mergeCell ref="K34:L34"/>
    <mergeCell ref="M34:N34"/>
    <mergeCell ref="O34:P34"/>
    <mergeCell ref="Q34:S34"/>
    <mergeCell ref="T34:U34"/>
    <mergeCell ref="V34:W34"/>
    <mergeCell ref="O33:P33"/>
    <mergeCell ref="Q33:S33"/>
    <mergeCell ref="T33:U33"/>
    <mergeCell ref="V33:W33"/>
    <mergeCell ref="X33:Y33"/>
    <mergeCell ref="Z33:AA33"/>
    <mergeCell ref="X34:Y34"/>
    <mergeCell ref="Z34:AA34"/>
    <mergeCell ref="AB34:AC34"/>
    <mergeCell ref="X31:Y31"/>
    <mergeCell ref="Z31:AA31"/>
    <mergeCell ref="AB31:AC31"/>
    <mergeCell ref="C32:D32"/>
    <mergeCell ref="F32:H32"/>
    <mergeCell ref="I32:J32"/>
    <mergeCell ref="K32:L32"/>
    <mergeCell ref="M32:N32"/>
    <mergeCell ref="O32:P32"/>
    <mergeCell ref="Q32:S32"/>
    <mergeCell ref="T32:U32"/>
    <mergeCell ref="V32:W32"/>
    <mergeCell ref="X32:Y32"/>
    <mergeCell ref="Z32:AA32"/>
    <mergeCell ref="AB32:AC32"/>
    <mergeCell ref="C31:D31"/>
    <mergeCell ref="F31:H31"/>
    <mergeCell ref="I31:J31"/>
    <mergeCell ref="K31:L31"/>
    <mergeCell ref="M31:N31"/>
    <mergeCell ref="O31:P31"/>
    <mergeCell ref="Q31:S31"/>
    <mergeCell ref="T31:U31"/>
    <mergeCell ref="V31:W31"/>
    <mergeCell ref="X29:Y29"/>
    <mergeCell ref="Z29:AA29"/>
    <mergeCell ref="AB29:AC29"/>
    <mergeCell ref="C30:D30"/>
    <mergeCell ref="F30:H30"/>
    <mergeCell ref="I30:J30"/>
    <mergeCell ref="K30:L30"/>
    <mergeCell ref="M30:N30"/>
    <mergeCell ref="AB30:AC30"/>
    <mergeCell ref="O30:P30"/>
    <mergeCell ref="Q30:S30"/>
    <mergeCell ref="T30:U30"/>
    <mergeCell ref="V30:W30"/>
    <mergeCell ref="X30:Y30"/>
    <mergeCell ref="Z30:AA30"/>
    <mergeCell ref="C29:D29"/>
    <mergeCell ref="F29:H29"/>
    <mergeCell ref="I29:J29"/>
    <mergeCell ref="K29:L29"/>
    <mergeCell ref="M29:N29"/>
    <mergeCell ref="O29:P29"/>
    <mergeCell ref="Q29:S29"/>
    <mergeCell ref="T29:U29"/>
    <mergeCell ref="V29:W29"/>
    <mergeCell ref="C27:D27"/>
    <mergeCell ref="F27:H27"/>
    <mergeCell ref="I27:J27"/>
    <mergeCell ref="K27:L27"/>
    <mergeCell ref="M27:N27"/>
    <mergeCell ref="AB27:AC27"/>
    <mergeCell ref="C28:D28"/>
    <mergeCell ref="F28:H28"/>
    <mergeCell ref="I28:J28"/>
    <mergeCell ref="K28:L28"/>
    <mergeCell ref="M28:N28"/>
    <mergeCell ref="O28:P28"/>
    <mergeCell ref="Q28:S28"/>
    <mergeCell ref="T28:U28"/>
    <mergeCell ref="V28:W28"/>
    <mergeCell ref="O27:P27"/>
    <mergeCell ref="Q27:S27"/>
    <mergeCell ref="T27:U27"/>
    <mergeCell ref="V27:W27"/>
    <mergeCell ref="X27:Y27"/>
    <mergeCell ref="Z27:AA27"/>
    <mergeCell ref="X28:Y28"/>
    <mergeCell ref="Z28:AA28"/>
    <mergeCell ref="AB28:AC28"/>
    <mergeCell ref="X25:Y25"/>
    <mergeCell ref="Z25:AA25"/>
    <mergeCell ref="AB25:AC25"/>
    <mergeCell ref="C26:D26"/>
    <mergeCell ref="F26:H26"/>
    <mergeCell ref="I26:J26"/>
    <mergeCell ref="K26:L26"/>
    <mergeCell ref="M26:N26"/>
    <mergeCell ref="O26:P26"/>
    <mergeCell ref="Q26:S26"/>
    <mergeCell ref="T26:U26"/>
    <mergeCell ref="V26:W26"/>
    <mergeCell ref="X26:Y26"/>
    <mergeCell ref="Z26:AA26"/>
    <mergeCell ref="AB26:AC26"/>
    <mergeCell ref="C25:D25"/>
    <mergeCell ref="F25:H25"/>
    <mergeCell ref="I25:J25"/>
    <mergeCell ref="K25:L25"/>
    <mergeCell ref="M25:N25"/>
    <mergeCell ref="O25:P25"/>
    <mergeCell ref="Q25:S25"/>
    <mergeCell ref="T25:U25"/>
    <mergeCell ref="V25:W25"/>
    <mergeCell ref="X23:Y23"/>
    <mergeCell ref="Z23:AA23"/>
    <mergeCell ref="AB23:AC23"/>
    <mergeCell ref="C24:D24"/>
    <mergeCell ref="F24:H24"/>
    <mergeCell ref="I24:J24"/>
    <mergeCell ref="K24:L24"/>
    <mergeCell ref="M24:N24"/>
    <mergeCell ref="AB24:AC24"/>
    <mergeCell ref="O24:P24"/>
    <mergeCell ref="Q24:S24"/>
    <mergeCell ref="T24:U24"/>
    <mergeCell ref="V24:W24"/>
    <mergeCell ref="X24:Y24"/>
    <mergeCell ref="Z24:AA24"/>
    <mergeCell ref="C23:D23"/>
    <mergeCell ref="F23:H23"/>
    <mergeCell ref="I23:J23"/>
    <mergeCell ref="K23:L23"/>
    <mergeCell ref="M23:N23"/>
    <mergeCell ref="O23:P23"/>
    <mergeCell ref="Q23:S23"/>
    <mergeCell ref="T23:U23"/>
    <mergeCell ref="V23:W23"/>
    <mergeCell ref="C21:D21"/>
    <mergeCell ref="F21:H21"/>
    <mergeCell ref="I21:J21"/>
    <mergeCell ref="K21:L21"/>
    <mergeCell ref="M21:N21"/>
    <mergeCell ref="AB21:AC21"/>
    <mergeCell ref="C22:D22"/>
    <mergeCell ref="F22:H22"/>
    <mergeCell ref="I22:J22"/>
    <mergeCell ref="K22:L22"/>
    <mergeCell ref="M22:N22"/>
    <mergeCell ref="O22:P22"/>
    <mergeCell ref="Q22:S22"/>
    <mergeCell ref="T22:U22"/>
    <mergeCell ref="V22:W22"/>
    <mergeCell ref="O21:P21"/>
    <mergeCell ref="Q21:S21"/>
    <mergeCell ref="T21:U21"/>
    <mergeCell ref="V21:W21"/>
    <mergeCell ref="X21:Y21"/>
    <mergeCell ref="Z21:AA21"/>
    <mergeCell ref="X22:Y22"/>
    <mergeCell ref="Z22:AA22"/>
    <mergeCell ref="AB22:AC22"/>
    <mergeCell ref="X19:Y19"/>
    <mergeCell ref="Z19:AA19"/>
    <mergeCell ref="AB19:AC19"/>
    <mergeCell ref="C20:D20"/>
    <mergeCell ref="F20:H20"/>
    <mergeCell ref="I20:J20"/>
    <mergeCell ref="K20:L20"/>
    <mergeCell ref="M20:N20"/>
    <mergeCell ref="O20:P20"/>
    <mergeCell ref="Q20:S20"/>
    <mergeCell ref="T20:U20"/>
    <mergeCell ref="V20:W20"/>
    <mergeCell ref="X20:Y20"/>
    <mergeCell ref="Z20:AA20"/>
    <mergeCell ref="AB20:AC20"/>
    <mergeCell ref="C19:D19"/>
    <mergeCell ref="F19:H19"/>
    <mergeCell ref="I19:J19"/>
    <mergeCell ref="K19:L19"/>
    <mergeCell ref="M19:N19"/>
    <mergeCell ref="O19:P19"/>
    <mergeCell ref="Q19:S19"/>
    <mergeCell ref="T19:U19"/>
    <mergeCell ref="V19:W19"/>
    <mergeCell ref="X17:Y17"/>
    <mergeCell ref="Z17:AA17"/>
    <mergeCell ref="AB17:AC17"/>
    <mergeCell ref="C18:D18"/>
    <mergeCell ref="F18:H18"/>
    <mergeCell ref="I18:J18"/>
    <mergeCell ref="K18:L18"/>
    <mergeCell ref="M18:N18"/>
    <mergeCell ref="AB18:AC18"/>
    <mergeCell ref="O18:P18"/>
    <mergeCell ref="Q18:S18"/>
    <mergeCell ref="T18:U18"/>
    <mergeCell ref="V18:W18"/>
    <mergeCell ref="X18:Y18"/>
    <mergeCell ref="Z18:AA18"/>
    <mergeCell ref="C17:D17"/>
    <mergeCell ref="F17:H17"/>
    <mergeCell ref="I17:J17"/>
    <mergeCell ref="K17:L17"/>
    <mergeCell ref="M17:N17"/>
    <mergeCell ref="O17:P17"/>
    <mergeCell ref="Q17:S17"/>
    <mergeCell ref="T17:U17"/>
    <mergeCell ref="V17:W17"/>
    <mergeCell ref="C15:D15"/>
    <mergeCell ref="F15:H15"/>
    <mergeCell ref="I15:J15"/>
    <mergeCell ref="K15:L15"/>
    <mergeCell ref="M15:N15"/>
    <mergeCell ref="AB15:AC15"/>
    <mergeCell ref="C16:D16"/>
    <mergeCell ref="F16:H16"/>
    <mergeCell ref="I16:J16"/>
    <mergeCell ref="K16:L16"/>
    <mergeCell ref="M16:N16"/>
    <mergeCell ref="O16:P16"/>
    <mergeCell ref="Q16:S16"/>
    <mergeCell ref="T16:U16"/>
    <mergeCell ref="V16:W16"/>
    <mergeCell ref="O15:P15"/>
    <mergeCell ref="Q15:S15"/>
    <mergeCell ref="T15:U15"/>
    <mergeCell ref="V15:W15"/>
    <mergeCell ref="X15:Y15"/>
    <mergeCell ref="Z15:AA15"/>
    <mergeCell ref="X16:Y16"/>
    <mergeCell ref="Z16:AA16"/>
    <mergeCell ref="AB16:AC16"/>
    <mergeCell ref="X12:Y12"/>
    <mergeCell ref="Z12:AA12"/>
    <mergeCell ref="AB12:AC12"/>
    <mergeCell ref="C14:D14"/>
    <mergeCell ref="F14:H14"/>
    <mergeCell ref="I14:J14"/>
    <mergeCell ref="K14:L14"/>
    <mergeCell ref="M14:N14"/>
    <mergeCell ref="O14:P14"/>
    <mergeCell ref="Q14:S14"/>
    <mergeCell ref="T14:U14"/>
    <mergeCell ref="V14:W14"/>
    <mergeCell ref="X14:Y14"/>
    <mergeCell ref="Z14:AA14"/>
    <mergeCell ref="AB14:AC14"/>
    <mergeCell ref="C12:D12"/>
    <mergeCell ref="F12:H12"/>
    <mergeCell ref="I12:J12"/>
    <mergeCell ref="K12:L12"/>
    <mergeCell ref="M12:N12"/>
    <mergeCell ref="O12:P12"/>
    <mergeCell ref="Q12:S12"/>
    <mergeCell ref="T12:U12"/>
    <mergeCell ref="V12:W12"/>
    <mergeCell ref="C9:D9"/>
    <mergeCell ref="E9:AC9"/>
    <mergeCell ref="C10:D10"/>
    <mergeCell ref="E10:J10"/>
    <mergeCell ref="K10:AC10"/>
    <mergeCell ref="C11:D11"/>
    <mergeCell ref="F11:H11"/>
    <mergeCell ref="I11:J11"/>
    <mergeCell ref="K11:L11"/>
    <mergeCell ref="M11:N11"/>
    <mergeCell ref="AB11:AC11"/>
    <mergeCell ref="O11:P11"/>
    <mergeCell ref="Q11:S11"/>
    <mergeCell ref="T11:U11"/>
    <mergeCell ref="V11:W11"/>
    <mergeCell ref="X11:Y11"/>
    <mergeCell ref="Z11:AA11"/>
    <mergeCell ref="X6:Y6"/>
    <mergeCell ref="Q6:S6"/>
    <mergeCell ref="AB8:AC8"/>
    <mergeCell ref="C8:D8"/>
    <mergeCell ref="F8:H8"/>
    <mergeCell ref="I8:J8"/>
    <mergeCell ref="K8:L8"/>
    <mergeCell ref="M8:N8"/>
    <mergeCell ref="O8:P8"/>
    <mergeCell ref="Q7:S7"/>
    <mergeCell ref="T7:U7"/>
    <mergeCell ref="V7:W7"/>
    <mergeCell ref="X7:Y7"/>
    <mergeCell ref="Z7:AA7"/>
    <mergeCell ref="AB7:AC7"/>
    <mergeCell ref="C7:D7"/>
    <mergeCell ref="F7:H7"/>
    <mergeCell ref="I7:J7"/>
    <mergeCell ref="K7:L7"/>
    <mergeCell ref="Q8:S8"/>
    <mergeCell ref="T8:U8"/>
    <mergeCell ref="V8:W8"/>
    <mergeCell ref="X8:Y8"/>
    <mergeCell ref="Z8:AA8"/>
    <mergeCell ref="T6:U6"/>
    <mergeCell ref="M7:N7"/>
    <mergeCell ref="O7:P7"/>
    <mergeCell ref="Z6:AA6"/>
    <mergeCell ref="AB6:AC6"/>
    <mergeCell ref="V5:W5"/>
    <mergeCell ref="X5:Y5"/>
    <mergeCell ref="C5:D5"/>
    <mergeCell ref="F5:H5"/>
    <mergeCell ref="I5:J5"/>
    <mergeCell ref="K5:L5"/>
    <mergeCell ref="M5:N5"/>
    <mergeCell ref="O5:P5"/>
    <mergeCell ref="Q5:S5"/>
    <mergeCell ref="T5:U5"/>
    <mergeCell ref="Z5:AA5"/>
    <mergeCell ref="AB5:AC5"/>
    <mergeCell ref="C6:D6"/>
    <mergeCell ref="F6:H6"/>
    <mergeCell ref="I6:J6"/>
    <mergeCell ref="K6:L6"/>
    <mergeCell ref="M6:N6"/>
    <mergeCell ref="O6:P6"/>
    <mergeCell ref="V6:W6"/>
    <mergeCell ref="X13:Y13"/>
    <mergeCell ref="Z13:AA13"/>
    <mergeCell ref="AB13:AC13"/>
    <mergeCell ref="C13:D13"/>
    <mergeCell ref="F13:H13"/>
    <mergeCell ref="I13:J13"/>
    <mergeCell ref="K13:L13"/>
    <mergeCell ref="M13:N13"/>
    <mergeCell ref="O13:P13"/>
    <mergeCell ref="Q13:S13"/>
    <mergeCell ref="T13:U13"/>
    <mergeCell ref="V13:W13"/>
  </mergeCells>
  <hyperlinks>
    <hyperlink ref="B2" location="Contents!A1" display="Back to Contents page" xr:uid="{D84F57A2-6A9C-4368-BEC8-2EFACA058ADB}"/>
  </hyperlinks>
  <pageMargins left="0.7" right="0.7" top="0.75" bottom="0.75" header="0.3" footer="0.3"/>
  <pageSetup paperSize="9" scale="23" orientation="portrait" horizontalDpi="144" verticalDpi="144" r:id="rId1"/>
  <ignoredErrors>
    <ignoredError sqref="B12:B34"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O36"/>
  <sheetViews>
    <sheetView workbookViewId="0"/>
  </sheetViews>
  <sheetFormatPr baseColWidth="10" defaultColWidth="9.21875" defaultRowHeight="15" x14ac:dyDescent="0.25"/>
  <cols>
    <col min="1" max="2" width="9.21875" style="84"/>
    <col min="3" max="3" width="22.109375" style="84" customWidth="1"/>
    <col min="4" max="5" width="29.33203125" style="84" customWidth="1"/>
    <col min="6" max="6" width="27.21875" style="84" customWidth="1"/>
    <col min="7" max="7" width="26.21875" style="84" customWidth="1"/>
    <col min="8" max="8" width="25.77734375" style="84" customWidth="1"/>
    <col min="9" max="9" width="19.33203125" style="84" customWidth="1"/>
    <col min="10" max="16384" width="9.21875" style="84"/>
  </cols>
  <sheetData>
    <row r="2" spans="2:15" ht="18.75" x14ac:dyDescent="0.25">
      <c r="B2" s="1075" t="s">
        <v>2184</v>
      </c>
      <c r="C2" s="1075"/>
      <c r="D2" s="1075"/>
      <c r="E2" s="1075"/>
      <c r="F2" s="1075"/>
      <c r="G2" s="217"/>
      <c r="H2" s="217"/>
      <c r="I2" s="217"/>
      <c r="J2" s="217"/>
      <c r="K2" s="217"/>
      <c r="L2" s="217"/>
      <c r="M2" s="217"/>
      <c r="N2" s="217"/>
      <c r="O2" s="217"/>
    </row>
    <row r="3" spans="2:15" x14ac:dyDescent="0.25">
      <c r="B3" s="1076"/>
      <c r="C3" s="1076"/>
      <c r="D3" s="1076"/>
      <c r="E3" s="1076"/>
      <c r="F3" s="1076"/>
      <c r="G3" s="217"/>
      <c r="H3" s="217"/>
      <c r="I3" s="217"/>
      <c r="J3" s="217"/>
      <c r="K3" s="217"/>
      <c r="L3" s="217"/>
      <c r="M3" s="217"/>
      <c r="N3" s="217"/>
      <c r="O3" s="217"/>
    </row>
    <row r="4" spans="2:15" ht="15.75" thickBot="1" x14ac:dyDescent="0.3">
      <c r="B4" s="1077"/>
      <c r="C4" s="1077"/>
      <c r="D4" s="1077"/>
      <c r="E4" s="1077"/>
      <c r="F4" s="1077"/>
      <c r="G4" s="1077"/>
      <c r="H4" s="1077"/>
      <c r="I4" s="1077"/>
      <c r="J4" s="1077"/>
      <c r="K4" s="1077"/>
      <c r="L4" s="98"/>
      <c r="M4" s="99"/>
      <c r="N4" s="99"/>
      <c r="O4" s="217"/>
    </row>
    <row r="5" spans="2:15" ht="16.5" thickBot="1" x14ac:dyDescent="0.3">
      <c r="B5" s="107"/>
      <c r="C5" s="107"/>
      <c r="D5" s="87" t="s">
        <v>161</v>
      </c>
      <c r="E5" s="220" t="s">
        <v>162</v>
      </c>
      <c r="F5" s="220" t="s">
        <v>163</v>
      </c>
      <c r="G5" s="218" t="s">
        <v>200</v>
      </c>
      <c r="H5" s="220" t="s">
        <v>201</v>
      </c>
      <c r="I5" s="220" t="s">
        <v>266</v>
      </c>
      <c r="J5" s="1078" t="s">
        <v>267</v>
      </c>
      <c r="K5" s="1079"/>
      <c r="L5" s="107"/>
      <c r="M5" s="107"/>
      <c r="N5" s="107"/>
      <c r="O5" s="217"/>
    </row>
    <row r="6" spans="2:15" ht="67.5" customHeight="1" thickBot="1" x14ac:dyDescent="0.3">
      <c r="B6" s="107"/>
      <c r="C6" s="107"/>
      <c r="D6" s="1080" t="s">
        <v>2185</v>
      </c>
      <c r="E6" s="1081"/>
      <c r="F6" s="1081"/>
      <c r="G6" s="1082"/>
      <c r="H6" s="1083" t="s">
        <v>2186</v>
      </c>
      <c r="I6" s="1083" t="s">
        <v>2961</v>
      </c>
      <c r="J6" s="1086" t="s">
        <v>2187</v>
      </c>
      <c r="K6" s="1087"/>
      <c r="L6" s="107"/>
      <c r="M6" s="107"/>
      <c r="N6" s="107"/>
      <c r="O6" s="217"/>
    </row>
    <row r="7" spans="2:15" ht="23.25" customHeight="1" thickBot="1" x14ac:dyDescent="0.3">
      <c r="B7" s="107"/>
      <c r="C7" s="107"/>
      <c r="D7" s="1092"/>
      <c r="E7" s="1080" t="s">
        <v>2188</v>
      </c>
      <c r="F7" s="1082"/>
      <c r="G7" s="1083" t="s">
        <v>2189</v>
      </c>
      <c r="H7" s="1084"/>
      <c r="I7" s="1084"/>
      <c r="J7" s="1088"/>
      <c r="K7" s="1089"/>
      <c r="L7" s="107"/>
      <c r="M7" s="107"/>
      <c r="N7" s="107"/>
      <c r="O7" s="217"/>
    </row>
    <row r="8" spans="2:15" ht="16.5" thickBot="1" x14ac:dyDescent="0.3">
      <c r="B8" s="107"/>
      <c r="C8" s="107"/>
      <c r="D8" s="1093"/>
      <c r="E8" s="98"/>
      <c r="F8" s="85" t="s">
        <v>2190</v>
      </c>
      <c r="G8" s="1091"/>
      <c r="H8" s="1085"/>
      <c r="I8" s="1085"/>
      <c r="J8" s="1090"/>
      <c r="K8" s="1091"/>
      <c r="L8" s="107"/>
      <c r="M8" s="107"/>
      <c r="N8" s="107"/>
      <c r="O8" s="217"/>
    </row>
    <row r="9" spans="2:15" ht="30" customHeight="1" thickBot="1" x14ac:dyDescent="0.3">
      <c r="B9" s="88" t="s">
        <v>289</v>
      </c>
      <c r="C9" s="100" t="s">
        <v>2191</v>
      </c>
      <c r="D9" s="86" t="s">
        <v>2192</v>
      </c>
      <c r="E9" s="219" t="s">
        <v>2193</v>
      </c>
      <c r="F9" s="101" t="s">
        <v>2194</v>
      </c>
      <c r="G9" s="102" t="s">
        <v>2195</v>
      </c>
      <c r="H9" s="102" t="s">
        <v>2196</v>
      </c>
      <c r="I9" s="230"/>
      <c r="J9" s="1096" t="s">
        <v>2197</v>
      </c>
      <c r="K9" s="1097"/>
      <c r="L9" s="107"/>
      <c r="M9" s="107"/>
      <c r="N9" s="107"/>
      <c r="O9" s="217"/>
    </row>
    <row r="10" spans="2:15" ht="16.5" thickBot="1" x14ac:dyDescent="0.3">
      <c r="B10" s="94" t="s">
        <v>291</v>
      </c>
      <c r="C10" s="103" t="s">
        <v>2198</v>
      </c>
      <c r="D10" s="102"/>
      <c r="E10" s="102"/>
      <c r="F10" s="102"/>
      <c r="G10" s="102"/>
      <c r="H10" s="102"/>
      <c r="I10" s="229"/>
      <c r="J10" s="1096"/>
      <c r="K10" s="1097"/>
      <c r="L10" s="107"/>
      <c r="M10" s="107"/>
      <c r="N10" s="107"/>
      <c r="O10" s="217"/>
    </row>
    <row r="11" spans="2:15" ht="16.5" thickBot="1" x14ac:dyDescent="0.3">
      <c r="B11" s="94" t="s">
        <v>916</v>
      </c>
      <c r="C11" s="103" t="s">
        <v>2199</v>
      </c>
      <c r="D11" s="102"/>
      <c r="E11" s="102"/>
      <c r="F11" s="102"/>
      <c r="G11" s="102"/>
      <c r="H11" s="102"/>
      <c r="I11" s="229"/>
      <c r="J11" s="1096"/>
      <c r="K11" s="1097"/>
      <c r="L11" s="107"/>
      <c r="M11" s="107"/>
      <c r="N11" s="107"/>
      <c r="O11" s="217"/>
    </row>
    <row r="12" spans="2:15" ht="16.5" thickBot="1" x14ac:dyDescent="0.3">
      <c r="B12" s="94" t="s">
        <v>918</v>
      </c>
      <c r="C12" s="103" t="s">
        <v>2200</v>
      </c>
      <c r="D12" s="102"/>
      <c r="E12" s="102"/>
      <c r="F12" s="102"/>
      <c r="G12" s="102"/>
      <c r="H12" s="102"/>
      <c r="I12" s="229"/>
      <c r="J12" s="1096"/>
      <c r="K12" s="1097"/>
      <c r="L12" s="107"/>
      <c r="M12" s="107"/>
      <c r="N12" s="107"/>
      <c r="O12" s="217"/>
    </row>
    <row r="13" spans="2:15" ht="16.5" thickBot="1" x14ac:dyDescent="0.3">
      <c r="B13" s="94" t="s">
        <v>920</v>
      </c>
      <c r="C13" s="103" t="s">
        <v>2201</v>
      </c>
      <c r="D13" s="102"/>
      <c r="E13" s="102"/>
      <c r="F13" s="102"/>
      <c r="G13" s="102"/>
      <c r="H13" s="102"/>
      <c r="I13" s="229"/>
      <c r="J13" s="1096"/>
      <c r="K13" s="1097"/>
      <c r="L13" s="107"/>
      <c r="M13" s="107"/>
      <c r="N13" s="107"/>
      <c r="O13" s="217"/>
    </row>
    <row r="14" spans="2:15" ht="16.5" thickBot="1" x14ac:dyDescent="0.3">
      <c r="B14" s="94" t="s">
        <v>922</v>
      </c>
      <c r="C14" s="103" t="s">
        <v>2202</v>
      </c>
      <c r="D14" s="102"/>
      <c r="E14" s="102"/>
      <c r="F14" s="102"/>
      <c r="G14" s="102"/>
      <c r="H14" s="102"/>
      <c r="I14" s="229"/>
      <c r="J14" s="1096"/>
      <c r="K14" s="1097"/>
      <c r="L14" s="107"/>
      <c r="M14" s="107"/>
      <c r="N14" s="107"/>
      <c r="O14" s="217"/>
    </row>
    <row r="15" spans="2:15" ht="16.5" thickBot="1" x14ac:dyDescent="0.3">
      <c r="B15" s="94" t="s">
        <v>924</v>
      </c>
      <c r="C15" s="103" t="s">
        <v>2203</v>
      </c>
      <c r="D15" s="102"/>
      <c r="E15" s="102"/>
      <c r="F15" s="102"/>
      <c r="G15" s="102"/>
      <c r="H15" s="102"/>
      <c r="I15" s="229"/>
      <c r="J15" s="1096"/>
      <c r="K15" s="1097"/>
      <c r="L15" s="107"/>
      <c r="M15" s="107"/>
      <c r="N15" s="107"/>
      <c r="O15" s="217"/>
    </row>
    <row r="16" spans="2:15" ht="42" customHeight="1" thickBot="1" x14ac:dyDescent="0.3">
      <c r="B16" s="94" t="s">
        <v>926</v>
      </c>
      <c r="C16" s="104" t="s">
        <v>2204</v>
      </c>
      <c r="D16" s="102" t="s">
        <v>2205</v>
      </c>
      <c r="E16" s="102" t="s">
        <v>2206</v>
      </c>
      <c r="F16" s="86" t="s">
        <v>2207</v>
      </c>
      <c r="G16" s="228"/>
      <c r="H16" s="228"/>
      <c r="I16" s="86" t="s">
        <v>2208</v>
      </c>
      <c r="J16" s="1094"/>
      <c r="K16" s="1095"/>
      <c r="L16" s="107"/>
      <c r="M16" s="107"/>
      <c r="N16" s="107"/>
      <c r="O16" s="217"/>
    </row>
    <row r="17" spans="2:15" ht="16.5" thickBot="1" x14ac:dyDescent="0.3">
      <c r="B17" s="89" t="s">
        <v>928</v>
      </c>
      <c r="C17" s="103" t="s">
        <v>2198</v>
      </c>
      <c r="D17" s="102"/>
      <c r="E17" s="102"/>
      <c r="F17" s="102"/>
      <c r="G17" s="229"/>
      <c r="H17" s="229"/>
      <c r="I17" s="102"/>
      <c r="J17" s="1094"/>
      <c r="K17" s="1095"/>
      <c r="L17" s="107"/>
      <c r="M17" s="107"/>
      <c r="N17" s="107"/>
      <c r="O17" s="217"/>
    </row>
    <row r="18" spans="2:15" ht="16.5" thickBot="1" x14ac:dyDescent="0.3">
      <c r="B18" s="94" t="s">
        <v>930</v>
      </c>
      <c r="C18" s="103" t="s">
        <v>2199</v>
      </c>
      <c r="D18" s="102"/>
      <c r="E18" s="102"/>
      <c r="F18" s="102"/>
      <c r="G18" s="229"/>
      <c r="H18" s="229"/>
      <c r="I18" s="102"/>
      <c r="J18" s="1094"/>
      <c r="K18" s="1095"/>
      <c r="L18" s="107"/>
      <c r="M18" s="107"/>
      <c r="N18" s="107"/>
      <c r="O18" s="217"/>
    </row>
    <row r="19" spans="2:15" ht="16.5" thickBot="1" x14ac:dyDescent="0.3">
      <c r="B19" s="94" t="s">
        <v>931</v>
      </c>
      <c r="C19" s="103" t="s">
        <v>2200</v>
      </c>
      <c r="D19" s="102"/>
      <c r="E19" s="102"/>
      <c r="F19" s="102"/>
      <c r="G19" s="229"/>
      <c r="H19" s="229"/>
      <c r="I19" s="102"/>
      <c r="J19" s="1094"/>
      <c r="K19" s="1095"/>
      <c r="L19" s="107"/>
      <c r="M19" s="107"/>
      <c r="N19" s="107"/>
      <c r="O19" s="217"/>
    </row>
    <row r="20" spans="2:15" ht="16.5" thickBot="1" x14ac:dyDescent="0.3">
      <c r="B20" s="94" t="s">
        <v>932</v>
      </c>
      <c r="C20" s="103" t="s">
        <v>2201</v>
      </c>
      <c r="D20" s="102"/>
      <c r="E20" s="102"/>
      <c r="F20" s="102"/>
      <c r="G20" s="229"/>
      <c r="H20" s="229"/>
      <c r="I20" s="102"/>
      <c r="J20" s="1094"/>
      <c r="K20" s="1095"/>
      <c r="L20" s="107"/>
      <c r="M20" s="107"/>
      <c r="N20" s="107"/>
      <c r="O20" s="217"/>
    </row>
    <row r="21" spans="2:15" ht="16.5" thickBot="1" x14ac:dyDescent="0.3">
      <c r="B21" s="94" t="s">
        <v>933</v>
      </c>
      <c r="C21" s="103" t="s">
        <v>2202</v>
      </c>
      <c r="D21" s="102"/>
      <c r="E21" s="102"/>
      <c r="F21" s="102"/>
      <c r="G21" s="229"/>
      <c r="H21" s="229"/>
      <c r="I21" s="102"/>
      <c r="J21" s="1094"/>
      <c r="K21" s="1095"/>
      <c r="L21" s="107"/>
      <c r="M21" s="107"/>
      <c r="N21" s="107"/>
      <c r="O21" s="217"/>
    </row>
    <row r="22" spans="2:15" ht="15.75" thickBot="1" x14ac:dyDescent="0.3">
      <c r="B22" s="94" t="s">
        <v>934</v>
      </c>
      <c r="C22" s="103" t="s">
        <v>2203</v>
      </c>
      <c r="D22" s="102"/>
      <c r="E22" s="102"/>
      <c r="F22" s="102"/>
      <c r="G22" s="229"/>
      <c r="H22" s="229"/>
      <c r="I22" s="102"/>
      <c r="J22" s="1094"/>
      <c r="K22" s="1095"/>
      <c r="L22" s="91"/>
      <c r="M22" s="99"/>
      <c r="N22" s="99"/>
      <c r="O22" s="217"/>
    </row>
    <row r="23" spans="2:15" ht="36.75" thickBot="1" x14ac:dyDescent="0.3">
      <c r="B23" s="92" t="s">
        <v>935</v>
      </c>
      <c r="C23" s="104" t="s">
        <v>198</v>
      </c>
      <c r="D23" s="105" t="s">
        <v>2209</v>
      </c>
      <c r="E23" s="163" t="s">
        <v>2210</v>
      </c>
      <c r="F23" s="105" t="s">
        <v>2211</v>
      </c>
      <c r="G23" s="102" t="s">
        <v>2195</v>
      </c>
      <c r="H23" s="105" t="s">
        <v>2196</v>
      </c>
      <c r="I23" s="105" t="s">
        <v>2208</v>
      </c>
      <c r="J23" s="1099" t="s">
        <v>2197</v>
      </c>
      <c r="K23" s="1100"/>
      <c r="L23" s="107"/>
      <c r="M23" s="107"/>
      <c r="N23" s="107"/>
      <c r="O23" s="217"/>
    </row>
    <row r="24" spans="2:15" x14ac:dyDescent="0.25">
      <c r="B24" s="1101"/>
      <c r="C24" s="1101"/>
      <c r="D24" s="1101"/>
      <c r="E24" s="1101"/>
      <c r="F24" s="1101"/>
      <c r="G24" s="1101"/>
      <c r="H24" s="1101"/>
      <c r="I24" s="1101"/>
      <c r="J24" s="1101"/>
      <c r="K24" s="1102"/>
      <c r="L24" s="1102"/>
      <c r="M24" s="1102"/>
      <c r="N24" s="1102"/>
      <c r="O24" s="1102"/>
    </row>
    <row r="25" spans="2:15" ht="15.75" x14ac:dyDescent="0.25">
      <c r="B25" s="1103"/>
      <c r="C25" s="1103"/>
      <c r="D25" s="1103"/>
      <c r="E25" s="1103"/>
      <c r="F25" s="1103"/>
      <c r="G25" s="1103"/>
      <c r="H25" s="1103"/>
      <c r="I25" s="1103"/>
      <c r="J25" s="1103"/>
      <c r="K25" s="1102"/>
      <c r="L25" s="1102"/>
      <c r="M25" s="1102"/>
      <c r="N25" s="1102"/>
      <c r="O25" s="1102"/>
    </row>
    <row r="26" spans="2:15" x14ac:dyDescent="0.25">
      <c r="B26" s="1104"/>
      <c r="C26" s="1104"/>
      <c r="D26" s="1104"/>
      <c r="E26" s="1104"/>
      <c r="F26" s="1104"/>
      <c r="G26" s="1104"/>
      <c r="H26" s="1104"/>
      <c r="I26" s="1104"/>
      <c r="J26" s="1104"/>
      <c r="K26" s="1102"/>
      <c r="L26" s="1102"/>
      <c r="M26" s="1102"/>
      <c r="N26" s="1102"/>
      <c r="O26" s="1102"/>
    </row>
    <row r="27" spans="2:15" x14ac:dyDescent="0.25">
      <c r="B27" s="1098"/>
      <c r="C27" s="1098"/>
      <c r="D27" s="1098"/>
      <c r="E27" s="1098"/>
      <c r="F27" s="1098"/>
      <c r="G27" s="1098"/>
      <c r="H27" s="1098"/>
      <c r="I27" s="1098"/>
      <c r="J27" s="1098"/>
      <c r="K27" s="1098"/>
      <c r="L27" s="1098"/>
      <c r="M27" s="1098"/>
      <c r="N27" s="1098"/>
      <c r="O27" s="1098"/>
    </row>
    <row r="28" spans="2:15" ht="60" customHeight="1" x14ac:dyDescent="0.25">
      <c r="B28" s="1098"/>
      <c r="C28" s="1098"/>
      <c r="D28" s="1098"/>
      <c r="E28" s="1098"/>
      <c r="F28" s="1098"/>
      <c r="G28" s="1098"/>
      <c r="H28" s="1098"/>
      <c r="I28" s="1098"/>
      <c r="J28" s="1098"/>
      <c r="K28" s="1098"/>
      <c r="L28" s="1098"/>
      <c r="M28" s="1098"/>
      <c r="N28" s="1098"/>
      <c r="O28" s="1098"/>
    </row>
    <row r="29" spans="2:15" x14ac:dyDescent="0.25">
      <c r="B29" s="1098"/>
      <c r="C29" s="1098"/>
      <c r="D29" s="1098"/>
      <c r="E29" s="1098"/>
      <c r="F29" s="1098"/>
      <c r="G29" s="1098"/>
      <c r="H29" s="1098"/>
      <c r="I29" s="1098"/>
      <c r="J29" s="1098"/>
      <c r="K29" s="1098"/>
      <c r="L29" s="1098"/>
      <c r="M29" s="1098"/>
      <c r="N29" s="1098"/>
      <c r="O29" s="1098"/>
    </row>
    <row r="30" spans="2:15" x14ac:dyDescent="0.25">
      <c r="B30" s="1098"/>
      <c r="C30" s="1098"/>
      <c r="D30" s="1098"/>
      <c r="E30" s="1098"/>
      <c r="F30" s="1098"/>
      <c r="G30" s="1098"/>
      <c r="H30" s="1098"/>
      <c r="I30" s="1098"/>
      <c r="J30" s="1098"/>
      <c r="K30" s="1098"/>
      <c r="L30" s="1098"/>
      <c r="M30" s="1098"/>
      <c r="N30" s="1098"/>
      <c r="O30" s="1098"/>
    </row>
    <row r="31" spans="2:15" ht="24" customHeight="1" x14ac:dyDescent="0.25">
      <c r="B31" s="1098"/>
      <c r="C31" s="1098"/>
      <c r="D31" s="1098"/>
      <c r="E31" s="1098"/>
      <c r="F31" s="1098"/>
      <c r="G31" s="1098"/>
      <c r="H31" s="1098"/>
      <c r="I31" s="1098"/>
      <c r="J31" s="1098"/>
      <c r="K31" s="1098"/>
      <c r="L31" s="1098"/>
      <c r="M31" s="1098"/>
      <c r="N31" s="1098"/>
      <c r="O31" s="1098"/>
    </row>
    <row r="32" spans="2:15" ht="24" customHeight="1" x14ac:dyDescent="0.25">
      <c r="B32" s="1098"/>
      <c r="C32" s="1098"/>
      <c r="D32" s="1098"/>
      <c r="E32" s="1098"/>
      <c r="F32" s="1098"/>
      <c r="G32" s="1098"/>
      <c r="H32" s="1098"/>
      <c r="I32" s="1098"/>
      <c r="J32" s="1098"/>
      <c r="K32" s="1098"/>
      <c r="L32" s="1098"/>
      <c r="M32" s="1098"/>
      <c r="N32" s="1098"/>
      <c r="O32" s="1098"/>
    </row>
    <row r="33" spans="2:15" x14ac:dyDescent="0.25">
      <c r="B33" s="1104"/>
      <c r="C33" s="1104"/>
      <c r="D33" s="1104"/>
      <c r="E33" s="1104"/>
      <c r="F33" s="1104"/>
      <c r="G33" s="1104"/>
      <c r="H33" s="1104"/>
      <c r="I33" s="1104"/>
      <c r="J33" s="1104"/>
      <c r="K33" s="1102"/>
      <c r="L33" s="1102"/>
      <c r="M33" s="1102"/>
      <c r="N33" s="1102"/>
      <c r="O33" s="1102"/>
    </row>
    <row r="34" spans="2:15" x14ac:dyDescent="0.25">
      <c r="B34" s="1098"/>
      <c r="C34" s="1098"/>
      <c r="D34" s="1098"/>
      <c r="E34" s="1098"/>
      <c r="F34" s="1098"/>
      <c r="G34" s="1098"/>
      <c r="H34" s="1098"/>
      <c r="I34" s="1098"/>
      <c r="J34" s="1098"/>
      <c r="K34" s="1098"/>
      <c r="L34" s="1098"/>
      <c r="M34" s="1098"/>
      <c r="N34" s="1098"/>
      <c r="O34" s="1098"/>
    </row>
    <row r="35" spans="2:15" ht="24" customHeight="1" x14ac:dyDescent="0.25">
      <c r="B35" s="1105"/>
      <c r="C35" s="1105"/>
      <c r="D35" s="1105"/>
      <c r="E35" s="1105"/>
      <c r="F35" s="1105"/>
      <c r="G35" s="1105"/>
      <c r="H35" s="1105"/>
      <c r="I35" s="1105"/>
      <c r="J35" s="1105"/>
      <c r="K35" s="1105"/>
      <c r="L35" s="1105"/>
      <c r="M35" s="1105"/>
      <c r="N35" s="1105"/>
      <c r="O35" s="1105"/>
    </row>
    <row r="36" spans="2:15" ht="24" customHeight="1" x14ac:dyDescent="0.25">
      <c r="B36" s="1105"/>
      <c r="C36" s="1105"/>
      <c r="D36" s="1105"/>
      <c r="E36" s="1105"/>
      <c r="F36" s="1105"/>
      <c r="G36" s="1105"/>
      <c r="H36" s="1105"/>
      <c r="I36" s="1105"/>
      <c r="J36" s="1105"/>
      <c r="K36" s="1105"/>
      <c r="L36" s="1105"/>
      <c r="M36" s="1105"/>
      <c r="N36" s="1105"/>
      <c r="O36" s="1105"/>
    </row>
  </sheetData>
  <mergeCells count="43">
    <mergeCell ref="B34:O34"/>
    <mergeCell ref="B35:O35"/>
    <mergeCell ref="B36:O36"/>
    <mergeCell ref="B29:O29"/>
    <mergeCell ref="B30:O30"/>
    <mergeCell ref="B31:O31"/>
    <mergeCell ref="B32:O32"/>
    <mergeCell ref="B33:J33"/>
    <mergeCell ref="K33:O33"/>
    <mergeCell ref="B28:O28"/>
    <mergeCell ref="J20:K20"/>
    <mergeCell ref="J21:K21"/>
    <mergeCell ref="J22:K22"/>
    <mergeCell ref="J23:K23"/>
    <mergeCell ref="B24:J24"/>
    <mergeCell ref="K24:O24"/>
    <mergeCell ref="B25:J25"/>
    <mergeCell ref="K25:O25"/>
    <mergeCell ref="B26:J26"/>
    <mergeCell ref="K26:O26"/>
    <mergeCell ref="B27:O27"/>
    <mergeCell ref="J19:K19"/>
    <mergeCell ref="G7:G8"/>
    <mergeCell ref="J9:K9"/>
    <mergeCell ref="J10:K10"/>
    <mergeCell ref="J11:K11"/>
    <mergeCell ref="J12:K12"/>
    <mergeCell ref="J13:K13"/>
    <mergeCell ref="J14:K14"/>
    <mergeCell ref="J15:K15"/>
    <mergeCell ref="J16:K16"/>
    <mergeCell ref="J17:K17"/>
    <mergeCell ref="J18:K18"/>
    <mergeCell ref="B2:F2"/>
    <mergeCell ref="B3:F3"/>
    <mergeCell ref="B4:K4"/>
    <mergeCell ref="J5:K5"/>
    <mergeCell ref="D6:G6"/>
    <mergeCell ref="H6:H8"/>
    <mergeCell ref="I6:I8"/>
    <mergeCell ref="J6:K8"/>
    <mergeCell ref="D7:D8"/>
    <mergeCell ref="E7:F7"/>
  </mergeCell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3:K47"/>
  <sheetViews>
    <sheetView workbookViewId="0"/>
  </sheetViews>
  <sheetFormatPr baseColWidth="10" defaultColWidth="9.21875" defaultRowHeight="15" x14ac:dyDescent="0.25"/>
  <cols>
    <col min="1" max="1" width="9.21875" style="84"/>
    <col min="2" max="2" width="5.6640625" style="84" customWidth="1"/>
    <col min="3" max="9" width="19.33203125" style="84" customWidth="1"/>
    <col min="10" max="16384" width="9.21875" style="84"/>
  </cols>
  <sheetData>
    <row r="3" spans="2:11" ht="18.75" x14ac:dyDescent="0.25">
      <c r="B3" s="1108" t="s">
        <v>2212</v>
      </c>
      <c r="C3" s="1108"/>
      <c r="D3" s="1108"/>
      <c r="E3" s="1108"/>
      <c r="F3" s="1108"/>
      <c r="G3" s="1108"/>
      <c r="H3" s="1108"/>
      <c r="I3" s="1108"/>
      <c r="J3" s="1108"/>
      <c r="K3" s="1108"/>
    </row>
    <row r="4" spans="2:11" x14ac:dyDescent="0.25">
      <c r="B4" s="1107"/>
      <c r="C4" s="1107"/>
      <c r="D4" s="1107"/>
      <c r="E4" s="1107"/>
      <c r="F4" s="1107"/>
      <c r="G4" s="1102"/>
      <c r="H4" s="1102"/>
      <c r="I4" s="1102"/>
      <c r="J4" s="1102"/>
      <c r="K4" s="1102"/>
    </row>
    <row r="5" spans="2:11" ht="16.5" thickBot="1" x14ac:dyDescent="0.3">
      <c r="B5" s="107"/>
      <c r="C5" s="107"/>
      <c r="D5" s="107"/>
      <c r="E5" s="107"/>
      <c r="F5" s="107"/>
      <c r="G5" s="1102"/>
      <c r="H5" s="1102"/>
      <c r="I5" s="1102"/>
      <c r="J5" s="1102"/>
      <c r="K5" s="1102"/>
    </row>
    <row r="6" spans="2:11" ht="16.5" thickBot="1" x14ac:dyDescent="0.3">
      <c r="B6" s="107"/>
      <c r="C6" s="107"/>
      <c r="D6" s="87" t="s">
        <v>161</v>
      </c>
      <c r="E6" s="220" t="s">
        <v>162</v>
      </c>
      <c r="F6" s="220" t="s">
        <v>163</v>
      </c>
      <c r="G6" s="163" t="s">
        <v>200</v>
      </c>
      <c r="H6" s="106" t="s">
        <v>201</v>
      </c>
      <c r="I6" s="220" t="s">
        <v>266</v>
      </c>
      <c r="J6" s="1088"/>
      <c r="K6" s="1106"/>
    </row>
    <row r="7" spans="2:11" ht="16.5" thickBot="1" x14ac:dyDescent="0.3">
      <c r="B7" s="107"/>
      <c r="C7" s="107"/>
      <c r="D7" s="1080" t="s">
        <v>958</v>
      </c>
      <c r="E7" s="1081"/>
      <c r="F7" s="1081"/>
      <c r="G7" s="1082"/>
      <c r="H7" s="1083" t="s">
        <v>2186</v>
      </c>
      <c r="I7" s="1083" t="s">
        <v>2187</v>
      </c>
      <c r="J7" s="1088"/>
      <c r="K7" s="1106"/>
    </row>
    <row r="8" spans="2:11" ht="16.5" thickBot="1" x14ac:dyDescent="0.3">
      <c r="B8" s="107"/>
      <c r="C8" s="107"/>
      <c r="D8" s="1092"/>
      <c r="E8" s="1080" t="s">
        <v>2188</v>
      </c>
      <c r="F8" s="1082"/>
      <c r="G8" s="1083" t="s">
        <v>2213</v>
      </c>
      <c r="H8" s="1084"/>
      <c r="I8" s="1084"/>
      <c r="J8" s="1088"/>
      <c r="K8" s="1106"/>
    </row>
    <row r="9" spans="2:11" ht="24.75" customHeight="1" thickBot="1" x14ac:dyDescent="0.3">
      <c r="B9" s="107"/>
      <c r="C9" s="107"/>
      <c r="D9" s="1093"/>
      <c r="E9" s="108"/>
      <c r="F9" s="85" t="s">
        <v>2190</v>
      </c>
      <c r="G9" s="1085"/>
      <c r="H9" s="1085"/>
      <c r="I9" s="1085"/>
      <c r="J9" s="1088"/>
      <c r="K9" s="1106"/>
    </row>
    <row r="10" spans="2:11" ht="24.75" thickBot="1" x14ac:dyDescent="0.3">
      <c r="B10" s="93" t="s">
        <v>289</v>
      </c>
      <c r="C10" s="219" t="s">
        <v>2214</v>
      </c>
      <c r="D10" s="126" t="s">
        <v>2215</v>
      </c>
      <c r="E10" s="122" t="s">
        <v>2216</v>
      </c>
      <c r="F10" s="122" t="s">
        <v>2217</v>
      </c>
      <c r="G10" s="122" t="s">
        <v>2218</v>
      </c>
      <c r="H10" s="126" t="s">
        <v>2219</v>
      </c>
      <c r="I10" s="126" t="s">
        <v>2220</v>
      </c>
      <c r="J10" s="1109"/>
      <c r="K10" s="1110"/>
    </row>
    <row r="11" spans="2:11" ht="15.75" thickBot="1" x14ac:dyDescent="0.3">
      <c r="B11" s="109" t="s">
        <v>291</v>
      </c>
      <c r="C11" s="102" t="s">
        <v>2221</v>
      </c>
      <c r="D11" s="126" t="s">
        <v>2222</v>
      </c>
      <c r="E11" s="126" t="s">
        <v>2223</v>
      </c>
      <c r="F11" s="126" t="s">
        <v>2224</v>
      </c>
      <c r="G11" s="126" t="s">
        <v>2225</v>
      </c>
      <c r="H11" s="126" t="s">
        <v>2226</v>
      </c>
      <c r="I11" s="126" t="s">
        <v>2227</v>
      </c>
      <c r="J11" s="1109"/>
      <c r="K11" s="1110"/>
    </row>
    <row r="12" spans="2:11" ht="15.75" thickBot="1" x14ac:dyDescent="0.3">
      <c r="B12" s="109" t="s">
        <v>916</v>
      </c>
      <c r="C12" s="102" t="s">
        <v>2228</v>
      </c>
      <c r="D12" s="126" t="s">
        <v>2229</v>
      </c>
      <c r="E12" s="126" t="s">
        <v>2230</v>
      </c>
      <c r="F12" s="126" t="s">
        <v>2231</v>
      </c>
      <c r="G12" s="126" t="s">
        <v>2232</v>
      </c>
      <c r="H12" s="126" t="s">
        <v>2233</v>
      </c>
      <c r="I12" s="126" t="s">
        <v>2234</v>
      </c>
      <c r="J12" s="1109"/>
      <c r="K12" s="1110"/>
    </row>
    <row r="13" spans="2:11" ht="24.75" thickBot="1" x14ac:dyDescent="0.3">
      <c r="B13" s="109" t="s">
        <v>918</v>
      </c>
      <c r="C13" s="102" t="s">
        <v>2235</v>
      </c>
      <c r="D13" s="126" t="s">
        <v>2236</v>
      </c>
      <c r="E13" s="126" t="s">
        <v>2237</v>
      </c>
      <c r="F13" s="126" t="s">
        <v>2238</v>
      </c>
      <c r="G13" s="126" t="s">
        <v>2239</v>
      </c>
      <c r="H13" s="126" t="s">
        <v>2240</v>
      </c>
      <c r="I13" s="126" t="s">
        <v>2241</v>
      </c>
      <c r="J13" s="1109"/>
      <c r="K13" s="1110"/>
    </row>
    <row r="14" spans="2:11" ht="15.75" thickBot="1" x14ac:dyDescent="0.3">
      <c r="B14" s="109" t="s">
        <v>920</v>
      </c>
      <c r="C14" s="102" t="s">
        <v>2242</v>
      </c>
      <c r="D14" s="126" t="s">
        <v>2243</v>
      </c>
      <c r="E14" s="167" t="s">
        <v>2244</v>
      </c>
      <c r="F14" s="167" t="s">
        <v>2245</v>
      </c>
      <c r="G14" s="126" t="s">
        <v>2246</v>
      </c>
      <c r="H14" s="126" t="s">
        <v>2247</v>
      </c>
      <c r="I14" s="126" t="s">
        <v>2248</v>
      </c>
      <c r="J14" s="1109"/>
      <c r="K14" s="1110"/>
    </row>
    <row r="15" spans="2:11" ht="15.75" thickBot="1" x14ac:dyDescent="0.3">
      <c r="B15" s="109" t="s">
        <v>922</v>
      </c>
      <c r="C15" s="102" t="s">
        <v>2249</v>
      </c>
      <c r="D15" s="126" t="s">
        <v>2250</v>
      </c>
      <c r="E15" s="126" t="s">
        <v>2251</v>
      </c>
      <c r="F15" s="126" t="s">
        <v>2252</v>
      </c>
      <c r="G15" s="126" t="s">
        <v>2253</v>
      </c>
      <c r="H15" s="126" t="s">
        <v>2254</v>
      </c>
      <c r="I15" s="126" t="s">
        <v>2255</v>
      </c>
      <c r="J15" s="1109"/>
      <c r="K15" s="1110"/>
    </row>
    <row r="16" spans="2:11" ht="15.75" thickBot="1" x14ac:dyDescent="0.3">
      <c r="B16" s="109" t="s">
        <v>924</v>
      </c>
      <c r="C16" s="102" t="s">
        <v>2256</v>
      </c>
      <c r="D16" s="126" t="s">
        <v>2257</v>
      </c>
      <c r="E16" s="126" t="s">
        <v>2258</v>
      </c>
      <c r="F16" s="126" t="s">
        <v>2259</v>
      </c>
      <c r="G16" s="126" t="s">
        <v>2260</v>
      </c>
      <c r="H16" s="126" t="s">
        <v>2261</v>
      </c>
      <c r="I16" s="126" t="s">
        <v>2262</v>
      </c>
      <c r="J16" s="1109"/>
      <c r="K16" s="1110"/>
    </row>
    <row r="17" spans="2:11" ht="15.75" thickBot="1" x14ac:dyDescent="0.3">
      <c r="B17" s="109" t="s">
        <v>926</v>
      </c>
      <c r="C17" s="102" t="s">
        <v>2263</v>
      </c>
      <c r="D17" s="126" t="s">
        <v>2264</v>
      </c>
      <c r="E17" s="126" t="s">
        <v>2265</v>
      </c>
      <c r="F17" s="126" t="s">
        <v>2266</v>
      </c>
      <c r="G17" s="126" t="s">
        <v>2267</v>
      </c>
      <c r="H17" s="126" t="s">
        <v>2268</v>
      </c>
      <c r="I17" s="126" t="s">
        <v>2269</v>
      </c>
      <c r="J17" s="1109"/>
      <c r="K17" s="1110"/>
    </row>
    <row r="18" spans="2:11" ht="24.75" thickBot="1" x14ac:dyDescent="0.3">
      <c r="B18" s="89" t="s">
        <v>928</v>
      </c>
      <c r="C18" s="102" t="s">
        <v>2270</v>
      </c>
      <c r="D18" s="126" t="s">
        <v>2271</v>
      </c>
      <c r="E18" s="126" t="s">
        <v>2272</v>
      </c>
      <c r="F18" s="126" t="s">
        <v>2273</v>
      </c>
      <c r="G18" s="126" t="s">
        <v>2274</v>
      </c>
      <c r="H18" s="126" t="s">
        <v>2275</v>
      </c>
      <c r="I18" s="126" t="s">
        <v>2276</v>
      </c>
      <c r="J18" s="1109"/>
      <c r="K18" s="1110"/>
    </row>
    <row r="19" spans="2:11" ht="24.75" thickBot="1" x14ac:dyDescent="0.3">
      <c r="B19" s="109" t="s">
        <v>930</v>
      </c>
      <c r="C19" s="191" t="s">
        <v>2277</v>
      </c>
      <c r="D19" s="194" t="s">
        <v>2278</v>
      </c>
      <c r="E19" s="194" t="s">
        <v>2279</v>
      </c>
      <c r="F19" s="194" t="s">
        <v>2280</v>
      </c>
      <c r="G19" s="194" t="s">
        <v>2281</v>
      </c>
      <c r="H19" s="194" t="s">
        <v>2282</v>
      </c>
      <c r="I19" s="194" t="s">
        <v>2283</v>
      </c>
      <c r="J19" s="1111"/>
      <c r="K19" s="1112"/>
    </row>
    <row r="20" spans="2:11" ht="15.75" thickBot="1" x14ac:dyDescent="0.3">
      <c r="B20" s="109" t="s">
        <v>931</v>
      </c>
      <c r="C20" s="191" t="s">
        <v>2284</v>
      </c>
      <c r="D20" s="194" t="s">
        <v>2285</v>
      </c>
      <c r="E20" s="194" t="s">
        <v>2286</v>
      </c>
      <c r="F20" s="194" t="s">
        <v>2287</v>
      </c>
      <c r="G20" s="195" t="s">
        <v>2288</v>
      </c>
      <c r="H20" s="194" t="s">
        <v>2289</v>
      </c>
      <c r="I20" s="194" t="s">
        <v>2290</v>
      </c>
      <c r="J20" s="1111"/>
      <c r="K20" s="1112"/>
    </row>
    <row r="21" spans="2:11" ht="15.75" thickBot="1" x14ac:dyDescent="0.3">
      <c r="B21" s="109" t="s">
        <v>932</v>
      </c>
      <c r="C21" s="196" t="s">
        <v>2291</v>
      </c>
      <c r="D21" s="194" t="s">
        <v>2292</v>
      </c>
      <c r="E21" s="194" t="s">
        <v>2293</v>
      </c>
      <c r="F21" s="194" t="s">
        <v>2294</v>
      </c>
      <c r="G21" s="195" t="s">
        <v>2295</v>
      </c>
      <c r="H21" s="194" t="s">
        <v>2296</v>
      </c>
      <c r="I21" s="194" t="s">
        <v>2297</v>
      </c>
      <c r="J21" s="221"/>
      <c r="K21" s="222"/>
    </row>
    <row r="22" spans="2:11" ht="24.75" thickBot="1" x14ac:dyDescent="0.3">
      <c r="B22" s="109" t="s">
        <v>933</v>
      </c>
      <c r="C22" s="191" t="s">
        <v>2298</v>
      </c>
      <c r="D22" s="194" t="s">
        <v>2299</v>
      </c>
      <c r="E22" s="194" t="s">
        <v>2300</v>
      </c>
      <c r="F22" s="194" t="s">
        <v>2301</v>
      </c>
      <c r="G22" s="194" t="s">
        <v>2302</v>
      </c>
      <c r="H22" s="194" t="s">
        <v>2303</v>
      </c>
      <c r="I22" s="194" t="s">
        <v>2304</v>
      </c>
      <c r="J22" s="1111"/>
      <c r="K22" s="1112"/>
    </row>
    <row r="23" spans="2:11" ht="24.75" thickBot="1" x14ac:dyDescent="0.3">
      <c r="B23" s="109" t="s">
        <v>934</v>
      </c>
      <c r="C23" s="191" t="s">
        <v>2305</v>
      </c>
      <c r="D23" s="194" t="s">
        <v>2306</v>
      </c>
      <c r="E23" s="194" t="s">
        <v>2307</v>
      </c>
      <c r="F23" s="194" t="s">
        <v>2308</v>
      </c>
      <c r="G23" s="194" t="s">
        <v>2309</v>
      </c>
      <c r="H23" s="194" t="s">
        <v>2310</v>
      </c>
      <c r="I23" s="194" t="s">
        <v>2311</v>
      </c>
      <c r="J23" s="1111"/>
      <c r="K23" s="1112"/>
    </row>
    <row r="24" spans="2:11" ht="36.75" thickBot="1" x14ac:dyDescent="0.3">
      <c r="B24" s="89" t="s">
        <v>935</v>
      </c>
      <c r="C24" s="191" t="s">
        <v>2312</v>
      </c>
      <c r="D24" s="194" t="s">
        <v>2313</v>
      </c>
      <c r="E24" s="194" t="s">
        <v>2314</v>
      </c>
      <c r="F24" s="194" t="s">
        <v>2315</v>
      </c>
      <c r="G24" s="194" t="s">
        <v>2316</v>
      </c>
      <c r="H24" s="194" t="s">
        <v>2317</v>
      </c>
      <c r="I24" s="194" t="s">
        <v>2318</v>
      </c>
      <c r="J24" s="1111"/>
      <c r="K24" s="1112"/>
    </row>
    <row r="25" spans="2:11" ht="15.75" thickBot="1" x14ac:dyDescent="0.3">
      <c r="B25" s="109" t="s">
        <v>937</v>
      </c>
      <c r="C25" s="191" t="s">
        <v>2319</v>
      </c>
      <c r="D25" s="194" t="s">
        <v>2320</v>
      </c>
      <c r="E25" s="194" t="s">
        <v>2321</v>
      </c>
      <c r="F25" s="194" t="s">
        <v>2322</v>
      </c>
      <c r="G25" s="194" t="s">
        <v>2323</v>
      </c>
      <c r="H25" s="194" t="s">
        <v>2324</v>
      </c>
      <c r="I25" s="194" t="s">
        <v>2325</v>
      </c>
      <c r="J25" s="1111"/>
      <c r="K25" s="1112"/>
    </row>
    <row r="26" spans="2:11" ht="24.75" thickBot="1" x14ac:dyDescent="0.3">
      <c r="B26" s="109" t="s">
        <v>938</v>
      </c>
      <c r="C26" s="191" t="s">
        <v>2326</v>
      </c>
      <c r="D26" s="194" t="s">
        <v>2327</v>
      </c>
      <c r="E26" s="194" t="s">
        <v>2328</v>
      </c>
      <c r="F26" s="194" t="s">
        <v>2329</v>
      </c>
      <c r="G26" s="194" t="s">
        <v>2330</v>
      </c>
      <c r="H26" s="194" t="s">
        <v>2331</v>
      </c>
      <c r="I26" s="194" t="s">
        <v>2332</v>
      </c>
      <c r="J26" s="1111"/>
      <c r="K26" s="1112"/>
    </row>
    <row r="27" spans="2:11" ht="24.75" thickBot="1" x14ac:dyDescent="0.3">
      <c r="B27" s="109" t="s">
        <v>939</v>
      </c>
      <c r="C27" s="191" t="s">
        <v>2333</v>
      </c>
      <c r="D27" s="194" t="s">
        <v>2334</v>
      </c>
      <c r="E27" s="194" t="s">
        <v>2335</v>
      </c>
      <c r="F27" s="194" t="s">
        <v>2336</v>
      </c>
      <c r="G27" s="194" t="s">
        <v>2337</v>
      </c>
      <c r="H27" s="194" t="s">
        <v>2338</v>
      </c>
      <c r="I27" s="194" t="s">
        <v>2339</v>
      </c>
      <c r="J27" s="1111"/>
      <c r="K27" s="1112"/>
    </row>
    <row r="28" spans="2:11" ht="15.75" thickBot="1" x14ac:dyDescent="0.3">
      <c r="B28" s="109" t="s">
        <v>940</v>
      </c>
      <c r="C28" s="191" t="s">
        <v>2340</v>
      </c>
      <c r="D28" s="194" t="s">
        <v>2341</v>
      </c>
      <c r="E28" s="194" t="s">
        <v>2342</v>
      </c>
      <c r="F28" s="194" t="s">
        <v>2343</v>
      </c>
      <c r="G28" s="194" t="s">
        <v>2344</v>
      </c>
      <c r="H28" s="194" t="s">
        <v>2345</v>
      </c>
      <c r="I28" s="194" t="s">
        <v>2346</v>
      </c>
      <c r="J28" s="1111"/>
      <c r="K28" s="1112"/>
    </row>
    <row r="29" spans="2:11" ht="15.75" thickBot="1" x14ac:dyDescent="0.3">
      <c r="B29" s="110" t="s">
        <v>941</v>
      </c>
      <c r="C29" s="197" t="s">
        <v>198</v>
      </c>
      <c r="D29" s="198" t="s">
        <v>2347</v>
      </c>
      <c r="E29" s="194" t="s">
        <v>2348</v>
      </c>
      <c r="F29" s="194" t="s">
        <v>2349</v>
      </c>
      <c r="G29" s="194" t="s">
        <v>2350</v>
      </c>
      <c r="H29" s="194" t="s">
        <v>2351</v>
      </c>
      <c r="I29" s="194" t="s">
        <v>2352</v>
      </c>
      <c r="J29" s="1111"/>
      <c r="K29" s="1112"/>
    </row>
    <row r="30" spans="2:11" ht="15.75" x14ac:dyDescent="0.25">
      <c r="B30" s="107"/>
      <c r="C30" s="192"/>
      <c r="D30" s="192"/>
      <c r="E30" s="192"/>
      <c r="F30" s="192"/>
      <c r="G30" s="1114"/>
      <c r="H30" s="1114"/>
      <c r="I30" s="1115"/>
      <c r="J30" s="1115"/>
      <c r="K30" s="193"/>
    </row>
    <row r="31" spans="2:11" ht="15.75" x14ac:dyDescent="0.25">
      <c r="B31" s="1116"/>
      <c r="C31" s="1116"/>
      <c r="D31" s="1116"/>
      <c r="E31" s="1116"/>
      <c r="F31" s="107"/>
      <c r="G31" s="1117"/>
      <c r="H31" s="1117"/>
      <c r="I31" s="1117"/>
      <c r="J31" s="1117"/>
      <c r="K31" s="217"/>
    </row>
    <row r="32" spans="2:11" ht="15.75" x14ac:dyDescent="0.25">
      <c r="B32" s="107"/>
      <c r="C32" s="107"/>
      <c r="D32" s="107"/>
      <c r="E32" s="107"/>
      <c r="F32" s="107"/>
      <c r="G32" s="1117"/>
      <c r="H32" s="1117"/>
      <c r="I32" s="1117"/>
      <c r="J32" s="1117"/>
      <c r="K32" s="217"/>
    </row>
    <row r="33" spans="2:11" ht="15.75" x14ac:dyDescent="0.25">
      <c r="B33" s="1116"/>
      <c r="C33" s="1116"/>
      <c r="D33" s="1116"/>
      <c r="E33" s="1116"/>
      <c r="F33" s="107"/>
      <c r="G33" s="1117"/>
      <c r="H33" s="1117"/>
      <c r="I33" s="1117"/>
      <c r="J33" s="1117"/>
      <c r="K33" s="217"/>
    </row>
    <row r="34" spans="2:11" x14ac:dyDescent="0.25">
      <c r="B34" s="1113"/>
      <c r="C34" s="1113"/>
      <c r="D34" s="1113"/>
      <c r="E34" s="1113"/>
      <c r="F34" s="1113"/>
      <c r="G34" s="1113"/>
      <c r="H34" s="1113"/>
      <c r="I34" s="1113"/>
      <c r="J34" s="1113"/>
      <c r="K34" s="217"/>
    </row>
    <row r="35" spans="2:11" x14ac:dyDescent="0.25">
      <c r="B35" s="1098"/>
      <c r="C35" s="1098"/>
      <c r="D35" s="1098"/>
      <c r="E35" s="1098"/>
      <c r="F35" s="1098"/>
      <c r="G35" s="1098"/>
      <c r="H35" s="1098"/>
      <c r="I35" s="1098"/>
      <c r="J35" s="1098"/>
      <c r="K35" s="1102"/>
    </row>
    <row r="36" spans="2:11" x14ac:dyDescent="0.25">
      <c r="B36" s="1105"/>
      <c r="C36" s="1105"/>
      <c r="D36" s="1105"/>
      <c r="E36" s="1105"/>
      <c r="F36" s="1105"/>
      <c r="G36" s="1105"/>
      <c r="H36" s="1105"/>
      <c r="I36" s="1105"/>
      <c r="J36" s="1105"/>
      <c r="K36" s="1102"/>
    </row>
    <row r="37" spans="2:11" x14ac:dyDescent="0.25">
      <c r="B37" s="1098"/>
      <c r="C37" s="1098"/>
      <c r="D37" s="1098"/>
      <c r="E37" s="1098"/>
      <c r="F37" s="1098"/>
      <c r="G37" s="1098"/>
      <c r="H37" s="1098"/>
      <c r="I37" s="1098"/>
      <c r="J37" s="1098"/>
      <c r="K37" s="1102"/>
    </row>
    <row r="38" spans="2:11" x14ac:dyDescent="0.25">
      <c r="B38" s="1098"/>
      <c r="C38" s="1098"/>
      <c r="D38" s="1098"/>
      <c r="E38" s="1098"/>
      <c r="F38" s="1098"/>
      <c r="G38" s="1098"/>
      <c r="H38" s="1098"/>
      <c r="I38" s="1098"/>
      <c r="J38" s="1098"/>
      <c r="K38" s="1102"/>
    </row>
    <row r="39" spans="2:11" x14ac:dyDescent="0.25">
      <c r="B39" s="1118"/>
      <c r="C39" s="1118"/>
      <c r="D39" s="1118"/>
      <c r="E39" s="1118"/>
      <c r="F39" s="1118"/>
      <c r="G39" s="1118"/>
      <c r="H39" s="1118"/>
      <c r="I39" s="1118"/>
      <c r="J39" s="1118"/>
      <c r="K39" s="1102"/>
    </row>
    <row r="40" spans="2:11" x14ac:dyDescent="0.25">
      <c r="B40" s="1098"/>
      <c r="C40" s="1098"/>
      <c r="D40" s="1098"/>
      <c r="E40" s="1098"/>
      <c r="F40" s="1098"/>
      <c r="G40" s="1098"/>
      <c r="H40" s="1098"/>
      <c r="I40" s="1098"/>
      <c r="J40" s="1098"/>
      <c r="K40" s="1102"/>
    </row>
    <row r="41" spans="2:11" x14ac:dyDescent="0.25">
      <c r="B41" s="1105"/>
      <c r="C41" s="1105"/>
      <c r="D41" s="1105"/>
      <c r="E41" s="1105"/>
      <c r="F41" s="1105"/>
      <c r="G41" s="1105"/>
      <c r="H41" s="1105"/>
      <c r="I41" s="1105"/>
      <c r="J41" s="1105"/>
      <c r="K41" s="1102"/>
    </row>
    <row r="42" spans="2:11" ht="15.75" x14ac:dyDescent="0.25">
      <c r="B42" s="1116"/>
      <c r="C42" s="1116"/>
      <c r="D42" s="1116"/>
      <c r="E42" s="1116"/>
      <c r="F42" s="107"/>
      <c r="G42" s="111"/>
      <c r="H42" s="107"/>
      <c r="I42" s="1117"/>
      <c r="J42" s="1117"/>
      <c r="K42" s="1117"/>
    </row>
    <row r="43" spans="2:11" x14ac:dyDescent="0.25">
      <c r="B43" s="1105"/>
      <c r="C43" s="1105"/>
      <c r="D43" s="1105"/>
      <c r="E43" s="1105"/>
      <c r="F43" s="1105"/>
      <c r="G43" s="1105"/>
      <c r="H43" s="1105"/>
      <c r="I43" s="1105"/>
      <c r="J43" s="1105"/>
      <c r="K43" s="1102"/>
    </row>
    <row r="44" spans="2:11" x14ac:dyDescent="0.25">
      <c r="B44" s="1105"/>
      <c r="C44" s="1105"/>
      <c r="D44" s="1105"/>
      <c r="E44" s="1105"/>
      <c r="F44" s="1105"/>
      <c r="G44" s="1105"/>
      <c r="H44" s="1105"/>
      <c r="I44" s="1105"/>
      <c r="J44" s="1105"/>
      <c r="K44" s="1102"/>
    </row>
    <row r="45" spans="2:11" x14ac:dyDescent="0.25">
      <c r="B45" s="1105"/>
      <c r="C45" s="1105"/>
      <c r="D45" s="1105"/>
      <c r="E45" s="1105"/>
      <c r="F45" s="1105"/>
      <c r="G45" s="1105"/>
      <c r="H45" s="1105"/>
      <c r="I45" s="1105"/>
      <c r="J45" s="1105"/>
      <c r="K45" s="1102"/>
    </row>
    <row r="46" spans="2:11" x14ac:dyDescent="0.25">
      <c r="B46" s="1105"/>
      <c r="C46" s="1105"/>
      <c r="D46" s="1105"/>
      <c r="E46" s="1105"/>
      <c r="F46" s="1105"/>
      <c r="G46" s="1105"/>
      <c r="H46" s="1105"/>
      <c r="I46" s="1105"/>
      <c r="J46" s="1105"/>
      <c r="K46" s="1102"/>
    </row>
    <row r="47" spans="2:11" x14ac:dyDescent="0.25">
      <c r="B47" s="112"/>
    </row>
  </sheetData>
  <mergeCells count="60">
    <mergeCell ref="B45:J45"/>
    <mergeCell ref="K45:K46"/>
    <mergeCell ref="B46:J46"/>
    <mergeCell ref="B40:J40"/>
    <mergeCell ref="K40:K41"/>
    <mergeCell ref="B41:J41"/>
    <mergeCell ref="B42:E42"/>
    <mergeCell ref="I42:K42"/>
    <mergeCell ref="B43:J43"/>
    <mergeCell ref="K43:K44"/>
    <mergeCell ref="B44:J44"/>
    <mergeCell ref="B35:J35"/>
    <mergeCell ref="K35:K36"/>
    <mergeCell ref="B36:J36"/>
    <mergeCell ref="B37:J37"/>
    <mergeCell ref="K37:K39"/>
    <mergeCell ref="B38:J38"/>
    <mergeCell ref="B39:J39"/>
    <mergeCell ref="B34:J34"/>
    <mergeCell ref="J29:K29"/>
    <mergeCell ref="G30:H30"/>
    <mergeCell ref="I30:J30"/>
    <mergeCell ref="B31:E31"/>
    <mergeCell ref="G31:H31"/>
    <mergeCell ref="I31:J31"/>
    <mergeCell ref="G32:H32"/>
    <mergeCell ref="I32:J32"/>
    <mergeCell ref="B33:E33"/>
    <mergeCell ref="G33:H33"/>
    <mergeCell ref="I33:J33"/>
    <mergeCell ref="J28:K28"/>
    <mergeCell ref="J16:K16"/>
    <mergeCell ref="J17:K17"/>
    <mergeCell ref="J18:K18"/>
    <mergeCell ref="J19:K19"/>
    <mergeCell ref="J20:K20"/>
    <mergeCell ref="J22:K22"/>
    <mergeCell ref="J23:K23"/>
    <mergeCell ref="J24:K24"/>
    <mergeCell ref="J25:K25"/>
    <mergeCell ref="J26:K26"/>
    <mergeCell ref="J27:K27"/>
    <mergeCell ref="J15:K15"/>
    <mergeCell ref="D7:G7"/>
    <mergeCell ref="H7:H9"/>
    <mergeCell ref="I7:I9"/>
    <mergeCell ref="J7:K9"/>
    <mergeCell ref="D8:D9"/>
    <mergeCell ref="E8:F8"/>
    <mergeCell ref="G8:G9"/>
    <mergeCell ref="J10:K10"/>
    <mergeCell ref="J11:K11"/>
    <mergeCell ref="J12:K12"/>
    <mergeCell ref="J13:K13"/>
    <mergeCell ref="J14:K14"/>
    <mergeCell ref="J6:K6"/>
    <mergeCell ref="B4:F4"/>
    <mergeCell ref="G4:K4"/>
    <mergeCell ref="G5:K5"/>
    <mergeCell ref="B3:K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444C5-DD08-49C1-BCE4-0274F8EA3775}">
  <sheetPr>
    <pageSetUpPr fitToPage="1"/>
  </sheetPr>
  <dimension ref="B2:BR136"/>
  <sheetViews>
    <sheetView showGridLines="0" showRowColHeaders="0" zoomScaleNormal="100" workbookViewId="0">
      <selection activeCell="C17" sqref="C17"/>
    </sheetView>
  </sheetViews>
  <sheetFormatPr baseColWidth="10" defaultRowHeight="12.75" x14ac:dyDescent="0.2"/>
  <cols>
    <col min="1" max="1" width="4.5546875" style="251" customWidth="1"/>
    <col min="2" max="2" width="10.88671875" style="250" customWidth="1"/>
    <col min="3" max="3" width="96.5546875" style="249" customWidth="1"/>
    <col min="4" max="4" width="13.88671875" style="250" customWidth="1"/>
    <col min="5" max="5" width="37" style="249" customWidth="1"/>
    <col min="6" max="16384" width="11.5546875" style="251"/>
  </cols>
  <sheetData>
    <row r="2" spans="2:70" ht="21" x14ac:dyDescent="0.2">
      <c r="B2" s="364" t="s">
        <v>3520</v>
      </c>
    </row>
    <row r="4" spans="2:70" ht="42.75" customHeight="1" x14ac:dyDescent="0.2">
      <c r="B4" s="253" t="s">
        <v>3361</v>
      </c>
      <c r="C4" s="253" t="s">
        <v>3362</v>
      </c>
      <c r="D4" s="253" t="s">
        <v>3519</v>
      </c>
      <c r="E4" s="251"/>
    </row>
    <row r="5" spans="2:70" s="254" customFormat="1" x14ac:dyDescent="0.2">
      <c r="B5" s="942" t="s">
        <v>3348</v>
      </c>
      <c r="C5" s="942"/>
      <c r="D5" s="942"/>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1"/>
      <c r="BN5" s="251"/>
      <c r="BO5" s="251"/>
      <c r="BP5" s="251"/>
      <c r="BQ5" s="251"/>
      <c r="BR5" s="251"/>
    </row>
    <row r="6" spans="2:70" x14ac:dyDescent="0.2">
      <c r="B6" s="354" t="s">
        <v>3207</v>
      </c>
      <c r="C6" s="355" t="s">
        <v>3125</v>
      </c>
      <c r="D6" s="356" t="s">
        <v>3193</v>
      </c>
      <c r="E6" s="251"/>
    </row>
    <row r="7" spans="2:70" x14ac:dyDescent="0.2">
      <c r="B7" s="354" t="s">
        <v>3208</v>
      </c>
      <c r="C7" s="355" t="s">
        <v>3209</v>
      </c>
      <c r="D7" s="356" t="s">
        <v>3193</v>
      </c>
      <c r="E7" s="251"/>
    </row>
    <row r="8" spans="2:70" x14ac:dyDescent="0.2">
      <c r="B8" s="354" t="s">
        <v>3270</v>
      </c>
      <c r="C8" s="355" t="s">
        <v>3126</v>
      </c>
      <c r="D8" s="356" t="s">
        <v>3193</v>
      </c>
      <c r="E8" s="251"/>
    </row>
    <row r="9" spans="2:70" x14ac:dyDescent="0.2">
      <c r="B9" s="357"/>
      <c r="C9" s="358"/>
      <c r="D9" s="356"/>
      <c r="E9" s="251"/>
    </row>
    <row r="10" spans="2:70" x14ac:dyDescent="0.2">
      <c r="B10" s="942" t="s">
        <v>2900</v>
      </c>
      <c r="C10" s="942"/>
      <c r="D10" s="942"/>
      <c r="E10" s="251"/>
    </row>
    <row r="11" spans="2:70" x14ac:dyDescent="0.2">
      <c r="B11" s="354" t="s">
        <v>3197</v>
      </c>
      <c r="C11" s="355" t="s">
        <v>3198</v>
      </c>
      <c r="D11" s="356" t="s">
        <v>3193</v>
      </c>
      <c r="E11" s="251"/>
    </row>
    <row r="12" spans="2:70" x14ac:dyDescent="0.2">
      <c r="B12" s="354" t="s">
        <v>3199</v>
      </c>
      <c r="C12" s="355" t="s">
        <v>3200</v>
      </c>
      <c r="D12" s="356" t="s">
        <v>3193</v>
      </c>
      <c r="E12" s="251"/>
    </row>
    <row r="13" spans="2:70" x14ac:dyDescent="0.2">
      <c r="B13" s="354" t="s">
        <v>3196</v>
      </c>
      <c r="C13" s="355" t="s">
        <v>3658</v>
      </c>
      <c r="D13" s="356" t="s">
        <v>3193</v>
      </c>
      <c r="E13" s="251"/>
    </row>
    <row r="14" spans="2:70" x14ac:dyDescent="0.2">
      <c r="B14" s="357"/>
      <c r="C14" s="358"/>
      <c r="D14" s="356"/>
      <c r="E14" s="251"/>
    </row>
    <row r="15" spans="2:70" x14ac:dyDescent="0.2">
      <c r="B15" s="942" t="s">
        <v>3349</v>
      </c>
      <c r="C15" s="942"/>
      <c r="D15" s="942"/>
      <c r="E15" s="251"/>
    </row>
    <row r="16" spans="2:70" ht="12.75" customHeight="1" x14ac:dyDescent="0.2">
      <c r="B16" s="354" t="s">
        <v>3273</v>
      </c>
      <c r="C16" s="355" t="s">
        <v>0</v>
      </c>
      <c r="D16" s="356" t="s">
        <v>3193</v>
      </c>
      <c r="E16" s="251"/>
    </row>
    <row r="17" spans="2:5" x14ac:dyDescent="0.2">
      <c r="B17" s="354" t="s">
        <v>3188</v>
      </c>
      <c r="C17" s="355" t="s">
        <v>3189</v>
      </c>
      <c r="D17" s="356" t="s">
        <v>3347</v>
      </c>
      <c r="E17" s="251"/>
    </row>
    <row r="18" spans="2:5" x14ac:dyDescent="0.2">
      <c r="B18" s="354" t="s">
        <v>3194</v>
      </c>
      <c r="C18" s="355" t="s">
        <v>3195</v>
      </c>
      <c r="D18" s="356" t="s">
        <v>3193</v>
      </c>
      <c r="E18" s="251"/>
    </row>
    <row r="19" spans="2:5" x14ac:dyDescent="0.2">
      <c r="B19" s="357"/>
      <c r="C19" s="358"/>
      <c r="D19" s="356"/>
      <c r="E19" s="251"/>
    </row>
    <row r="20" spans="2:5" x14ac:dyDescent="0.2">
      <c r="B20" s="942" t="s">
        <v>3350</v>
      </c>
      <c r="C20" s="942"/>
      <c r="D20" s="942"/>
      <c r="E20" s="251"/>
    </row>
    <row r="21" spans="2:5" x14ac:dyDescent="0.2">
      <c r="B21" s="354" t="s">
        <v>3277</v>
      </c>
      <c r="C21" s="355" t="s">
        <v>14</v>
      </c>
      <c r="D21" s="356" t="s">
        <v>3193</v>
      </c>
      <c r="E21" s="251"/>
    </row>
    <row r="22" spans="2:5" x14ac:dyDescent="0.2">
      <c r="B22" s="354" t="s">
        <v>3279</v>
      </c>
      <c r="C22" s="355" t="s">
        <v>16</v>
      </c>
      <c r="D22" s="356" t="s">
        <v>3193</v>
      </c>
      <c r="E22" s="251"/>
    </row>
    <row r="23" spans="2:5" x14ac:dyDescent="0.2">
      <c r="B23" s="354" t="s">
        <v>3283</v>
      </c>
      <c r="C23" s="355" t="s">
        <v>3294</v>
      </c>
      <c r="D23" s="356" t="s">
        <v>3193</v>
      </c>
      <c r="E23" s="251"/>
    </row>
    <row r="24" spans="2:5" x14ac:dyDescent="0.2">
      <c r="B24" s="354" t="s">
        <v>3219</v>
      </c>
      <c r="C24" s="355" t="s">
        <v>3488</v>
      </c>
      <c r="D24" s="356" t="s">
        <v>3193</v>
      </c>
      <c r="E24" s="251"/>
    </row>
    <row r="25" spans="2:5" x14ac:dyDescent="0.2">
      <c r="B25" s="354" t="s">
        <v>3276</v>
      </c>
      <c r="C25" s="355" t="s">
        <v>3292</v>
      </c>
      <c r="D25" s="356" t="s">
        <v>3193</v>
      </c>
      <c r="E25" s="251"/>
    </row>
    <row r="26" spans="2:5" x14ac:dyDescent="0.2">
      <c r="B26" s="357"/>
      <c r="C26" s="358"/>
      <c r="D26" s="356"/>
      <c r="E26" s="251"/>
    </row>
    <row r="27" spans="2:5" x14ac:dyDescent="0.2">
      <c r="B27" s="942" t="s">
        <v>3351</v>
      </c>
      <c r="C27" s="942"/>
      <c r="D27" s="942"/>
      <c r="E27" s="251"/>
    </row>
    <row r="28" spans="2:5" x14ac:dyDescent="0.2">
      <c r="B28" s="354" t="s">
        <v>3221</v>
      </c>
      <c r="C28" s="355" t="s">
        <v>3222</v>
      </c>
      <c r="D28" s="356" t="s">
        <v>3193</v>
      </c>
      <c r="E28" s="251"/>
    </row>
    <row r="29" spans="2:5" x14ac:dyDescent="0.2">
      <c r="B29" s="357"/>
      <c r="C29" s="358"/>
      <c r="D29" s="356"/>
      <c r="E29" s="251"/>
    </row>
    <row r="30" spans="2:5" x14ac:dyDescent="0.2">
      <c r="B30" s="942" t="s">
        <v>3352</v>
      </c>
      <c r="C30" s="942"/>
      <c r="D30" s="942"/>
      <c r="E30" s="251"/>
    </row>
    <row r="31" spans="2:5" x14ac:dyDescent="0.2">
      <c r="B31" s="354" t="s">
        <v>3223</v>
      </c>
      <c r="C31" s="355" t="s">
        <v>3224</v>
      </c>
      <c r="D31" s="356" t="s">
        <v>3193</v>
      </c>
      <c r="E31" s="251"/>
    </row>
    <row r="32" spans="2:5" x14ac:dyDescent="0.2">
      <c r="B32" s="354" t="s">
        <v>3225</v>
      </c>
      <c r="C32" s="355" t="s">
        <v>3226</v>
      </c>
      <c r="D32" s="356" t="s">
        <v>3193</v>
      </c>
      <c r="E32" s="251"/>
    </row>
    <row r="33" spans="2:5" x14ac:dyDescent="0.2">
      <c r="B33" s="357"/>
      <c r="C33" s="358"/>
      <c r="D33" s="356"/>
      <c r="E33" s="251"/>
    </row>
    <row r="34" spans="2:5" x14ac:dyDescent="0.2">
      <c r="B34" s="942" t="s">
        <v>3353</v>
      </c>
      <c r="C34" s="942"/>
      <c r="D34" s="942"/>
      <c r="E34" s="251"/>
    </row>
    <row r="35" spans="2:5" x14ac:dyDescent="0.2">
      <c r="B35" s="354" t="s">
        <v>3227</v>
      </c>
      <c r="C35" s="355" t="s">
        <v>3228</v>
      </c>
      <c r="D35" s="356" t="s">
        <v>3193</v>
      </c>
      <c r="E35" s="251"/>
    </row>
    <row r="36" spans="2:5" x14ac:dyDescent="0.2">
      <c r="B36" s="354" t="s">
        <v>3297</v>
      </c>
      <c r="C36" s="355" t="s">
        <v>10</v>
      </c>
      <c r="D36" s="356" t="s">
        <v>3193</v>
      </c>
      <c r="E36" s="251"/>
    </row>
    <row r="37" spans="2:5" x14ac:dyDescent="0.2">
      <c r="B37" s="354" t="s">
        <v>3298</v>
      </c>
      <c r="C37" s="355" t="s">
        <v>11</v>
      </c>
      <c r="D37" s="356" t="s">
        <v>3193</v>
      </c>
      <c r="E37" s="251"/>
    </row>
    <row r="38" spans="2:5" x14ac:dyDescent="0.2">
      <c r="B38" s="354" t="s">
        <v>3231</v>
      </c>
      <c r="C38" s="355" t="s">
        <v>3232</v>
      </c>
      <c r="D38" s="356" t="s">
        <v>3193</v>
      </c>
      <c r="E38" s="251"/>
    </row>
    <row r="39" spans="2:5" x14ac:dyDescent="0.2">
      <c r="B39" s="354" t="s">
        <v>3233</v>
      </c>
      <c r="C39" s="355" t="s">
        <v>3234</v>
      </c>
      <c r="D39" s="356" t="s">
        <v>3193</v>
      </c>
      <c r="E39" s="251"/>
    </row>
    <row r="40" spans="2:5" x14ac:dyDescent="0.2">
      <c r="B40" s="357"/>
      <c r="C40" s="358"/>
      <c r="D40" s="356"/>
      <c r="E40" s="251"/>
    </row>
    <row r="41" spans="2:5" x14ac:dyDescent="0.2">
      <c r="B41" s="942" t="s">
        <v>3355</v>
      </c>
      <c r="C41" s="942"/>
      <c r="D41" s="942"/>
      <c r="E41" s="251"/>
    </row>
    <row r="42" spans="2:5" x14ac:dyDescent="0.2">
      <c r="B42" s="354" t="s">
        <v>3236</v>
      </c>
      <c r="C42" s="355" t="s">
        <v>3237</v>
      </c>
      <c r="D42" s="356" t="s">
        <v>3193</v>
      </c>
      <c r="E42" s="251"/>
    </row>
    <row r="43" spans="2:5" x14ac:dyDescent="0.2">
      <c r="B43" s="354" t="s">
        <v>3272</v>
      </c>
      <c r="C43" s="355" t="s">
        <v>4</v>
      </c>
      <c r="D43" s="356" t="s">
        <v>3193</v>
      </c>
      <c r="E43" s="251"/>
    </row>
    <row r="44" spans="2:5" x14ac:dyDescent="0.2">
      <c r="B44" s="354" t="s">
        <v>3238</v>
      </c>
      <c r="C44" s="355" t="s">
        <v>3239</v>
      </c>
      <c r="D44" s="356" t="s">
        <v>3193</v>
      </c>
      <c r="E44" s="251"/>
    </row>
    <row r="45" spans="2:5" x14ac:dyDescent="0.2">
      <c r="B45" s="354" t="s">
        <v>3242</v>
      </c>
      <c r="C45" s="355" t="s">
        <v>5</v>
      </c>
      <c r="D45" s="356" t="s">
        <v>3193</v>
      </c>
      <c r="E45" s="251"/>
    </row>
    <row r="46" spans="2:5" x14ac:dyDescent="0.2">
      <c r="B46" s="354" t="s">
        <v>3246</v>
      </c>
      <c r="C46" s="355" t="s">
        <v>7</v>
      </c>
      <c r="D46" s="356" t="s">
        <v>3193</v>
      </c>
      <c r="E46" s="251"/>
    </row>
    <row r="47" spans="2:5" x14ac:dyDescent="0.2">
      <c r="B47" s="357"/>
      <c r="C47" s="358"/>
      <c r="D47" s="356"/>
      <c r="E47" s="251"/>
    </row>
    <row r="48" spans="2:5" x14ac:dyDescent="0.2">
      <c r="B48" s="942" t="s">
        <v>3357</v>
      </c>
      <c r="C48" s="942"/>
      <c r="D48" s="942"/>
      <c r="E48" s="251"/>
    </row>
    <row r="49" spans="2:5" x14ac:dyDescent="0.2">
      <c r="B49" s="354" t="s">
        <v>3260</v>
      </c>
      <c r="C49" s="355" t="s">
        <v>3261</v>
      </c>
      <c r="D49" s="356" t="s">
        <v>3193</v>
      </c>
      <c r="E49" s="251"/>
    </row>
    <row r="50" spans="2:5" x14ac:dyDescent="0.2">
      <c r="B50" s="354" t="s">
        <v>3274</v>
      </c>
      <c r="C50" s="355" t="s">
        <v>3291</v>
      </c>
      <c r="D50" s="356" t="s">
        <v>3193</v>
      </c>
      <c r="E50" s="251"/>
    </row>
    <row r="51" spans="2:5" x14ac:dyDescent="0.2">
      <c r="B51" s="357"/>
      <c r="C51" s="358"/>
      <c r="D51" s="356"/>
      <c r="E51" s="251"/>
    </row>
    <row r="52" spans="2:5" x14ac:dyDescent="0.2">
      <c r="B52" s="942" t="s">
        <v>233</v>
      </c>
      <c r="C52" s="942"/>
      <c r="D52" s="942"/>
      <c r="E52" s="251"/>
    </row>
    <row r="53" spans="2:5" x14ac:dyDescent="0.2">
      <c r="B53" s="354" t="s">
        <v>3262</v>
      </c>
      <c r="C53" s="355" t="s">
        <v>3263</v>
      </c>
      <c r="D53" s="356" t="s">
        <v>3193</v>
      </c>
      <c r="E53" s="251"/>
    </row>
    <row r="54" spans="2:5" x14ac:dyDescent="0.2">
      <c r="B54" s="354" t="s">
        <v>3264</v>
      </c>
      <c r="C54" s="355" t="s">
        <v>3265</v>
      </c>
      <c r="D54" s="356" t="s">
        <v>3193</v>
      </c>
      <c r="E54" s="251"/>
    </row>
    <row r="55" spans="2:5" x14ac:dyDescent="0.2">
      <c r="B55" s="354" t="s">
        <v>3275</v>
      </c>
      <c r="C55" s="355" t="s">
        <v>23</v>
      </c>
      <c r="D55" s="356" t="s">
        <v>3193</v>
      </c>
      <c r="E55" s="251"/>
    </row>
    <row r="56" spans="2:5" x14ac:dyDescent="0.2">
      <c r="B56" s="357"/>
      <c r="C56" s="358"/>
      <c r="D56" s="356"/>
      <c r="E56" s="251"/>
    </row>
    <row r="57" spans="2:5" x14ac:dyDescent="0.2">
      <c r="B57" s="942" t="s">
        <v>3358</v>
      </c>
      <c r="C57" s="942"/>
      <c r="D57" s="942"/>
      <c r="E57" s="251"/>
    </row>
    <row r="58" spans="2:5" x14ac:dyDescent="0.2">
      <c r="B58" s="354" t="s">
        <v>3266</v>
      </c>
      <c r="C58" s="355" t="s">
        <v>3267</v>
      </c>
      <c r="D58" s="356" t="s">
        <v>3193</v>
      </c>
      <c r="E58" s="251"/>
    </row>
    <row r="59" spans="2:5" x14ac:dyDescent="0.2">
      <c r="B59" s="354" t="s">
        <v>3268</v>
      </c>
      <c r="C59" s="355" t="s">
        <v>3269</v>
      </c>
      <c r="D59" s="356" t="s">
        <v>3193</v>
      </c>
      <c r="E59" s="251"/>
    </row>
    <row r="60" spans="2:5" x14ac:dyDescent="0.2">
      <c r="B60" s="357"/>
      <c r="C60" s="358"/>
      <c r="D60" s="356"/>
      <c r="E60" s="251"/>
    </row>
    <row r="61" spans="2:5" x14ac:dyDescent="0.2">
      <c r="B61" s="942" t="s">
        <v>25</v>
      </c>
      <c r="C61" s="942"/>
      <c r="D61" s="942"/>
      <c r="E61" s="251"/>
    </row>
    <row r="62" spans="2:5" x14ac:dyDescent="0.2">
      <c r="B62" s="354" t="s">
        <v>3287</v>
      </c>
      <c r="C62" s="355" t="s">
        <v>25</v>
      </c>
      <c r="D62" s="356" t="s">
        <v>3193</v>
      </c>
      <c r="E62" s="251"/>
    </row>
    <row r="63" spans="2:5" x14ac:dyDescent="0.2">
      <c r="B63" s="354" t="s">
        <v>3288</v>
      </c>
      <c r="C63" s="355" t="s">
        <v>26</v>
      </c>
      <c r="D63" s="356" t="s">
        <v>3193</v>
      </c>
      <c r="E63" s="251"/>
    </row>
    <row r="64" spans="2:5" x14ac:dyDescent="0.2">
      <c r="B64" s="354" t="s">
        <v>3289</v>
      </c>
      <c r="C64" s="355" t="s">
        <v>27</v>
      </c>
      <c r="D64" s="356" t="s">
        <v>3193</v>
      </c>
      <c r="E64" s="251"/>
    </row>
    <row r="65" spans="2:70" x14ac:dyDescent="0.2">
      <c r="B65" s="357"/>
      <c r="C65" s="358"/>
      <c r="D65" s="356"/>
      <c r="E65" s="251"/>
    </row>
    <row r="66" spans="2:70" x14ac:dyDescent="0.2">
      <c r="B66" s="942" t="s">
        <v>191</v>
      </c>
      <c r="C66" s="942"/>
      <c r="D66" s="942"/>
      <c r="E66" s="251"/>
    </row>
    <row r="67" spans="2:70" x14ac:dyDescent="0.2">
      <c r="B67" s="354" t="s">
        <v>3257</v>
      </c>
      <c r="C67" s="355" t="s">
        <v>3660</v>
      </c>
      <c r="D67" s="356" t="s">
        <v>3193</v>
      </c>
      <c r="E67" s="251"/>
    </row>
    <row r="68" spans="2:70" x14ac:dyDescent="0.2">
      <c r="B68" s="357"/>
      <c r="C68" s="358"/>
      <c r="D68" s="356"/>
      <c r="E68" s="251"/>
    </row>
    <row r="69" spans="2:70" x14ac:dyDescent="0.2">
      <c r="B69" s="942" t="s">
        <v>3359</v>
      </c>
      <c r="C69" s="942"/>
      <c r="D69" s="942"/>
      <c r="E69" s="251"/>
    </row>
    <row r="70" spans="2:70" x14ac:dyDescent="0.2">
      <c r="B70" s="354" t="s">
        <v>3258</v>
      </c>
      <c r="C70" s="355" t="s">
        <v>3259</v>
      </c>
      <c r="D70" s="356" t="s">
        <v>3193</v>
      </c>
      <c r="E70" s="251"/>
    </row>
    <row r="71" spans="2:70" ht="24.75" customHeight="1" x14ac:dyDescent="0.2">
      <c r="B71" s="251"/>
      <c r="C71" s="251"/>
      <c r="D71" s="251"/>
      <c r="E71" s="251"/>
    </row>
    <row r="72" spans="2:70" ht="24.75" customHeight="1" x14ac:dyDescent="0.2">
      <c r="B72" s="251"/>
      <c r="C72" s="251"/>
      <c r="D72" s="251"/>
      <c r="E72" s="251"/>
    </row>
    <row r="73" spans="2:70" x14ac:dyDescent="0.2">
      <c r="B73" s="257" t="s">
        <v>3371</v>
      </c>
      <c r="C73" s="251"/>
      <c r="D73" s="251"/>
      <c r="E73" s="251"/>
    </row>
    <row r="74" spans="2:70" x14ac:dyDescent="0.2">
      <c r="B74" s="251"/>
      <c r="C74" s="251"/>
      <c r="D74" s="251"/>
      <c r="E74" s="251"/>
    </row>
    <row r="75" spans="2:70" ht="42.75" customHeight="1" x14ac:dyDescent="0.2">
      <c r="B75" s="253" t="s">
        <v>3361</v>
      </c>
      <c r="C75" s="253" t="s">
        <v>3362</v>
      </c>
      <c r="D75" s="253" t="s">
        <v>3519</v>
      </c>
      <c r="E75" s="253" t="s">
        <v>3364</v>
      </c>
    </row>
    <row r="76" spans="2:70" ht="42.75" customHeight="1" x14ac:dyDescent="0.2">
      <c r="B76" s="249"/>
      <c r="E76" s="250"/>
    </row>
    <row r="77" spans="2:70" x14ac:dyDescent="0.2">
      <c r="B77" s="948" t="s">
        <v>3348</v>
      </c>
      <c r="C77" s="948"/>
      <c r="D77" s="948"/>
      <c r="E77" s="352"/>
    </row>
    <row r="78" spans="2:70" ht="60" customHeight="1" x14ac:dyDescent="0.2">
      <c r="B78" s="352" t="s">
        <v>3210</v>
      </c>
      <c r="C78" s="924" t="s">
        <v>3211</v>
      </c>
      <c r="D78" s="331" t="s">
        <v>50</v>
      </c>
      <c r="E78" s="925" t="s">
        <v>3657</v>
      </c>
    </row>
    <row r="79" spans="2:70" x14ac:dyDescent="0.2">
      <c r="B79" s="352"/>
      <c r="E79" s="352"/>
    </row>
    <row r="80" spans="2:70" s="254" customFormat="1" x14ac:dyDescent="0.2">
      <c r="B80" s="945" t="s">
        <v>2900</v>
      </c>
      <c r="C80" s="945"/>
      <c r="D80" s="945"/>
      <c r="E80" s="945"/>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row>
    <row r="81" spans="2:5" x14ac:dyDescent="0.2">
      <c r="B81" s="352" t="s">
        <v>3201</v>
      </c>
      <c r="C81" s="249" t="s">
        <v>3202</v>
      </c>
      <c r="D81" s="250" t="s">
        <v>50</v>
      </c>
      <c r="E81" s="943" t="s">
        <v>3363</v>
      </c>
    </row>
    <row r="82" spans="2:5" x14ac:dyDescent="0.2">
      <c r="B82" s="352" t="s">
        <v>3203</v>
      </c>
      <c r="C82" s="249" t="s">
        <v>3204</v>
      </c>
      <c r="D82" s="250" t="s">
        <v>50</v>
      </c>
      <c r="E82" s="943"/>
    </row>
    <row r="83" spans="2:5" x14ac:dyDescent="0.2">
      <c r="B83" s="352" t="s">
        <v>3205</v>
      </c>
      <c r="C83" s="249" t="s">
        <v>3206</v>
      </c>
      <c r="D83" s="250" t="s">
        <v>50</v>
      </c>
      <c r="E83" s="943"/>
    </row>
    <row r="85" spans="2:5" x14ac:dyDescent="0.2">
      <c r="B85" s="946" t="s">
        <v>3349</v>
      </c>
      <c r="C85" s="946"/>
      <c r="D85" s="946"/>
      <c r="E85" s="946"/>
    </row>
    <row r="86" spans="2:5" ht="28.5" customHeight="1" x14ac:dyDescent="0.2">
      <c r="B86" s="352" t="s">
        <v>3296</v>
      </c>
      <c r="C86" s="249" t="s">
        <v>1</v>
      </c>
      <c r="D86" s="250" t="s">
        <v>50</v>
      </c>
      <c r="E86" s="249" t="s">
        <v>3368</v>
      </c>
    </row>
    <row r="87" spans="2:5" ht="24.75" customHeight="1" x14ac:dyDescent="0.2">
      <c r="B87" s="352" t="s">
        <v>3191</v>
      </c>
      <c r="C87" s="249" t="s">
        <v>3192</v>
      </c>
      <c r="D87" s="250" t="s">
        <v>50</v>
      </c>
      <c r="E87" s="249" t="s">
        <v>3363</v>
      </c>
    </row>
    <row r="89" spans="2:5" x14ac:dyDescent="0.2">
      <c r="B89" s="947" t="s">
        <v>3350</v>
      </c>
      <c r="C89" s="947"/>
      <c r="D89" s="947"/>
      <c r="E89" s="947"/>
    </row>
    <row r="90" spans="2:5" x14ac:dyDescent="0.2">
      <c r="B90" s="352" t="s">
        <v>3278</v>
      </c>
      <c r="C90" s="249" t="s">
        <v>15</v>
      </c>
      <c r="D90" s="250" t="s">
        <v>50</v>
      </c>
      <c r="E90" s="943" t="s">
        <v>3345</v>
      </c>
    </row>
    <row r="91" spans="2:5" x14ac:dyDescent="0.2">
      <c r="B91" s="352" t="s">
        <v>3280</v>
      </c>
      <c r="C91" s="249" t="s">
        <v>17</v>
      </c>
      <c r="D91" s="250" t="s">
        <v>50</v>
      </c>
      <c r="E91" s="943"/>
    </row>
    <row r="92" spans="2:5" x14ac:dyDescent="0.2">
      <c r="B92" s="352" t="s">
        <v>3281</v>
      </c>
      <c r="C92" s="249" t="s">
        <v>18</v>
      </c>
      <c r="D92" s="250" t="s">
        <v>50</v>
      </c>
      <c r="E92" s="943"/>
    </row>
    <row r="93" spans="2:5" x14ac:dyDescent="0.2">
      <c r="B93" s="352" t="s">
        <v>3282</v>
      </c>
      <c r="C93" s="249" t="s">
        <v>3293</v>
      </c>
      <c r="D93" s="250" t="s">
        <v>50</v>
      </c>
      <c r="E93" s="943"/>
    </row>
    <row r="94" spans="2:5" x14ac:dyDescent="0.2">
      <c r="B94" s="352" t="s">
        <v>3284</v>
      </c>
      <c r="C94" s="249" t="s">
        <v>19</v>
      </c>
      <c r="D94" s="250" t="s">
        <v>50</v>
      </c>
      <c r="E94" s="943"/>
    </row>
    <row r="95" spans="2:5" x14ac:dyDescent="0.2">
      <c r="B95" s="352" t="s">
        <v>3220</v>
      </c>
      <c r="C95" s="249" t="s">
        <v>3305</v>
      </c>
      <c r="D95" s="250" t="s">
        <v>50</v>
      </c>
      <c r="E95" s="943"/>
    </row>
    <row r="96" spans="2:5" x14ac:dyDescent="0.2">
      <c r="B96" s="352" t="s">
        <v>3271</v>
      </c>
      <c r="C96" s="249" t="s">
        <v>9</v>
      </c>
      <c r="D96" s="250" t="s">
        <v>50</v>
      </c>
      <c r="E96" s="943"/>
    </row>
    <row r="98" spans="2:5" x14ac:dyDescent="0.2">
      <c r="B98" s="947" t="s">
        <v>3353</v>
      </c>
      <c r="C98" s="947"/>
      <c r="D98" s="947"/>
      <c r="E98" s="947"/>
    </row>
    <row r="99" spans="2:5" x14ac:dyDescent="0.2">
      <c r="B99" s="352" t="s">
        <v>3229</v>
      </c>
      <c r="C99" s="249" t="s">
        <v>3230</v>
      </c>
      <c r="D99" s="250" t="s">
        <v>50</v>
      </c>
      <c r="E99" s="249" t="s">
        <v>3307</v>
      </c>
    </row>
    <row r="100" spans="2:5" ht="33" customHeight="1" x14ac:dyDescent="0.2">
      <c r="B100" s="352" t="s">
        <v>3300</v>
      </c>
      <c r="C100" s="249" t="s">
        <v>3299</v>
      </c>
      <c r="D100" s="250" t="s">
        <v>50</v>
      </c>
      <c r="E100" s="249" t="s">
        <v>3602</v>
      </c>
    </row>
    <row r="101" spans="2:5" x14ac:dyDescent="0.2">
      <c r="B101" s="352"/>
    </row>
    <row r="102" spans="2:5" x14ac:dyDescent="0.2">
      <c r="B102" s="947" t="s">
        <v>3354</v>
      </c>
      <c r="C102" s="947"/>
      <c r="D102" s="947"/>
      <c r="E102" s="947"/>
    </row>
    <row r="103" spans="2:5" ht="38.25" x14ac:dyDescent="0.2">
      <c r="B103" s="352" t="s">
        <v>3235</v>
      </c>
      <c r="C103" s="249" t="s">
        <v>3365</v>
      </c>
      <c r="D103" s="250" t="s">
        <v>50</v>
      </c>
      <c r="E103" s="363" t="s">
        <v>3306</v>
      </c>
    </row>
    <row r="105" spans="2:5" x14ac:dyDescent="0.2">
      <c r="B105" s="947" t="s">
        <v>3355</v>
      </c>
      <c r="C105" s="947"/>
      <c r="D105" s="947"/>
      <c r="E105" s="947"/>
    </row>
    <row r="106" spans="2:5" ht="31.5" customHeight="1" x14ac:dyDescent="0.2">
      <c r="B106" s="389" t="s">
        <v>3240</v>
      </c>
      <c r="C106" s="390" t="s">
        <v>3241</v>
      </c>
      <c r="D106" s="391" t="s">
        <v>50</v>
      </c>
      <c r="E106" s="249" t="s">
        <v>3370</v>
      </c>
    </row>
    <row r="107" spans="2:5" ht="31.5" customHeight="1" x14ac:dyDescent="0.2">
      <c r="B107" s="352" t="s">
        <v>3243</v>
      </c>
      <c r="C107" s="249" t="s">
        <v>6</v>
      </c>
      <c r="D107" s="250" t="s">
        <v>50</v>
      </c>
      <c r="E107" s="249" t="s">
        <v>3307</v>
      </c>
    </row>
    <row r="108" spans="2:5" ht="31.5" customHeight="1" x14ac:dyDescent="0.2">
      <c r="B108" s="352" t="s">
        <v>3244</v>
      </c>
      <c r="C108" s="249" t="s">
        <v>3245</v>
      </c>
      <c r="D108" s="250" t="s">
        <v>50</v>
      </c>
      <c r="E108" s="249" t="s">
        <v>3370</v>
      </c>
    </row>
    <row r="110" spans="2:5" x14ac:dyDescent="0.2">
      <c r="B110" s="947" t="s">
        <v>3356</v>
      </c>
      <c r="C110" s="947"/>
      <c r="D110" s="947"/>
      <c r="E110" s="947"/>
    </row>
    <row r="111" spans="2:5" ht="12.75" customHeight="1" x14ac:dyDescent="0.2">
      <c r="B111" s="352" t="s">
        <v>3254</v>
      </c>
      <c r="C111" s="249" t="s">
        <v>20</v>
      </c>
      <c r="D111" s="250" t="s">
        <v>50</v>
      </c>
      <c r="E111" s="944" t="s">
        <v>3369</v>
      </c>
    </row>
    <row r="112" spans="2:5" x14ac:dyDescent="0.2">
      <c r="B112" s="352" t="s">
        <v>3254</v>
      </c>
      <c r="C112" s="249" t="s">
        <v>20</v>
      </c>
      <c r="D112" s="250" t="s">
        <v>50</v>
      </c>
      <c r="E112" s="944"/>
    </row>
    <row r="113" spans="2:5" x14ac:dyDescent="0.2">
      <c r="B113" s="352" t="s">
        <v>3346</v>
      </c>
      <c r="C113" s="249" t="s">
        <v>3255</v>
      </c>
      <c r="D113" s="250" t="s">
        <v>50</v>
      </c>
      <c r="E113" s="944"/>
    </row>
    <row r="114" spans="2:5" x14ac:dyDescent="0.2">
      <c r="B114" s="352" t="s">
        <v>3285</v>
      </c>
      <c r="C114" s="249" t="s">
        <v>21</v>
      </c>
      <c r="D114" s="250" t="s">
        <v>50</v>
      </c>
      <c r="E114" s="944"/>
    </row>
    <row r="115" spans="2:5" x14ac:dyDescent="0.2">
      <c r="B115" s="352" t="s">
        <v>3256</v>
      </c>
      <c r="C115" s="249" t="s">
        <v>22</v>
      </c>
      <c r="D115" s="250" t="s">
        <v>50</v>
      </c>
      <c r="E115" s="944"/>
    </row>
    <row r="116" spans="2:5" x14ac:dyDescent="0.2">
      <c r="B116" s="352" t="s">
        <v>3286</v>
      </c>
      <c r="C116" s="249" t="s">
        <v>3295</v>
      </c>
      <c r="D116" s="250" t="s">
        <v>50</v>
      </c>
      <c r="E116" s="944"/>
    </row>
    <row r="117" spans="2:5" x14ac:dyDescent="0.2">
      <c r="E117" s="353"/>
    </row>
    <row r="118" spans="2:5" x14ac:dyDescent="0.2">
      <c r="B118" s="947" t="s">
        <v>3212</v>
      </c>
      <c r="C118" s="947"/>
      <c r="D118" s="947"/>
      <c r="E118" s="947"/>
    </row>
    <row r="119" spans="2:5" x14ac:dyDescent="0.2">
      <c r="B119" s="352" t="s">
        <v>3213</v>
      </c>
      <c r="C119" s="249" t="s">
        <v>3214</v>
      </c>
      <c r="D119" s="250" t="s">
        <v>50</v>
      </c>
      <c r="E119" s="943" t="s">
        <v>3366</v>
      </c>
    </row>
    <row r="120" spans="2:5" x14ac:dyDescent="0.2">
      <c r="B120" s="352" t="s">
        <v>3215</v>
      </c>
      <c r="C120" s="249" t="s">
        <v>3216</v>
      </c>
      <c r="D120" s="250" t="s">
        <v>50</v>
      </c>
      <c r="E120" s="943"/>
    </row>
    <row r="121" spans="2:5" x14ac:dyDescent="0.2">
      <c r="B121" s="352" t="s">
        <v>3217</v>
      </c>
      <c r="C121" s="249" t="s">
        <v>3218</v>
      </c>
      <c r="D121" s="250" t="s">
        <v>50</v>
      </c>
      <c r="E121" s="943"/>
    </row>
    <row r="122" spans="2:5" x14ac:dyDescent="0.2">
      <c r="B122" s="352" t="s">
        <v>3301</v>
      </c>
      <c r="C122" s="249" t="s">
        <v>3302</v>
      </c>
      <c r="D122" s="250" t="s">
        <v>50</v>
      </c>
      <c r="E122" s="943"/>
    </row>
    <row r="123" spans="2:5" x14ac:dyDescent="0.2">
      <c r="B123" s="352" t="s">
        <v>3303</v>
      </c>
      <c r="C123" s="249" t="s">
        <v>3304</v>
      </c>
      <c r="D123" s="250" t="s">
        <v>50</v>
      </c>
      <c r="E123" s="943"/>
    </row>
    <row r="125" spans="2:5" x14ac:dyDescent="0.2">
      <c r="B125" s="947" t="s">
        <v>3360</v>
      </c>
      <c r="C125" s="947"/>
      <c r="D125" s="947"/>
      <c r="E125" s="947"/>
    </row>
    <row r="126" spans="2:5" x14ac:dyDescent="0.2">
      <c r="B126" s="352" t="s">
        <v>3247</v>
      </c>
      <c r="C126" s="249" t="s">
        <v>3248</v>
      </c>
      <c r="D126" s="250" t="s">
        <v>50</v>
      </c>
      <c r="E126" s="943" t="s">
        <v>3367</v>
      </c>
    </row>
    <row r="127" spans="2:5" x14ac:dyDescent="0.2">
      <c r="B127" s="352" t="s">
        <v>3249</v>
      </c>
      <c r="C127" s="249" t="s">
        <v>12</v>
      </c>
      <c r="D127" s="250" t="s">
        <v>50</v>
      </c>
      <c r="E127" s="943"/>
    </row>
    <row r="128" spans="2:5" x14ac:dyDescent="0.2">
      <c r="B128" s="352" t="s">
        <v>3250</v>
      </c>
      <c r="C128" s="249" t="s">
        <v>3251</v>
      </c>
      <c r="D128" s="250" t="s">
        <v>50</v>
      </c>
      <c r="E128" s="943"/>
    </row>
    <row r="129" spans="2:5" x14ac:dyDescent="0.2">
      <c r="B129" s="352" t="s">
        <v>3252</v>
      </c>
      <c r="C129" s="249" t="s">
        <v>3253</v>
      </c>
      <c r="D129" s="250" t="s">
        <v>50</v>
      </c>
      <c r="E129" s="943"/>
    </row>
    <row r="130" spans="2:5" x14ac:dyDescent="0.2">
      <c r="B130" s="352" t="s">
        <v>3290</v>
      </c>
      <c r="C130" s="249" t="s">
        <v>13</v>
      </c>
      <c r="D130" s="250" t="s">
        <v>50</v>
      </c>
      <c r="E130" s="943"/>
    </row>
    <row r="136" spans="2:5" x14ac:dyDescent="0.2">
      <c r="B136" s="329"/>
      <c r="C136" s="329"/>
      <c r="D136" s="889"/>
      <c r="E136" s="256"/>
    </row>
  </sheetData>
  <sortState xmlns:xlrd2="http://schemas.microsoft.com/office/spreadsheetml/2017/richdata2" ref="B5:E86">
    <sortCondition ref="B6:B86"/>
  </sortState>
  <mergeCells count="29">
    <mergeCell ref="E90:E96"/>
    <mergeCell ref="B98:E98"/>
    <mergeCell ref="B125:E125"/>
    <mergeCell ref="B118:E118"/>
    <mergeCell ref="B110:E110"/>
    <mergeCell ref="B105:E105"/>
    <mergeCell ref="B102:E102"/>
    <mergeCell ref="B27:D27"/>
    <mergeCell ref="B20:D20"/>
    <mergeCell ref="B15:D15"/>
    <mergeCell ref="B85:E85"/>
    <mergeCell ref="B89:E89"/>
    <mergeCell ref="B77:D77"/>
    <mergeCell ref="B5:D5"/>
    <mergeCell ref="B10:D10"/>
    <mergeCell ref="E119:E123"/>
    <mergeCell ref="E126:E130"/>
    <mergeCell ref="E111:E116"/>
    <mergeCell ref="B69:D69"/>
    <mergeCell ref="B66:D66"/>
    <mergeCell ref="E81:E83"/>
    <mergeCell ref="B80:E80"/>
    <mergeCell ref="B61:D61"/>
    <mergeCell ref="B57:D57"/>
    <mergeCell ref="B52:D52"/>
    <mergeCell ref="B48:D48"/>
    <mergeCell ref="B41:D41"/>
    <mergeCell ref="B34:D34"/>
    <mergeCell ref="B30:D30"/>
  </mergeCells>
  <hyperlinks>
    <hyperlink ref="B6:C6" location="'EU LI1 '!A1" display="LI1" xr:uid="{4EB102F2-025A-44F4-963E-93C6B80E7B76}"/>
    <hyperlink ref="B7:C7" location="'EU LI2'!A1" display="LI2" xr:uid="{1F2D7683-BE9F-4044-B0BA-8BA227D7118E}"/>
    <hyperlink ref="B8:C8" location="'EU LI3'!A1" display="LI3" xr:uid="{63B68960-F64D-4B81-871F-45C31855A773}"/>
    <hyperlink ref="B11:C11" location="'EU CC1'!A1" display="CC1" xr:uid="{A31C6471-BF4B-4E79-88F4-124C6B2EAD90}"/>
    <hyperlink ref="B12:C12" location="'EU CC2 '!A1" display="CC2" xr:uid="{FF304FB0-7EC6-47FC-860C-90D8D8705305}"/>
    <hyperlink ref="B13:C13" location="'EU CCA'!A1" display="CCA" xr:uid="{15520FC0-7E8F-4B2C-A99B-7C1A6346BBA3}"/>
    <hyperlink ref="B16:C16" location="'EU INS1'!A1" display="INS1" xr:uid="{09D498AD-11C5-41F8-BA8C-F50AFCBAFC38}"/>
    <hyperlink ref="B17:C17" location="'EU KM1'!A1" display="KM1" xr:uid="{A8679243-5887-4CA7-893B-8B4500B6E889}"/>
    <hyperlink ref="B18:C18" location="'EU OV1'!A1" display="OV1" xr:uid="{DD3900CC-0080-4298-93A3-38A8C916D9DF}"/>
    <hyperlink ref="B21:C21" location="'EU CQ1'!A1" display="CQ1" xr:uid="{A9CF5A36-4719-4460-8C4D-4B92AA654C31}"/>
    <hyperlink ref="B22:C22" location="'EU CQ3'!A1" display="CQ3" xr:uid="{9F37FCB6-60B9-4C8E-90F0-A3BDE959714E}"/>
    <hyperlink ref="B23:C23" location="'EU CQ7'!A1" display="CQ7" xr:uid="{DE134A53-4554-446F-8C17-FF2C6D6669AE}"/>
    <hyperlink ref="B24:C24" location="'EU CR1'!A1" display="CR1" xr:uid="{C815F608-EA4F-49C1-9C2E-4DA6C07C2EBC}"/>
    <hyperlink ref="B25:C25" location="'EU CR1-A'!A1" display="CR1-A" xr:uid="{C5DF2533-1339-4F25-90ED-29BF5A57E193}"/>
    <hyperlink ref="B28:C28" location="'EU CR3'!A1" display="CR3" xr:uid="{C5338B05-7674-4482-BDC4-5ECFE02FAE63}"/>
    <hyperlink ref="B31:C31" location="'EU CR4'!A1" display="CR4" xr:uid="{9A7CBA94-5D51-43FB-9D74-B20F57A292EE}"/>
    <hyperlink ref="B32:C32" location="'EU CR5'!A1" display="CR5" xr:uid="{F7A3EDDE-52E9-471F-966C-DF3BC3EB9E28}"/>
    <hyperlink ref="B35:C35" location="'EU CR6'!A1" display="CR6" xr:uid="{53D31858-B05C-49D5-8A9B-C32F05FBE783}"/>
    <hyperlink ref="B36:C36" location="'EU CR6-A'!A1" display="CR6-A" xr:uid="{81BF2C7B-16AF-4A59-A747-A15EBF8BECBF}"/>
    <hyperlink ref="B37:C37" location="'EU CR7-A'!A1" display="CR7-A" xr:uid="{71527606-E343-40F0-89E6-0F2664212C61}"/>
    <hyperlink ref="B38:C38" location="'EU CR8'!A1" display="CR8" xr:uid="{249D9E75-7F22-4133-9101-094181D7E3BC}"/>
    <hyperlink ref="B39:C39" location="'EU CR9'!A1" display="CR9" xr:uid="{4C261555-7B53-4484-9D26-0F25586F1858}"/>
    <hyperlink ref="B42:C42" location="'EU CCR1'!A1" display="CCR1" xr:uid="{4362EC1E-1E44-42E5-A49C-936329473F22}"/>
    <hyperlink ref="B43:C43" location="'EU CCR2'!A1" display="CCR2" xr:uid="{57B06804-08A2-4714-A02C-28F550F6D913}"/>
    <hyperlink ref="B44:C44" location="'EU CCR3'!A1" display="CCR3" xr:uid="{34C3E6E5-AC59-48F1-82DA-0391A40D500A}"/>
    <hyperlink ref="B45:C45" location="'EU CCR5'!A1" display="CCR5" xr:uid="{A7092337-D55D-4518-A8F6-BBE2EAB838FB}"/>
    <hyperlink ref="B46:C46" location="'EU CCR8'!A1" display="CCR8" xr:uid="{A8C9A588-73F9-4B12-811C-F1ACB9A4AB7B}"/>
    <hyperlink ref="B49:C49" location="'EU CCyB1'!A1" display="CCyB1" xr:uid="{0D2A9455-BC0D-4880-A3AC-335AD6242B46}"/>
    <hyperlink ref="B50:C50" location="'EU CCyB2'!A1" display="CCyB2" xr:uid="{E1DB7113-C98B-4C62-9A87-8950479ADE32}"/>
    <hyperlink ref="B53:C53" location="'EU LR1'!A1" display="LR1" xr:uid="{22649E7D-FCA8-48F0-8F3C-1AD8E3D6486D}"/>
    <hyperlink ref="B54:C54" location="'EU LR2'!A1" display="LR2" xr:uid="{C017DB28-D461-4744-AFE6-086FB9ADB151}"/>
    <hyperlink ref="B55:C55" location="'EU LR3'!A1" display="LR3" xr:uid="{DF2990AE-5F53-4DEF-8526-93580745C69D}"/>
    <hyperlink ref="B58:C58" location="'EU LIQ1'!A1" display="LIQ1" xr:uid="{A1F59A92-F767-408E-9FEB-90E0B4ECF44D}"/>
    <hyperlink ref="B59:C59" location="'EU LIQ2'!A1" display="LIQ2" xr:uid="{28BDD852-B862-4B21-88E0-C26A567FCC11}"/>
    <hyperlink ref="B62:C62" location="'EU AE1'!A1" display="AE1" xr:uid="{FAE0CCD0-9E56-4CEF-9237-AA85FAA0FAD1}"/>
    <hyperlink ref="B63:C63" location="'EU AE2'!A1" display="AE2" xr:uid="{50E3D6D3-DAC4-4579-BC3C-FD87D3F1D21C}"/>
    <hyperlink ref="B64:C64" location="'EU AE3'!A1" display="AE3" xr:uid="{3509BA6A-6645-4DB8-9C24-667D8F24DB0F}"/>
    <hyperlink ref="B67:C67" location="'EU OR1'!A1" display="OR1" xr:uid="{7BC4F0A4-2B7F-42C9-B356-3E5150A4F93F}"/>
    <hyperlink ref="B70:C70" location="'EU IRRBB1'!A1" display="IRRBB1" xr:uid="{E24B7343-C49D-4377-A1DB-AFD75BA030C1}"/>
  </hyperlinks>
  <pageMargins left="0.7" right="0.7" top="0.75" bottom="0.75" header="0.3" footer="0.3"/>
  <pageSetup paperSize="9" scale="33" orientation="portrait" horizontalDpi="144" verticalDpi="144"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AK66"/>
  <sheetViews>
    <sheetView workbookViewId="0"/>
  </sheetViews>
  <sheetFormatPr baseColWidth="10" defaultColWidth="9.21875" defaultRowHeight="15" x14ac:dyDescent="0.25"/>
  <cols>
    <col min="1" max="3" width="9.21875" style="84"/>
    <col min="4" max="4" width="17.44140625" style="84" customWidth="1"/>
    <col min="5" max="11" width="22.77734375" style="84" customWidth="1"/>
    <col min="12" max="12" width="15.6640625" style="84" customWidth="1"/>
    <col min="13" max="26" width="22.77734375" style="84" customWidth="1"/>
    <col min="27" max="27" width="20.44140625" style="84" customWidth="1"/>
    <col min="28" max="16384" width="9.21875" style="84"/>
  </cols>
  <sheetData>
    <row r="2" spans="2:37" ht="18.75" x14ac:dyDescent="0.25">
      <c r="B2" s="1075" t="s">
        <v>2353</v>
      </c>
      <c r="C2" s="1075"/>
      <c r="D2" s="1075"/>
      <c r="E2" s="1075"/>
      <c r="F2" s="1075"/>
      <c r="G2" s="1075"/>
      <c r="H2" s="1075"/>
      <c r="I2" s="1075"/>
      <c r="J2" s="1075"/>
      <c r="K2" s="1075"/>
      <c r="L2" s="1075"/>
      <c r="M2" s="1075"/>
      <c r="N2" s="1075"/>
      <c r="O2" s="1075"/>
      <c r="P2" s="1075"/>
      <c r="Q2" s="1075"/>
      <c r="R2" s="1075"/>
      <c r="S2" s="1117"/>
      <c r="T2" s="1117"/>
      <c r="U2" s="1117"/>
      <c r="V2" s="1117"/>
      <c r="W2" s="1117"/>
      <c r="X2" s="1117"/>
      <c r="Y2" s="1117"/>
      <c r="Z2" s="1117"/>
      <c r="AA2" s="107"/>
      <c r="AB2" s="107"/>
      <c r="AC2" s="107"/>
      <c r="AD2" s="107"/>
      <c r="AE2" s="107"/>
      <c r="AF2" s="107"/>
      <c r="AG2" s="107"/>
      <c r="AH2" s="107"/>
      <c r="AI2" s="107"/>
      <c r="AJ2" s="107"/>
      <c r="AK2" s="217"/>
    </row>
    <row r="3" spans="2:37" ht="15.75" x14ac:dyDescent="0.25">
      <c r="B3" s="107"/>
      <c r="C3" s="1117"/>
      <c r="D3" s="1117"/>
      <c r="E3" s="107"/>
      <c r="F3" s="1117"/>
      <c r="G3" s="1117"/>
      <c r="H3" s="1117"/>
      <c r="I3" s="1117"/>
      <c r="J3" s="1117"/>
      <c r="K3" s="1117"/>
      <c r="L3" s="1117"/>
      <c r="M3" s="1117"/>
      <c r="N3" s="1117"/>
      <c r="O3" s="1117"/>
      <c r="P3" s="1117"/>
      <c r="Q3" s="1117"/>
      <c r="R3" s="1117"/>
      <c r="S3" s="1117"/>
      <c r="T3" s="1117"/>
      <c r="U3" s="1117"/>
      <c r="V3" s="1117"/>
      <c r="W3" s="1117"/>
      <c r="X3" s="1117"/>
      <c r="Y3" s="1117"/>
      <c r="Z3" s="1117"/>
      <c r="AA3" s="107"/>
      <c r="AB3" s="107"/>
      <c r="AC3" s="107"/>
      <c r="AD3" s="107"/>
      <c r="AE3" s="107"/>
      <c r="AF3" s="107"/>
      <c r="AG3" s="107"/>
      <c r="AH3" s="107"/>
      <c r="AI3" s="107"/>
      <c r="AJ3" s="107"/>
      <c r="AK3" s="217"/>
    </row>
    <row r="4" spans="2:37" ht="16.5" thickBot="1" x14ac:dyDescent="0.3">
      <c r="B4" s="107"/>
      <c r="C4" s="1117"/>
      <c r="D4" s="1117"/>
      <c r="E4" s="149"/>
      <c r="F4" s="1119"/>
      <c r="G4" s="1119"/>
      <c r="H4" s="1119"/>
      <c r="I4" s="1119"/>
      <c r="J4" s="1119"/>
      <c r="K4" s="1119"/>
      <c r="L4" s="1119"/>
      <c r="M4" s="1119"/>
      <c r="N4" s="1119"/>
      <c r="O4" s="1119"/>
      <c r="P4" s="1119"/>
      <c r="Q4" s="1119"/>
      <c r="R4" s="1119"/>
      <c r="S4" s="1119"/>
      <c r="T4" s="1119"/>
      <c r="U4" s="1119"/>
      <c r="V4" s="1119"/>
      <c r="W4" s="1119"/>
      <c r="X4" s="1119"/>
      <c r="Y4" s="1119"/>
      <c r="Z4" s="1119"/>
      <c r="AA4" s="149"/>
      <c r="AB4" s="107"/>
      <c r="AC4" s="107"/>
      <c r="AD4" s="107"/>
      <c r="AE4" s="107"/>
      <c r="AF4" s="107"/>
      <c r="AG4" s="107"/>
      <c r="AH4" s="107"/>
      <c r="AI4" s="107"/>
      <c r="AJ4" s="107"/>
      <c r="AK4" s="217"/>
    </row>
    <row r="5" spans="2:37" ht="15.75" thickBot="1" x14ac:dyDescent="0.3">
      <c r="B5" s="99"/>
      <c r="C5" s="1120"/>
      <c r="D5" s="1121"/>
      <c r="E5" s="1078" t="s">
        <v>161</v>
      </c>
      <c r="F5" s="1079"/>
      <c r="G5" s="1122" t="s">
        <v>162</v>
      </c>
      <c r="H5" s="1100"/>
      <c r="I5" s="1122" t="s">
        <v>163</v>
      </c>
      <c r="J5" s="1100"/>
      <c r="K5" s="233" t="s">
        <v>200</v>
      </c>
      <c r="L5" s="1122" t="s">
        <v>201</v>
      </c>
      <c r="M5" s="1100"/>
      <c r="N5" s="1122" t="s">
        <v>266</v>
      </c>
      <c r="O5" s="1100"/>
      <c r="P5" s="1122" t="s">
        <v>267</v>
      </c>
      <c r="Q5" s="1100"/>
      <c r="R5" s="1122" t="s">
        <v>268</v>
      </c>
      <c r="S5" s="1100"/>
      <c r="T5" s="1122" t="s">
        <v>269</v>
      </c>
      <c r="U5" s="1100"/>
      <c r="V5" s="1122" t="s">
        <v>270</v>
      </c>
      <c r="W5" s="1100"/>
      <c r="X5" s="1122" t="s">
        <v>271</v>
      </c>
      <c r="Y5" s="1100"/>
      <c r="Z5" s="1122" t="s">
        <v>272</v>
      </c>
      <c r="AA5" s="1100"/>
      <c r="AB5" s="99"/>
      <c r="AC5" s="99"/>
      <c r="AD5" s="99"/>
      <c r="AE5" s="99"/>
      <c r="AF5" s="99"/>
      <c r="AG5" s="99"/>
      <c r="AH5" s="99"/>
      <c r="AI5" s="99"/>
      <c r="AJ5" s="99"/>
      <c r="AK5" s="217"/>
    </row>
    <row r="6" spans="2:37" ht="16.5" thickBot="1" x14ac:dyDescent="0.3">
      <c r="B6" s="107"/>
      <c r="C6" s="1117"/>
      <c r="D6" s="1123"/>
      <c r="E6" s="1124" t="s">
        <v>2354</v>
      </c>
      <c r="F6" s="1125"/>
      <c r="G6" s="1125"/>
      <c r="H6" s="1125"/>
      <c r="I6" s="1125"/>
      <c r="J6" s="1125"/>
      <c r="K6" s="1125"/>
      <c r="L6" s="1125"/>
      <c r="M6" s="1125"/>
      <c r="N6" s="1125"/>
      <c r="O6" s="1125"/>
      <c r="P6" s="1125"/>
      <c r="Q6" s="1125"/>
      <c r="R6" s="1125"/>
      <c r="S6" s="1125"/>
      <c r="T6" s="1125"/>
      <c r="U6" s="1125"/>
      <c r="V6" s="1125"/>
      <c r="W6" s="1125"/>
      <c r="X6" s="1125"/>
      <c r="Y6" s="1125"/>
      <c r="Z6" s="1125"/>
      <c r="AA6" s="1126"/>
      <c r="AB6" s="107"/>
      <c r="AC6" s="107"/>
      <c r="AD6" s="107"/>
      <c r="AE6" s="107"/>
      <c r="AF6" s="107"/>
      <c r="AG6" s="107"/>
      <c r="AH6" s="107"/>
      <c r="AI6" s="107"/>
      <c r="AJ6" s="107"/>
      <c r="AK6" s="217"/>
    </row>
    <row r="7" spans="2:37" ht="16.5" thickBot="1" x14ac:dyDescent="0.3">
      <c r="B7" s="107"/>
      <c r="C7" s="1117"/>
      <c r="D7" s="1123"/>
      <c r="E7" s="1092"/>
      <c r="F7" s="1124" t="s">
        <v>2355</v>
      </c>
      <c r="G7" s="1125"/>
      <c r="H7" s="1125"/>
      <c r="I7" s="1126"/>
      <c r="J7" s="1124" t="s">
        <v>2356</v>
      </c>
      <c r="K7" s="1125"/>
      <c r="L7" s="1125"/>
      <c r="M7" s="1125"/>
      <c r="N7" s="1125"/>
      <c r="O7" s="1125"/>
      <c r="P7" s="1125"/>
      <c r="Q7" s="1125"/>
      <c r="R7" s="1125"/>
      <c r="S7" s="1125"/>
      <c r="T7" s="1125"/>
      <c r="U7" s="1125"/>
      <c r="V7" s="1125"/>
      <c r="W7" s="1125"/>
      <c r="X7" s="1125"/>
      <c r="Y7" s="1125"/>
      <c r="Z7" s="1125"/>
      <c r="AA7" s="1126"/>
      <c r="AB7" s="107"/>
      <c r="AC7" s="107"/>
      <c r="AD7" s="107"/>
      <c r="AE7" s="107"/>
      <c r="AF7" s="107"/>
      <c r="AG7" s="107"/>
      <c r="AH7" s="107"/>
      <c r="AI7" s="107"/>
      <c r="AJ7" s="107"/>
      <c r="AK7" s="217"/>
    </row>
    <row r="8" spans="2:37" ht="36" customHeight="1" thickBot="1" x14ac:dyDescent="0.3">
      <c r="B8" s="107"/>
      <c r="C8" s="1117"/>
      <c r="D8" s="1123"/>
      <c r="E8" s="1092"/>
      <c r="F8" s="1127"/>
      <c r="G8" s="1077"/>
      <c r="H8" s="1130"/>
      <c r="I8" s="1131"/>
      <c r="J8" s="1109"/>
      <c r="K8" s="1110"/>
      <c r="L8" s="1132"/>
      <c r="M8" s="1133" t="s">
        <v>2357</v>
      </c>
      <c r="N8" s="1134"/>
      <c r="O8" s="1133" t="s">
        <v>2358</v>
      </c>
      <c r="P8" s="1135"/>
      <c r="Q8" s="1135"/>
      <c r="R8" s="1135"/>
      <c r="S8" s="1135"/>
      <c r="T8" s="1135"/>
      <c r="U8" s="1135"/>
      <c r="V8" s="1135"/>
      <c r="W8" s="1135"/>
      <c r="X8" s="1135"/>
      <c r="Y8" s="1135"/>
      <c r="Z8" s="1135"/>
      <c r="AA8" s="1134"/>
      <c r="AB8" s="107"/>
      <c r="AC8" s="107"/>
      <c r="AD8" s="107"/>
      <c r="AE8" s="107"/>
      <c r="AF8" s="107"/>
      <c r="AG8" s="107"/>
      <c r="AH8" s="107"/>
      <c r="AI8" s="107"/>
      <c r="AJ8" s="107"/>
      <c r="AK8" s="217"/>
    </row>
    <row r="9" spans="2:37" ht="16.5" thickBot="1" x14ac:dyDescent="0.3">
      <c r="B9" s="107"/>
      <c r="C9" s="1119"/>
      <c r="D9" s="1136"/>
      <c r="E9" s="1093"/>
      <c r="F9" s="1128"/>
      <c r="G9" s="1129"/>
      <c r="H9" s="1096" t="s">
        <v>2359</v>
      </c>
      <c r="I9" s="1097"/>
      <c r="J9" s="1137"/>
      <c r="K9" s="1130"/>
      <c r="L9" s="1131"/>
      <c r="M9" s="1137"/>
      <c r="N9" s="1131"/>
      <c r="O9" s="1137"/>
      <c r="P9" s="1131"/>
      <c r="Q9" s="1096" t="s">
        <v>2360</v>
      </c>
      <c r="R9" s="1097"/>
      <c r="S9" s="1096" t="s">
        <v>2361</v>
      </c>
      <c r="T9" s="1097"/>
      <c r="U9" s="1096" t="s">
        <v>2362</v>
      </c>
      <c r="V9" s="1097"/>
      <c r="W9" s="1096" t="s">
        <v>2363</v>
      </c>
      <c r="X9" s="1097"/>
      <c r="Y9" s="1096" t="s">
        <v>2364</v>
      </c>
      <c r="Z9" s="1097"/>
      <c r="AA9" s="219" t="s">
        <v>2365</v>
      </c>
      <c r="AB9" s="107"/>
      <c r="AC9" s="107"/>
      <c r="AD9" s="107"/>
      <c r="AE9" s="107"/>
      <c r="AF9" s="107"/>
      <c r="AG9" s="107"/>
      <c r="AH9" s="107"/>
      <c r="AI9" s="107"/>
      <c r="AJ9" s="107"/>
      <c r="AK9" s="217"/>
    </row>
    <row r="10" spans="2:37" ht="16.5" thickBot="1" x14ac:dyDescent="0.3">
      <c r="B10" s="87" t="s">
        <v>289</v>
      </c>
      <c r="C10" s="1096" t="s">
        <v>958</v>
      </c>
      <c r="D10" s="1097"/>
      <c r="E10" s="102" t="s">
        <v>2366</v>
      </c>
      <c r="F10" s="1096" t="s">
        <v>2367</v>
      </c>
      <c r="G10" s="1097"/>
      <c r="H10" s="1096" t="s">
        <v>2368</v>
      </c>
      <c r="I10" s="1097"/>
      <c r="J10" s="1096" t="s">
        <v>2369</v>
      </c>
      <c r="K10" s="1140"/>
      <c r="L10" s="1097"/>
      <c r="M10" s="1096" t="s">
        <v>2370</v>
      </c>
      <c r="N10" s="1097"/>
      <c r="O10" s="1096" t="s">
        <v>2371</v>
      </c>
      <c r="P10" s="1097"/>
      <c r="Q10" s="1096" t="s">
        <v>2372</v>
      </c>
      <c r="R10" s="1097"/>
      <c r="S10" s="1096" t="s">
        <v>2373</v>
      </c>
      <c r="T10" s="1097"/>
      <c r="U10" s="1096" t="s">
        <v>2374</v>
      </c>
      <c r="V10" s="1097"/>
      <c r="W10" s="1096" t="s">
        <v>2375</v>
      </c>
      <c r="X10" s="1097"/>
      <c r="Y10" s="1096" t="s">
        <v>2376</v>
      </c>
      <c r="Z10" s="1097"/>
      <c r="AA10" s="102" t="s">
        <v>2377</v>
      </c>
      <c r="AB10" s="107"/>
      <c r="AC10" s="107"/>
      <c r="AD10" s="107"/>
      <c r="AE10" s="107"/>
      <c r="AF10" s="107"/>
      <c r="AG10" s="107"/>
      <c r="AH10" s="107"/>
      <c r="AI10" s="107"/>
      <c r="AJ10" s="107"/>
      <c r="AK10" s="217"/>
    </row>
    <row r="11" spans="2:37" ht="24.75" thickBot="1" x14ac:dyDescent="0.3">
      <c r="B11" s="223" t="s">
        <v>291</v>
      </c>
      <c r="C11" s="1138" t="s">
        <v>2378</v>
      </c>
      <c r="D11" s="1139"/>
      <c r="E11" s="102" t="s">
        <v>2379</v>
      </c>
      <c r="F11" s="1096" t="s">
        <v>2380</v>
      </c>
      <c r="G11" s="1097"/>
      <c r="H11" s="1096" t="s">
        <v>2381</v>
      </c>
      <c r="I11" s="1097"/>
      <c r="J11" s="1096" t="s">
        <v>2382</v>
      </c>
      <c r="K11" s="1140"/>
      <c r="L11" s="1097"/>
      <c r="M11" s="1096" t="s">
        <v>2383</v>
      </c>
      <c r="N11" s="1097"/>
      <c r="O11" s="1096" t="s">
        <v>2384</v>
      </c>
      <c r="P11" s="1097"/>
      <c r="Q11" s="1096" t="s">
        <v>2385</v>
      </c>
      <c r="R11" s="1097"/>
      <c r="S11" s="1096" t="s">
        <v>2386</v>
      </c>
      <c r="T11" s="1097"/>
      <c r="U11" s="1096" t="s">
        <v>2387</v>
      </c>
      <c r="V11" s="1097"/>
      <c r="W11" s="1096" t="s">
        <v>2388</v>
      </c>
      <c r="X11" s="1097"/>
      <c r="Y11" s="1096" t="s">
        <v>2389</v>
      </c>
      <c r="Z11" s="1097"/>
      <c r="AA11" s="102" t="s">
        <v>2390</v>
      </c>
      <c r="AB11" s="107"/>
      <c r="AC11" s="107"/>
      <c r="AD11" s="107"/>
      <c r="AE11" s="107"/>
      <c r="AF11" s="107"/>
      <c r="AG11" s="107"/>
      <c r="AH11" s="107"/>
      <c r="AI11" s="107"/>
      <c r="AJ11" s="107"/>
      <c r="AK11" s="217"/>
    </row>
    <row r="12" spans="2:37" ht="36" customHeight="1" thickBot="1" x14ac:dyDescent="0.3">
      <c r="B12" s="223" t="s">
        <v>916</v>
      </c>
      <c r="C12" s="1153" t="s">
        <v>2391</v>
      </c>
      <c r="D12" s="1154"/>
      <c r="E12" s="102" t="s">
        <v>2392</v>
      </c>
      <c r="F12" s="1096" t="s">
        <v>2393</v>
      </c>
      <c r="G12" s="1097"/>
      <c r="H12" s="1096" t="s">
        <v>2394</v>
      </c>
      <c r="I12" s="1097"/>
      <c r="J12" s="1096" t="s">
        <v>2395</v>
      </c>
      <c r="K12" s="1140"/>
      <c r="L12" s="1097"/>
      <c r="M12" s="1096" t="s">
        <v>2396</v>
      </c>
      <c r="N12" s="1097"/>
      <c r="O12" s="1096" t="s">
        <v>2397</v>
      </c>
      <c r="P12" s="1097"/>
      <c r="Q12" s="1096" t="s">
        <v>2398</v>
      </c>
      <c r="R12" s="1097"/>
      <c r="S12" s="1096" t="s">
        <v>2399</v>
      </c>
      <c r="T12" s="1097"/>
      <c r="U12" s="1096" t="s">
        <v>2400</v>
      </c>
      <c r="V12" s="1097"/>
      <c r="W12" s="1096" t="s">
        <v>2401</v>
      </c>
      <c r="X12" s="1097"/>
      <c r="Y12" s="1096" t="s">
        <v>2402</v>
      </c>
      <c r="Z12" s="1097"/>
      <c r="AA12" s="102" t="s">
        <v>2403</v>
      </c>
      <c r="AB12" s="107"/>
      <c r="AC12" s="107"/>
      <c r="AD12" s="107"/>
      <c r="AE12" s="107"/>
      <c r="AF12" s="107"/>
      <c r="AG12" s="107"/>
      <c r="AH12" s="107"/>
      <c r="AI12" s="107"/>
      <c r="AJ12" s="107"/>
      <c r="AK12" s="217"/>
    </row>
    <row r="13" spans="2:37" ht="24" customHeight="1" x14ac:dyDescent="0.25">
      <c r="B13" s="1141" t="s">
        <v>918</v>
      </c>
      <c r="C13" s="1142" t="s">
        <v>2404</v>
      </c>
      <c r="D13" s="1143"/>
      <c r="E13" s="1144" t="s">
        <v>2405</v>
      </c>
      <c r="F13" s="1133" t="s">
        <v>2406</v>
      </c>
      <c r="G13" s="1134"/>
      <c r="H13" s="1147"/>
      <c r="I13" s="1148"/>
      <c r="J13" s="1133" t="s">
        <v>2407</v>
      </c>
      <c r="K13" s="1135"/>
      <c r="L13" s="1134"/>
      <c r="M13" s="1133" t="s">
        <v>2408</v>
      </c>
      <c r="N13" s="1134"/>
      <c r="O13" s="1133" t="s">
        <v>2409</v>
      </c>
      <c r="P13" s="1134"/>
      <c r="Q13" s="1147"/>
      <c r="R13" s="1148"/>
      <c r="S13" s="1147"/>
      <c r="T13" s="1148"/>
      <c r="U13" s="1147"/>
      <c r="V13" s="1148"/>
      <c r="W13" s="1147"/>
      <c r="X13" s="1148"/>
      <c r="Y13" s="1147"/>
      <c r="Z13" s="1148"/>
      <c r="AA13" s="1159"/>
      <c r="AB13" s="1117"/>
      <c r="AC13" s="1117"/>
      <c r="AD13" s="1117"/>
      <c r="AE13" s="1117"/>
      <c r="AF13" s="1117"/>
      <c r="AG13" s="1117"/>
      <c r="AH13" s="1117"/>
      <c r="AI13" s="1117"/>
      <c r="AJ13" s="1117"/>
      <c r="AK13" s="1102"/>
    </row>
    <row r="14" spans="2:37" ht="24" customHeight="1" x14ac:dyDescent="0.25">
      <c r="B14" s="1092"/>
      <c r="C14" s="1155" t="s">
        <v>2410</v>
      </c>
      <c r="D14" s="1156"/>
      <c r="E14" s="1145"/>
      <c r="F14" s="1109"/>
      <c r="G14" s="1132"/>
      <c r="H14" s="1149"/>
      <c r="I14" s="1150"/>
      <c r="J14" s="1109"/>
      <c r="K14" s="1110"/>
      <c r="L14" s="1132"/>
      <c r="M14" s="1109"/>
      <c r="N14" s="1132"/>
      <c r="O14" s="1109"/>
      <c r="P14" s="1132"/>
      <c r="Q14" s="1149"/>
      <c r="R14" s="1150"/>
      <c r="S14" s="1149"/>
      <c r="T14" s="1150"/>
      <c r="U14" s="1149"/>
      <c r="V14" s="1150"/>
      <c r="W14" s="1149"/>
      <c r="X14" s="1150"/>
      <c r="Y14" s="1149"/>
      <c r="Z14" s="1150"/>
      <c r="AA14" s="1160"/>
      <c r="AB14" s="1117"/>
      <c r="AC14" s="1117"/>
      <c r="AD14" s="1117"/>
      <c r="AE14" s="1117"/>
      <c r="AF14" s="1117"/>
      <c r="AG14" s="1117"/>
      <c r="AH14" s="1117"/>
      <c r="AI14" s="1117"/>
      <c r="AJ14" s="1117"/>
      <c r="AK14" s="1102"/>
    </row>
    <row r="15" spans="2:37" ht="24" customHeight="1" thickBot="1" x14ac:dyDescent="0.3">
      <c r="B15" s="1093"/>
      <c r="C15" s="1157" t="s">
        <v>2411</v>
      </c>
      <c r="D15" s="1158"/>
      <c r="E15" s="1146"/>
      <c r="F15" s="1137"/>
      <c r="G15" s="1131"/>
      <c r="H15" s="1151"/>
      <c r="I15" s="1152"/>
      <c r="J15" s="1137"/>
      <c r="K15" s="1130"/>
      <c r="L15" s="1131"/>
      <c r="M15" s="1137"/>
      <c r="N15" s="1131"/>
      <c r="O15" s="1137"/>
      <c r="P15" s="1131"/>
      <c r="Q15" s="1151"/>
      <c r="R15" s="1152"/>
      <c r="S15" s="1151"/>
      <c r="T15" s="1152"/>
      <c r="U15" s="1151"/>
      <c r="V15" s="1152"/>
      <c r="W15" s="1151"/>
      <c r="X15" s="1152"/>
      <c r="Y15" s="1151"/>
      <c r="Z15" s="1152"/>
      <c r="AA15" s="1161"/>
      <c r="AB15" s="1117"/>
      <c r="AC15" s="1117"/>
      <c r="AD15" s="1117"/>
      <c r="AE15" s="1117"/>
      <c r="AF15" s="1117"/>
      <c r="AG15" s="1117"/>
      <c r="AH15" s="1117"/>
      <c r="AI15" s="1117"/>
      <c r="AJ15" s="1117"/>
      <c r="AK15" s="1102"/>
    </row>
    <row r="16" spans="2:37" ht="24" customHeight="1" x14ac:dyDescent="0.25">
      <c r="B16" s="1141" t="s">
        <v>920</v>
      </c>
      <c r="C16" s="1142" t="s">
        <v>2404</v>
      </c>
      <c r="D16" s="1143"/>
      <c r="E16" s="1144" t="s">
        <v>2412</v>
      </c>
      <c r="F16" s="1133" t="s">
        <v>2413</v>
      </c>
      <c r="G16" s="1134"/>
      <c r="H16" s="1147"/>
      <c r="I16" s="1148"/>
      <c r="J16" s="1133" t="s">
        <v>2414</v>
      </c>
      <c r="K16" s="1135"/>
      <c r="L16" s="1134"/>
      <c r="M16" s="1133" t="s">
        <v>2415</v>
      </c>
      <c r="N16" s="1134"/>
      <c r="O16" s="1133" t="s">
        <v>2416</v>
      </c>
      <c r="P16" s="1134"/>
      <c r="Q16" s="1147"/>
      <c r="R16" s="1148"/>
      <c r="S16" s="1147"/>
      <c r="T16" s="1148"/>
      <c r="U16" s="1147"/>
      <c r="V16" s="1148"/>
      <c r="W16" s="1147"/>
      <c r="X16" s="1148"/>
      <c r="Y16" s="1147"/>
      <c r="Z16" s="1148"/>
      <c r="AA16" s="1159"/>
      <c r="AB16" s="1117"/>
      <c r="AC16" s="1117"/>
      <c r="AD16" s="1117"/>
      <c r="AE16" s="1117"/>
      <c r="AF16" s="1117"/>
      <c r="AG16" s="1117"/>
      <c r="AH16" s="1117"/>
      <c r="AI16" s="1117"/>
      <c r="AJ16" s="1117"/>
      <c r="AK16" s="1102"/>
    </row>
    <row r="17" spans="2:37" ht="24" customHeight="1" x14ac:dyDescent="0.25">
      <c r="B17" s="1092"/>
      <c r="C17" s="1155" t="s">
        <v>2417</v>
      </c>
      <c r="D17" s="1156"/>
      <c r="E17" s="1145"/>
      <c r="F17" s="1109"/>
      <c r="G17" s="1132"/>
      <c r="H17" s="1149"/>
      <c r="I17" s="1150"/>
      <c r="J17" s="1109"/>
      <c r="K17" s="1110"/>
      <c r="L17" s="1132"/>
      <c r="M17" s="1109"/>
      <c r="N17" s="1132"/>
      <c r="O17" s="1109"/>
      <c r="P17" s="1132"/>
      <c r="Q17" s="1149"/>
      <c r="R17" s="1150"/>
      <c r="S17" s="1149"/>
      <c r="T17" s="1150"/>
      <c r="U17" s="1149"/>
      <c r="V17" s="1150"/>
      <c r="W17" s="1149"/>
      <c r="X17" s="1150"/>
      <c r="Y17" s="1149"/>
      <c r="Z17" s="1150"/>
      <c r="AA17" s="1160"/>
      <c r="AB17" s="1117"/>
      <c r="AC17" s="1117"/>
      <c r="AD17" s="1117"/>
      <c r="AE17" s="1117"/>
      <c r="AF17" s="1117"/>
      <c r="AG17" s="1117"/>
      <c r="AH17" s="1117"/>
      <c r="AI17" s="1117"/>
      <c r="AJ17" s="1117"/>
      <c r="AK17" s="1102"/>
    </row>
    <row r="18" spans="2:37" ht="24" customHeight="1" thickBot="1" x14ac:dyDescent="0.3">
      <c r="B18" s="1093"/>
      <c r="C18" s="1162" t="s">
        <v>2418</v>
      </c>
      <c r="D18" s="1163"/>
      <c r="E18" s="1146"/>
      <c r="F18" s="1137"/>
      <c r="G18" s="1131"/>
      <c r="H18" s="1151"/>
      <c r="I18" s="1152"/>
      <c r="J18" s="1137"/>
      <c r="K18" s="1130"/>
      <c r="L18" s="1131"/>
      <c r="M18" s="1137"/>
      <c r="N18" s="1131"/>
      <c r="O18" s="1137"/>
      <c r="P18" s="1131"/>
      <c r="Q18" s="1151"/>
      <c r="R18" s="1152"/>
      <c r="S18" s="1151"/>
      <c r="T18" s="1152"/>
      <c r="U18" s="1151"/>
      <c r="V18" s="1152"/>
      <c r="W18" s="1151"/>
      <c r="X18" s="1152"/>
      <c r="Y18" s="1151"/>
      <c r="Z18" s="1152"/>
      <c r="AA18" s="1161"/>
      <c r="AB18" s="1117"/>
      <c r="AC18" s="1117"/>
      <c r="AD18" s="1117"/>
      <c r="AE18" s="1117"/>
      <c r="AF18" s="1117"/>
      <c r="AG18" s="1117"/>
      <c r="AH18" s="1117"/>
      <c r="AI18" s="1117"/>
      <c r="AJ18" s="1117"/>
      <c r="AK18" s="1102"/>
    </row>
    <row r="19" spans="2:37" ht="24" customHeight="1" x14ac:dyDescent="0.25">
      <c r="B19" s="1141" t="s">
        <v>922</v>
      </c>
      <c r="C19" s="1142" t="s">
        <v>2404</v>
      </c>
      <c r="D19" s="1143"/>
      <c r="E19" s="1144" t="s">
        <v>2419</v>
      </c>
      <c r="F19" s="1133" t="s">
        <v>2420</v>
      </c>
      <c r="G19" s="1134"/>
      <c r="H19" s="1147"/>
      <c r="I19" s="1148"/>
      <c r="J19" s="1133" t="s">
        <v>2421</v>
      </c>
      <c r="K19" s="1135"/>
      <c r="L19" s="1134"/>
      <c r="M19" s="1133" t="s">
        <v>2422</v>
      </c>
      <c r="N19" s="1134"/>
      <c r="O19" s="1133" t="s">
        <v>2423</v>
      </c>
      <c r="P19" s="1134"/>
      <c r="Q19" s="1147"/>
      <c r="R19" s="1148"/>
      <c r="S19" s="1147"/>
      <c r="T19" s="1148"/>
      <c r="U19" s="1147"/>
      <c r="V19" s="1148"/>
      <c r="W19" s="1147"/>
      <c r="X19" s="1148"/>
      <c r="Y19" s="1147"/>
      <c r="Z19" s="1148"/>
      <c r="AA19" s="1159"/>
      <c r="AB19" s="1117"/>
      <c r="AC19" s="1117"/>
      <c r="AD19" s="1117"/>
      <c r="AE19" s="1117"/>
      <c r="AF19" s="1117"/>
      <c r="AG19" s="1117"/>
      <c r="AH19" s="1117"/>
      <c r="AI19" s="1117"/>
      <c r="AJ19" s="1117"/>
      <c r="AK19" s="1102"/>
    </row>
    <row r="20" spans="2:37" ht="24" customHeight="1" thickBot="1" x14ac:dyDescent="0.3">
      <c r="B20" s="1093"/>
      <c r="C20" s="1162" t="s">
        <v>2424</v>
      </c>
      <c r="D20" s="1163"/>
      <c r="E20" s="1146"/>
      <c r="F20" s="1137"/>
      <c r="G20" s="1131"/>
      <c r="H20" s="1149"/>
      <c r="I20" s="1150"/>
      <c r="J20" s="1137"/>
      <c r="K20" s="1130"/>
      <c r="L20" s="1131"/>
      <c r="M20" s="1137"/>
      <c r="N20" s="1131"/>
      <c r="O20" s="1137"/>
      <c r="P20" s="1131"/>
      <c r="Q20" s="1149"/>
      <c r="R20" s="1150"/>
      <c r="S20" s="1149"/>
      <c r="T20" s="1150"/>
      <c r="U20" s="1149"/>
      <c r="V20" s="1150"/>
      <c r="W20" s="1149"/>
      <c r="X20" s="1150"/>
      <c r="Y20" s="1149"/>
      <c r="Z20" s="1150"/>
      <c r="AA20" s="1161"/>
      <c r="AB20" s="1117"/>
      <c r="AC20" s="1117"/>
      <c r="AD20" s="1117"/>
      <c r="AE20" s="1117"/>
      <c r="AF20" s="1117"/>
      <c r="AG20" s="1117"/>
      <c r="AH20" s="1117"/>
      <c r="AI20" s="1117"/>
      <c r="AJ20" s="1117"/>
      <c r="AK20" s="1102"/>
    </row>
    <row r="21" spans="2:37" ht="36" customHeight="1" thickBot="1" x14ac:dyDescent="0.3">
      <c r="B21" s="223" t="s">
        <v>924</v>
      </c>
      <c r="C21" s="1096" t="s">
        <v>2425</v>
      </c>
      <c r="D21" s="1097"/>
      <c r="E21" s="102" t="s">
        <v>2426</v>
      </c>
      <c r="F21" s="1096" t="s">
        <v>2427</v>
      </c>
      <c r="G21" s="1097"/>
      <c r="H21" s="1096" t="s">
        <v>2428</v>
      </c>
      <c r="I21" s="1097"/>
      <c r="J21" s="1096" t="s">
        <v>2429</v>
      </c>
      <c r="K21" s="1140"/>
      <c r="L21" s="1097"/>
      <c r="M21" s="1096" t="s">
        <v>2430</v>
      </c>
      <c r="N21" s="1097"/>
      <c r="O21" s="1096" t="s">
        <v>2431</v>
      </c>
      <c r="P21" s="1097"/>
      <c r="Q21" s="1096" t="s">
        <v>2432</v>
      </c>
      <c r="R21" s="1097"/>
      <c r="S21" s="1096" t="s">
        <v>2433</v>
      </c>
      <c r="T21" s="1097"/>
      <c r="U21" s="1096" t="s">
        <v>2434</v>
      </c>
      <c r="V21" s="1097"/>
      <c r="W21" s="1096" t="s">
        <v>2435</v>
      </c>
      <c r="X21" s="1097"/>
      <c r="Y21" s="1096" t="s">
        <v>2436</v>
      </c>
      <c r="Z21" s="1097"/>
      <c r="AA21" s="102" t="s">
        <v>2437</v>
      </c>
      <c r="AB21" s="107"/>
      <c r="AC21" s="107"/>
      <c r="AD21" s="107"/>
      <c r="AE21" s="107"/>
      <c r="AF21" s="107"/>
      <c r="AG21" s="107"/>
      <c r="AH21" s="107"/>
      <c r="AI21" s="107"/>
      <c r="AJ21" s="107"/>
      <c r="AK21" s="217"/>
    </row>
    <row r="22" spans="2:37" ht="16.5" thickBot="1" x14ac:dyDescent="0.3">
      <c r="B22" s="223" t="s">
        <v>926</v>
      </c>
      <c r="C22" s="1096" t="s">
        <v>2438</v>
      </c>
      <c r="D22" s="1097"/>
      <c r="E22" s="113"/>
      <c r="F22" s="1164"/>
      <c r="G22" s="1165"/>
      <c r="H22" s="1164"/>
      <c r="I22" s="1165"/>
      <c r="J22" s="1164"/>
      <c r="K22" s="1166"/>
      <c r="L22" s="1165"/>
      <c r="M22" s="1164"/>
      <c r="N22" s="1165"/>
      <c r="O22" s="1164"/>
      <c r="P22" s="1165"/>
      <c r="Q22" s="1164"/>
      <c r="R22" s="1165"/>
      <c r="S22" s="1164"/>
      <c r="T22" s="1165"/>
      <c r="U22" s="1164"/>
      <c r="V22" s="1165"/>
      <c r="W22" s="1164"/>
      <c r="X22" s="1165"/>
      <c r="Y22" s="1164"/>
      <c r="Z22" s="1165"/>
      <c r="AA22" s="113"/>
      <c r="AB22" s="107"/>
      <c r="AC22" s="107"/>
      <c r="AD22" s="107"/>
      <c r="AE22" s="107"/>
      <c r="AF22" s="107"/>
      <c r="AG22" s="107"/>
      <c r="AH22" s="107"/>
      <c r="AI22" s="107"/>
      <c r="AJ22" s="107"/>
      <c r="AK22" s="217"/>
    </row>
    <row r="23" spans="2:37" ht="21" customHeight="1" thickBot="1" x14ac:dyDescent="0.3">
      <c r="B23" s="223" t="s">
        <v>928</v>
      </c>
      <c r="C23" s="1167" t="s">
        <v>2439</v>
      </c>
      <c r="D23" s="1168"/>
      <c r="E23" s="102" t="s">
        <v>2440</v>
      </c>
      <c r="F23" s="1096" t="s">
        <v>2441</v>
      </c>
      <c r="G23" s="1097"/>
      <c r="H23" s="1096" t="s">
        <v>2442</v>
      </c>
      <c r="I23" s="1097"/>
      <c r="J23" s="1096" t="s">
        <v>2443</v>
      </c>
      <c r="K23" s="1140"/>
      <c r="L23" s="1097"/>
      <c r="M23" s="1096" t="s">
        <v>2444</v>
      </c>
      <c r="N23" s="1097"/>
      <c r="O23" s="1096" t="s">
        <v>2445</v>
      </c>
      <c r="P23" s="1097"/>
      <c r="Q23" s="1096" t="s">
        <v>2446</v>
      </c>
      <c r="R23" s="1097"/>
      <c r="S23" s="1096" t="s">
        <v>2447</v>
      </c>
      <c r="T23" s="1097"/>
      <c r="U23" s="1096" t="s">
        <v>2448</v>
      </c>
      <c r="V23" s="1097"/>
      <c r="W23" s="1096" t="s">
        <v>2449</v>
      </c>
      <c r="X23" s="1097"/>
      <c r="Y23" s="1096" t="s">
        <v>2450</v>
      </c>
      <c r="Z23" s="1097"/>
      <c r="AA23" s="102" t="s">
        <v>2451</v>
      </c>
      <c r="AB23" s="107"/>
      <c r="AC23" s="107"/>
      <c r="AD23" s="107"/>
      <c r="AE23" s="107"/>
      <c r="AF23" s="107"/>
      <c r="AG23" s="107"/>
      <c r="AH23" s="107"/>
      <c r="AI23" s="107"/>
      <c r="AJ23" s="107"/>
      <c r="AK23" s="217"/>
    </row>
    <row r="24" spans="2:37" ht="24" customHeight="1" thickBot="1" x14ac:dyDescent="0.3">
      <c r="B24" s="223" t="s">
        <v>930</v>
      </c>
      <c r="C24" s="1153" t="s">
        <v>2452</v>
      </c>
      <c r="D24" s="1154"/>
      <c r="E24" s="102" t="s">
        <v>2453</v>
      </c>
      <c r="F24" s="1096" t="s">
        <v>2454</v>
      </c>
      <c r="G24" s="1097"/>
      <c r="H24" s="1096" t="s">
        <v>2455</v>
      </c>
      <c r="I24" s="1097"/>
      <c r="J24" s="1096" t="s">
        <v>2456</v>
      </c>
      <c r="K24" s="1140"/>
      <c r="L24" s="1097"/>
      <c r="M24" s="1096" t="s">
        <v>2457</v>
      </c>
      <c r="N24" s="1097"/>
      <c r="O24" s="1096" t="s">
        <v>2458</v>
      </c>
      <c r="P24" s="1097"/>
      <c r="Q24" s="1096" t="s">
        <v>2459</v>
      </c>
      <c r="R24" s="1097"/>
      <c r="S24" s="1096" t="s">
        <v>2460</v>
      </c>
      <c r="T24" s="1097"/>
      <c r="U24" s="1096" t="s">
        <v>2461</v>
      </c>
      <c r="V24" s="1097"/>
      <c r="W24" s="1096" t="s">
        <v>2462</v>
      </c>
      <c r="X24" s="1097"/>
      <c r="Y24" s="1096" t="s">
        <v>2463</v>
      </c>
      <c r="Z24" s="1097"/>
      <c r="AA24" s="102" t="s">
        <v>2464</v>
      </c>
      <c r="AB24" s="99"/>
      <c r="AC24" s="99"/>
      <c r="AD24" s="99"/>
      <c r="AE24" s="99"/>
      <c r="AF24" s="99"/>
      <c r="AG24" s="99"/>
      <c r="AH24" s="99"/>
      <c r="AI24" s="99"/>
      <c r="AJ24" s="99"/>
      <c r="AK24" s="217"/>
    </row>
    <row r="25" spans="2:37" ht="48.95" customHeight="1" thickBot="1" x14ac:dyDescent="0.3">
      <c r="B25" s="223" t="s">
        <v>931</v>
      </c>
      <c r="C25" s="1167" t="s">
        <v>2465</v>
      </c>
      <c r="D25" s="1168"/>
      <c r="E25" s="102" t="s">
        <v>2466</v>
      </c>
      <c r="F25" s="1096" t="s">
        <v>2467</v>
      </c>
      <c r="G25" s="1097"/>
      <c r="H25" s="1096" t="s">
        <v>2468</v>
      </c>
      <c r="I25" s="1097"/>
      <c r="J25" s="1096" t="s">
        <v>2469</v>
      </c>
      <c r="K25" s="1140"/>
      <c r="L25" s="1097"/>
      <c r="M25" s="1096" t="s">
        <v>2470</v>
      </c>
      <c r="N25" s="1097"/>
      <c r="O25" s="1096" t="s">
        <v>2471</v>
      </c>
      <c r="P25" s="1097"/>
      <c r="Q25" s="1096" t="s">
        <v>985</v>
      </c>
      <c r="R25" s="1097"/>
      <c r="S25" s="1096" t="s">
        <v>985</v>
      </c>
      <c r="T25" s="1097"/>
      <c r="U25" s="1096" t="s">
        <v>985</v>
      </c>
      <c r="V25" s="1097"/>
      <c r="W25" s="1096" t="s">
        <v>985</v>
      </c>
      <c r="X25" s="1097"/>
      <c r="Y25" s="1096" t="s">
        <v>985</v>
      </c>
      <c r="Z25" s="1097"/>
      <c r="AA25" s="191" t="s">
        <v>985</v>
      </c>
      <c r="AB25" s="99"/>
      <c r="AC25" s="99"/>
      <c r="AD25" s="99"/>
      <c r="AE25" s="99"/>
      <c r="AF25" s="99"/>
      <c r="AG25" s="99"/>
      <c r="AH25" s="99"/>
      <c r="AI25" s="99"/>
      <c r="AJ25" s="99"/>
      <c r="AK25" s="217"/>
    </row>
    <row r="26" spans="2:37" ht="33.6" customHeight="1" thickBot="1" x14ac:dyDescent="0.3">
      <c r="B26" s="223" t="s">
        <v>932</v>
      </c>
      <c r="C26" s="1153" t="s">
        <v>2452</v>
      </c>
      <c r="D26" s="1154"/>
      <c r="E26" s="102" t="s">
        <v>2472</v>
      </c>
      <c r="F26" s="1096" t="s">
        <v>2473</v>
      </c>
      <c r="G26" s="1097"/>
      <c r="H26" s="1096" t="s">
        <v>2474</v>
      </c>
      <c r="I26" s="1097"/>
      <c r="J26" s="1096" t="s">
        <v>2475</v>
      </c>
      <c r="K26" s="1140"/>
      <c r="L26" s="1097"/>
      <c r="M26" s="1096" t="s">
        <v>2476</v>
      </c>
      <c r="N26" s="1097"/>
      <c r="O26" s="1096" t="s">
        <v>2477</v>
      </c>
      <c r="P26" s="1097"/>
      <c r="Q26" s="1096" t="s">
        <v>985</v>
      </c>
      <c r="R26" s="1097"/>
      <c r="S26" s="1096" t="s">
        <v>985</v>
      </c>
      <c r="T26" s="1097"/>
      <c r="U26" s="1096" t="s">
        <v>985</v>
      </c>
      <c r="V26" s="1097"/>
      <c r="W26" s="1096" t="s">
        <v>985</v>
      </c>
      <c r="X26" s="1097"/>
      <c r="Y26" s="1096" t="s">
        <v>985</v>
      </c>
      <c r="Z26" s="1097"/>
      <c r="AA26" s="191" t="s">
        <v>985</v>
      </c>
      <c r="AB26" s="99"/>
      <c r="AC26" s="99"/>
      <c r="AD26" s="99"/>
      <c r="AE26" s="99"/>
      <c r="AF26" s="99"/>
      <c r="AG26" s="99"/>
      <c r="AH26" s="99"/>
      <c r="AI26" s="99"/>
      <c r="AJ26" s="99"/>
      <c r="AK26" s="217"/>
    </row>
    <row r="27" spans="2:37" ht="16.5" thickBot="1" x14ac:dyDescent="0.3">
      <c r="B27" s="223" t="s">
        <v>933</v>
      </c>
      <c r="C27" s="1096" t="s">
        <v>2478</v>
      </c>
      <c r="D27" s="1097"/>
      <c r="E27" s="102" t="s">
        <v>2479</v>
      </c>
      <c r="F27" s="1096" t="s">
        <v>2480</v>
      </c>
      <c r="G27" s="1097"/>
      <c r="H27" s="1096" t="s">
        <v>2481</v>
      </c>
      <c r="I27" s="1097"/>
      <c r="J27" s="1096" t="s">
        <v>2482</v>
      </c>
      <c r="K27" s="1140"/>
      <c r="L27" s="1097"/>
      <c r="M27" s="1096" t="s">
        <v>2483</v>
      </c>
      <c r="N27" s="1097"/>
      <c r="O27" s="1096" t="s">
        <v>2484</v>
      </c>
      <c r="P27" s="1097"/>
      <c r="Q27" s="1096" t="s">
        <v>2485</v>
      </c>
      <c r="R27" s="1097"/>
      <c r="S27" s="1096" t="s">
        <v>2486</v>
      </c>
      <c r="T27" s="1097"/>
      <c r="U27" s="1096" t="s">
        <v>2487</v>
      </c>
      <c r="V27" s="1097"/>
      <c r="W27" s="1096" t="s">
        <v>2488</v>
      </c>
      <c r="X27" s="1097"/>
      <c r="Y27" s="1096" t="s">
        <v>2489</v>
      </c>
      <c r="Z27" s="1097"/>
      <c r="AA27" s="102" t="s">
        <v>2490</v>
      </c>
      <c r="AB27" s="107"/>
      <c r="AC27" s="107"/>
      <c r="AD27" s="107"/>
      <c r="AE27" s="107"/>
      <c r="AF27" s="107"/>
      <c r="AG27" s="107"/>
      <c r="AH27" s="107"/>
      <c r="AI27" s="107"/>
      <c r="AJ27" s="107"/>
      <c r="AK27" s="217"/>
    </row>
    <row r="28" spans="2:37" ht="16.5" thickBot="1" x14ac:dyDescent="0.3">
      <c r="B28" s="223" t="s">
        <v>934</v>
      </c>
      <c r="C28" s="1096" t="s">
        <v>2491</v>
      </c>
      <c r="D28" s="1097"/>
      <c r="E28" s="102" t="s">
        <v>2492</v>
      </c>
      <c r="F28" s="1096" t="s">
        <v>2493</v>
      </c>
      <c r="G28" s="1097"/>
      <c r="H28" s="1096" t="s">
        <v>2494</v>
      </c>
      <c r="I28" s="1097"/>
      <c r="J28" s="1096" t="s">
        <v>2495</v>
      </c>
      <c r="K28" s="1140"/>
      <c r="L28" s="1097"/>
      <c r="M28" s="1096" t="s">
        <v>2496</v>
      </c>
      <c r="N28" s="1097"/>
      <c r="O28" s="1096" t="s">
        <v>2497</v>
      </c>
      <c r="P28" s="1097"/>
      <c r="Q28" s="1096" t="s">
        <v>2498</v>
      </c>
      <c r="R28" s="1097"/>
      <c r="S28" s="1096" t="s">
        <v>2499</v>
      </c>
      <c r="T28" s="1097"/>
      <c r="U28" s="1096" t="s">
        <v>2500</v>
      </c>
      <c r="V28" s="1097"/>
      <c r="W28" s="1096" t="s">
        <v>2501</v>
      </c>
      <c r="X28" s="1097"/>
      <c r="Y28" s="1096" t="s">
        <v>2502</v>
      </c>
      <c r="Z28" s="1097"/>
      <c r="AA28" s="102" t="s">
        <v>2503</v>
      </c>
      <c r="AB28" s="107"/>
      <c r="AC28" s="107"/>
      <c r="AD28" s="107"/>
      <c r="AE28" s="107"/>
      <c r="AF28" s="107"/>
      <c r="AG28" s="107"/>
      <c r="AH28" s="107"/>
      <c r="AI28" s="107"/>
      <c r="AJ28" s="107"/>
      <c r="AK28" s="217"/>
    </row>
    <row r="29" spans="2:37" ht="15.75" x14ac:dyDescent="0.25">
      <c r="B29" s="107"/>
      <c r="C29" s="1169"/>
      <c r="D29" s="1169"/>
      <c r="E29" s="107"/>
      <c r="F29" s="1169"/>
      <c r="G29" s="1169"/>
      <c r="H29" s="1169"/>
      <c r="I29" s="1169"/>
      <c r="J29" s="1169"/>
      <c r="K29" s="1169"/>
      <c r="L29" s="1169"/>
      <c r="M29" s="1169"/>
      <c r="N29" s="1169"/>
      <c r="O29" s="1169"/>
      <c r="P29" s="1169"/>
      <c r="Q29" s="1169"/>
      <c r="R29" s="1169"/>
      <c r="S29" s="1169"/>
      <c r="T29" s="1169"/>
      <c r="U29" s="1169"/>
      <c r="V29" s="1169"/>
      <c r="W29" s="1169"/>
      <c r="X29" s="1169"/>
      <c r="Y29" s="1169"/>
      <c r="Z29" s="1169"/>
      <c r="AA29" s="107"/>
      <c r="AB29" s="107"/>
      <c r="AC29" s="107"/>
      <c r="AD29" s="107"/>
      <c r="AE29" s="107"/>
      <c r="AF29" s="107"/>
      <c r="AG29" s="107"/>
      <c r="AH29" s="107"/>
      <c r="AI29" s="107"/>
      <c r="AJ29" s="107"/>
      <c r="AK29" s="217"/>
    </row>
    <row r="30" spans="2:37" ht="15.75" x14ac:dyDescent="0.25">
      <c r="B30" s="1116"/>
      <c r="C30" s="1116"/>
      <c r="D30" s="1116"/>
      <c r="E30" s="1116"/>
      <c r="F30" s="1116"/>
      <c r="G30" s="1116"/>
      <c r="H30" s="1116"/>
      <c r="I30" s="1116"/>
      <c r="J30" s="1116"/>
      <c r="K30" s="1116"/>
      <c r="L30" s="1116"/>
      <c r="M30" s="1117"/>
      <c r="N30" s="1117"/>
      <c r="O30" s="1117"/>
      <c r="P30" s="1117"/>
      <c r="Q30" s="1117"/>
      <c r="R30" s="1117"/>
      <c r="S30" s="1117"/>
      <c r="T30" s="1117"/>
      <c r="U30" s="1117"/>
      <c r="V30" s="1117"/>
      <c r="W30" s="1117"/>
      <c r="X30" s="1117"/>
      <c r="Y30" s="1117"/>
      <c r="Z30" s="1117"/>
      <c r="AA30" s="107"/>
      <c r="AB30" s="107"/>
      <c r="AC30" s="107"/>
      <c r="AD30" s="107"/>
      <c r="AE30" s="107"/>
      <c r="AF30" s="107"/>
      <c r="AG30" s="107"/>
      <c r="AH30" s="107"/>
      <c r="AI30" s="107"/>
      <c r="AJ30" s="107"/>
      <c r="AK30" s="217"/>
    </row>
    <row r="31" spans="2:37" ht="15.75" x14ac:dyDescent="0.25">
      <c r="B31" s="107"/>
      <c r="C31" s="1117"/>
      <c r="D31" s="1117"/>
      <c r="E31" s="107"/>
      <c r="F31" s="1117"/>
      <c r="G31" s="1117"/>
      <c r="H31" s="1117"/>
      <c r="I31" s="1117"/>
      <c r="J31" s="1117"/>
      <c r="K31" s="1117"/>
      <c r="L31" s="1117"/>
      <c r="M31" s="1117"/>
      <c r="N31" s="1117"/>
      <c r="O31" s="1117"/>
      <c r="P31" s="1117"/>
      <c r="Q31" s="1117"/>
      <c r="R31" s="1117"/>
      <c r="S31" s="1117"/>
      <c r="T31" s="1117"/>
      <c r="U31" s="1117"/>
      <c r="V31" s="1117"/>
      <c r="W31" s="1117"/>
      <c r="X31" s="1117"/>
      <c r="Y31" s="1117"/>
      <c r="Z31" s="1117"/>
      <c r="AA31" s="107"/>
      <c r="AB31" s="107"/>
      <c r="AC31" s="107"/>
      <c r="AD31" s="107"/>
      <c r="AE31" s="107"/>
      <c r="AF31" s="107"/>
      <c r="AG31" s="107"/>
      <c r="AH31" s="107"/>
      <c r="AI31" s="107"/>
      <c r="AJ31" s="107"/>
      <c r="AK31" s="217"/>
    </row>
    <row r="32" spans="2:37" ht="15.75" x14ac:dyDescent="0.25">
      <c r="B32" s="1116"/>
      <c r="C32" s="1116"/>
      <c r="D32" s="1116"/>
      <c r="E32" s="1116"/>
      <c r="F32" s="1116"/>
      <c r="G32" s="1116"/>
      <c r="H32" s="1116"/>
      <c r="I32" s="1116"/>
      <c r="J32" s="1116"/>
      <c r="K32" s="1116"/>
      <c r="L32" s="1116"/>
      <c r="M32" s="1117"/>
      <c r="N32" s="1117"/>
      <c r="O32" s="1117"/>
      <c r="P32" s="1117"/>
      <c r="Q32" s="1117"/>
      <c r="R32" s="1117"/>
      <c r="S32" s="1117"/>
      <c r="T32" s="1117"/>
      <c r="U32" s="1117"/>
      <c r="V32" s="1117"/>
      <c r="W32" s="1117"/>
      <c r="X32" s="1117"/>
      <c r="Y32" s="1117"/>
      <c r="Z32" s="1117"/>
      <c r="AA32" s="107"/>
      <c r="AB32" s="107"/>
      <c r="AC32" s="107"/>
      <c r="AD32" s="107"/>
      <c r="AE32" s="107"/>
      <c r="AF32" s="107"/>
      <c r="AG32" s="107"/>
      <c r="AH32" s="107"/>
      <c r="AI32" s="107"/>
      <c r="AJ32" s="107"/>
      <c r="AK32" s="217"/>
    </row>
    <row r="33" spans="2:37" x14ac:dyDescent="0.25">
      <c r="B33" s="1098"/>
      <c r="C33" s="1098"/>
      <c r="D33" s="1098"/>
      <c r="E33" s="1098"/>
      <c r="F33" s="1098"/>
      <c r="G33" s="1098"/>
      <c r="H33" s="1098"/>
      <c r="I33" s="1098"/>
      <c r="J33" s="1098"/>
      <c r="K33" s="1098"/>
      <c r="L33" s="1098"/>
      <c r="M33" s="1098"/>
      <c r="N33" s="1098"/>
      <c r="O33" s="1098"/>
      <c r="P33" s="1098"/>
      <c r="Q33" s="1098"/>
      <c r="R33" s="1098"/>
      <c r="S33" s="1098"/>
      <c r="T33" s="1098"/>
      <c r="U33" s="1098"/>
      <c r="V33" s="1098"/>
      <c r="W33" s="1098"/>
      <c r="X33" s="1098"/>
      <c r="Y33" s="1098"/>
      <c r="Z33" s="1098"/>
      <c r="AA33" s="1098"/>
      <c r="AB33" s="1098"/>
      <c r="AC33" s="1098"/>
      <c r="AD33" s="1098"/>
      <c r="AE33" s="1098"/>
      <c r="AF33" s="1098"/>
      <c r="AG33" s="1098"/>
      <c r="AH33" s="1098"/>
      <c r="AI33" s="1098"/>
      <c r="AJ33" s="1098"/>
      <c r="AK33" s="217"/>
    </row>
    <row r="34" spans="2:37" x14ac:dyDescent="0.25">
      <c r="B34" s="1098"/>
      <c r="C34" s="1098"/>
      <c r="D34" s="1098"/>
      <c r="E34" s="1098"/>
      <c r="F34" s="1098"/>
      <c r="G34" s="1098"/>
      <c r="H34" s="1098"/>
      <c r="I34" s="1098"/>
      <c r="J34" s="1098"/>
      <c r="K34" s="1098"/>
      <c r="L34" s="1098"/>
      <c r="M34" s="1098"/>
      <c r="N34" s="1098"/>
      <c r="O34" s="1098"/>
      <c r="P34" s="1098"/>
      <c r="Q34" s="1098"/>
      <c r="R34" s="1098"/>
      <c r="S34" s="1098"/>
      <c r="T34" s="1098"/>
      <c r="U34" s="1098"/>
      <c r="V34" s="1098"/>
      <c r="W34" s="1098"/>
      <c r="X34" s="1098"/>
      <c r="Y34" s="1098"/>
      <c r="Z34" s="1098"/>
      <c r="AA34" s="1098"/>
      <c r="AB34" s="1098"/>
      <c r="AC34" s="1098"/>
      <c r="AD34" s="1098"/>
      <c r="AE34" s="1098"/>
      <c r="AF34" s="1098"/>
      <c r="AG34" s="1098"/>
      <c r="AH34" s="1098"/>
      <c r="AI34" s="1098"/>
      <c r="AJ34" s="1098"/>
      <c r="AK34" s="217"/>
    </row>
    <row r="35" spans="2:37" ht="24" customHeight="1" x14ac:dyDescent="0.25">
      <c r="B35" s="1098"/>
      <c r="C35" s="1098"/>
      <c r="D35" s="1098"/>
      <c r="E35" s="1098"/>
      <c r="F35" s="1098"/>
      <c r="G35" s="1098"/>
      <c r="H35" s="1098"/>
      <c r="I35" s="1098"/>
      <c r="J35" s="1098"/>
      <c r="K35" s="1098"/>
      <c r="L35" s="1098"/>
      <c r="M35" s="1098"/>
      <c r="N35" s="1098"/>
      <c r="O35" s="1098"/>
      <c r="P35" s="1098"/>
      <c r="Q35" s="1098"/>
      <c r="R35" s="1098"/>
      <c r="S35" s="1098"/>
      <c r="T35" s="1098"/>
      <c r="U35" s="1098"/>
      <c r="V35" s="1098"/>
      <c r="W35" s="1098"/>
      <c r="X35" s="1098"/>
      <c r="Y35" s="1098"/>
      <c r="Z35" s="1098"/>
      <c r="AA35" s="1098"/>
      <c r="AB35" s="1098"/>
      <c r="AC35" s="1098"/>
      <c r="AD35" s="1098"/>
      <c r="AE35" s="1098"/>
      <c r="AF35" s="1098"/>
      <c r="AG35" s="1098"/>
      <c r="AH35" s="1098"/>
      <c r="AI35" s="1098"/>
      <c r="AJ35" s="1098"/>
      <c r="AK35" s="217"/>
    </row>
    <row r="36" spans="2:37" x14ac:dyDescent="0.25">
      <c r="B36" s="1098"/>
      <c r="C36" s="1098"/>
      <c r="D36" s="1098"/>
      <c r="E36" s="1098"/>
      <c r="F36" s="1098"/>
      <c r="G36" s="1098"/>
      <c r="H36" s="1098"/>
      <c r="I36" s="1098"/>
      <c r="J36" s="1098"/>
      <c r="K36" s="1098"/>
      <c r="L36" s="1098"/>
      <c r="M36" s="1098"/>
      <c r="N36" s="1098"/>
      <c r="O36" s="1098"/>
      <c r="P36" s="1098"/>
      <c r="Q36" s="1098"/>
      <c r="R36" s="1098"/>
      <c r="S36" s="1098"/>
      <c r="T36" s="1098"/>
      <c r="U36" s="1098"/>
      <c r="V36" s="1098"/>
      <c r="W36" s="1098"/>
      <c r="X36" s="1098"/>
      <c r="Y36" s="1098"/>
      <c r="Z36" s="1098"/>
      <c r="AA36" s="1098"/>
      <c r="AB36" s="1098"/>
      <c r="AC36" s="1098"/>
      <c r="AD36" s="1098"/>
      <c r="AE36" s="1098"/>
      <c r="AF36" s="1098"/>
      <c r="AG36" s="1098"/>
      <c r="AH36" s="1098"/>
      <c r="AI36" s="1098"/>
      <c r="AJ36" s="1098"/>
      <c r="AK36" s="217"/>
    </row>
    <row r="37" spans="2:37" x14ac:dyDescent="0.25">
      <c r="B37" s="1098"/>
      <c r="C37" s="1098"/>
      <c r="D37" s="1098"/>
      <c r="E37" s="1098"/>
      <c r="F37" s="1098"/>
      <c r="G37" s="1098"/>
      <c r="H37" s="1098"/>
      <c r="I37" s="1098"/>
      <c r="J37" s="1098"/>
      <c r="K37" s="1098"/>
      <c r="L37" s="1098"/>
      <c r="M37" s="1098"/>
      <c r="N37" s="1098"/>
      <c r="O37" s="1098"/>
      <c r="P37" s="1098"/>
      <c r="Q37" s="1098"/>
      <c r="R37" s="1098"/>
      <c r="S37" s="1098"/>
      <c r="T37" s="1098"/>
      <c r="U37" s="1098"/>
      <c r="V37" s="1098"/>
      <c r="W37" s="1098"/>
      <c r="X37" s="1098"/>
      <c r="Y37" s="1098"/>
      <c r="Z37" s="1098"/>
      <c r="AA37" s="1098"/>
      <c r="AB37" s="1098"/>
      <c r="AC37" s="1098"/>
      <c r="AD37" s="1098"/>
      <c r="AE37" s="1098"/>
      <c r="AF37" s="1098"/>
      <c r="AG37" s="1098"/>
      <c r="AH37" s="1098"/>
      <c r="AI37" s="1098"/>
      <c r="AJ37" s="1098"/>
      <c r="AK37" s="217"/>
    </row>
    <row r="38" spans="2:37" x14ac:dyDescent="0.25">
      <c r="B38" s="1098"/>
      <c r="C38" s="1098"/>
      <c r="D38" s="1098"/>
      <c r="E38" s="1098"/>
      <c r="F38" s="1098"/>
      <c r="G38" s="1098"/>
      <c r="H38" s="1098"/>
      <c r="I38" s="1098"/>
      <c r="J38" s="1098"/>
      <c r="K38" s="1098"/>
      <c r="L38" s="1098"/>
      <c r="M38" s="1098"/>
      <c r="N38" s="1098"/>
      <c r="O38" s="1098"/>
      <c r="P38" s="1098"/>
      <c r="Q38" s="1098"/>
      <c r="R38" s="1098"/>
      <c r="S38" s="1098"/>
      <c r="T38" s="1098"/>
      <c r="U38" s="1098"/>
      <c r="V38" s="1098"/>
      <c r="W38" s="1098"/>
      <c r="X38" s="1098"/>
      <c r="Y38" s="1098"/>
      <c r="Z38" s="1098"/>
      <c r="AA38" s="1098"/>
      <c r="AB38" s="1098"/>
      <c r="AC38" s="1098"/>
      <c r="AD38" s="1098"/>
      <c r="AE38" s="1098"/>
      <c r="AF38" s="1098"/>
      <c r="AG38" s="1098"/>
      <c r="AH38" s="1098"/>
      <c r="AI38" s="1098"/>
      <c r="AJ38" s="1098"/>
      <c r="AK38" s="217"/>
    </row>
    <row r="39" spans="2:37" x14ac:dyDescent="0.25">
      <c r="B39" s="1098"/>
      <c r="C39" s="1098"/>
      <c r="D39" s="1098"/>
      <c r="E39" s="1098"/>
      <c r="F39" s="1098"/>
      <c r="G39" s="1098"/>
      <c r="H39" s="1098"/>
      <c r="I39" s="1098"/>
      <c r="J39" s="1098"/>
      <c r="K39" s="1098"/>
      <c r="L39" s="1098"/>
      <c r="M39" s="1098"/>
      <c r="N39" s="1098"/>
      <c r="O39" s="1098"/>
      <c r="P39" s="1098"/>
      <c r="Q39" s="1098"/>
      <c r="R39" s="1098"/>
      <c r="S39" s="1098"/>
      <c r="T39" s="1098"/>
      <c r="U39" s="1098"/>
      <c r="V39" s="1098"/>
      <c r="W39" s="1098"/>
      <c r="X39" s="1098"/>
      <c r="Y39" s="1098"/>
      <c r="Z39" s="1098"/>
      <c r="AA39" s="1098"/>
      <c r="AB39" s="1098"/>
      <c r="AC39" s="1098"/>
      <c r="AD39" s="1098"/>
      <c r="AE39" s="1098"/>
      <c r="AF39" s="1098"/>
      <c r="AG39" s="1098"/>
      <c r="AH39" s="1098"/>
      <c r="AI39" s="1098"/>
      <c r="AJ39" s="1098"/>
      <c r="AK39" s="217"/>
    </row>
    <row r="40" spans="2:37" x14ac:dyDescent="0.25">
      <c r="B40" s="1098"/>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098"/>
      <c r="Y40" s="1098"/>
      <c r="Z40" s="1098"/>
      <c r="AA40" s="1098"/>
      <c r="AB40" s="1098"/>
      <c r="AC40" s="1098"/>
      <c r="AD40" s="1098"/>
      <c r="AE40" s="1098"/>
      <c r="AF40" s="1098"/>
      <c r="AG40" s="1098"/>
      <c r="AH40" s="1098"/>
      <c r="AI40" s="1098"/>
      <c r="AJ40" s="1098"/>
      <c r="AK40" s="217"/>
    </row>
    <row r="41" spans="2:37" x14ac:dyDescent="0.25">
      <c r="B41" s="1098"/>
      <c r="C41" s="1098"/>
      <c r="D41" s="1098"/>
      <c r="E41" s="1098"/>
      <c r="F41" s="1098"/>
      <c r="G41" s="1098"/>
      <c r="H41" s="1098"/>
      <c r="I41" s="1098"/>
      <c r="J41" s="1098"/>
      <c r="K41" s="1098"/>
      <c r="L41" s="1098"/>
      <c r="M41" s="1098"/>
      <c r="N41" s="1098"/>
      <c r="O41" s="1098"/>
      <c r="P41" s="1098"/>
      <c r="Q41" s="1098"/>
      <c r="R41" s="1098"/>
      <c r="S41" s="1098"/>
      <c r="T41" s="1098"/>
      <c r="U41" s="1098"/>
      <c r="V41" s="1098"/>
      <c r="W41" s="1098"/>
      <c r="X41" s="1098"/>
      <c r="Y41" s="1098"/>
      <c r="Z41" s="1098"/>
      <c r="AA41" s="1098"/>
      <c r="AB41" s="1098"/>
      <c r="AC41" s="1098"/>
      <c r="AD41" s="1098"/>
      <c r="AE41" s="1098"/>
      <c r="AF41" s="1098"/>
      <c r="AG41" s="1098"/>
      <c r="AH41" s="1098"/>
      <c r="AI41" s="1098"/>
      <c r="AJ41" s="1098"/>
      <c r="AK41" s="217"/>
    </row>
    <row r="42" spans="2:37" ht="15.75" x14ac:dyDescent="0.25">
      <c r="B42" s="1117"/>
      <c r="C42" s="1117"/>
      <c r="D42" s="1117"/>
      <c r="E42" s="1117"/>
      <c r="F42" s="1117"/>
      <c r="G42" s="1117"/>
      <c r="H42" s="1117"/>
      <c r="I42" s="1117"/>
      <c r="J42" s="1117"/>
      <c r="K42" s="1117"/>
      <c r="L42" s="1117"/>
      <c r="M42" s="1117"/>
      <c r="N42" s="1117"/>
      <c r="O42" s="1117"/>
      <c r="P42" s="1117"/>
      <c r="Q42" s="1117"/>
      <c r="R42" s="1117"/>
      <c r="S42" s="1117"/>
      <c r="T42" s="1117"/>
      <c r="U42" s="1117"/>
      <c r="V42" s="1117"/>
      <c r="W42" s="1117"/>
      <c r="X42" s="1117"/>
      <c r="Y42" s="1117"/>
      <c r="Z42" s="1117"/>
      <c r="AA42" s="1117"/>
      <c r="AB42" s="1117"/>
      <c r="AC42" s="1117"/>
      <c r="AD42" s="1117"/>
      <c r="AE42" s="1117"/>
      <c r="AF42" s="1117"/>
      <c r="AG42" s="1117"/>
      <c r="AH42" s="1117"/>
      <c r="AI42" s="1117"/>
      <c r="AJ42" s="1117"/>
      <c r="AK42" s="217"/>
    </row>
    <row r="43" spans="2:37" x14ac:dyDescent="0.25">
      <c r="B43" s="1116"/>
      <c r="C43" s="1116"/>
      <c r="D43" s="1116"/>
      <c r="E43" s="1116"/>
      <c r="F43" s="1116"/>
      <c r="G43" s="1116"/>
      <c r="H43" s="1116"/>
      <c r="I43" s="1116"/>
      <c r="J43" s="1116"/>
      <c r="K43" s="1116"/>
      <c r="L43" s="1116"/>
      <c r="M43" s="1116"/>
      <c r="N43" s="1116"/>
      <c r="O43" s="1116"/>
      <c r="P43" s="1116"/>
      <c r="Q43" s="1116"/>
      <c r="R43" s="1116"/>
      <c r="S43" s="1116"/>
      <c r="T43" s="1116"/>
      <c r="U43" s="1116"/>
      <c r="V43" s="1116"/>
      <c r="W43" s="1116"/>
      <c r="X43" s="1116"/>
      <c r="Y43" s="1116"/>
      <c r="Z43" s="1116"/>
      <c r="AA43" s="1116"/>
      <c r="AB43" s="1116"/>
      <c r="AC43" s="1116"/>
      <c r="AD43" s="1116"/>
      <c r="AE43" s="1116"/>
      <c r="AF43" s="1116"/>
      <c r="AG43" s="1116"/>
      <c r="AH43" s="1116"/>
      <c r="AI43" s="1116"/>
      <c r="AJ43" s="1116"/>
      <c r="AK43" s="217"/>
    </row>
    <row r="44" spans="2:37" x14ac:dyDescent="0.25">
      <c r="B44" s="1098"/>
      <c r="C44" s="1098"/>
      <c r="D44" s="1098"/>
      <c r="E44" s="1098"/>
      <c r="F44" s="1098"/>
      <c r="G44" s="1098"/>
      <c r="H44" s="1098"/>
      <c r="I44" s="1098"/>
      <c r="J44" s="1098"/>
      <c r="K44" s="1098"/>
      <c r="L44" s="1098"/>
      <c r="M44" s="1098"/>
      <c r="N44" s="1098"/>
      <c r="O44" s="1098"/>
      <c r="P44" s="1098"/>
      <c r="Q44" s="1098"/>
      <c r="R44" s="1098"/>
      <c r="S44" s="1098"/>
      <c r="T44" s="1098"/>
      <c r="U44" s="1098"/>
      <c r="V44" s="1098"/>
      <c r="W44" s="1098"/>
      <c r="X44" s="1098"/>
      <c r="Y44" s="1098"/>
      <c r="Z44" s="1098"/>
      <c r="AA44" s="1098"/>
      <c r="AB44" s="1098"/>
      <c r="AC44" s="1098"/>
      <c r="AD44" s="1098"/>
      <c r="AE44" s="1098"/>
      <c r="AF44" s="1098"/>
      <c r="AG44" s="1098"/>
      <c r="AH44" s="1098"/>
      <c r="AI44" s="1098"/>
      <c r="AJ44" s="1098"/>
      <c r="AK44" s="1102"/>
    </row>
    <row r="45" spans="2:37" x14ac:dyDescent="0.25">
      <c r="B45" s="1105"/>
      <c r="C45" s="1105"/>
      <c r="D45" s="1105"/>
      <c r="E45" s="1105"/>
      <c r="F45" s="1105"/>
      <c r="G45" s="1105"/>
      <c r="H45" s="1105"/>
      <c r="I45" s="1105"/>
      <c r="J45" s="1105"/>
      <c r="K45" s="1105"/>
      <c r="L45" s="1105"/>
      <c r="M45" s="1105"/>
      <c r="N45" s="1105"/>
      <c r="O45" s="1105"/>
      <c r="P45" s="1105"/>
      <c r="Q45" s="1105"/>
      <c r="R45" s="1105"/>
      <c r="S45" s="1105"/>
      <c r="T45" s="1105"/>
      <c r="U45" s="1105"/>
      <c r="V45" s="1105"/>
      <c r="W45" s="1105"/>
      <c r="X45" s="1105"/>
      <c r="Y45" s="1105"/>
      <c r="Z45" s="1105"/>
      <c r="AA45" s="1105"/>
      <c r="AB45" s="1105"/>
      <c r="AC45" s="1105"/>
      <c r="AD45" s="1105"/>
      <c r="AE45" s="1105"/>
      <c r="AF45" s="1105"/>
      <c r="AG45" s="1105"/>
      <c r="AH45" s="1105"/>
      <c r="AI45" s="1105"/>
      <c r="AJ45" s="1105"/>
      <c r="AK45" s="1102"/>
    </row>
    <row r="46" spans="2:37" x14ac:dyDescent="0.25">
      <c r="B46" s="1175"/>
      <c r="C46" s="1175"/>
      <c r="D46" s="1175"/>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5"/>
      <c r="AB46" s="1175"/>
      <c r="AC46" s="1175"/>
      <c r="AD46" s="1175"/>
      <c r="AE46" s="1175"/>
      <c r="AF46" s="1175"/>
      <c r="AG46" s="1175"/>
      <c r="AH46" s="1175"/>
      <c r="AI46" s="1175"/>
      <c r="AJ46" s="1175"/>
      <c r="AK46" s="1102"/>
    </row>
    <row r="47" spans="2:37" x14ac:dyDescent="0.25">
      <c r="B47" s="1175"/>
      <c r="C47" s="1175"/>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5"/>
      <c r="AB47" s="1175"/>
      <c r="AC47" s="1175"/>
      <c r="AD47" s="1175"/>
      <c r="AE47" s="1175"/>
      <c r="AF47" s="1175"/>
      <c r="AG47" s="1175"/>
      <c r="AH47" s="1175"/>
      <c r="AI47" s="1175"/>
      <c r="AJ47" s="1175"/>
      <c r="AK47" s="1102"/>
    </row>
    <row r="48" spans="2:37" ht="44.25" customHeight="1" x14ac:dyDescent="0.25">
      <c r="B48" s="1176"/>
      <c r="C48" s="1176"/>
      <c r="D48" s="1176"/>
      <c r="E48" s="1176"/>
      <c r="F48" s="1176"/>
      <c r="G48" s="1176"/>
      <c r="H48" s="1176"/>
      <c r="I48" s="1176"/>
      <c r="J48" s="1176"/>
      <c r="K48" s="1176"/>
      <c r="L48" s="1176"/>
      <c r="M48" s="1176"/>
      <c r="N48" s="1176"/>
      <c r="O48" s="1176"/>
      <c r="P48" s="1176"/>
      <c r="Q48" s="1176"/>
      <c r="R48" s="1176"/>
      <c r="S48" s="235"/>
      <c r="T48" s="235"/>
      <c r="U48" s="235"/>
      <c r="V48" s="235"/>
      <c r="W48" s="235"/>
      <c r="X48" s="235"/>
      <c r="Y48" s="235"/>
      <c r="Z48" s="235"/>
      <c r="AA48" s="235"/>
      <c r="AB48" s="235"/>
      <c r="AC48" s="235"/>
      <c r="AD48" s="235"/>
      <c r="AE48" s="235"/>
      <c r="AF48" s="235"/>
      <c r="AG48" s="235"/>
      <c r="AH48" s="235"/>
      <c r="AI48" s="235"/>
      <c r="AJ48" s="235"/>
      <c r="AK48" s="1102"/>
    </row>
    <row r="49" spans="2:37" x14ac:dyDescent="0.25">
      <c r="B49" s="1118"/>
      <c r="C49" s="1118"/>
      <c r="D49" s="1118"/>
      <c r="E49" s="1118"/>
      <c r="F49" s="1118"/>
      <c r="G49" s="1118"/>
      <c r="H49" s="1118"/>
      <c r="I49" s="1118"/>
      <c r="J49" s="1118"/>
      <c r="K49" s="1118"/>
      <c r="L49" s="1118"/>
      <c r="M49" s="1118"/>
      <c r="N49" s="1118"/>
      <c r="O49" s="1118"/>
      <c r="P49" s="1118"/>
      <c r="Q49" s="1118"/>
      <c r="R49" s="1118"/>
      <c r="S49" s="1118"/>
      <c r="T49" s="1118"/>
      <c r="U49" s="1118"/>
      <c r="V49" s="1118"/>
      <c r="W49" s="1118"/>
      <c r="X49" s="1118"/>
      <c r="Y49" s="1118"/>
      <c r="Z49" s="1118"/>
      <c r="AA49" s="1118"/>
      <c r="AB49" s="1118"/>
      <c r="AC49" s="1118"/>
      <c r="AD49" s="1118"/>
      <c r="AE49" s="1118"/>
      <c r="AF49" s="1118"/>
      <c r="AG49" s="1118"/>
      <c r="AH49" s="1118"/>
      <c r="AI49" s="1118"/>
      <c r="AJ49" s="1118"/>
      <c r="AK49" s="1102"/>
    </row>
    <row r="50" spans="2:37" ht="40.5" customHeight="1" x14ac:dyDescent="0.25">
      <c r="B50" s="1172"/>
      <c r="C50" s="1172"/>
      <c r="D50" s="1172"/>
      <c r="E50" s="1172"/>
      <c r="F50" s="1172"/>
      <c r="G50" s="1172"/>
      <c r="H50" s="1172"/>
      <c r="I50" s="1172"/>
      <c r="J50" s="1172"/>
      <c r="K50" s="1172"/>
      <c r="L50" s="1172"/>
      <c r="M50" s="1172"/>
      <c r="N50" s="1172"/>
      <c r="O50" s="1172"/>
      <c r="P50" s="1172"/>
      <c r="Q50" s="1172"/>
      <c r="R50" s="1172"/>
      <c r="S50" s="114"/>
      <c r="T50" s="114"/>
      <c r="U50" s="114"/>
      <c r="V50" s="114"/>
      <c r="W50" s="114"/>
      <c r="X50" s="114"/>
      <c r="Y50" s="114"/>
      <c r="Z50" s="114"/>
      <c r="AA50" s="114"/>
      <c r="AB50" s="114"/>
      <c r="AC50" s="114"/>
      <c r="AD50" s="114"/>
      <c r="AE50" s="114"/>
      <c r="AF50" s="114"/>
      <c r="AG50" s="114"/>
      <c r="AH50" s="114"/>
      <c r="AI50" s="114"/>
      <c r="AJ50" s="114"/>
      <c r="AK50" s="217"/>
    </row>
    <row r="51" spans="2:37" ht="34.5" customHeight="1" x14ac:dyDescent="0.25">
      <c r="B51" s="1172"/>
      <c r="C51" s="1172"/>
      <c r="D51" s="1172"/>
      <c r="E51" s="1172"/>
      <c r="F51" s="1172"/>
      <c r="G51" s="1172"/>
      <c r="H51" s="1172"/>
      <c r="I51" s="1172"/>
      <c r="J51" s="1172"/>
      <c r="K51" s="1172"/>
      <c r="L51" s="1172"/>
      <c r="M51" s="1172"/>
      <c r="N51" s="1172"/>
      <c r="O51" s="1172"/>
      <c r="P51" s="1172"/>
      <c r="Q51" s="1172"/>
      <c r="R51" s="1172"/>
      <c r="S51" s="114"/>
      <c r="T51" s="114"/>
      <c r="U51" s="114"/>
      <c r="V51" s="114"/>
      <c r="W51" s="114"/>
      <c r="X51" s="114"/>
      <c r="Y51" s="114"/>
      <c r="Z51" s="114"/>
      <c r="AA51" s="114"/>
      <c r="AB51" s="114"/>
      <c r="AC51" s="114"/>
      <c r="AD51" s="114"/>
      <c r="AE51" s="114"/>
      <c r="AF51" s="114"/>
      <c r="AG51" s="114"/>
      <c r="AH51" s="114"/>
      <c r="AI51" s="114"/>
      <c r="AJ51" s="114"/>
      <c r="AK51" s="234"/>
    </row>
    <row r="52" spans="2:37" ht="25.5" customHeight="1" x14ac:dyDescent="0.25">
      <c r="B52" s="1172"/>
      <c r="C52" s="1172"/>
      <c r="D52" s="1172"/>
      <c r="E52" s="1172"/>
      <c r="F52" s="1172"/>
      <c r="G52" s="1172"/>
      <c r="H52" s="1172"/>
      <c r="I52" s="1172"/>
      <c r="J52" s="1172"/>
      <c r="K52" s="1172"/>
      <c r="L52" s="1172"/>
      <c r="M52" s="1172"/>
      <c r="N52" s="1172"/>
      <c r="O52" s="1172"/>
      <c r="P52" s="1172"/>
      <c r="Q52" s="1172"/>
      <c r="R52" s="1172"/>
      <c r="S52" s="114"/>
      <c r="T52" s="114"/>
      <c r="U52" s="114"/>
      <c r="V52" s="114"/>
      <c r="W52" s="114"/>
      <c r="X52" s="114"/>
      <c r="Y52" s="114"/>
      <c r="Z52" s="114"/>
      <c r="AA52" s="114"/>
      <c r="AB52" s="114"/>
      <c r="AC52" s="114"/>
      <c r="AD52" s="114"/>
      <c r="AE52" s="114"/>
      <c r="AF52" s="114"/>
      <c r="AG52" s="114"/>
      <c r="AH52" s="114"/>
      <c r="AI52" s="114"/>
      <c r="AJ52" s="114"/>
      <c r="AK52" s="234"/>
    </row>
    <row r="53" spans="2:37" ht="55.5" customHeight="1" x14ac:dyDescent="0.25">
      <c r="B53" s="1172"/>
      <c r="C53" s="1172"/>
      <c r="D53" s="1172"/>
      <c r="E53" s="1172"/>
      <c r="F53" s="1172"/>
      <c r="G53" s="1172"/>
      <c r="H53" s="1172"/>
      <c r="I53" s="1172"/>
      <c r="J53" s="1172"/>
      <c r="K53" s="1172"/>
      <c r="L53" s="1172"/>
      <c r="M53" s="1172"/>
      <c r="N53" s="1172"/>
      <c r="O53" s="1172"/>
      <c r="P53" s="1172"/>
      <c r="Q53" s="1172"/>
      <c r="R53" s="1172"/>
      <c r="S53" s="114"/>
      <c r="T53" s="114"/>
      <c r="U53" s="114"/>
      <c r="V53" s="114"/>
      <c r="W53" s="114"/>
      <c r="X53" s="114"/>
      <c r="Y53" s="114"/>
      <c r="Z53" s="114"/>
      <c r="AA53" s="114"/>
      <c r="AB53" s="114"/>
      <c r="AC53" s="114"/>
      <c r="AD53" s="114"/>
      <c r="AE53" s="114"/>
      <c r="AF53" s="114"/>
      <c r="AG53" s="114"/>
      <c r="AH53" s="114"/>
      <c r="AI53" s="114"/>
      <c r="AJ53" s="114"/>
      <c r="AK53" s="234"/>
    </row>
    <row r="54" spans="2:37" ht="51.75" customHeight="1" x14ac:dyDescent="0.25">
      <c r="B54" s="1172"/>
      <c r="C54" s="1172"/>
      <c r="D54" s="1172"/>
      <c r="E54" s="1172"/>
      <c r="F54" s="1172"/>
      <c r="G54" s="1172"/>
      <c r="H54" s="1172"/>
      <c r="I54" s="1172"/>
      <c r="J54" s="1172"/>
      <c r="K54" s="1172"/>
      <c r="L54" s="1172"/>
      <c r="M54" s="1172"/>
      <c r="N54" s="1172"/>
      <c r="O54" s="1172"/>
      <c r="P54" s="1172"/>
      <c r="Q54" s="1172"/>
      <c r="R54" s="1172"/>
      <c r="S54" s="114"/>
      <c r="T54" s="114"/>
      <c r="U54" s="114"/>
      <c r="V54" s="114"/>
      <c r="W54" s="114"/>
      <c r="X54" s="114"/>
      <c r="Y54" s="114"/>
      <c r="Z54" s="114"/>
      <c r="AA54" s="114"/>
      <c r="AB54" s="114"/>
      <c r="AC54" s="114"/>
      <c r="AD54" s="114"/>
      <c r="AE54" s="114"/>
      <c r="AF54" s="114"/>
      <c r="AG54" s="114"/>
      <c r="AH54" s="114"/>
      <c r="AI54" s="114"/>
      <c r="AJ54" s="114"/>
      <c r="AK54" s="1171"/>
    </row>
    <row r="55" spans="2:37" ht="32.25" customHeight="1" x14ac:dyDescent="0.25">
      <c r="B55" s="1174"/>
      <c r="C55" s="1174"/>
      <c r="D55" s="1174"/>
      <c r="E55" s="1174"/>
      <c r="F55" s="1174"/>
      <c r="G55" s="1174"/>
      <c r="H55" s="1174"/>
      <c r="I55" s="1174"/>
      <c r="J55" s="1174"/>
      <c r="K55" s="1174"/>
      <c r="L55" s="1174"/>
      <c r="M55" s="1174"/>
      <c r="N55" s="1174"/>
      <c r="O55" s="1174"/>
      <c r="P55" s="1174"/>
      <c r="Q55" s="1174"/>
      <c r="R55" s="1174"/>
      <c r="S55" s="114"/>
      <c r="T55" s="114"/>
      <c r="U55" s="114"/>
      <c r="V55" s="114"/>
      <c r="W55" s="114"/>
      <c r="X55" s="114"/>
      <c r="Y55" s="114"/>
      <c r="Z55" s="114"/>
      <c r="AA55" s="114"/>
      <c r="AB55" s="114"/>
      <c r="AC55" s="114"/>
      <c r="AD55" s="114"/>
      <c r="AE55" s="114"/>
      <c r="AF55" s="114"/>
      <c r="AG55" s="114"/>
      <c r="AH55" s="114"/>
      <c r="AI55" s="114"/>
      <c r="AJ55" s="114"/>
      <c r="AK55" s="1171"/>
    </row>
    <row r="56" spans="2:37" x14ac:dyDescent="0.25">
      <c r="B56" s="1172"/>
      <c r="C56" s="1172"/>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2"/>
      <c r="AB56" s="1172"/>
      <c r="AC56" s="1172"/>
      <c r="AD56" s="1172"/>
      <c r="AE56" s="1172"/>
      <c r="AF56" s="1172"/>
      <c r="AG56" s="1172"/>
      <c r="AH56" s="1172"/>
      <c r="AI56" s="1172"/>
      <c r="AJ56" s="1172"/>
      <c r="AK56" s="1171"/>
    </row>
    <row r="57" spans="2:37" ht="36.75" customHeight="1" x14ac:dyDescent="0.25">
      <c r="B57" s="1172"/>
      <c r="C57" s="1172"/>
      <c r="D57" s="1172"/>
      <c r="E57" s="1172"/>
      <c r="F57" s="1172"/>
      <c r="G57" s="1172"/>
      <c r="H57" s="1172"/>
      <c r="I57" s="1172"/>
      <c r="J57" s="1172"/>
      <c r="K57" s="1172"/>
      <c r="L57" s="1172"/>
      <c r="M57" s="1172"/>
      <c r="N57" s="1172"/>
      <c r="O57" s="1172"/>
      <c r="P57" s="1172"/>
      <c r="Q57" s="1172"/>
      <c r="R57" s="1172"/>
      <c r="S57" s="114"/>
      <c r="T57" s="114"/>
      <c r="U57" s="114"/>
      <c r="V57" s="114"/>
      <c r="W57" s="114"/>
      <c r="X57" s="114"/>
      <c r="Y57" s="114"/>
      <c r="Z57" s="114"/>
      <c r="AA57" s="114"/>
      <c r="AB57" s="114"/>
      <c r="AC57" s="114"/>
      <c r="AD57" s="114"/>
      <c r="AE57" s="114"/>
      <c r="AF57" s="114"/>
      <c r="AG57" s="114"/>
      <c r="AH57" s="114"/>
      <c r="AI57" s="114"/>
      <c r="AJ57" s="114"/>
      <c r="AK57" s="1171"/>
    </row>
    <row r="58" spans="2:37" ht="24" customHeight="1" x14ac:dyDescent="0.25">
      <c r="B58" s="1171"/>
      <c r="C58" s="1171"/>
      <c r="D58" s="1172"/>
      <c r="E58" s="1172"/>
      <c r="F58" s="1172"/>
      <c r="G58" s="1172"/>
      <c r="H58" s="1172"/>
      <c r="I58" s="1172"/>
      <c r="J58" s="1172"/>
      <c r="K58" s="1172"/>
      <c r="L58" s="1172"/>
      <c r="M58" s="1172"/>
      <c r="N58" s="1172"/>
      <c r="O58" s="1172"/>
      <c r="P58" s="1172"/>
      <c r="Q58" s="1172"/>
      <c r="R58" s="1172"/>
      <c r="S58" s="114"/>
      <c r="T58" s="114"/>
      <c r="U58" s="114"/>
      <c r="V58" s="114"/>
      <c r="W58" s="114"/>
      <c r="X58" s="114"/>
      <c r="Y58" s="114"/>
      <c r="Z58" s="114"/>
      <c r="AA58" s="114"/>
      <c r="AB58" s="114"/>
      <c r="AC58" s="114"/>
      <c r="AD58" s="114"/>
      <c r="AE58" s="114"/>
      <c r="AF58" s="114"/>
      <c r="AG58" s="114"/>
      <c r="AH58" s="114"/>
      <c r="AI58" s="114"/>
      <c r="AJ58" s="114"/>
      <c r="AK58" s="114"/>
    </row>
    <row r="59" spans="2:37" x14ac:dyDescent="0.25">
      <c r="B59" s="1171"/>
      <c r="C59" s="1171"/>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row>
    <row r="60" spans="2:37" x14ac:dyDescent="0.25">
      <c r="B60" s="1098"/>
      <c r="C60" s="1098"/>
      <c r="D60" s="1098"/>
      <c r="E60" s="1098"/>
      <c r="F60" s="1098"/>
      <c r="G60" s="1098"/>
      <c r="H60" s="1098"/>
      <c r="I60" s="1098"/>
      <c r="J60" s="1098"/>
      <c r="K60" s="1098"/>
      <c r="L60" s="1098"/>
      <c r="M60" s="1098"/>
      <c r="N60" s="1098"/>
      <c r="O60" s="1098"/>
      <c r="P60" s="1098"/>
      <c r="Q60" s="1098"/>
      <c r="R60" s="1098"/>
      <c r="S60" s="1098"/>
      <c r="T60" s="1098"/>
      <c r="U60" s="1098"/>
      <c r="V60" s="1098"/>
      <c r="W60" s="1098"/>
      <c r="X60" s="1098"/>
      <c r="Y60" s="1098"/>
      <c r="Z60" s="1098"/>
      <c r="AA60" s="1098"/>
      <c r="AB60" s="1098"/>
      <c r="AC60" s="1098"/>
      <c r="AD60" s="1098"/>
      <c r="AE60" s="1098"/>
      <c r="AF60" s="1098"/>
      <c r="AG60" s="1098"/>
      <c r="AH60" s="1098"/>
      <c r="AI60" s="1098"/>
      <c r="AJ60" s="1098"/>
      <c r="AK60" s="217"/>
    </row>
    <row r="61" spans="2:37" ht="90" customHeight="1" x14ac:dyDescent="0.25">
      <c r="B61" s="1173"/>
      <c r="C61" s="1173"/>
      <c r="D61" s="1173"/>
      <c r="E61" s="1173"/>
      <c r="F61" s="1173"/>
      <c r="G61" s="1173"/>
      <c r="H61" s="1173"/>
      <c r="I61" s="1173"/>
      <c r="J61" s="1173"/>
      <c r="K61" s="1173"/>
      <c r="L61" s="1173"/>
      <c r="M61" s="1173"/>
      <c r="N61" s="1173"/>
      <c r="O61" s="1173"/>
      <c r="P61" s="1173"/>
      <c r="Q61" s="1173"/>
      <c r="R61" s="1173"/>
      <c r="S61" s="1173"/>
      <c r="T61" s="114"/>
      <c r="U61" s="114"/>
      <c r="V61" s="114"/>
      <c r="W61" s="114"/>
      <c r="X61" s="114"/>
      <c r="Y61" s="114"/>
      <c r="Z61" s="114"/>
      <c r="AA61" s="114"/>
      <c r="AB61" s="114"/>
      <c r="AC61" s="114"/>
      <c r="AD61" s="114"/>
      <c r="AE61" s="114"/>
      <c r="AF61" s="114"/>
      <c r="AG61" s="114"/>
      <c r="AH61" s="114"/>
      <c r="AI61" s="114"/>
      <c r="AJ61" s="114"/>
      <c r="AK61" s="1102"/>
    </row>
    <row r="62" spans="2:37" x14ac:dyDescent="0.25">
      <c r="B62" s="1105"/>
      <c r="C62" s="1105"/>
      <c r="D62" s="1105"/>
      <c r="E62" s="1105"/>
      <c r="F62" s="1105"/>
      <c r="G62" s="1105"/>
      <c r="H62" s="1105"/>
      <c r="I62" s="1105"/>
      <c r="J62" s="1105"/>
      <c r="K62" s="1105"/>
      <c r="L62" s="1105"/>
      <c r="M62" s="1105"/>
      <c r="N62" s="1105"/>
      <c r="O62" s="1105"/>
      <c r="P62" s="1105"/>
      <c r="Q62" s="1105"/>
      <c r="R62" s="1105"/>
      <c r="S62" s="1105"/>
      <c r="T62" s="1105"/>
      <c r="U62" s="1105"/>
      <c r="V62" s="1105"/>
      <c r="W62" s="1105"/>
      <c r="X62" s="1105"/>
      <c r="Y62" s="1105"/>
      <c r="Z62" s="1105"/>
      <c r="AA62" s="1105"/>
      <c r="AB62" s="1105"/>
      <c r="AC62" s="1105"/>
      <c r="AD62" s="1105"/>
      <c r="AE62" s="1105"/>
      <c r="AF62" s="1105"/>
      <c r="AG62" s="1105"/>
      <c r="AH62" s="1105"/>
      <c r="AI62" s="1105"/>
      <c r="AJ62" s="1105"/>
      <c r="AK62" s="1102"/>
    </row>
    <row r="63" spans="2:37" x14ac:dyDescent="0.25">
      <c r="B63" s="1170"/>
      <c r="C63" s="1170"/>
      <c r="D63" s="1170"/>
      <c r="E63" s="1170"/>
      <c r="F63" s="1170"/>
      <c r="G63" s="1170"/>
      <c r="H63" s="1170"/>
      <c r="I63" s="1170"/>
      <c r="J63" s="1170"/>
      <c r="K63" s="1170"/>
      <c r="L63" s="1170"/>
      <c r="M63" s="1170"/>
      <c r="N63" s="1170"/>
      <c r="O63" s="1170"/>
      <c r="P63" s="1170"/>
      <c r="Q63" s="1170"/>
      <c r="R63" s="1170"/>
      <c r="S63" s="1170"/>
      <c r="T63" s="1170"/>
      <c r="U63" s="1170"/>
      <c r="V63" s="1170"/>
      <c r="W63" s="1170"/>
      <c r="X63" s="1170"/>
      <c r="Y63" s="1170"/>
      <c r="Z63" s="1170"/>
      <c r="AA63" s="1170"/>
      <c r="AB63" s="1170"/>
      <c r="AC63" s="1170"/>
      <c r="AD63" s="1170"/>
      <c r="AE63" s="1170"/>
      <c r="AF63" s="1170"/>
      <c r="AG63" s="1170"/>
      <c r="AH63" s="1170"/>
      <c r="AI63" s="1170"/>
      <c r="AJ63" s="1170"/>
      <c r="AK63" s="217"/>
    </row>
    <row r="64" spans="2:37" ht="15.75" x14ac:dyDescent="0.25">
      <c r="B64" s="210"/>
      <c r="C64" s="210"/>
      <c r="D64" s="210"/>
      <c r="E64" s="210"/>
      <c r="F64" s="210"/>
      <c r="G64" s="210"/>
      <c r="H64" s="210"/>
      <c r="I64" s="210"/>
      <c r="J64" s="210"/>
      <c r="K64" s="210"/>
      <c r="L64" s="210"/>
      <c r="M64" s="210"/>
      <c r="N64" s="210"/>
      <c r="O64" s="210"/>
      <c r="P64" s="210"/>
      <c r="Q64" s="210"/>
      <c r="R64" s="210"/>
      <c r="S64" s="210"/>
      <c r="T64" s="210"/>
      <c r="U64" s="210"/>
      <c r="V64" s="210"/>
      <c r="W64" s="210"/>
      <c r="X64" s="210"/>
      <c r="Y64" s="210"/>
      <c r="Z64" s="210"/>
      <c r="AA64" s="210"/>
      <c r="AB64" s="210"/>
      <c r="AC64" s="210"/>
      <c r="AD64" s="210"/>
      <c r="AE64" s="210"/>
      <c r="AF64" s="210"/>
      <c r="AG64" s="210"/>
      <c r="AH64" s="210"/>
      <c r="AI64" s="210"/>
      <c r="AJ64" s="210"/>
      <c r="AK64" s="210"/>
    </row>
    <row r="66" spans="2:2" x14ac:dyDescent="0.25">
      <c r="B66" s="112"/>
    </row>
  </sheetData>
  <mergeCells count="331">
    <mergeCell ref="AA16:AA18"/>
    <mergeCell ref="B63:AJ63"/>
    <mergeCell ref="B58:C59"/>
    <mergeCell ref="D58:R58"/>
    <mergeCell ref="B60:AJ60"/>
    <mergeCell ref="B61:S61"/>
    <mergeCell ref="AK61:AK62"/>
    <mergeCell ref="B62:AJ62"/>
    <mergeCell ref="B50:R50"/>
    <mergeCell ref="B51:R51"/>
    <mergeCell ref="B52:R52"/>
    <mergeCell ref="B53:R53"/>
    <mergeCell ref="B54:R54"/>
    <mergeCell ref="AK54:AK57"/>
    <mergeCell ref="B55:R55"/>
    <mergeCell ref="B56:AJ56"/>
    <mergeCell ref="B57:R57"/>
    <mergeCell ref="B43:AJ43"/>
    <mergeCell ref="B44:AJ44"/>
    <mergeCell ref="AK44:AK49"/>
    <mergeCell ref="B45:AJ45"/>
    <mergeCell ref="B46:AJ46"/>
    <mergeCell ref="B47:AJ47"/>
    <mergeCell ref="B48:R48"/>
    <mergeCell ref="B49:AJ49"/>
    <mergeCell ref="B37:AJ37"/>
    <mergeCell ref="B38:AJ38"/>
    <mergeCell ref="B39:AJ39"/>
    <mergeCell ref="B40:AJ40"/>
    <mergeCell ref="B41:AJ41"/>
    <mergeCell ref="B42:AJ42"/>
    <mergeCell ref="B33:AJ33"/>
    <mergeCell ref="B34:AJ34"/>
    <mergeCell ref="B35:AJ35"/>
    <mergeCell ref="B36:AJ36"/>
    <mergeCell ref="S31:T31"/>
    <mergeCell ref="U31:V31"/>
    <mergeCell ref="W31:X31"/>
    <mergeCell ref="Y31:Z31"/>
    <mergeCell ref="B32:L32"/>
    <mergeCell ref="M32:N32"/>
    <mergeCell ref="O32:P32"/>
    <mergeCell ref="Q32:R32"/>
    <mergeCell ref="S32:T32"/>
    <mergeCell ref="U32:V32"/>
    <mergeCell ref="C31:D31"/>
    <mergeCell ref="F31:G31"/>
    <mergeCell ref="H31:I31"/>
    <mergeCell ref="J31:L31"/>
    <mergeCell ref="M31:N31"/>
    <mergeCell ref="O31:P31"/>
    <mergeCell ref="Q31:R31"/>
    <mergeCell ref="W32:X32"/>
    <mergeCell ref="Y32:Z32"/>
    <mergeCell ref="Q29:R29"/>
    <mergeCell ref="S29:T29"/>
    <mergeCell ref="U29:V29"/>
    <mergeCell ref="W29:X29"/>
    <mergeCell ref="Y29:Z29"/>
    <mergeCell ref="B30:L30"/>
    <mergeCell ref="M30:N30"/>
    <mergeCell ref="O30:P30"/>
    <mergeCell ref="Q30:R30"/>
    <mergeCell ref="S30:T30"/>
    <mergeCell ref="C29:D29"/>
    <mergeCell ref="F29:G29"/>
    <mergeCell ref="H29:I29"/>
    <mergeCell ref="J29:L29"/>
    <mergeCell ref="M29:N29"/>
    <mergeCell ref="O29:P29"/>
    <mergeCell ref="U30:V30"/>
    <mergeCell ref="W30:X30"/>
    <mergeCell ref="Y30:Z30"/>
    <mergeCell ref="O28:P28"/>
    <mergeCell ref="Q28:R28"/>
    <mergeCell ref="S28:T28"/>
    <mergeCell ref="U28:V28"/>
    <mergeCell ref="W28:X28"/>
    <mergeCell ref="Y28:Z28"/>
    <mergeCell ref="Q27:R27"/>
    <mergeCell ref="S27:T27"/>
    <mergeCell ref="U27:V27"/>
    <mergeCell ref="W27:X27"/>
    <mergeCell ref="Y27:Z27"/>
    <mergeCell ref="O27:P27"/>
    <mergeCell ref="C28:D28"/>
    <mergeCell ref="F28:G28"/>
    <mergeCell ref="H28:I28"/>
    <mergeCell ref="J28:L28"/>
    <mergeCell ref="M28:N28"/>
    <mergeCell ref="C27:D27"/>
    <mergeCell ref="F27:G27"/>
    <mergeCell ref="H27:I27"/>
    <mergeCell ref="J27:L27"/>
    <mergeCell ref="M27:N27"/>
    <mergeCell ref="O26:P26"/>
    <mergeCell ref="Q26:R26"/>
    <mergeCell ref="S26:T26"/>
    <mergeCell ref="U26:V26"/>
    <mergeCell ref="W26:X26"/>
    <mergeCell ref="Y26:Z26"/>
    <mergeCell ref="Q25:R25"/>
    <mergeCell ref="S25:T25"/>
    <mergeCell ref="U25:V25"/>
    <mergeCell ref="W25:X25"/>
    <mergeCell ref="Y25:Z25"/>
    <mergeCell ref="O25:P25"/>
    <mergeCell ref="C26:D26"/>
    <mergeCell ref="F26:G26"/>
    <mergeCell ref="H26:I26"/>
    <mergeCell ref="J26:L26"/>
    <mergeCell ref="M26:N26"/>
    <mergeCell ref="C25:D25"/>
    <mergeCell ref="F25:G25"/>
    <mergeCell ref="H25:I25"/>
    <mergeCell ref="J25:L25"/>
    <mergeCell ref="M25:N25"/>
    <mergeCell ref="O24:P24"/>
    <mergeCell ref="Q24:R24"/>
    <mergeCell ref="S24:T24"/>
    <mergeCell ref="U24:V24"/>
    <mergeCell ref="W24:X24"/>
    <mergeCell ref="Y24:Z24"/>
    <mergeCell ref="Q23:R23"/>
    <mergeCell ref="S23:T23"/>
    <mergeCell ref="U23:V23"/>
    <mergeCell ref="W23:X23"/>
    <mergeCell ref="Y23:Z23"/>
    <mergeCell ref="O23:P23"/>
    <mergeCell ref="C24:D24"/>
    <mergeCell ref="F24:G24"/>
    <mergeCell ref="H24:I24"/>
    <mergeCell ref="J24:L24"/>
    <mergeCell ref="M24:N24"/>
    <mergeCell ref="C23:D23"/>
    <mergeCell ref="F23:G23"/>
    <mergeCell ref="H23:I23"/>
    <mergeCell ref="J23:L23"/>
    <mergeCell ref="M23:N23"/>
    <mergeCell ref="O22:P22"/>
    <mergeCell ref="Q22:R22"/>
    <mergeCell ref="S22:T22"/>
    <mergeCell ref="U22:V22"/>
    <mergeCell ref="W22:X22"/>
    <mergeCell ref="Y22:Z22"/>
    <mergeCell ref="Q21:R21"/>
    <mergeCell ref="S21:T21"/>
    <mergeCell ref="U21:V21"/>
    <mergeCell ref="W21:X21"/>
    <mergeCell ref="Y21:Z21"/>
    <mergeCell ref="C22:D22"/>
    <mergeCell ref="F22:G22"/>
    <mergeCell ref="H22:I22"/>
    <mergeCell ref="J22:L22"/>
    <mergeCell ref="M22:N22"/>
    <mergeCell ref="AI19:AI20"/>
    <mergeCell ref="AJ19:AJ20"/>
    <mergeCell ref="AK19:AK20"/>
    <mergeCell ref="C20:D20"/>
    <mergeCell ref="C21:D21"/>
    <mergeCell ref="F21:G21"/>
    <mergeCell ref="H21:I21"/>
    <mergeCell ref="J21:L21"/>
    <mergeCell ref="M21:N21"/>
    <mergeCell ref="O21:P21"/>
    <mergeCell ref="AC19:AC20"/>
    <mergeCell ref="AD19:AD20"/>
    <mergeCell ref="AE19:AE20"/>
    <mergeCell ref="AF19:AF20"/>
    <mergeCell ref="AG19:AG20"/>
    <mergeCell ref="AH19:AH20"/>
    <mergeCell ref="U19:V20"/>
    <mergeCell ref="W19:X20"/>
    <mergeCell ref="Y19:Z20"/>
    <mergeCell ref="C17:D17"/>
    <mergeCell ref="C18:D18"/>
    <mergeCell ref="B19:B20"/>
    <mergeCell ref="C19:D19"/>
    <mergeCell ref="E19:E20"/>
    <mergeCell ref="F19:G20"/>
    <mergeCell ref="AF16:AF18"/>
    <mergeCell ref="AG16:AG18"/>
    <mergeCell ref="AH16:AH18"/>
    <mergeCell ref="O16:P18"/>
    <mergeCell ref="Q16:R18"/>
    <mergeCell ref="S16:T18"/>
    <mergeCell ref="U16:V18"/>
    <mergeCell ref="W16:X18"/>
    <mergeCell ref="Y16:Z18"/>
    <mergeCell ref="AA19:AA20"/>
    <mergeCell ref="AB19:AB20"/>
    <mergeCell ref="H19:I20"/>
    <mergeCell ref="J19:L20"/>
    <mergeCell ref="M19:N20"/>
    <mergeCell ref="O19:P20"/>
    <mergeCell ref="Q19:R20"/>
    <mergeCell ref="S19:T20"/>
    <mergeCell ref="B16:B18"/>
    <mergeCell ref="AI16:AI18"/>
    <mergeCell ref="AJ16:AJ18"/>
    <mergeCell ref="AK16:AK18"/>
    <mergeCell ref="AB16:AB18"/>
    <mergeCell ref="AC16:AC18"/>
    <mergeCell ref="AD16:AD18"/>
    <mergeCell ref="AE16:AE18"/>
    <mergeCell ref="AK13:AK15"/>
    <mergeCell ref="C14:D14"/>
    <mergeCell ref="C15:D15"/>
    <mergeCell ref="C16:D16"/>
    <mergeCell ref="E16:E18"/>
    <mergeCell ref="F16:G18"/>
    <mergeCell ref="H16:I18"/>
    <mergeCell ref="J16:L18"/>
    <mergeCell ref="M16:N18"/>
    <mergeCell ref="AE13:AE15"/>
    <mergeCell ref="AF13:AF15"/>
    <mergeCell ref="AG13:AG15"/>
    <mergeCell ref="AH13:AH15"/>
    <mergeCell ref="AI13:AI15"/>
    <mergeCell ref="AJ13:AJ15"/>
    <mergeCell ref="Y13:Z15"/>
    <mergeCell ref="AA13:AA15"/>
    <mergeCell ref="AB13:AB15"/>
    <mergeCell ref="AC13:AC15"/>
    <mergeCell ref="AD13:AD15"/>
    <mergeCell ref="M13:N15"/>
    <mergeCell ref="O13:P15"/>
    <mergeCell ref="Q13:R15"/>
    <mergeCell ref="S13:T15"/>
    <mergeCell ref="U13:V15"/>
    <mergeCell ref="W13:X15"/>
    <mergeCell ref="B13:B15"/>
    <mergeCell ref="C13:D13"/>
    <mergeCell ref="E13:E15"/>
    <mergeCell ref="F13:G15"/>
    <mergeCell ref="H13:I15"/>
    <mergeCell ref="J13:L15"/>
    <mergeCell ref="S12:T12"/>
    <mergeCell ref="U12:V12"/>
    <mergeCell ref="W12:X12"/>
    <mergeCell ref="C12:D12"/>
    <mergeCell ref="F12:G12"/>
    <mergeCell ref="H12:I12"/>
    <mergeCell ref="J12:L12"/>
    <mergeCell ref="M12:N12"/>
    <mergeCell ref="O12:P12"/>
    <mergeCell ref="Y12:Z12"/>
    <mergeCell ref="Q11:R11"/>
    <mergeCell ref="S11:T11"/>
    <mergeCell ref="U11:V11"/>
    <mergeCell ref="W11:X11"/>
    <mergeCell ref="Y11:Z11"/>
    <mergeCell ref="S10:T10"/>
    <mergeCell ref="U10:V10"/>
    <mergeCell ref="W10:X10"/>
    <mergeCell ref="Y10:Z10"/>
    <mergeCell ref="Q10:R10"/>
    <mergeCell ref="Q12:R12"/>
    <mergeCell ref="C11:D11"/>
    <mergeCell ref="F11:G11"/>
    <mergeCell ref="H11:I11"/>
    <mergeCell ref="J11:L11"/>
    <mergeCell ref="M11:N11"/>
    <mergeCell ref="O11:P11"/>
    <mergeCell ref="C10:D10"/>
    <mergeCell ref="F10:G10"/>
    <mergeCell ref="H10:I10"/>
    <mergeCell ref="J10:L10"/>
    <mergeCell ref="M10:N10"/>
    <mergeCell ref="O10:P10"/>
    <mergeCell ref="C6:D6"/>
    <mergeCell ref="E6:AA6"/>
    <mergeCell ref="C7:D7"/>
    <mergeCell ref="E7:E9"/>
    <mergeCell ref="F7:I7"/>
    <mergeCell ref="J7:AA7"/>
    <mergeCell ref="C8:D8"/>
    <mergeCell ref="F8:G9"/>
    <mergeCell ref="H8:I8"/>
    <mergeCell ref="J8:L8"/>
    <mergeCell ref="M8:N8"/>
    <mergeCell ref="O8:AA8"/>
    <mergeCell ref="C9:D9"/>
    <mergeCell ref="H9:I9"/>
    <mergeCell ref="J9:L9"/>
    <mergeCell ref="M9:N9"/>
    <mergeCell ref="O9:P9"/>
    <mergeCell ref="Q9:R9"/>
    <mergeCell ref="S9:T9"/>
    <mergeCell ref="U9:V9"/>
    <mergeCell ref="W9:X9"/>
    <mergeCell ref="Y9:Z9"/>
    <mergeCell ref="Q4:R4"/>
    <mergeCell ref="S4:T4"/>
    <mergeCell ref="U4:V4"/>
    <mergeCell ref="W4:X4"/>
    <mergeCell ref="Y4:Z4"/>
    <mergeCell ref="C5:D5"/>
    <mergeCell ref="E5:F5"/>
    <mergeCell ref="G5:H5"/>
    <mergeCell ref="I5:J5"/>
    <mergeCell ref="L5:M5"/>
    <mergeCell ref="C4:D4"/>
    <mergeCell ref="F4:G4"/>
    <mergeCell ref="H4:I4"/>
    <mergeCell ref="J4:L4"/>
    <mergeCell ref="M4:N4"/>
    <mergeCell ref="O4:P4"/>
    <mergeCell ref="Z5:AA5"/>
    <mergeCell ref="N5:O5"/>
    <mergeCell ref="P5:Q5"/>
    <mergeCell ref="R5:S5"/>
    <mergeCell ref="T5:U5"/>
    <mergeCell ref="V5:W5"/>
    <mergeCell ref="X5:Y5"/>
    <mergeCell ref="O3:P3"/>
    <mergeCell ref="Q3:R3"/>
    <mergeCell ref="S3:T3"/>
    <mergeCell ref="U3:V3"/>
    <mergeCell ref="W3:X3"/>
    <mergeCell ref="Y3:Z3"/>
    <mergeCell ref="B2:R2"/>
    <mergeCell ref="S2:T2"/>
    <mergeCell ref="U2:V2"/>
    <mergeCell ref="W2:X2"/>
    <mergeCell ref="Y2:Z2"/>
    <mergeCell ref="C3:D3"/>
    <mergeCell ref="F3:G3"/>
    <mergeCell ref="H3:I3"/>
    <mergeCell ref="J3:L3"/>
    <mergeCell ref="M3:N3"/>
  </mergeCells>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2:G41"/>
  <sheetViews>
    <sheetView showGridLines="0" showRowColHeaders="0" zoomScale="80" zoomScaleNormal="80" workbookViewId="0">
      <selection activeCell="B2" sqref="B2"/>
    </sheetView>
  </sheetViews>
  <sheetFormatPr baseColWidth="10" defaultColWidth="20.6640625" defaultRowHeight="12.75" x14ac:dyDescent="0.2"/>
  <cols>
    <col min="1" max="1" width="3.88671875" style="271" customWidth="1"/>
    <col min="2" max="2" width="6.33203125" style="271" customWidth="1"/>
    <col min="3" max="3" width="28.88671875" style="271" customWidth="1"/>
    <col min="4" max="5" width="11.33203125" style="271" customWidth="1"/>
    <col min="6" max="16384" width="20.6640625" style="271"/>
  </cols>
  <sheetData>
    <row r="2" spans="2:7" ht="15" x14ac:dyDescent="0.25">
      <c r="B2" s="940" t="s">
        <v>3521</v>
      </c>
    </row>
    <row r="4" spans="2:7" ht="21" x14ac:dyDescent="0.2">
      <c r="B4" s="368" t="s">
        <v>2504</v>
      </c>
      <c r="C4" s="280"/>
      <c r="D4" s="280"/>
      <c r="E4" s="280"/>
    </row>
    <row r="6" spans="2:7" ht="20.100000000000001" customHeight="1" x14ac:dyDescent="0.2">
      <c r="B6" s="281"/>
      <c r="C6" s="281"/>
      <c r="D6" s="400" t="s">
        <v>161</v>
      </c>
      <c r="E6" s="411" t="s">
        <v>162</v>
      </c>
      <c r="F6" s="300"/>
      <c r="G6" s="281"/>
    </row>
    <row r="7" spans="2:7" ht="30.75" customHeight="1" x14ac:dyDescent="0.2">
      <c r="D7" s="964" t="s">
        <v>2964</v>
      </c>
      <c r="E7" s="964"/>
    </row>
    <row r="8" spans="2:7" ht="40.5" customHeight="1" x14ac:dyDescent="0.2">
      <c r="D8" s="411" t="s">
        <v>2505</v>
      </c>
      <c r="E8" s="411" t="s">
        <v>2506</v>
      </c>
    </row>
    <row r="9" spans="2:7" ht="20.100000000000001" customHeight="1" x14ac:dyDescent="0.2">
      <c r="B9" s="537" t="s">
        <v>289</v>
      </c>
      <c r="C9" s="559" t="s">
        <v>2507</v>
      </c>
      <c r="D9" s="560"/>
      <c r="E9" s="560"/>
    </row>
    <row r="10" spans="2:7" ht="20.100000000000001" customHeight="1" x14ac:dyDescent="0.2">
      <c r="B10" s="537" t="s">
        <v>291</v>
      </c>
      <c r="C10" s="559" t="s">
        <v>2965</v>
      </c>
      <c r="D10" s="506">
        <f>273035/1000000</f>
        <v>0.27303500000000003</v>
      </c>
      <c r="E10" s="506">
        <f>273035/1000000</f>
        <v>0.27303500000000003</v>
      </c>
    </row>
    <row r="11" spans="2:7" ht="20.100000000000001" customHeight="1" x14ac:dyDescent="0.2">
      <c r="B11" s="557" t="s">
        <v>916</v>
      </c>
      <c r="C11" s="558" t="s">
        <v>2508</v>
      </c>
      <c r="D11" s="467">
        <f>273035/1000000</f>
        <v>0.27303500000000003</v>
      </c>
      <c r="E11" s="467">
        <f>273035/1000000</f>
        <v>0.27303500000000003</v>
      </c>
    </row>
    <row r="12" spans="2:7" ht="20.100000000000001" customHeight="1" x14ac:dyDescent="0.2">
      <c r="B12" s="557" t="s">
        <v>918</v>
      </c>
      <c r="C12" s="558" t="s">
        <v>2509</v>
      </c>
      <c r="D12" s="555"/>
      <c r="E12" s="555"/>
    </row>
    <row r="13" spans="2:7" ht="20.100000000000001" customHeight="1" x14ac:dyDescent="0.2">
      <c r="B13" s="557" t="s">
        <v>920</v>
      </c>
      <c r="C13" s="558" t="s">
        <v>2510</v>
      </c>
      <c r="D13" s="555"/>
      <c r="E13" s="555"/>
    </row>
    <row r="14" spans="2:7" ht="20.100000000000001" customHeight="1" x14ac:dyDescent="0.2">
      <c r="B14" s="557" t="s">
        <v>922</v>
      </c>
      <c r="C14" s="558" t="s">
        <v>2511</v>
      </c>
      <c r="D14" s="555"/>
      <c r="E14" s="555"/>
    </row>
    <row r="15" spans="2:7" ht="20.100000000000001" customHeight="1" x14ac:dyDescent="0.2">
      <c r="B15" s="557" t="s">
        <v>924</v>
      </c>
      <c r="C15" s="558" t="s">
        <v>2966</v>
      </c>
      <c r="D15" s="555"/>
      <c r="E15" s="555"/>
    </row>
    <row r="16" spans="2:7" ht="20.100000000000001" customHeight="1" x14ac:dyDescent="0.2">
      <c r="B16" s="561" t="s">
        <v>926</v>
      </c>
      <c r="C16" s="562" t="s">
        <v>198</v>
      </c>
      <c r="D16" s="505">
        <f>273035/1000000</f>
        <v>0.27303500000000003</v>
      </c>
      <c r="E16" s="505">
        <f>273035/1000000</f>
        <v>0.27303500000000003</v>
      </c>
    </row>
    <row r="18" spans="2:7" x14ac:dyDescent="0.2">
      <c r="B18" s="1177"/>
      <c r="C18" s="1177"/>
    </row>
    <row r="20" spans="2:7" x14ac:dyDescent="0.2">
      <c r="B20" s="339"/>
    </row>
    <row r="21" spans="2:7" x14ac:dyDescent="0.2">
      <c r="B21" s="1178"/>
      <c r="C21" s="1178"/>
      <c r="D21" s="1178"/>
      <c r="E21" s="1178"/>
      <c r="F21" s="1178"/>
      <c r="G21" s="1178"/>
    </row>
    <row r="22" spans="2:7" ht="36" customHeight="1" x14ac:dyDescent="0.2">
      <c r="B22" s="1178"/>
      <c r="C22" s="1178"/>
      <c r="D22" s="1178"/>
      <c r="E22" s="1178"/>
      <c r="F22" s="1178"/>
      <c r="G22" s="1178"/>
    </row>
    <row r="23" spans="2:7" ht="60" customHeight="1" x14ac:dyDescent="0.2">
      <c r="B23" s="1178"/>
      <c r="C23" s="1178"/>
      <c r="D23" s="1178"/>
      <c r="E23" s="1178"/>
      <c r="F23" s="1178"/>
      <c r="G23" s="1178"/>
    </row>
    <row r="25" spans="2:7" x14ac:dyDescent="0.2">
      <c r="B25" s="339"/>
    </row>
    <row r="26" spans="2:7" x14ac:dyDescent="0.2">
      <c r="B26" s="1178"/>
      <c r="C26" s="1178"/>
      <c r="D26" s="1178"/>
      <c r="E26" s="1178"/>
      <c r="F26" s="1178"/>
      <c r="G26" s="1178"/>
    </row>
    <row r="27" spans="2:7" ht="48" customHeight="1" x14ac:dyDescent="0.2">
      <c r="B27" s="1178"/>
      <c r="C27" s="1178"/>
      <c r="D27" s="1178"/>
      <c r="E27" s="1178"/>
      <c r="F27" s="1178"/>
      <c r="G27" s="1178"/>
    </row>
    <row r="28" spans="2:7" x14ac:dyDescent="0.2">
      <c r="B28" s="1178"/>
      <c r="C28" s="1178"/>
      <c r="D28" s="1178"/>
      <c r="E28" s="1178"/>
      <c r="F28" s="1178"/>
      <c r="G28" s="1178"/>
    </row>
    <row r="29" spans="2:7" x14ac:dyDescent="0.2">
      <c r="B29" s="1178"/>
      <c r="C29" s="1178"/>
      <c r="D29" s="1178"/>
      <c r="E29" s="1178"/>
      <c r="F29" s="1178"/>
      <c r="G29" s="1178"/>
    </row>
    <row r="30" spans="2:7" ht="96" customHeight="1" x14ac:dyDescent="0.2">
      <c r="B30" s="1178"/>
      <c r="C30" s="1178"/>
      <c r="D30" s="1178"/>
      <c r="E30" s="1178"/>
      <c r="F30" s="1178"/>
      <c r="G30" s="1178"/>
    </row>
    <row r="31" spans="2:7" x14ac:dyDescent="0.2">
      <c r="B31" s="1178"/>
      <c r="C31" s="1178"/>
      <c r="D31" s="1178"/>
      <c r="E31" s="1178"/>
      <c r="F31" s="1178"/>
      <c r="G31" s="1178"/>
    </row>
    <row r="32" spans="2:7" ht="36" customHeight="1" x14ac:dyDescent="0.2">
      <c r="B32" s="1178"/>
      <c r="C32" s="1178"/>
      <c r="D32" s="1178"/>
      <c r="E32" s="1178"/>
      <c r="F32" s="1178"/>
      <c r="G32" s="1178"/>
    </row>
    <row r="33" spans="2:7" x14ac:dyDescent="0.2">
      <c r="B33" s="1178"/>
      <c r="C33" s="1178"/>
      <c r="D33" s="1178"/>
      <c r="E33" s="1178"/>
      <c r="F33" s="1178"/>
      <c r="G33" s="1178"/>
    </row>
    <row r="34" spans="2:7" ht="60" customHeight="1" x14ac:dyDescent="0.2">
      <c r="B34" s="1178"/>
      <c r="C34" s="1178"/>
      <c r="D34" s="1178"/>
      <c r="E34" s="1178"/>
      <c r="F34" s="1178"/>
      <c r="G34" s="1178"/>
    </row>
    <row r="35" spans="2:7" x14ac:dyDescent="0.2">
      <c r="B35" s="1178"/>
      <c r="C35" s="1178"/>
      <c r="D35" s="1178"/>
      <c r="E35" s="952"/>
      <c r="F35" s="1178"/>
      <c r="G35" s="1178"/>
    </row>
    <row r="36" spans="2:7" ht="24" customHeight="1" x14ac:dyDescent="0.2">
      <c r="B36" s="1178"/>
      <c r="C36" s="1178"/>
      <c r="D36" s="1178"/>
      <c r="E36" s="1178"/>
      <c r="F36" s="1178"/>
      <c r="G36" s="1178"/>
    </row>
    <row r="37" spans="2:7" x14ac:dyDescent="0.2">
      <c r="B37" s="1178"/>
      <c r="C37" s="1178"/>
      <c r="D37" s="1178"/>
      <c r="E37" s="1178"/>
      <c r="F37" s="1178"/>
      <c r="G37" s="1178"/>
    </row>
    <row r="38" spans="2:7" ht="24" customHeight="1" x14ac:dyDescent="0.2">
      <c r="B38" s="1178"/>
      <c r="C38" s="1178"/>
      <c r="D38" s="1178"/>
      <c r="E38" s="1178"/>
      <c r="F38" s="1178"/>
      <c r="G38" s="1178"/>
    </row>
    <row r="39" spans="2:7" x14ac:dyDescent="0.2">
      <c r="B39" s="1178"/>
      <c r="C39" s="1178"/>
      <c r="D39" s="1178"/>
      <c r="E39" s="1178"/>
      <c r="F39" s="1178"/>
      <c r="G39" s="1178"/>
    </row>
    <row r="40" spans="2:7" ht="60" customHeight="1" x14ac:dyDescent="0.2">
      <c r="B40" s="1178"/>
      <c r="C40" s="1178"/>
      <c r="D40" s="1178"/>
      <c r="E40" s="1178"/>
      <c r="F40" s="1178"/>
      <c r="G40" s="1178"/>
    </row>
    <row r="41" spans="2:7" x14ac:dyDescent="0.2">
      <c r="B41" s="1178"/>
      <c r="C41" s="1178"/>
      <c r="D41" s="1178"/>
      <c r="E41" s="1178"/>
      <c r="F41" s="1178"/>
      <c r="G41" s="1178"/>
    </row>
  </sheetData>
  <sheetProtection algorithmName="SHA-512" hashValue="DMgKcdfwjmv2XwSSWF0k96qaor3TtROM/lbZvosOiEmz0ajpawHOXZ+SxGcy+7Zm8YUawp3ND1zdTBvF9zLJXA==" saltValue="oWkpTPBhsJVlZoI6ipsltQ==" spinCount="100000" sheet="1" objects="1" scenarios="1"/>
  <mergeCells count="21">
    <mergeCell ref="B38:G38"/>
    <mergeCell ref="B39:G39"/>
    <mergeCell ref="B40:G40"/>
    <mergeCell ref="B41:G41"/>
    <mergeCell ref="B32:G32"/>
    <mergeCell ref="B33:G33"/>
    <mergeCell ref="B34:G34"/>
    <mergeCell ref="B35:G35"/>
    <mergeCell ref="B36:G36"/>
    <mergeCell ref="B37:G37"/>
    <mergeCell ref="D7:E7"/>
    <mergeCell ref="B18:C18"/>
    <mergeCell ref="B31:G31"/>
    <mergeCell ref="B21:G21"/>
    <mergeCell ref="B22:G22"/>
    <mergeCell ref="B23:G23"/>
    <mergeCell ref="B26:G26"/>
    <mergeCell ref="B27:G27"/>
    <mergeCell ref="B28:G28"/>
    <mergeCell ref="B29:G29"/>
    <mergeCell ref="B30:G30"/>
  </mergeCells>
  <hyperlinks>
    <hyperlink ref="B2" location="Contents!A1" display="Back to Contents page" xr:uid="{9AF38BAE-00F0-4BA6-87F1-4ECFF2BAF28B}"/>
  </hyperlinks>
  <pageMargins left="0.7" right="0.7" top="0.75" bottom="0.75" header="0.3" footer="0.3"/>
  <pageSetup paperSize="9" scale="47" orientation="portrait" horizontalDpi="144" verticalDpi="144" r:id="rId1"/>
  <ignoredErrors>
    <ignoredError sqref="B9:B16"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Y42"/>
  <sheetViews>
    <sheetView workbookViewId="0"/>
  </sheetViews>
  <sheetFormatPr baseColWidth="10" defaultColWidth="9.21875" defaultRowHeight="15" x14ac:dyDescent="0.25"/>
  <cols>
    <col min="1" max="2" width="9.21875" style="19"/>
    <col min="3" max="3" width="28.88671875" style="19" customWidth="1"/>
    <col min="4" max="5" width="13.77734375" style="19" customWidth="1"/>
    <col min="6" max="6" width="18.44140625" style="19" customWidth="1"/>
    <col min="7" max="15" width="16.77734375" style="19" customWidth="1"/>
    <col min="16" max="16384" width="9.21875" style="19"/>
  </cols>
  <sheetData>
    <row r="2" spans="2:25" ht="18.75" x14ac:dyDescent="0.25">
      <c r="B2" s="1179" t="s">
        <v>2512</v>
      </c>
      <c r="C2" s="1179"/>
      <c r="D2" s="1179"/>
      <c r="E2" s="1179"/>
      <c r="F2" s="1179"/>
      <c r="G2" s="1179"/>
      <c r="H2" s="1179"/>
      <c r="I2" s="1179"/>
      <c r="J2" s="1179"/>
      <c r="K2" s="1179"/>
      <c r="L2" s="1179"/>
      <c r="M2" s="1179"/>
      <c r="N2" s="115"/>
      <c r="O2" s="115"/>
      <c r="P2" s="115"/>
      <c r="Q2" s="115"/>
      <c r="R2" s="115"/>
      <c r="S2" s="115"/>
      <c r="T2" s="115"/>
      <c r="U2" s="115"/>
      <c r="V2" s="115"/>
      <c r="W2" s="115"/>
      <c r="X2" s="115"/>
      <c r="Y2" s="115"/>
    </row>
    <row r="3" spans="2:25" ht="16.5" thickBot="1" x14ac:dyDescent="0.3">
      <c r="B3" s="115"/>
      <c r="C3" s="115"/>
      <c r="D3" s="115"/>
      <c r="E3" s="115"/>
      <c r="F3" s="115"/>
      <c r="G3" s="115"/>
      <c r="H3" s="118"/>
      <c r="I3" s="118"/>
      <c r="J3" s="118"/>
      <c r="K3" s="118"/>
      <c r="L3" s="118"/>
      <c r="M3" s="118"/>
      <c r="N3" s="118"/>
      <c r="O3" s="118"/>
      <c r="P3" s="1180"/>
      <c r="Q3" s="1180"/>
      <c r="R3" s="1180"/>
      <c r="S3" s="1180"/>
      <c r="T3" s="1180"/>
      <c r="U3" s="1180"/>
      <c r="V3" s="1180"/>
      <c r="W3" s="1180"/>
      <c r="X3" s="1180"/>
      <c r="Y3" s="1180"/>
    </row>
    <row r="4" spans="2:25" ht="15.75" thickBot="1" x14ac:dyDescent="0.3">
      <c r="B4" s="116"/>
      <c r="C4" s="116"/>
      <c r="D4" s="119" t="s">
        <v>161</v>
      </c>
      <c r="E4" s="243" t="s">
        <v>162</v>
      </c>
      <c r="F4" s="243" t="s">
        <v>163</v>
      </c>
      <c r="G4" s="243" t="s">
        <v>200</v>
      </c>
      <c r="H4" s="120" t="s">
        <v>201</v>
      </c>
      <c r="I4" s="120" t="s">
        <v>266</v>
      </c>
      <c r="J4" s="120" t="s">
        <v>267</v>
      </c>
      <c r="K4" s="120" t="s">
        <v>268</v>
      </c>
      <c r="L4" s="120" t="s">
        <v>269</v>
      </c>
      <c r="M4" s="120" t="s">
        <v>270</v>
      </c>
      <c r="N4" s="120" t="s">
        <v>271</v>
      </c>
      <c r="O4" s="120" t="s">
        <v>272</v>
      </c>
      <c r="P4" s="1181"/>
      <c r="Q4" s="1180"/>
      <c r="R4" s="1180"/>
      <c r="S4" s="1180"/>
      <c r="T4" s="1180"/>
      <c r="U4" s="1180"/>
      <c r="V4" s="1180"/>
      <c r="W4" s="1180"/>
      <c r="X4" s="1180"/>
      <c r="Y4" s="1180"/>
    </row>
    <row r="5" spans="2:25" ht="25.5" customHeight="1" thickBot="1" x14ac:dyDescent="0.3">
      <c r="B5" s="115"/>
      <c r="C5" s="115"/>
      <c r="D5" s="1182" t="s">
        <v>2513</v>
      </c>
      <c r="E5" s="1183"/>
      <c r="F5" s="1182" t="s">
        <v>2514</v>
      </c>
      <c r="G5" s="1186"/>
      <c r="H5" s="121"/>
      <c r="I5" s="121"/>
      <c r="J5" s="121"/>
      <c r="K5" s="121"/>
      <c r="L5" s="121"/>
      <c r="M5" s="121"/>
      <c r="N5" s="121"/>
      <c r="O5" s="122"/>
      <c r="P5" s="1181"/>
      <c r="Q5" s="1180"/>
      <c r="R5" s="1180"/>
      <c r="S5" s="1180"/>
      <c r="T5" s="1180"/>
      <c r="U5" s="1180"/>
      <c r="V5" s="1180"/>
      <c r="W5" s="1180"/>
      <c r="X5" s="1180"/>
      <c r="Y5" s="1180"/>
    </row>
    <row r="6" spans="2:25" ht="37.5" customHeight="1" thickBot="1" x14ac:dyDescent="0.3">
      <c r="B6" s="115"/>
      <c r="C6" s="115"/>
      <c r="D6" s="1184"/>
      <c r="E6" s="1185"/>
      <c r="F6" s="1184"/>
      <c r="G6" s="1185"/>
      <c r="H6" s="1187" t="s">
        <v>2515</v>
      </c>
      <c r="I6" s="1188"/>
      <c r="J6" s="1189" t="s">
        <v>2516</v>
      </c>
      <c r="K6" s="1188"/>
      <c r="L6" s="1189" t="s">
        <v>2517</v>
      </c>
      <c r="M6" s="1188"/>
      <c r="N6" s="1189" t="s">
        <v>2518</v>
      </c>
      <c r="O6" s="1188"/>
      <c r="P6" s="1181"/>
      <c r="Q6" s="1180"/>
      <c r="R6" s="1180"/>
      <c r="S6" s="1180"/>
      <c r="T6" s="1180"/>
      <c r="U6" s="1180"/>
      <c r="V6" s="1180"/>
      <c r="W6" s="1180"/>
      <c r="X6" s="1180"/>
      <c r="Y6" s="1180"/>
    </row>
    <row r="7" spans="2:25" ht="24.75" thickBot="1" x14ac:dyDescent="0.3">
      <c r="B7" s="115"/>
      <c r="C7" s="115"/>
      <c r="D7" s="123" t="s">
        <v>958</v>
      </c>
      <c r="E7" s="244" t="s">
        <v>2506</v>
      </c>
      <c r="F7" s="120" t="s">
        <v>2505</v>
      </c>
      <c r="G7" s="120" t="s">
        <v>2506</v>
      </c>
      <c r="H7" s="120" t="s">
        <v>2505</v>
      </c>
      <c r="I7" s="120" t="s">
        <v>2506</v>
      </c>
      <c r="J7" s="120" t="s">
        <v>2505</v>
      </c>
      <c r="K7" s="120" t="s">
        <v>2506</v>
      </c>
      <c r="L7" s="120" t="s">
        <v>2505</v>
      </c>
      <c r="M7" s="120" t="s">
        <v>2506</v>
      </c>
      <c r="N7" s="120" t="s">
        <v>2505</v>
      </c>
      <c r="O7" s="120" t="s">
        <v>2506</v>
      </c>
      <c r="P7" s="1181"/>
      <c r="Q7" s="1180"/>
      <c r="R7" s="1180"/>
      <c r="S7" s="1180"/>
      <c r="T7" s="1180"/>
      <c r="U7" s="1180"/>
      <c r="V7" s="1180"/>
      <c r="W7" s="1180"/>
      <c r="X7" s="1180"/>
      <c r="Y7" s="1180"/>
    </row>
    <row r="8" spans="2:25" ht="24.75" thickBot="1" x14ac:dyDescent="0.3">
      <c r="B8" s="124" t="s">
        <v>289</v>
      </c>
      <c r="C8" s="122" t="s">
        <v>2968</v>
      </c>
      <c r="D8" s="219" t="s">
        <v>2519</v>
      </c>
      <c r="E8" s="219" t="s">
        <v>2520</v>
      </c>
      <c r="F8" s="219" t="s">
        <v>2521</v>
      </c>
      <c r="G8" s="219" t="s">
        <v>2522</v>
      </c>
      <c r="H8" s="231"/>
      <c r="I8" s="231"/>
      <c r="J8" s="231"/>
      <c r="K8" s="231"/>
      <c r="L8" s="231"/>
      <c r="M8" s="231"/>
      <c r="N8" s="231"/>
      <c r="O8" s="231"/>
      <c r="P8" s="1181"/>
      <c r="Q8" s="1180"/>
      <c r="R8" s="1180"/>
      <c r="S8" s="1180"/>
      <c r="T8" s="1180"/>
      <c r="U8" s="1180"/>
      <c r="V8" s="1180"/>
      <c r="W8" s="1180"/>
      <c r="X8" s="1180"/>
      <c r="Y8" s="1180"/>
    </row>
    <row r="9" spans="2:25" ht="24.75" thickBot="1" x14ac:dyDescent="0.3">
      <c r="B9" s="125" t="s">
        <v>291</v>
      </c>
      <c r="C9" s="126" t="s">
        <v>2967</v>
      </c>
      <c r="D9" s="102" t="s">
        <v>2523</v>
      </c>
      <c r="E9" s="102" t="s">
        <v>2524</v>
      </c>
      <c r="F9" s="102" t="s">
        <v>2525</v>
      </c>
      <c r="G9" s="102" t="s">
        <v>2526</v>
      </c>
      <c r="H9" s="102" t="s">
        <v>2527</v>
      </c>
      <c r="I9" s="102" t="s">
        <v>2528</v>
      </c>
      <c r="J9" s="102" t="s">
        <v>2529</v>
      </c>
      <c r="K9" s="102" t="s">
        <v>2530</v>
      </c>
      <c r="L9" s="102" t="s">
        <v>2531</v>
      </c>
      <c r="M9" s="102" t="s">
        <v>2532</v>
      </c>
      <c r="N9" s="86" t="s">
        <v>2533</v>
      </c>
      <c r="O9" s="86" t="s">
        <v>2534</v>
      </c>
      <c r="P9" s="1181"/>
      <c r="Q9" s="1180"/>
      <c r="R9" s="1180"/>
      <c r="S9" s="1180"/>
      <c r="T9" s="1180"/>
      <c r="U9" s="1180"/>
      <c r="V9" s="1180"/>
      <c r="W9" s="1180"/>
      <c r="X9" s="1180"/>
      <c r="Y9" s="1180"/>
    </row>
    <row r="10" spans="2:25" ht="15" customHeight="1" x14ac:dyDescent="0.25">
      <c r="B10" s="1190" t="s">
        <v>916</v>
      </c>
      <c r="C10" s="127" t="s">
        <v>2535</v>
      </c>
      <c r="D10" s="1144" t="s">
        <v>2536</v>
      </c>
      <c r="E10" s="1144" t="s">
        <v>2537</v>
      </c>
      <c r="F10" s="1144" t="s">
        <v>2538</v>
      </c>
      <c r="G10" s="1144" t="s">
        <v>2539</v>
      </c>
      <c r="H10" s="1144" t="s">
        <v>2540</v>
      </c>
      <c r="I10" s="1144" t="s">
        <v>2541</v>
      </c>
      <c r="J10" s="1144" t="s">
        <v>2542</v>
      </c>
      <c r="K10" s="1144" t="s">
        <v>2543</v>
      </c>
      <c r="L10" s="1144" t="s">
        <v>2544</v>
      </c>
      <c r="M10" s="1144" t="s">
        <v>2545</v>
      </c>
      <c r="N10" s="1144" t="s">
        <v>2546</v>
      </c>
      <c r="O10" s="1144" t="s">
        <v>2547</v>
      </c>
      <c r="P10" s="1181"/>
      <c r="Q10" s="1180"/>
      <c r="R10" s="1180"/>
      <c r="S10" s="1180"/>
      <c r="T10" s="1180"/>
      <c r="U10" s="1180"/>
      <c r="V10" s="1180"/>
      <c r="W10" s="1180"/>
      <c r="X10" s="1180"/>
      <c r="Y10" s="1180"/>
    </row>
    <row r="11" spans="2:25" ht="15.75" thickBot="1" x14ac:dyDescent="0.3">
      <c r="B11" s="1191"/>
      <c r="C11" s="128" t="s">
        <v>2548</v>
      </c>
      <c r="D11" s="1146"/>
      <c r="E11" s="1146"/>
      <c r="F11" s="1146"/>
      <c r="G11" s="1146"/>
      <c r="H11" s="1146"/>
      <c r="I11" s="1146"/>
      <c r="J11" s="1146"/>
      <c r="K11" s="1146"/>
      <c r="L11" s="1146"/>
      <c r="M11" s="1146"/>
      <c r="N11" s="1146"/>
      <c r="O11" s="1146"/>
      <c r="P11" s="1181"/>
      <c r="Q11" s="1180"/>
      <c r="R11" s="1180"/>
      <c r="S11" s="1180"/>
      <c r="T11" s="1180"/>
      <c r="U11" s="1180"/>
      <c r="V11" s="1180"/>
      <c r="W11" s="1180"/>
      <c r="X11" s="1180"/>
      <c r="Y11" s="1180"/>
    </row>
    <row r="12" spans="2:25" ht="15" customHeight="1" x14ac:dyDescent="0.25">
      <c r="B12" s="1190" t="s">
        <v>918</v>
      </c>
      <c r="C12" s="1193" t="s">
        <v>2549</v>
      </c>
      <c r="D12" s="1144" t="s">
        <v>2550</v>
      </c>
      <c r="E12" s="1144" t="s">
        <v>2551</v>
      </c>
      <c r="F12" s="1144" t="s">
        <v>2552</v>
      </c>
      <c r="G12" s="1144" t="s">
        <v>2553</v>
      </c>
      <c r="H12" s="1144" t="s">
        <v>2554</v>
      </c>
      <c r="I12" s="1144" t="s">
        <v>2555</v>
      </c>
      <c r="J12" s="1144" t="s">
        <v>2556</v>
      </c>
      <c r="K12" s="1144" t="s">
        <v>2557</v>
      </c>
      <c r="L12" s="1144" t="s">
        <v>2558</v>
      </c>
      <c r="M12" s="1144" t="s">
        <v>2559</v>
      </c>
      <c r="N12" s="1144" t="s">
        <v>2560</v>
      </c>
      <c r="O12" s="1144" t="s">
        <v>2561</v>
      </c>
      <c r="P12" s="1181"/>
      <c r="Q12" s="1180"/>
      <c r="R12" s="1180"/>
      <c r="S12" s="1180"/>
      <c r="T12" s="1180"/>
      <c r="U12" s="1180"/>
      <c r="V12" s="1180"/>
      <c r="W12" s="1180"/>
      <c r="X12" s="1180"/>
      <c r="Y12" s="1180"/>
    </row>
    <row r="13" spans="2:25" ht="15.75" thickBot="1" x14ac:dyDescent="0.3">
      <c r="B13" s="1191"/>
      <c r="C13" s="1194"/>
      <c r="D13" s="1146"/>
      <c r="E13" s="1146"/>
      <c r="F13" s="1146"/>
      <c r="G13" s="1146"/>
      <c r="H13" s="1146"/>
      <c r="I13" s="1146"/>
      <c r="J13" s="1146"/>
      <c r="K13" s="1146"/>
      <c r="L13" s="1146"/>
      <c r="M13" s="1146"/>
      <c r="N13" s="1146"/>
      <c r="O13" s="1146"/>
      <c r="P13" s="1181"/>
      <c r="Q13" s="1180"/>
      <c r="R13" s="1180"/>
      <c r="S13" s="1180"/>
      <c r="T13" s="1180"/>
      <c r="U13" s="1180"/>
      <c r="V13" s="1180"/>
      <c r="W13" s="1180"/>
      <c r="X13" s="1180"/>
      <c r="Y13" s="1180"/>
    </row>
    <row r="14" spans="2:25" ht="15" customHeight="1" x14ac:dyDescent="0.25">
      <c r="B14" s="1190" t="s">
        <v>920</v>
      </c>
      <c r="C14" s="129" t="s">
        <v>2562</v>
      </c>
      <c r="D14" s="1144" t="s">
        <v>2563</v>
      </c>
      <c r="E14" s="1144" t="s">
        <v>2564</v>
      </c>
      <c r="F14" s="1144" t="s">
        <v>2565</v>
      </c>
      <c r="G14" s="1144" t="s">
        <v>2566</v>
      </c>
      <c r="H14" s="1144" t="s">
        <v>2567</v>
      </c>
      <c r="I14" s="1144" t="s">
        <v>2568</v>
      </c>
      <c r="J14" s="1144" t="s">
        <v>2569</v>
      </c>
      <c r="K14" s="1144" t="s">
        <v>2570</v>
      </c>
      <c r="L14" s="1144" t="s">
        <v>2571</v>
      </c>
      <c r="M14" s="1192" t="s">
        <v>2572</v>
      </c>
      <c r="N14" s="1144" t="s">
        <v>2573</v>
      </c>
      <c r="O14" s="1144" t="s">
        <v>2574</v>
      </c>
      <c r="P14" s="1181"/>
      <c r="Q14" s="1180"/>
      <c r="R14" s="1180"/>
      <c r="S14" s="1180"/>
      <c r="T14" s="1180"/>
      <c r="U14" s="1180"/>
      <c r="V14" s="1180"/>
      <c r="W14" s="1180"/>
      <c r="X14" s="1180"/>
      <c r="Y14" s="1180"/>
    </row>
    <row r="15" spans="2:25" ht="15.75" thickBot="1" x14ac:dyDescent="0.3">
      <c r="B15" s="1191"/>
      <c r="C15" s="130" t="s">
        <v>2575</v>
      </c>
      <c r="D15" s="1146"/>
      <c r="E15" s="1146"/>
      <c r="F15" s="1146"/>
      <c r="G15" s="1146"/>
      <c r="H15" s="1146"/>
      <c r="I15" s="1146"/>
      <c r="J15" s="1146"/>
      <c r="K15" s="1146"/>
      <c r="L15" s="1146"/>
      <c r="M15" s="1146"/>
      <c r="N15" s="1146"/>
      <c r="O15" s="1146"/>
      <c r="P15" s="1181"/>
      <c r="Q15" s="1180"/>
      <c r="R15" s="1180"/>
      <c r="S15" s="1180"/>
      <c r="T15" s="1180"/>
      <c r="U15" s="1180"/>
      <c r="V15" s="1180"/>
      <c r="W15" s="1180"/>
      <c r="X15" s="1180"/>
      <c r="Y15" s="1180"/>
    </row>
    <row r="16" spans="2:25" ht="15.75" customHeight="1" x14ac:dyDescent="0.25">
      <c r="B16" s="1190" t="s">
        <v>922</v>
      </c>
      <c r="C16" s="1193" t="s">
        <v>2511</v>
      </c>
      <c r="D16" s="1144" t="s">
        <v>2576</v>
      </c>
      <c r="E16" s="1144" t="s">
        <v>2577</v>
      </c>
      <c r="F16" s="1144" t="s">
        <v>2578</v>
      </c>
      <c r="G16" s="1144" t="s">
        <v>2579</v>
      </c>
      <c r="H16" s="1144" t="s">
        <v>2580</v>
      </c>
      <c r="I16" s="1144" t="s">
        <v>2581</v>
      </c>
      <c r="J16" s="1144" t="s">
        <v>2582</v>
      </c>
      <c r="K16" s="1144" t="s">
        <v>2583</v>
      </c>
      <c r="L16" s="1144" t="s">
        <v>2584</v>
      </c>
      <c r="M16" s="1192" t="s">
        <v>2585</v>
      </c>
      <c r="N16" s="1144" t="s">
        <v>2586</v>
      </c>
      <c r="O16" s="1144" t="s">
        <v>2587</v>
      </c>
      <c r="P16" s="1181"/>
      <c r="Q16" s="1180"/>
      <c r="R16" s="1180"/>
      <c r="S16" s="1180"/>
      <c r="T16" s="1180"/>
      <c r="U16" s="1180"/>
      <c r="V16" s="1180"/>
      <c r="W16" s="1180"/>
      <c r="X16" s="1180"/>
      <c r="Y16" s="1180"/>
    </row>
    <row r="17" spans="2:25" ht="15.75" customHeight="1" thickBot="1" x14ac:dyDescent="0.3">
      <c r="B17" s="1191"/>
      <c r="C17" s="1194"/>
      <c r="D17" s="1146"/>
      <c r="E17" s="1146"/>
      <c r="F17" s="1146"/>
      <c r="G17" s="1146"/>
      <c r="H17" s="1146"/>
      <c r="I17" s="1146"/>
      <c r="J17" s="1146"/>
      <c r="K17" s="1146"/>
      <c r="L17" s="1146"/>
      <c r="M17" s="1146"/>
      <c r="N17" s="1146"/>
      <c r="O17" s="1146"/>
      <c r="P17" s="242"/>
      <c r="Q17" s="241"/>
      <c r="R17" s="241"/>
      <c r="S17" s="241"/>
      <c r="T17" s="241"/>
      <c r="U17" s="241"/>
      <c r="V17" s="241"/>
      <c r="W17" s="241"/>
      <c r="X17" s="241"/>
      <c r="Y17" s="241"/>
    </row>
    <row r="18" spans="2:25" ht="15.75" customHeight="1" x14ac:dyDescent="0.25">
      <c r="B18" s="1190" t="s">
        <v>924</v>
      </c>
      <c r="C18" s="1197" t="s">
        <v>2966</v>
      </c>
      <c r="D18" s="1144" t="s">
        <v>2588</v>
      </c>
      <c r="E18" s="1144" t="s">
        <v>2589</v>
      </c>
      <c r="F18" s="1144" t="s">
        <v>2590</v>
      </c>
      <c r="G18" s="1144" t="s">
        <v>2591</v>
      </c>
      <c r="H18" s="1144" t="s">
        <v>2592</v>
      </c>
      <c r="I18" s="1144" t="s">
        <v>2593</v>
      </c>
      <c r="J18" s="1144" t="s">
        <v>2594</v>
      </c>
      <c r="K18" s="1144" t="s">
        <v>2595</v>
      </c>
      <c r="L18" s="1144" t="s">
        <v>2596</v>
      </c>
      <c r="M18" s="1192" t="s">
        <v>2597</v>
      </c>
      <c r="N18" s="1144" t="s">
        <v>2598</v>
      </c>
      <c r="O18" s="1144" t="s">
        <v>2599</v>
      </c>
      <c r="P18" s="1181"/>
      <c r="Q18" s="1180"/>
      <c r="R18" s="1180"/>
      <c r="S18" s="1180"/>
      <c r="T18" s="1180"/>
      <c r="U18" s="1180"/>
      <c r="V18" s="1180"/>
      <c r="W18" s="1180"/>
      <c r="X18" s="1180"/>
      <c r="Y18" s="1180"/>
    </row>
    <row r="19" spans="2:25" ht="15.75" customHeight="1" thickBot="1" x14ac:dyDescent="0.3">
      <c r="B19" s="1191"/>
      <c r="C19" s="1198"/>
      <c r="D19" s="1146"/>
      <c r="E19" s="1146"/>
      <c r="F19" s="1146"/>
      <c r="G19" s="1146"/>
      <c r="H19" s="1146"/>
      <c r="I19" s="1146"/>
      <c r="J19" s="1146"/>
      <c r="K19" s="1146"/>
      <c r="L19" s="1146"/>
      <c r="M19" s="1146"/>
      <c r="N19" s="1146"/>
      <c r="O19" s="1146"/>
      <c r="P19" s="242"/>
      <c r="Q19" s="241"/>
      <c r="R19" s="241"/>
      <c r="S19" s="241"/>
      <c r="T19" s="241"/>
      <c r="U19" s="241"/>
      <c r="V19" s="241"/>
      <c r="W19" s="241"/>
      <c r="X19" s="241"/>
      <c r="Y19" s="241"/>
    </row>
    <row r="20" spans="2:25" ht="15.75" thickBot="1" x14ac:dyDescent="0.3">
      <c r="B20" s="134" t="s">
        <v>926</v>
      </c>
      <c r="C20" s="117" t="s">
        <v>198</v>
      </c>
      <c r="D20" s="131" t="s">
        <v>2600</v>
      </c>
      <c r="E20" s="131" t="s">
        <v>2601</v>
      </c>
      <c r="F20" s="131" t="s">
        <v>2602</v>
      </c>
      <c r="G20" s="131" t="s">
        <v>2603</v>
      </c>
      <c r="H20" s="131" t="s">
        <v>2604</v>
      </c>
      <c r="I20" s="131" t="s">
        <v>2605</v>
      </c>
      <c r="J20" s="131" t="s">
        <v>2606</v>
      </c>
      <c r="K20" s="131" t="s">
        <v>2607</v>
      </c>
      <c r="L20" s="131" t="s">
        <v>2608</v>
      </c>
      <c r="M20" s="131" t="s">
        <v>2609</v>
      </c>
      <c r="N20" s="131" t="s">
        <v>2610</v>
      </c>
      <c r="O20" s="131" t="s">
        <v>2611</v>
      </c>
      <c r="P20" s="1181"/>
      <c r="Q20" s="1180"/>
      <c r="R20" s="1180"/>
      <c r="S20" s="1180"/>
      <c r="T20" s="1180"/>
      <c r="U20" s="1180"/>
      <c r="V20" s="1180"/>
      <c r="W20" s="1180"/>
      <c r="X20" s="1180"/>
      <c r="Y20" s="1180"/>
    </row>
    <row r="21" spans="2:25" ht="15.75" x14ac:dyDescent="0.25">
      <c r="B21" s="115"/>
      <c r="C21" s="115"/>
      <c r="D21" s="115"/>
      <c r="E21" s="115"/>
      <c r="F21" s="115"/>
      <c r="G21" s="115"/>
      <c r="H21" s="115"/>
      <c r="I21" s="115"/>
      <c r="J21" s="115"/>
      <c r="K21" s="115"/>
      <c r="L21" s="115"/>
      <c r="M21" s="115"/>
      <c r="N21" s="115"/>
      <c r="O21" s="115"/>
      <c r="P21" s="1180"/>
      <c r="Q21" s="1180"/>
      <c r="R21" s="1180"/>
      <c r="S21" s="1180"/>
      <c r="T21" s="1180"/>
      <c r="U21" s="1180"/>
      <c r="V21" s="1180"/>
      <c r="W21" s="1180"/>
      <c r="X21" s="1180"/>
      <c r="Y21" s="1180"/>
    </row>
    <row r="22" spans="2:25" ht="15.75" x14ac:dyDescent="0.25">
      <c r="B22" s="1195"/>
      <c r="C22" s="1195"/>
      <c r="D22" s="1195"/>
      <c r="E22" s="1195"/>
      <c r="F22" s="1195"/>
      <c r="G22" s="1195"/>
      <c r="H22" s="1195"/>
      <c r="I22" s="1195"/>
      <c r="J22" s="1195"/>
      <c r="K22" s="1195"/>
      <c r="L22" s="1195"/>
      <c r="M22" s="115"/>
      <c r="N22" s="115"/>
      <c r="O22" s="115"/>
      <c r="P22" s="1180"/>
      <c r="Q22" s="1180"/>
      <c r="R22" s="1180"/>
      <c r="S22" s="1180"/>
      <c r="T22" s="1180"/>
      <c r="U22" s="1180"/>
      <c r="V22" s="1180"/>
      <c r="W22" s="1180"/>
      <c r="X22" s="1180"/>
      <c r="Y22" s="1180"/>
    </row>
    <row r="23" spans="2:25" ht="15.75" x14ac:dyDescent="0.25">
      <c r="B23" s="115"/>
      <c r="C23" s="115"/>
      <c r="D23" s="115"/>
      <c r="E23" s="115"/>
      <c r="F23" s="115"/>
      <c r="G23" s="115"/>
      <c r="H23" s="115"/>
      <c r="I23" s="115"/>
      <c r="J23" s="115"/>
      <c r="K23" s="115"/>
      <c r="L23" s="115"/>
      <c r="M23" s="115"/>
      <c r="N23" s="115"/>
      <c r="O23" s="115"/>
      <c r="P23" s="1180"/>
      <c r="Q23" s="1180"/>
      <c r="R23" s="1180"/>
      <c r="S23" s="1180"/>
      <c r="T23" s="1180"/>
      <c r="U23" s="1180"/>
      <c r="V23" s="1180"/>
      <c r="W23" s="1180"/>
      <c r="X23" s="1180"/>
      <c r="Y23" s="1180"/>
    </row>
    <row r="24" spans="2:25" ht="15.75" x14ac:dyDescent="0.25">
      <c r="B24" s="1195"/>
      <c r="C24" s="1195"/>
      <c r="D24" s="1195"/>
      <c r="E24" s="1195"/>
      <c r="F24" s="1195"/>
      <c r="G24" s="1195"/>
      <c r="H24" s="1195"/>
      <c r="I24" s="1195"/>
      <c r="J24" s="1195"/>
      <c r="K24" s="1195"/>
      <c r="L24" s="1195"/>
      <c r="M24" s="115"/>
      <c r="N24" s="115"/>
      <c r="O24" s="115"/>
      <c r="P24" s="1180"/>
      <c r="Q24" s="1180"/>
      <c r="R24" s="1180"/>
      <c r="S24" s="1180"/>
      <c r="T24" s="1180"/>
      <c r="U24" s="1180"/>
      <c r="V24" s="1180"/>
      <c r="W24" s="1180"/>
      <c r="X24" s="1180"/>
      <c r="Y24" s="1180"/>
    </row>
    <row r="25" spans="2:25" ht="32.25" customHeight="1" x14ac:dyDescent="0.25">
      <c r="B25" s="1196"/>
      <c r="C25" s="1196"/>
      <c r="D25" s="1196"/>
      <c r="E25" s="1196"/>
      <c r="F25" s="1196"/>
      <c r="G25" s="1196"/>
      <c r="H25" s="1196"/>
      <c r="I25" s="1196"/>
      <c r="J25" s="1196"/>
      <c r="K25" s="1196"/>
      <c r="L25" s="1196"/>
      <c r="M25" s="1196"/>
      <c r="N25" s="1196"/>
      <c r="O25" s="1196"/>
      <c r="P25" s="1196"/>
      <c r="Q25" s="1196"/>
      <c r="R25" s="1196"/>
      <c r="S25" s="1196"/>
      <c r="T25" s="1196"/>
      <c r="U25" s="1196"/>
      <c r="V25" s="1196"/>
      <c r="W25" s="1196"/>
      <c r="X25" s="1196"/>
      <c r="Y25" s="1196"/>
    </row>
    <row r="26" spans="2:25" x14ac:dyDescent="0.25">
      <c r="B26" s="1196"/>
      <c r="C26" s="1196"/>
      <c r="D26" s="1196"/>
      <c r="E26" s="1196"/>
      <c r="F26" s="1196"/>
      <c r="G26" s="1196"/>
      <c r="H26" s="1196"/>
      <c r="I26" s="1196"/>
      <c r="J26" s="1196"/>
      <c r="K26" s="1196"/>
      <c r="L26" s="1196"/>
      <c r="M26" s="1196"/>
      <c r="N26" s="1196"/>
      <c r="O26" s="1196"/>
      <c r="P26" s="1196"/>
      <c r="Q26" s="1196"/>
      <c r="R26" s="1196"/>
      <c r="S26" s="1196"/>
      <c r="T26" s="1196"/>
      <c r="U26" s="1196"/>
      <c r="V26" s="1196"/>
      <c r="W26" s="1196"/>
      <c r="X26" s="1196"/>
      <c r="Y26" s="1196"/>
    </row>
    <row r="27" spans="2:25" x14ac:dyDescent="0.25">
      <c r="B27" s="1196"/>
      <c r="C27" s="1196"/>
      <c r="D27" s="1196"/>
      <c r="E27" s="1196"/>
      <c r="F27" s="1196"/>
      <c r="G27" s="1196"/>
      <c r="H27" s="1196"/>
      <c r="I27" s="1196"/>
      <c r="J27" s="1196"/>
      <c r="K27" s="1196"/>
      <c r="L27" s="1196"/>
      <c r="M27" s="1196"/>
      <c r="N27" s="1196"/>
      <c r="O27" s="1196"/>
      <c r="P27" s="1196"/>
      <c r="Q27" s="1196"/>
      <c r="R27" s="1196"/>
      <c r="S27" s="1196"/>
      <c r="T27" s="1196"/>
      <c r="U27" s="1196"/>
      <c r="V27" s="1196"/>
      <c r="W27" s="1196"/>
      <c r="X27" s="1196"/>
      <c r="Y27" s="1196"/>
    </row>
    <row r="28" spans="2:25" x14ac:dyDescent="0.25">
      <c r="B28" s="1196"/>
      <c r="C28" s="1196"/>
      <c r="D28" s="1196"/>
      <c r="E28" s="1196"/>
      <c r="F28" s="1196"/>
      <c r="G28" s="1196"/>
      <c r="H28" s="1196"/>
      <c r="I28" s="1196"/>
      <c r="J28" s="1196"/>
      <c r="K28" s="1196"/>
      <c r="L28" s="1196"/>
      <c r="M28" s="1196"/>
      <c r="N28" s="1196"/>
      <c r="O28" s="1196"/>
      <c r="P28" s="1196"/>
      <c r="Q28" s="1196"/>
      <c r="R28" s="1196"/>
      <c r="S28" s="1196"/>
      <c r="T28" s="1196"/>
      <c r="U28" s="1196"/>
      <c r="V28" s="1196"/>
      <c r="W28" s="1196"/>
      <c r="X28" s="1196"/>
      <c r="Y28" s="1196"/>
    </row>
    <row r="29" spans="2:25" x14ac:dyDescent="0.25">
      <c r="B29" s="1196"/>
      <c r="C29" s="1196"/>
      <c r="D29" s="1196"/>
      <c r="E29" s="1196"/>
      <c r="F29" s="1196"/>
      <c r="G29" s="1196"/>
      <c r="H29" s="1196"/>
      <c r="I29" s="1196"/>
      <c r="J29" s="1196"/>
      <c r="K29" s="1196"/>
      <c r="L29" s="1196"/>
      <c r="M29" s="1196"/>
      <c r="N29" s="1196"/>
      <c r="O29" s="1196"/>
      <c r="P29" s="1196"/>
      <c r="Q29" s="1196"/>
      <c r="R29" s="1196"/>
      <c r="S29" s="1196"/>
      <c r="T29" s="1196"/>
      <c r="U29" s="1196"/>
      <c r="V29" s="1196"/>
      <c r="W29" s="1196"/>
      <c r="X29" s="1196"/>
      <c r="Y29" s="1196"/>
    </row>
    <row r="30" spans="2:25" x14ac:dyDescent="0.25">
      <c r="B30" s="1196"/>
      <c r="C30" s="1196"/>
      <c r="D30" s="1196"/>
      <c r="E30" s="1196"/>
      <c r="F30" s="1196"/>
      <c r="G30" s="1196"/>
      <c r="H30" s="1196"/>
      <c r="I30" s="1196"/>
      <c r="J30" s="1196"/>
      <c r="K30" s="1196"/>
      <c r="L30" s="1196"/>
      <c r="M30" s="1196"/>
      <c r="N30" s="1196"/>
      <c r="O30" s="1196"/>
      <c r="P30" s="1196"/>
      <c r="Q30" s="1196"/>
      <c r="R30" s="1196"/>
      <c r="S30" s="1196"/>
      <c r="T30" s="1196"/>
      <c r="U30" s="1196"/>
      <c r="V30" s="1196"/>
      <c r="W30" s="1196"/>
      <c r="X30" s="1196"/>
      <c r="Y30" s="1196"/>
    </row>
    <row r="31" spans="2:25" x14ac:dyDescent="0.25">
      <c r="B31" s="1196"/>
      <c r="C31" s="1196"/>
      <c r="D31" s="1196"/>
      <c r="E31" s="1196"/>
      <c r="F31" s="1196"/>
      <c r="G31" s="1196"/>
      <c r="H31" s="1196"/>
      <c r="I31" s="1196"/>
      <c r="J31" s="1196"/>
      <c r="K31" s="1196"/>
      <c r="L31" s="1196"/>
      <c r="M31" s="1196"/>
      <c r="N31" s="1196"/>
      <c r="O31" s="1196"/>
      <c r="P31" s="1196"/>
      <c r="Q31" s="1196"/>
      <c r="R31" s="1196"/>
      <c r="S31" s="1196"/>
      <c r="T31" s="1196"/>
      <c r="U31" s="1196"/>
      <c r="V31" s="1196"/>
      <c r="W31" s="1196"/>
      <c r="X31" s="1196"/>
      <c r="Y31" s="1196"/>
    </row>
    <row r="32" spans="2:25" ht="30" customHeight="1" x14ac:dyDescent="0.25">
      <c r="B32" s="1200"/>
      <c r="C32" s="1200"/>
      <c r="D32" s="1200"/>
      <c r="E32" s="1200"/>
      <c r="F32" s="1200"/>
      <c r="G32" s="1200"/>
      <c r="H32" s="1200"/>
      <c r="I32" s="1200"/>
      <c r="J32" s="1200"/>
      <c r="K32" s="1200"/>
      <c r="L32" s="1200"/>
      <c r="M32" s="1200"/>
      <c r="N32" s="132"/>
      <c r="O32" s="132"/>
      <c r="P32" s="132"/>
      <c r="Q32" s="132"/>
      <c r="R32" s="132"/>
      <c r="S32" s="132"/>
      <c r="T32" s="132"/>
      <c r="U32" s="132"/>
      <c r="V32" s="132"/>
      <c r="W32" s="132"/>
      <c r="X32" s="132"/>
      <c r="Y32" s="132"/>
    </row>
    <row r="33" spans="2:25" ht="15.75" x14ac:dyDescent="0.2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row>
    <row r="34" spans="2:25" ht="15.75" x14ac:dyDescent="0.25">
      <c r="B34" s="1201"/>
      <c r="C34" s="1201"/>
      <c r="D34" s="1201"/>
      <c r="E34" s="1201"/>
      <c r="F34" s="1201"/>
      <c r="G34" s="1201"/>
      <c r="H34" s="1201"/>
      <c r="I34" s="1201"/>
      <c r="J34" s="1201"/>
      <c r="K34" s="1201"/>
      <c r="L34" s="115"/>
      <c r="M34" s="115"/>
      <c r="N34" s="115"/>
      <c r="O34" s="115"/>
      <c r="P34" s="115"/>
      <c r="Q34" s="115"/>
      <c r="R34" s="115"/>
      <c r="S34" s="115"/>
      <c r="T34" s="115"/>
      <c r="U34" s="115"/>
      <c r="V34" s="115"/>
      <c r="W34" s="115"/>
      <c r="X34" s="115"/>
      <c r="Y34" s="115"/>
    </row>
    <row r="35" spans="2:25" x14ac:dyDescent="0.25">
      <c r="B35" s="1196"/>
      <c r="C35" s="1196"/>
      <c r="D35" s="1196"/>
      <c r="E35" s="1196"/>
      <c r="F35" s="1196"/>
      <c r="G35" s="1196"/>
      <c r="H35" s="1196"/>
      <c r="I35" s="1196"/>
      <c r="J35" s="1196"/>
      <c r="K35" s="1196"/>
      <c r="L35" s="1196"/>
      <c r="M35" s="1196"/>
      <c r="N35" s="1196"/>
      <c r="O35" s="1196"/>
      <c r="P35" s="1196"/>
      <c r="Q35" s="1196"/>
      <c r="R35" s="1196"/>
      <c r="S35" s="1196"/>
      <c r="T35" s="1196"/>
      <c r="U35" s="1196"/>
      <c r="V35" s="1196"/>
      <c r="W35" s="1196"/>
      <c r="X35" s="1196"/>
      <c r="Y35" s="1196"/>
    </row>
    <row r="36" spans="2:25" x14ac:dyDescent="0.25">
      <c r="B36" s="1196"/>
      <c r="C36" s="1196"/>
      <c r="D36" s="1196"/>
      <c r="E36" s="1196"/>
      <c r="F36" s="1196"/>
      <c r="G36" s="1196"/>
      <c r="H36" s="1196"/>
      <c r="I36" s="1196"/>
      <c r="J36" s="1196"/>
      <c r="K36" s="1196"/>
      <c r="L36" s="1196"/>
      <c r="M36" s="1196"/>
      <c r="N36" s="1196"/>
      <c r="O36" s="1196"/>
      <c r="P36" s="1196"/>
      <c r="Q36" s="1196"/>
      <c r="R36" s="1196"/>
      <c r="S36" s="1196"/>
      <c r="T36" s="1196"/>
      <c r="U36" s="1196"/>
      <c r="V36" s="1196"/>
      <c r="W36" s="1196"/>
      <c r="X36" s="1196"/>
      <c r="Y36" s="1196"/>
    </row>
    <row r="37" spans="2:25" x14ac:dyDescent="0.25">
      <c r="B37" s="1196"/>
      <c r="C37" s="1196"/>
      <c r="D37" s="1196"/>
      <c r="E37" s="1196"/>
      <c r="F37" s="1196"/>
      <c r="G37" s="1196"/>
      <c r="H37" s="1196"/>
      <c r="I37" s="1196"/>
      <c r="J37" s="1196"/>
      <c r="K37" s="1196"/>
      <c r="L37" s="1196"/>
      <c r="M37" s="1196"/>
      <c r="N37" s="1196"/>
      <c r="O37" s="1196"/>
      <c r="P37" s="1196"/>
      <c r="Q37" s="1196"/>
      <c r="R37" s="1196"/>
      <c r="S37" s="1196"/>
      <c r="T37" s="1196"/>
      <c r="U37" s="1196"/>
      <c r="V37" s="1196"/>
      <c r="W37" s="1196"/>
      <c r="X37" s="1196"/>
      <c r="Y37" s="1196"/>
    </row>
    <row r="38" spans="2:25" x14ac:dyDescent="0.25">
      <c r="B38" s="1196"/>
      <c r="C38" s="1196"/>
      <c r="D38" s="1196"/>
      <c r="E38" s="1196"/>
      <c r="F38" s="1196"/>
      <c r="G38" s="1196"/>
      <c r="H38" s="1196"/>
      <c r="I38" s="1196"/>
      <c r="J38" s="1196"/>
      <c r="K38" s="1196"/>
      <c r="L38" s="1196"/>
      <c r="M38" s="1196"/>
      <c r="N38" s="1196"/>
      <c r="O38" s="1196"/>
      <c r="P38" s="1196"/>
      <c r="Q38" s="1196"/>
      <c r="R38" s="1196"/>
      <c r="S38" s="1196"/>
      <c r="T38" s="1196"/>
      <c r="U38" s="1196"/>
      <c r="V38" s="1196"/>
      <c r="W38" s="1196"/>
      <c r="X38" s="1196"/>
      <c r="Y38" s="1196"/>
    </row>
    <row r="39" spans="2:25" x14ac:dyDescent="0.25">
      <c r="B39" s="1196"/>
      <c r="C39" s="1196"/>
      <c r="D39" s="1196"/>
      <c r="E39" s="1196"/>
      <c r="F39" s="1196"/>
      <c r="G39" s="1196"/>
      <c r="H39" s="1196"/>
      <c r="I39" s="1196"/>
      <c r="J39" s="1196"/>
      <c r="K39" s="1196"/>
      <c r="L39" s="1196"/>
      <c r="M39" s="1196"/>
      <c r="N39" s="1196"/>
      <c r="O39" s="1196"/>
      <c r="P39" s="1196"/>
      <c r="Q39" s="1196"/>
      <c r="R39" s="1196"/>
      <c r="S39" s="1196"/>
      <c r="T39" s="1196"/>
      <c r="U39" s="1196"/>
      <c r="V39" s="1196"/>
      <c r="W39" s="1196"/>
      <c r="X39" s="1196"/>
      <c r="Y39" s="1196"/>
    </row>
    <row r="40" spans="2:25" x14ac:dyDescent="0.25">
      <c r="B40" s="1196"/>
      <c r="C40" s="1196"/>
      <c r="D40" s="1196"/>
      <c r="E40" s="1196"/>
      <c r="F40" s="1196"/>
      <c r="G40" s="1196"/>
      <c r="H40" s="1196"/>
      <c r="I40" s="1196"/>
      <c r="J40" s="1196"/>
      <c r="K40" s="1196"/>
      <c r="L40" s="1196"/>
      <c r="M40" s="1196"/>
      <c r="N40" s="1196"/>
      <c r="O40" s="1196"/>
      <c r="P40" s="1196"/>
      <c r="Q40" s="1196"/>
      <c r="R40" s="1196"/>
      <c r="S40" s="1196"/>
      <c r="T40" s="1196"/>
      <c r="U40" s="1196"/>
      <c r="V40" s="1196"/>
      <c r="W40" s="1196"/>
      <c r="X40" s="1196"/>
      <c r="Y40" s="1196"/>
    </row>
    <row r="41" spans="2:25" ht="15.75" x14ac:dyDescent="0.25">
      <c r="B41" s="1199"/>
      <c r="C41" s="1199"/>
      <c r="D41" s="1199"/>
      <c r="E41" s="1199"/>
      <c r="F41" s="1199"/>
      <c r="G41" s="1199"/>
      <c r="H41" s="1199"/>
      <c r="I41" s="1199"/>
      <c r="J41" s="1199"/>
      <c r="K41" s="1199"/>
      <c r="L41" s="1199"/>
      <c r="M41" s="1199"/>
      <c r="N41" s="1199"/>
      <c r="O41" s="1199"/>
      <c r="P41" s="1199"/>
      <c r="Q41" s="1199"/>
      <c r="R41" s="1199"/>
      <c r="S41" s="1199"/>
      <c r="T41" s="1199"/>
      <c r="U41" s="1199"/>
      <c r="V41" s="1199"/>
      <c r="W41" s="1199"/>
      <c r="X41" s="1199"/>
      <c r="Y41" s="1199"/>
    </row>
    <row r="42" spans="2:25" x14ac:dyDescent="0.25">
      <c r="B42" s="240"/>
    </row>
  </sheetData>
  <mergeCells count="110">
    <mergeCell ref="B41:Y41"/>
    <mergeCell ref="B35:Y35"/>
    <mergeCell ref="B36:Y36"/>
    <mergeCell ref="B37:Y37"/>
    <mergeCell ref="B38:Y38"/>
    <mergeCell ref="B39:Y39"/>
    <mergeCell ref="B40:Y40"/>
    <mergeCell ref="B28:Y28"/>
    <mergeCell ref="B29:Y29"/>
    <mergeCell ref="B30:Y30"/>
    <mergeCell ref="B31:Y31"/>
    <mergeCell ref="B32:M32"/>
    <mergeCell ref="B34:K34"/>
    <mergeCell ref="P23:Y23"/>
    <mergeCell ref="B24:L24"/>
    <mergeCell ref="P24:Y24"/>
    <mergeCell ref="B25:Y25"/>
    <mergeCell ref="B26:Y26"/>
    <mergeCell ref="B27:Y27"/>
    <mergeCell ref="N18:N19"/>
    <mergeCell ref="O18:O19"/>
    <mergeCell ref="P18:Y18"/>
    <mergeCell ref="P20:Y20"/>
    <mergeCell ref="P21:Y21"/>
    <mergeCell ref="B22:L22"/>
    <mergeCell ref="P22:Y22"/>
    <mergeCell ref="H18:H19"/>
    <mergeCell ref="I18:I19"/>
    <mergeCell ref="J18:J19"/>
    <mergeCell ref="K18:K19"/>
    <mergeCell ref="L18:L19"/>
    <mergeCell ref="M18:M19"/>
    <mergeCell ref="B18:B19"/>
    <mergeCell ref="C18:C19"/>
    <mergeCell ref="D18:D19"/>
    <mergeCell ref="E18:E19"/>
    <mergeCell ref="F18:F19"/>
    <mergeCell ref="G18:G19"/>
    <mergeCell ref="G16:G17"/>
    <mergeCell ref="H16:H17"/>
    <mergeCell ref="I16:I17"/>
    <mergeCell ref="B16:B17"/>
    <mergeCell ref="C16:C17"/>
    <mergeCell ref="D16:D17"/>
    <mergeCell ref="E16:E17"/>
    <mergeCell ref="F16:F17"/>
    <mergeCell ref="M16:M17"/>
    <mergeCell ref="N16:N17"/>
    <mergeCell ref="O16:O17"/>
    <mergeCell ref="P16:Y16"/>
    <mergeCell ref="J16:J17"/>
    <mergeCell ref="K16:K17"/>
    <mergeCell ref="L16:L17"/>
    <mergeCell ref="P12:Y13"/>
    <mergeCell ref="B14:B15"/>
    <mergeCell ref="D14:D15"/>
    <mergeCell ref="E14:E15"/>
    <mergeCell ref="F14:F15"/>
    <mergeCell ref="G14:G15"/>
    <mergeCell ref="H14:H15"/>
    <mergeCell ref="I14:I15"/>
    <mergeCell ref="J14:J15"/>
    <mergeCell ref="K14:K15"/>
    <mergeCell ref="J12:J13"/>
    <mergeCell ref="K12:K13"/>
    <mergeCell ref="L12:L13"/>
    <mergeCell ref="M12:M13"/>
    <mergeCell ref="N12:N13"/>
    <mergeCell ref="O12:O13"/>
    <mergeCell ref="L14:L15"/>
    <mergeCell ref="M14:M15"/>
    <mergeCell ref="N14:N15"/>
    <mergeCell ref="O14:O15"/>
    <mergeCell ref="P14:Y15"/>
    <mergeCell ref="B12:B13"/>
    <mergeCell ref="C12:C13"/>
    <mergeCell ref="D12:D13"/>
    <mergeCell ref="E12:E13"/>
    <mergeCell ref="F12:F13"/>
    <mergeCell ref="G12:G13"/>
    <mergeCell ref="H12:H13"/>
    <mergeCell ref="I12:I13"/>
    <mergeCell ref="I10:I11"/>
    <mergeCell ref="P7:Y7"/>
    <mergeCell ref="P8:Y8"/>
    <mergeCell ref="P9:Y9"/>
    <mergeCell ref="B10:B11"/>
    <mergeCell ref="D10:D11"/>
    <mergeCell ref="E10:E11"/>
    <mergeCell ref="F10:F11"/>
    <mergeCell ref="G10:G11"/>
    <mergeCell ref="H10:H11"/>
    <mergeCell ref="O10:O11"/>
    <mergeCell ref="P10:Y11"/>
    <mergeCell ref="J10:J11"/>
    <mergeCell ref="K10:K11"/>
    <mergeCell ref="L10:L11"/>
    <mergeCell ref="M10:M11"/>
    <mergeCell ref="N10:N11"/>
    <mergeCell ref="B2:M2"/>
    <mergeCell ref="P3:Y3"/>
    <mergeCell ref="P4:Y4"/>
    <mergeCell ref="D5:E6"/>
    <mergeCell ref="F5:G6"/>
    <mergeCell ref="P5:Y5"/>
    <mergeCell ref="H6:I6"/>
    <mergeCell ref="J6:K6"/>
    <mergeCell ref="L6:M6"/>
    <mergeCell ref="N6:O6"/>
    <mergeCell ref="P6:Y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T52"/>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334" customWidth="1"/>
    <col min="2" max="2" width="7.77734375" style="334" customWidth="1"/>
    <col min="3" max="3" width="23.109375" style="334" customWidth="1"/>
    <col min="4" max="4" width="9.21875" style="334" customWidth="1"/>
    <col min="5" max="5" width="9.6640625" style="334" customWidth="1"/>
    <col min="6" max="15" width="9.21875" style="334" customWidth="1"/>
    <col min="16" max="16" width="9.6640625" style="334" customWidth="1"/>
    <col min="17" max="18" width="9.21875" style="334" customWidth="1"/>
    <col min="19" max="16384" width="9.21875" style="334"/>
  </cols>
  <sheetData>
    <row r="2" spans="2:18" ht="15" x14ac:dyDescent="0.25">
      <c r="B2" s="940" t="s">
        <v>3521</v>
      </c>
    </row>
    <row r="4" spans="2:18" ht="21" x14ac:dyDescent="0.2">
      <c r="B4" s="1204" t="s">
        <v>896</v>
      </c>
      <c r="C4" s="1205"/>
      <c r="D4" s="1205"/>
      <c r="E4" s="1205"/>
      <c r="F4" s="1205"/>
      <c r="G4" s="1205"/>
      <c r="H4" s="1205"/>
      <c r="I4" s="1205"/>
      <c r="J4" s="1205"/>
      <c r="K4" s="1205"/>
      <c r="L4" s="1205"/>
      <c r="M4" s="1205"/>
      <c r="N4" s="1205"/>
      <c r="O4" s="1205"/>
    </row>
    <row r="5" spans="2:18" x14ac:dyDescent="0.2">
      <c r="B5" s="335"/>
    </row>
    <row r="6" spans="2:18" ht="20.100000000000001" customHeight="1" x14ac:dyDescent="0.2">
      <c r="B6" s="336"/>
      <c r="C6" s="336"/>
      <c r="D6" s="542" t="s">
        <v>161</v>
      </c>
      <c r="E6" s="542" t="s">
        <v>162</v>
      </c>
      <c r="F6" s="542" t="s">
        <v>163</v>
      </c>
      <c r="G6" s="542" t="s">
        <v>200</v>
      </c>
      <c r="H6" s="542" t="s">
        <v>201</v>
      </c>
      <c r="I6" s="542" t="s">
        <v>266</v>
      </c>
      <c r="J6" s="542" t="s">
        <v>267</v>
      </c>
      <c r="K6" s="542" t="s">
        <v>268</v>
      </c>
      <c r="L6" s="542" t="s">
        <v>269</v>
      </c>
      <c r="M6" s="542" t="s">
        <v>270</v>
      </c>
      <c r="N6" s="542" t="s">
        <v>271</v>
      </c>
      <c r="O6" s="542" t="s">
        <v>272</v>
      </c>
      <c r="P6" s="542" t="s">
        <v>273</v>
      </c>
      <c r="Q6" s="542" t="s">
        <v>897</v>
      </c>
      <c r="R6" s="542" t="s">
        <v>898</v>
      </c>
    </row>
    <row r="7" spans="2:18" ht="24.95" customHeight="1" x14ac:dyDescent="0.2">
      <c r="B7" s="337"/>
      <c r="C7" s="337"/>
      <c r="D7" s="1049" t="s">
        <v>899</v>
      </c>
      <c r="E7" s="1049"/>
      <c r="F7" s="1049"/>
      <c r="G7" s="1049"/>
      <c r="H7" s="1049"/>
      <c r="I7" s="1049"/>
      <c r="J7" s="1049" t="s">
        <v>900</v>
      </c>
      <c r="K7" s="1049"/>
      <c r="L7" s="1049"/>
      <c r="M7" s="1049"/>
      <c r="N7" s="1049"/>
      <c r="O7" s="1049"/>
      <c r="P7" s="1049" t="s">
        <v>901</v>
      </c>
      <c r="Q7" s="1049" t="s">
        <v>902</v>
      </c>
      <c r="R7" s="1049"/>
    </row>
    <row r="8" spans="2:18" ht="60" customHeight="1" x14ac:dyDescent="0.2">
      <c r="B8" s="337"/>
      <c r="C8" s="337"/>
      <c r="D8" s="1206" t="s">
        <v>903</v>
      </c>
      <c r="E8" s="1207"/>
      <c r="F8" s="1203"/>
      <c r="G8" s="1206" t="s">
        <v>904</v>
      </c>
      <c r="H8" s="1207"/>
      <c r="I8" s="1203"/>
      <c r="J8" s="1206" t="s">
        <v>905</v>
      </c>
      <c r="K8" s="1207"/>
      <c r="L8" s="1203"/>
      <c r="M8" s="1208" t="s">
        <v>906</v>
      </c>
      <c r="N8" s="1208"/>
      <c r="O8" s="1208"/>
      <c r="P8" s="1049"/>
      <c r="Q8" s="1049" t="s">
        <v>907</v>
      </c>
      <c r="R8" s="1049" t="s">
        <v>908</v>
      </c>
    </row>
    <row r="9" spans="2:18" ht="24.95" customHeight="1" x14ac:dyDescent="0.2">
      <c r="B9" s="337"/>
      <c r="C9" s="337"/>
      <c r="D9" s="565"/>
      <c r="E9" s="531" t="s">
        <v>909</v>
      </c>
      <c r="F9" s="531" t="s">
        <v>910</v>
      </c>
      <c r="G9" s="563"/>
      <c r="H9" s="564" t="s">
        <v>910</v>
      </c>
      <c r="I9" s="564" t="s">
        <v>911</v>
      </c>
      <c r="J9" s="563"/>
      <c r="K9" s="564" t="s">
        <v>909</v>
      </c>
      <c r="L9" s="564" t="s">
        <v>910</v>
      </c>
      <c r="M9" s="563"/>
      <c r="N9" s="564" t="s">
        <v>910</v>
      </c>
      <c r="O9" s="564" t="s">
        <v>911</v>
      </c>
      <c r="P9" s="1203"/>
      <c r="Q9" s="1202"/>
      <c r="R9" s="1202"/>
    </row>
    <row r="10" spans="2:18" ht="24.95" customHeight="1" x14ac:dyDescent="0.2">
      <c r="B10" s="573" t="s">
        <v>912</v>
      </c>
      <c r="C10" s="910" t="s">
        <v>913</v>
      </c>
      <c r="D10" s="577">
        <v>876.14717299999995</v>
      </c>
      <c r="E10" s="578">
        <v>876.14717299999995</v>
      </c>
      <c r="F10" s="578"/>
      <c r="G10" s="578"/>
      <c r="H10" s="578"/>
      <c r="I10" s="578"/>
      <c r="J10" s="578"/>
      <c r="K10" s="578"/>
      <c r="L10" s="578"/>
      <c r="M10" s="578"/>
      <c r="N10" s="578"/>
      <c r="O10" s="578"/>
      <c r="P10" s="578"/>
      <c r="Q10" s="578"/>
      <c r="R10" s="578"/>
    </row>
    <row r="11" spans="2:18" ht="20.100000000000001" customHeight="1" x14ac:dyDescent="0.2">
      <c r="B11" s="537" t="s">
        <v>289</v>
      </c>
      <c r="C11" s="574" t="s">
        <v>914</v>
      </c>
      <c r="D11" s="578">
        <v>138705.54199</v>
      </c>
      <c r="E11" s="578">
        <v>119124.00691</v>
      </c>
      <c r="F11" s="578">
        <v>10436.23508</v>
      </c>
      <c r="G11" s="578">
        <v>736.14992199999995</v>
      </c>
      <c r="H11" s="578">
        <v>15.473832</v>
      </c>
      <c r="I11" s="578">
        <v>720.67609100000004</v>
      </c>
      <c r="J11" s="868">
        <v>-497.744778</v>
      </c>
      <c r="K11" s="868">
        <v>-223.90274199999999</v>
      </c>
      <c r="L11" s="868">
        <v>-273.84203600000001</v>
      </c>
      <c r="M11" s="868">
        <v>-204.80251100000001</v>
      </c>
      <c r="N11" s="868">
        <v>-5.0000000000000004E-6</v>
      </c>
      <c r="O11" s="868">
        <v>-204.80250599999999</v>
      </c>
      <c r="P11" s="578"/>
      <c r="Q11" s="578">
        <v>77028.177716999999</v>
      </c>
      <c r="R11" s="578">
        <v>500.74969700000003</v>
      </c>
    </row>
    <row r="12" spans="2:18" ht="20.100000000000001" customHeight="1" x14ac:dyDescent="0.2">
      <c r="B12" s="532" t="s">
        <v>291</v>
      </c>
      <c r="C12" s="568" t="s">
        <v>915</v>
      </c>
      <c r="D12" s="584"/>
      <c r="E12" s="584"/>
      <c r="F12" s="584"/>
      <c r="G12" s="584"/>
      <c r="H12" s="584"/>
      <c r="I12" s="584"/>
      <c r="J12" s="869"/>
      <c r="K12" s="869"/>
      <c r="L12" s="869"/>
      <c r="M12" s="869"/>
      <c r="N12" s="869"/>
      <c r="O12" s="869"/>
      <c r="P12" s="584"/>
      <c r="Q12" s="584"/>
      <c r="R12" s="584"/>
    </row>
    <row r="13" spans="2:18" ht="20.100000000000001" customHeight="1" x14ac:dyDescent="0.2">
      <c r="B13" s="532" t="s">
        <v>916</v>
      </c>
      <c r="C13" s="567" t="s">
        <v>917</v>
      </c>
      <c r="D13" s="584">
        <v>226.916437</v>
      </c>
      <c r="E13" s="584">
        <v>226.916437</v>
      </c>
      <c r="F13" s="584"/>
      <c r="G13" s="584"/>
      <c r="H13" s="584"/>
      <c r="I13" s="584"/>
      <c r="J13" s="869">
        <v>-9.1852000000000003E-2</v>
      </c>
      <c r="K13" s="869">
        <v>-9.1852000000000003E-2</v>
      </c>
      <c r="L13" s="869"/>
      <c r="M13" s="869"/>
      <c r="N13" s="869"/>
      <c r="O13" s="869"/>
      <c r="P13" s="585"/>
      <c r="Q13" s="585">
        <v>35.512918999999997</v>
      </c>
      <c r="R13" s="584"/>
    </row>
    <row r="14" spans="2:18" ht="20.100000000000001" customHeight="1" x14ac:dyDescent="0.2">
      <c r="B14" s="532" t="s">
        <v>918</v>
      </c>
      <c r="C14" s="567" t="s">
        <v>919</v>
      </c>
      <c r="D14" s="584">
        <v>1245.38221</v>
      </c>
      <c r="E14" s="584">
        <v>1245.38221</v>
      </c>
      <c r="F14" s="584"/>
      <c r="G14" s="584"/>
      <c r="H14" s="584"/>
      <c r="I14" s="584"/>
      <c r="J14" s="869">
        <v>-1.0007E-2</v>
      </c>
      <c r="K14" s="869">
        <v>-1.0007E-2</v>
      </c>
      <c r="L14" s="869"/>
      <c r="M14" s="869"/>
      <c r="N14" s="869"/>
      <c r="O14" s="869"/>
      <c r="P14" s="585"/>
      <c r="Q14" s="585">
        <v>7.2000000000000005E-4</v>
      </c>
      <c r="R14" s="584"/>
    </row>
    <row r="15" spans="2:18" ht="20.100000000000001" customHeight="1" x14ac:dyDescent="0.2">
      <c r="B15" s="532" t="s">
        <v>920</v>
      </c>
      <c r="C15" s="567" t="s">
        <v>921</v>
      </c>
      <c r="D15" s="584">
        <v>1402.506654</v>
      </c>
      <c r="E15" s="584">
        <v>59.070081000000002</v>
      </c>
      <c r="F15" s="584">
        <v>1343.436573</v>
      </c>
      <c r="G15" s="584"/>
      <c r="H15" s="584"/>
      <c r="I15" s="584"/>
      <c r="J15" s="869">
        <v>-1.5482880000000001</v>
      </c>
      <c r="K15" s="869">
        <v>-0.85468200000000005</v>
      </c>
      <c r="L15" s="869">
        <v>-0.69360599999999994</v>
      </c>
      <c r="M15" s="869"/>
      <c r="N15" s="869"/>
      <c r="O15" s="869"/>
      <c r="P15" s="585"/>
      <c r="Q15" s="585">
        <v>62.319647000000003</v>
      </c>
      <c r="R15" s="584"/>
    </row>
    <row r="16" spans="2:18" ht="20.100000000000001" customHeight="1" x14ac:dyDescent="0.2">
      <c r="B16" s="532" t="s">
        <v>922</v>
      </c>
      <c r="C16" s="567" t="s">
        <v>923</v>
      </c>
      <c r="D16" s="584">
        <v>39823.070104999999</v>
      </c>
      <c r="E16" s="584">
        <v>34653.606484000004</v>
      </c>
      <c r="F16" s="584">
        <v>5144.303484</v>
      </c>
      <c r="G16" s="584">
        <v>426.93853100000001</v>
      </c>
      <c r="H16" s="584">
        <v>5.2579820000000002</v>
      </c>
      <c r="I16" s="584">
        <v>421.68054899999998</v>
      </c>
      <c r="J16" s="869">
        <v>-402.31838399999998</v>
      </c>
      <c r="K16" s="869">
        <v>-177.58793499999999</v>
      </c>
      <c r="L16" s="869">
        <v>-224.73044899999999</v>
      </c>
      <c r="M16" s="869">
        <v>-147.82318799999999</v>
      </c>
      <c r="N16" s="869">
        <v>-5</v>
      </c>
      <c r="O16" s="869">
        <v>-147.823183</v>
      </c>
      <c r="P16" s="585"/>
      <c r="Q16" s="585">
        <v>33114.007409999998</v>
      </c>
      <c r="R16" s="584">
        <v>278.87478099999998</v>
      </c>
    </row>
    <row r="17" spans="2:18" ht="20.100000000000001" customHeight="1" x14ac:dyDescent="0.2">
      <c r="B17" s="532" t="s">
        <v>924</v>
      </c>
      <c r="C17" s="566" t="s">
        <v>925</v>
      </c>
      <c r="D17" s="584">
        <v>24167.058954</v>
      </c>
      <c r="E17" s="584">
        <v>21005.116909</v>
      </c>
      <c r="F17" s="584">
        <v>3140.5356499999998</v>
      </c>
      <c r="G17" s="584">
        <v>333.73142899999999</v>
      </c>
      <c r="H17" s="584"/>
      <c r="I17" s="584">
        <v>333.73142899999999</v>
      </c>
      <c r="J17" s="869">
        <v>-265.74235199999998</v>
      </c>
      <c r="K17" s="869">
        <v>-113.64806</v>
      </c>
      <c r="L17" s="869">
        <v>-152.094292</v>
      </c>
      <c r="M17" s="869">
        <v>-117.074015</v>
      </c>
      <c r="N17" s="869"/>
      <c r="O17" s="869">
        <v>-117.074015</v>
      </c>
      <c r="P17" s="585"/>
      <c r="Q17" s="585">
        <v>22691.071552000001</v>
      </c>
      <c r="R17" s="584">
        <v>216.65741399999999</v>
      </c>
    </row>
    <row r="18" spans="2:18" ht="20.100000000000001" customHeight="1" x14ac:dyDescent="0.2">
      <c r="B18" s="532" t="s">
        <v>926</v>
      </c>
      <c r="C18" s="567" t="s">
        <v>927</v>
      </c>
      <c r="D18" s="584">
        <v>96007.662775000004</v>
      </c>
      <c r="E18" s="584">
        <v>82939.031698000006</v>
      </c>
      <c r="F18" s="584">
        <v>3948.4950229999999</v>
      </c>
      <c r="G18" s="584">
        <v>317.005132</v>
      </c>
      <c r="H18" s="584">
        <v>10.21585</v>
      </c>
      <c r="I18" s="584">
        <v>298.995542</v>
      </c>
      <c r="J18" s="869">
        <v>-93.776246999999998</v>
      </c>
      <c r="K18" s="869">
        <v>-45.358266</v>
      </c>
      <c r="L18" s="869">
        <v>-48.417980999999997</v>
      </c>
      <c r="M18" s="869">
        <v>-56.979323000000001</v>
      </c>
      <c r="N18" s="869"/>
      <c r="O18" s="869">
        <v>-56.979323000000001</v>
      </c>
      <c r="P18" s="585"/>
      <c r="Q18" s="585">
        <v>52842.780604</v>
      </c>
      <c r="R18" s="584">
        <v>229.41057599999999</v>
      </c>
    </row>
    <row r="19" spans="2:18" ht="20.100000000000001" customHeight="1" x14ac:dyDescent="0.2">
      <c r="B19" s="537" t="s">
        <v>928</v>
      </c>
      <c r="C19" s="575" t="s">
        <v>929</v>
      </c>
      <c r="D19" s="578">
        <v>23296.290981999999</v>
      </c>
      <c r="E19" s="578">
        <v>634.57234300000005</v>
      </c>
      <c r="F19" s="578"/>
      <c r="G19" s="578"/>
      <c r="H19" s="578"/>
      <c r="I19" s="578"/>
      <c r="J19" s="868"/>
      <c r="K19" s="868"/>
      <c r="L19" s="868"/>
      <c r="M19" s="868"/>
      <c r="N19" s="868"/>
      <c r="O19" s="868"/>
      <c r="P19" s="423"/>
      <c r="Q19" s="423"/>
      <c r="R19" s="578"/>
    </row>
    <row r="20" spans="2:18" ht="20.100000000000001" customHeight="1" x14ac:dyDescent="0.2">
      <c r="B20" s="532" t="s">
        <v>930</v>
      </c>
      <c r="C20" s="567" t="s">
        <v>915</v>
      </c>
      <c r="D20" s="586">
        <v>4968.3535789999996</v>
      </c>
      <c r="E20" s="586">
        <v>291.94201700000002</v>
      </c>
      <c r="F20" s="586"/>
      <c r="G20" s="586"/>
      <c r="H20" s="586"/>
      <c r="I20" s="586"/>
      <c r="J20" s="870"/>
      <c r="K20" s="870"/>
      <c r="L20" s="870"/>
      <c r="M20" s="870"/>
      <c r="N20" s="870"/>
      <c r="O20" s="870"/>
      <c r="P20" s="587"/>
      <c r="Q20" s="587"/>
      <c r="R20" s="586"/>
    </row>
    <row r="21" spans="2:18" ht="20.100000000000001" customHeight="1" x14ac:dyDescent="0.2">
      <c r="B21" s="532" t="s">
        <v>931</v>
      </c>
      <c r="C21" s="567" t="s">
        <v>917</v>
      </c>
      <c r="D21" s="586"/>
      <c r="E21" s="586"/>
      <c r="F21" s="586"/>
      <c r="G21" s="586"/>
      <c r="H21" s="586"/>
      <c r="I21" s="586"/>
      <c r="J21" s="870"/>
      <c r="K21" s="870"/>
      <c r="L21" s="870"/>
      <c r="M21" s="870"/>
      <c r="N21" s="870"/>
      <c r="O21" s="870"/>
      <c r="P21" s="587"/>
      <c r="Q21" s="587"/>
      <c r="R21" s="586"/>
    </row>
    <row r="22" spans="2:18" ht="20.100000000000001" customHeight="1" x14ac:dyDescent="0.2">
      <c r="B22" s="532" t="s">
        <v>932</v>
      </c>
      <c r="C22" s="567" t="s">
        <v>919</v>
      </c>
      <c r="D22" s="586">
        <v>18106.107648000001</v>
      </c>
      <c r="E22" s="586">
        <v>342.63032600000003</v>
      </c>
      <c r="F22" s="586"/>
      <c r="G22" s="586"/>
      <c r="H22" s="586"/>
      <c r="I22" s="586"/>
      <c r="J22" s="870"/>
      <c r="K22" s="870"/>
      <c r="L22" s="870"/>
      <c r="M22" s="870"/>
      <c r="N22" s="870"/>
      <c r="O22" s="870"/>
      <c r="P22" s="587"/>
      <c r="Q22" s="587"/>
      <c r="R22" s="586"/>
    </row>
    <row r="23" spans="2:18" ht="20.100000000000001" customHeight="1" x14ac:dyDescent="0.2">
      <c r="B23" s="532" t="s">
        <v>933</v>
      </c>
      <c r="C23" s="567" t="s">
        <v>921</v>
      </c>
      <c r="D23" s="586">
        <v>218.022425</v>
      </c>
      <c r="E23" s="586"/>
      <c r="F23" s="586"/>
      <c r="G23" s="586"/>
      <c r="H23" s="586"/>
      <c r="I23" s="586"/>
      <c r="J23" s="870"/>
      <c r="K23" s="870"/>
      <c r="L23" s="870"/>
      <c r="M23" s="870"/>
      <c r="N23" s="870"/>
      <c r="O23" s="870"/>
      <c r="P23" s="587"/>
      <c r="Q23" s="587"/>
      <c r="R23" s="586"/>
    </row>
    <row r="24" spans="2:18" ht="20.100000000000001" customHeight="1" x14ac:dyDescent="0.2">
      <c r="B24" s="532" t="s">
        <v>934</v>
      </c>
      <c r="C24" s="567" t="s">
        <v>923</v>
      </c>
      <c r="D24" s="586">
        <v>3.8073299999999999</v>
      </c>
      <c r="E24" s="586"/>
      <c r="F24" s="586"/>
      <c r="G24" s="586"/>
      <c r="H24" s="586"/>
      <c r="I24" s="586"/>
      <c r="J24" s="870"/>
      <c r="K24" s="870"/>
      <c r="L24" s="870"/>
      <c r="M24" s="870"/>
      <c r="N24" s="870"/>
      <c r="O24" s="870"/>
      <c r="P24" s="587"/>
      <c r="Q24" s="587"/>
      <c r="R24" s="586"/>
    </row>
    <row r="25" spans="2:18" ht="20.100000000000001" customHeight="1" x14ac:dyDescent="0.2">
      <c r="B25" s="537" t="s">
        <v>935</v>
      </c>
      <c r="C25" s="575" t="s">
        <v>936</v>
      </c>
      <c r="D25" s="578">
        <v>17614.388837999999</v>
      </c>
      <c r="E25" s="578">
        <v>15285.396588</v>
      </c>
      <c r="F25" s="578">
        <v>2328.9922499999998</v>
      </c>
      <c r="G25" s="578">
        <v>176.66589099999999</v>
      </c>
      <c r="H25" s="578"/>
      <c r="I25" s="578">
        <v>99.253119999999996</v>
      </c>
      <c r="J25" s="871">
        <v>69.890500000000003</v>
      </c>
      <c r="K25" s="871">
        <v>26.918648000000001</v>
      </c>
      <c r="L25" s="871">
        <v>42.971851000000001</v>
      </c>
      <c r="M25" s="871">
        <v>6.3336990000000002</v>
      </c>
      <c r="N25" s="871"/>
      <c r="O25" s="871">
        <v>6.3336990000000002</v>
      </c>
      <c r="P25" s="576"/>
      <c r="Q25" s="423"/>
      <c r="R25" s="423"/>
    </row>
    <row r="26" spans="2:18" ht="20.100000000000001" customHeight="1" x14ac:dyDescent="0.2">
      <c r="B26" s="532" t="s">
        <v>937</v>
      </c>
      <c r="C26" s="567" t="s">
        <v>915</v>
      </c>
      <c r="D26" s="584"/>
      <c r="E26" s="584"/>
      <c r="F26" s="584"/>
      <c r="G26" s="584"/>
      <c r="H26" s="584"/>
      <c r="I26" s="584"/>
      <c r="J26" s="870"/>
      <c r="K26" s="870"/>
      <c r="L26" s="870"/>
      <c r="M26" s="870"/>
      <c r="N26" s="870"/>
      <c r="O26" s="870"/>
      <c r="P26" s="576"/>
      <c r="Q26" s="587"/>
      <c r="R26" s="587"/>
    </row>
    <row r="27" spans="2:18" ht="20.100000000000001" customHeight="1" x14ac:dyDescent="0.2">
      <c r="B27" s="532" t="s">
        <v>938</v>
      </c>
      <c r="C27" s="567" t="s">
        <v>917</v>
      </c>
      <c r="D27" s="584">
        <v>412.88214199999999</v>
      </c>
      <c r="E27" s="584">
        <v>412.88214199999999</v>
      </c>
      <c r="F27" s="584"/>
      <c r="G27" s="584"/>
      <c r="H27" s="584"/>
      <c r="I27" s="584"/>
      <c r="J27" s="870">
        <v>8.0075999999999994E-2</v>
      </c>
      <c r="K27" s="870">
        <v>8.0075999999999994E-2</v>
      </c>
      <c r="L27" s="870"/>
      <c r="M27" s="870"/>
      <c r="N27" s="870"/>
      <c r="O27" s="870"/>
      <c r="P27" s="576"/>
      <c r="Q27" s="587"/>
      <c r="R27" s="587"/>
    </row>
    <row r="28" spans="2:18" ht="20.100000000000001" customHeight="1" x14ac:dyDescent="0.2">
      <c r="B28" s="532" t="s">
        <v>939</v>
      </c>
      <c r="C28" s="567" t="s">
        <v>919</v>
      </c>
      <c r="D28" s="584">
        <v>35.40643</v>
      </c>
      <c r="E28" s="584">
        <v>35.40643</v>
      </c>
      <c r="F28" s="584"/>
      <c r="G28" s="584"/>
      <c r="H28" s="584"/>
      <c r="I28" s="584"/>
      <c r="J28" s="870">
        <v>1.332144</v>
      </c>
      <c r="K28" s="870">
        <v>1.3299879999999999</v>
      </c>
      <c r="L28" s="870">
        <v>2.1549999999999998E-3</v>
      </c>
      <c r="M28" s="870"/>
      <c r="N28" s="870"/>
      <c r="O28" s="870"/>
      <c r="P28" s="576"/>
      <c r="Q28" s="587"/>
      <c r="R28" s="587"/>
    </row>
    <row r="29" spans="2:18" ht="20.100000000000001" customHeight="1" x14ac:dyDescent="0.2">
      <c r="B29" s="532" t="s">
        <v>940</v>
      </c>
      <c r="C29" s="567" t="s">
        <v>921</v>
      </c>
      <c r="D29" s="584">
        <v>0.321938</v>
      </c>
      <c r="E29" s="584">
        <v>9.8000000000000004E-2</v>
      </c>
      <c r="F29" s="584">
        <v>0.223938</v>
      </c>
      <c r="G29" s="584"/>
      <c r="H29" s="584"/>
      <c r="I29" s="584"/>
      <c r="J29" s="870">
        <v>1.9125E-2</v>
      </c>
      <c r="K29" s="870">
        <v>5.0000000000000002E-5</v>
      </c>
      <c r="L29" s="870">
        <v>1.9075000000000002E-2</v>
      </c>
      <c r="M29" s="870"/>
      <c r="N29" s="870"/>
      <c r="O29" s="870"/>
      <c r="P29" s="576"/>
      <c r="Q29" s="587"/>
      <c r="R29" s="587"/>
    </row>
    <row r="30" spans="2:18" ht="20.100000000000001" customHeight="1" x14ac:dyDescent="0.2">
      <c r="B30" s="532" t="s">
        <v>941</v>
      </c>
      <c r="C30" s="567" t="s">
        <v>923</v>
      </c>
      <c r="D30" s="584">
        <v>11751.644979999999</v>
      </c>
      <c r="E30" s="584">
        <v>9458.2072459999999</v>
      </c>
      <c r="F30" s="584">
        <v>2293.4377340000001</v>
      </c>
      <c r="G30" s="584">
        <v>176.16538600000001</v>
      </c>
      <c r="H30" s="584"/>
      <c r="I30" s="584">
        <v>98.776183000000003</v>
      </c>
      <c r="J30" s="870">
        <v>67.915921999999995</v>
      </c>
      <c r="K30" s="870">
        <v>25.175781000000001</v>
      </c>
      <c r="L30" s="870">
        <v>42.740141000000001</v>
      </c>
      <c r="M30" s="870">
        <v>6.2762799999999999</v>
      </c>
      <c r="N30" s="870"/>
      <c r="O30" s="870">
        <v>6.2762799999999999</v>
      </c>
      <c r="P30" s="576"/>
      <c r="Q30" s="587"/>
      <c r="R30" s="587"/>
    </row>
    <row r="31" spans="2:18" ht="20.100000000000001" customHeight="1" x14ac:dyDescent="0.2">
      <c r="B31" s="532" t="s">
        <v>942</v>
      </c>
      <c r="C31" s="567" t="s">
        <v>927</v>
      </c>
      <c r="D31" s="585">
        <v>5414.1333489999997</v>
      </c>
      <c r="E31" s="585">
        <v>5378.8027709999997</v>
      </c>
      <c r="F31" s="585">
        <v>35.330578000000003</v>
      </c>
      <c r="G31" s="585">
        <v>0.50050600000000001</v>
      </c>
      <c r="H31" s="585"/>
      <c r="I31" s="585">
        <v>0.476937</v>
      </c>
      <c r="J31" s="872">
        <v>0.54323299999999997</v>
      </c>
      <c r="K31" s="872">
        <v>0.33275300000000002</v>
      </c>
      <c r="L31" s="872">
        <v>0.21048</v>
      </c>
      <c r="M31" s="872">
        <v>5.7418999999999998E-2</v>
      </c>
      <c r="N31" s="872"/>
      <c r="O31" s="872">
        <v>5.7418999999999998E-2</v>
      </c>
      <c r="P31" s="576"/>
      <c r="Q31" s="587"/>
      <c r="R31" s="587"/>
    </row>
    <row r="32" spans="2:18" ht="20.100000000000001" customHeight="1" x14ac:dyDescent="0.2">
      <c r="B32" s="561" t="s">
        <v>943</v>
      </c>
      <c r="C32" s="592" t="s">
        <v>198</v>
      </c>
      <c r="D32" s="405">
        <v>180492.36898299999</v>
      </c>
      <c r="E32" s="405">
        <v>135920.12301400001</v>
      </c>
      <c r="F32" s="405">
        <v>12765.22733</v>
      </c>
      <c r="G32" s="405">
        <v>912.81581299999993</v>
      </c>
      <c r="H32" s="405">
        <v>15.473832</v>
      </c>
      <c r="I32" s="405">
        <v>819.92921100000001</v>
      </c>
      <c r="J32" s="873">
        <v>-427.85427800000002</v>
      </c>
      <c r="K32" s="873">
        <v>-196.984094</v>
      </c>
      <c r="L32" s="873">
        <v>-230.87018499999999</v>
      </c>
      <c r="M32" s="873">
        <v>-198.46881200000001</v>
      </c>
      <c r="N32" s="873">
        <v>-5.0000000000000004E-6</v>
      </c>
      <c r="O32" s="873">
        <v>-198.468807</v>
      </c>
      <c r="P32" s="576"/>
      <c r="Q32" s="405">
        <v>77028.177716999999</v>
      </c>
      <c r="R32" s="405">
        <v>500.74969700000003</v>
      </c>
    </row>
    <row r="33" spans="2:20" x14ac:dyDescent="0.2">
      <c r="B33" s="572"/>
      <c r="C33" s="572"/>
      <c r="D33" s="572"/>
      <c r="E33" s="572"/>
      <c r="F33" s="572"/>
      <c r="G33" s="572"/>
      <c r="H33" s="572"/>
      <c r="I33" s="572"/>
      <c r="J33" s="572"/>
      <c r="K33" s="572"/>
      <c r="L33" s="337"/>
      <c r="M33" s="337"/>
      <c r="N33" s="338"/>
      <c r="O33" s="338"/>
      <c r="P33" s="338"/>
      <c r="Q33" s="338"/>
      <c r="R33" s="338"/>
    </row>
    <row r="34" spans="2:20" x14ac:dyDescent="0.2">
      <c r="B34" s="572"/>
      <c r="C34" s="572"/>
      <c r="D34" s="582"/>
      <c r="E34" s="582"/>
      <c r="F34" s="582"/>
      <c r="G34" s="582"/>
      <c r="H34" s="582"/>
      <c r="I34" s="582"/>
      <c r="J34" s="582"/>
      <c r="K34" s="582"/>
      <c r="L34" s="582"/>
      <c r="M34" s="582"/>
      <c r="N34" s="582"/>
      <c r="O34" s="582"/>
      <c r="P34" s="582"/>
      <c r="Q34" s="582"/>
      <c r="R34" s="582"/>
    </row>
    <row r="35" spans="2:20" x14ac:dyDescent="0.2">
      <c r="B35" s="337"/>
      <c r="C35" s="337"/>
      <c r="D35" s="580"/>
      <c r="E35" s="580"/>
      <c r="F35" s="580"/>
      <c r="G35" s="580"/>
      <c r="H35" s="580"/>
      <c r="I35" s="580"/>
      <c r="J35" s="580"/>
      <c r="K35" s="580"/>
      <c r="L35" s="580"/>
      <c r="M35" s="580"/>
      <c r="N35" s="580"/>
      <c r="O35" s="580"/>
      <c r="P35" s="580"/>
      <c r="Q35" s="580"/>
      <c r="R35" s="580"/>
    </row>
    <row r="36" spans="2:20" x14ac:dyDescent="0.2">
      <c r="B36" s="572"/>
      <c r="C36" s="572"/>
      <c r="D36" s="582"/>
      <c r="E36" s="572"/>
      <c r="F36" s="583"/>
      <c r="G36" s="572"/>
      <c r="H36" s="572"/>
      <c r="I36" s="572"/>
      <c r="J36" s="572"/>
      <c r="K36" s="572"/>
      <c r="L36" s="337"/>
      <c r="M36" s="337"/>
      <c r="N36" s="338"/>
      <c r="O36" s="338"/>
      <c r="P36" s="338"/>
      <c r="Q36" s="338"/>
      <c r="R36" s="338"/>
    </row>
    <row r="37" spans="2:20" x14ac:dyDescent="0.2">
      <c r="B37" s="569"/>
      <c r="C37" s="569"/>
      <c r="D37" s="569"/>
      <c r="E37" s="569"/>
      <c r="F37" s="569"/>
      <c r="G37" s="569"/>
      <c r="H37" s="569"/>
      <c r="I37" s="569"/>
      <c r="J37" s="569"/>
      <c r="K37" s="569"/>
      <c r="L37" s="569"/>
      <c r="M37" s="569"/>
      <c r="N37" s="569"/>
      <c r="O37" s="569"/>
      <c r="P37" s="569"/>
      <c r="Q37" s="569"/>
      <c r="R37" s="569"/>
    </row>
    <row r="38" spans="2:20" x14ac:dyDescent="0.2">
      <c r="B38" s="569"/>
      <c r="C38" s="569"/>
      <c r="D38" s="581"/>
      <c r="E38" s="581"/>
      <c r="F38" s="581"/>
      <c r="G38" s="581"/>
      <c r="H38" s="581"/>
      <c r="I38" s="581"/>
      <c r="J38" s="581"/>
      <c r="K38" s="581"/>
      <c r="L38" s="581"/>
      <c r="M38" s="581"/>
      <c r="N38" s="581"/>
      <c r="O38" s="581"/>
      <c r="P38" s="581"/>
      <c r="Q38" s="581"/>
      <c r="R38" s="581"/>
      <c r="S38" s="588"/>
      <c r="T38" s="588"/>
    </row>
    <row r="39" spans="2:20" x14ac:dyDescent="0.2">
      <c r="B39" s="569"/>
      <c r="C39" s="569"/>
      <c r="D39" s="581"/>
      <c r="E39" s="581"/>
      <c r="F39" s="581"/>
      <c r="G39" s="581"/>
      <c r="H39" s="581"/>
      <c r="I39" s="581"/>
      <c r="J39" s="581"/>
      <c r="K39" s="581"/>
      <c r="L39" s="581"/>
      <c r="M39" s="581"/>
      <c r="N39" s="581"/>
      <c r="O39" s="581"/>
      <c r="P39" s="581"/>
      <c r="Q39" s="581"/>
      <c r="R39" s="581"/>
      <c r="S39" s="588"/>
      <c r="T39" s="588"/>
    </row>
    <row r="40" spans="2:20" ht="60" customHeight="1" x14ac:dyDescent="0.2">
      <c r="B40" s="569"/>
      <c r="C40" s="569"/>
      <c r="D40" s="569"/>
      <c r="E40" s="581"/>
      <c r="F40" s="581"/>
      <c r="G40" s="581"/>
      <c r="H40" s="581"/>
      <c r="I40" s="581"/>
      <c r="J40" s="581"/>
      <c r="K40" s="581"/>
      <c r="L40" s="581"/>
      <c r="M40" s="581"/>
      <c r="N40" s="581"/>
      <c r="O40" s="581"/>
      <c r="P40" s="581"/>
      <c r="Q40" s="581"/>
      <c r="R40" s="581"/>
      <c r="S40" s="588"/>
      <c r="T40" s="588"/>
    </row>
    <row r="41" spans="2:20" ht="24" customHeight="1" x14ac:dyDescent="0.2">
      <c r="B41" s="337"/>
      <c r="C41" s="337"/>
      <c r="D41" s="337"/>
      <c r="E41" s="579"/>
      <c r="F41" s="579"/>
      <c r="G41" s="579"/>
      <c r="H41" s="579"/>
      <c r="I41" s="579"/>
      <c r="J41" s="579"/>
      <c r="K41" s="579"/>
      <c r="L41" s="579"/>
      <c r="M41" s="579"/>
      <c r="N41" s="579"/>
      <c r="O41" s="579"/>
      <c r="P41" s="579"/>
      <c r="Q41" s="579"/>
      <c r="R41" s="579"/>
      <c r="S41" s="588"/>
      <c r="T41" s="588"/>
    </row>
    <row r="42" spans="2:20" ht="24" customHeight="1" x14ac:dyDescent="0.2">
      <c r="B42" s="570"/>
      <c r="C42" s="570"/>
      <c r="D42" s="570"/>
      <c r="E42" s="589"/>
      <c r="F42" s="589"/>
      <c r="G42" s="589"/>
      <c r="H42" s="589"/>
      <c r="I42" s="589"/>
      <c r="J42" s="589"/>
      <c r="K42" s="589"/>
      <c r="L42" s="589"/>
      <c r="M42" s="589"/>
      <c r="N42" s="589"/>
      <c r="O42" s="589"/>
      <c r="P42" s="589"/>
      <c r="Q42" s="589"/>
      <c r="R42" s="589"/>
      <c r="S42" s="588"/>
      <c r="T42" s="588"/>
    </row>
    <row r="43" spans="2:20" x14ac:dyDescent="0.2">
      <c r="B43" s="336"/>
      <c r="C43" s="336"/>
      <c r="D43" s="336"/>
      <c r="E43" s="590"/>
      <c r="F43" s="590"/>
      <c r="G43" s="590"/>
      <c r="H43" s="590"/>
      <c r="I43" s="590"/>
      <c r="J43" s="590"/>
      <c r="K43" s="590"/>
      <c r="L43" s="590"/>
      <c r="M43" s="590"/>
      <c r="N43" s="590"/>
      <c r="O43" s="590"/>
      <c r="P43" s="590"/>
      <c r="Q43" s="590"/>
      <c r="R43" s="590"/>
      <c r="S43" s="588"/>
      <c r="T43" s="588"/>
    </row>
    <row r="44" spans="2:20" ht="24" customHeight="1" x14ac:dyDescent="0.2">
      <c r="B44" s="336"/>
      <c r="C44" s="336"/>
      <c r="D44" s="336"/>
      <c r="E44" s="590"/>
      <c r="F44" s="590"/>
      <c r="G44" s="590"/>
      <c r="H44" s="590"/>
      <c r="I44" s="590"/>
      <c r="J44" s="590"/>
      <c r="K44" s="590"/>
      <c r="L44" s="590"/>
      <c r="M44" s="590"/>
      <c r="N44" s="590"/>
      <c r="O44" s="590"/>
      <c r="P44" s="590"/>
      <c r="Q44" s="590"/>
      <c r="R44" s="590"/>
      <c r="S44" s="588"/>
      <c r="T44" s="588"/>
    </row>
    <row r="45" spans="2:20" x14ac:dyDescent="0.2">
      <c r="B45" s="570"/>
      <c r="C45" s="570"/>
      <c r="D45" s="570"/>
      <c r="E45" s="589"/>
      <c r="F45" s="589"/>
      <c r="G45" s="589"/>
      <c r="H45" s="589"/>
      <c r="I45" s="589"/>
      <c r="J45" s="589"/>
      <c r="K45" s="589"/>
      <c r="L45" s="589"/>
      <c r="M45" s="589"/>
      <c r="N45" s="589"/>
      <c r="O45" s="589"/>
      <c r="P45" s="589"/>
      <c r="Q45" s="589"/>
      <c r="R45" s="589"/>
      <c r="S45" s="588"/>
      <c r="T45" s="588"/>
    </row>
    <row r="46" spans="2:20" x14ac:dyDescent="0.2">
      <c r="B46" s="571"/>
      <c r="C46" s="571"/>
      <c r="D46" s="571"/>
      <c r="E46" s="591"/>
      <c r="F46" s="591"/>
      <c r="G46" s="591"/>
      <c r="H46" s="591"/>
      <c r="I46" s="591"/>
      <c r="J46" s="591"/>
      <c r="K46" s="591"/>
      <c r="L46" s="591"/>
      <c r="M46" s="591"/>
      <c r="N46" s="591"/>
      <c r="O46" s="591"/>
      <c r="P46" s="591"/>
      <c r="Q46" s="591"/>
      <c r="R46" s="591"/>
      <c r="S46" s="588"/>
      <c r="T46" s="588"/>
    </row>
    <row r="47" spans="2:20" x14ac:dyDescent="0.2">
      <c r="B47" s="570"/>
      <c r="C47" s="570"/>
      <c r="D47" s="570"/>
      <c r="E47" s="589"/>
      <c r="F47" s="589"/>
      <c r="G47" s="589"/>
      <c r="H47" s="589"/>
      <c r="I47" s="589"/>
      <c r="J47" s="589"/>
      <c r="K47" s="589"/>
      <c r="L47" s="589"/>
      <c r="M47" s="589"/>
      <c r="N47" s="589"/>
      <c r="O47" s="589"/>
      <c r="P47" s="589"/>
      <c r="Q47" s="589"/>
      <c r="R47" s="589"/>
      <c r="S47" s="588"/>
      <c r="T47" s="588"/>
    </row>
    <row r="48" spans="2:20" x14ac:dyDescent="0.2">
      <c r="E48" s="588"/>
      <c r="F48" s="588"/>
      <c r="G48" s="588"/>
      <c r="H48" s="588"/>
      <c r="I48" s="588"/>
      <c r="J48" s="588"/>
      <c r="K48" s="588"/>
      <c r="L48" s="588"/>
      <c r="M48" s="588"/>
      <c r="N48" s="588"/>
      <c r="O48" s="588"/>
      <c r="P48" s="588"/>
      <c r="Q48" s="588"/>
      <c r="R48" s="588"/>
      <c r="S48" s="588"/>
      <c r="T48" s="588"/>
    </row>
    <row r="49" spans="5:20" x14ac:dyDescent="0.2">
      <c r="E49" s="588"/>
      <c r="F49" s="588"/>
      <c r="G49" s="588"/>
      <c r="H49" s="588"/>
      <c r="I49" s="588"/>
      <c r="J49" s="588"/>
      <c r="K49" s="588"/>
      <c r="L49" s="588"/>
      <c r="M49" s="588"/>
      <c r="N49" s="588"/>
      <c r="O49" s="588"/>
      <c r="P49" s="588"/>
      <c r="Q49" s="588"/>
      <c r="R49" s="588"/>
      <c r="S49" s="588"/>
      <c r="T49" s="588"/>
    </row>
    <row r="50" spans="5:20" x14ac:dyDescent="0.2">
      <c r="E50" s="588"/>
      <c r="F50" s="588"/>
      <c r="G50" s="588"/>
      <c r="H50" s="588"/>
      <c r="I50" s="588"/>
      <c r="J50" s="588"/>
      <c r="K50" s="588"/>
      <c r="L50" s="588"/>
      <c r="M50" s="588"/>
      <c r="N50" s="588"/>
      <c r="O50" s="588"/>
      <c r="P50" s="588"/>
      <c r="Q50" s="588"/>
      <c r="R50" s="588"/>
      <c r="S50" s="588"/>
      <c r="T50" s="588"/>
    </row>
    <row r="51" spans="5:20" x14ac:dyDescent="0.2">
      <c r="E51" s="588"/>
      <c r="F51" s="588"/>
      <c r="G51" s="588"/>
      <c r="H51" s="588"/>
      <c r="I51" s="588"/>
      <c r="J51" s="588"/>
      <c r="K51" s="588"/>
      <c r="L51" s="588"/>
      <c r="M51" s="588"/>
      <c r="N51" s="588"/>
      <c r="O51" s="588"/>
      <c r="P51" s="588"/>
      <c r="Q51" s="588"/>
      <c r="R51" s="588"/>
      <c r="S51" s="588"/>
      <c r="T51" s="588"/>
    </row>
    <row r="52" spans="5:20" x14ac:dyDescent="0.2">
      <c r="E52" s="588"/>
      <c r="F52" s="588"/>
      <c r="G52" s="588"/>
      <c r="H52" s="588"/>
      <c r="I52" s="588"/>
      <c r="J52" s="588"/>
      <c r="K52" s="588"/>
      <c r="L52" s="588"/>
      <c r="M52" s="588"/>
      <c r="N52" s="588"/>
      <c r="O52" s="588"/>
      <c r="P52" s="588"/>
      <c r="Q52" s="588"/>
      <c r="R52" s="588"/>
      <c r="S52" s="588"/>
      <c r="T52" s="588"/>
    </row>
  </sheetData>
  <sheetProtection algorithmName="SHA-512" hashValue="qz14F16//IJSvZmsJvSIiWFYogTi545lb4tm50fZgzUQtoytR27RMP2XNl3dp+Bd0/TcnZymE7VK0oBw2N02sw==" saltValue="sgNPR3zlz8WnEWzEq30Uew==" spinCount="100000" sheet="1" objects="1" scenarios="1"/>
  <mergeCells count="11">
    <mergeCell ref="R8:R9"/>
    <mergeCell ref="P7:P9"/>
    <mergeCell ref="Q7:R7"/>
    <mergeCell ref="Q8:Q9"/>
    <mergeCell ref="B4:O4"/>
    <mergeCell ref="D7:I7"/>
    <mergeCell ref="J7:O7"/>
    <mergeCell ref="D8:F8"/>
    <mergeCell ref="G8:I8"/>
    <mergeCell ref="J8:L8"/>
    <mergeCell ref="M8:O8"/>
  </mergeCells>
  <hyperlinks>
    <hyperlink ref="B2" location="Contents!A1" display="Back to Contents page" xr:uid="{2F1D4D68-2B58-4883-8B20-02FE34080E9C}"/>
  </hyperlinks>
  <pageMargins left="0.7" right="0.7" top="0.75" bottom="0.75" header="0.3" footer="0.3"/>
  <pageSetup paperSize="9" scale="20" orientation="portrait" horizontalDpi="144" verticalDpi="144" r:id="rId1"/>
  <ignoredErrors>
    <ignoredError sqref="B10 B32 B31 B30 B29 B28 B27 B26 B25 B24 B23 B22 B21 B20 B19 B18 B17 B16 B15 B14 B13 B12 B11"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1D95F-7670-406D-863F-A6B7BAA1D429}">
  <sheetPr>
    <pageSetUpPr fitToPage="1"/>
  </sheetPr>
  <dimension ref="B2:I11"/>
  <sheetViews>
    <sheetView showGridLines="0" showRowColHeaders="0" zoomScale="80" zoomScaleNormal="80" workbookViewId="0">
      <selection activeCell="B2" sqref="B2"/>
    </sheetView>
  </sheetViews>
  <sheetFormatPr baseColWidth="10" defaultRowHeight="12.75" x14ac:dyDescent="0.2"/>
  <cols>
    <col min="1" max="1" width="3.88671875" style="254" customWidth="1"/>
    <col min="2" max="2" width="6" style="254" customWidth="1"/>
    <col min="3" max="3" width="26.33203125" style="254" customWidth="1"/>
    <col min="4" max="9" width="9" style="254" customWidth="1"/>
    <col min="10" max="16384" width="11.5546875" style="254"/>
  </cols>
  <sheetData>
    <row r="2" spans="2:9" ht="15" x14ac:dyDescent="0.25">
      <c r="B2" s="940" t="s">
        <v>3521</v>
      </c>
    </row>
    <row r="4" spans="2:9" ht="21" x14ac:dyDescent="0.25">
      <c r="B4" s="368" t="s">
        <v>3522</v>
      </c>
      <c r="C4"/>
      <c r="D4"/>
      <c r="E4"/>
      <c r="F4"/>
      <c r="G4"/>
      <c r="H4"/>
      <c r="I4"/>
    </row>
    <row r="5" spans="2:9" ht="15" x14ac:dyDescent="0.25">
      <c r="B5" s="366"/>
      <c r="C5"/>
      <c r="D5"/>
      <c r="E5"/>
      <c r="F5"/>
      <c r="G5"/>
      <c r="H5"/>
      <c r="I5"/>
    </row>
    <row r="6" spans="2:9" ht="20.100000000000001" customHeight="1" x14ac:dyDescent="0.25">
      <c r="B6" s="366"/>
      <c r="C6"/>
      <c r="D6" s="593" t="s">
        <v>161</v>
      </c>
      <c r="E6" s="593" t="s">
        <v>162</v>
      </c>
      <c r="F6" s="593" t="s">
        <v>163</v>
      </c>
      <c r="G6" s="593" t="s">
        <v>200</v>
      </c>
      <c r="H6" s="593" t="s">
        <v>201</v>
      </c>
      <c r="I6" s="593" t="s">
        <v>266</v>
      </c>
    </row>
    <row r="7" spans="2:9" ht="20.100000000000001" customHeight="1" x14ac:dyDescent="0.25">
      <c r="B7"/>
      <c r="C7"/>
      <c r="D7" s="1209" t="s">
        <v>3523</v>
      </c>
      <c r="E7" s="1209"/>
      <c r="F7" s="1209"/>
      <c r="G7" s="1209"/>
      <c r="H7" s="1209"/>
      <c r="I7" s="1209"/>
    </row>
    <row r="8" spans="2:9" ht="24.95" customHeight="1" x14ac:dyDescent="0.25">
      <c r="B8"/>
      <c r="C8"/>
      <c r="D8" s="482" t="s">
        <v>3524</v>
      </c>
      <c r="E8" s="482" t="s">
        <v>3525</v>
      </c>
      <c r="F8" s="482" t="s">
        <v>3526</v>
      </c>
      <c r="G8" s="482" t="s">
        <v>3527</v>
      </c>
      <c r="H8" s="482" t="s">
        <v>3528</v>
      </c>
      <c r="I8" s="482" t="s">
        <v>198</v>
      </c>
    </row>
    <row r="9" spans="2:9" ht="20.100000000000001" customHeight="1" x14ac:dyDescent="0.2">
      <c r="B9" s="400">
        <v>1</v>
      </c>
      <c r="C9" s="456" t="s">
        <v>914</v>
      </c>
      <c r="D9" s="594">
        <v>6623</v>
      </c>
      <c r="E9" s="594">
        <v>3039</v>
      </c>
      <c r="F9" s="594">
        <v>19384</v>
      </c>
      <c r="G9" s="594">
        <v>66437</v>
      </c>
      <c r="H9" s="594"/>
      <c r="I9" s="594">
        <f>D9+E9+F9+G9</f>
        <v>95483</v>
      </c>
    </row>
    <row r="10" spans="2:9" ht="20.100000000000001" customHeight="1" x14ac:dyDescent="0.2">
      <c r="B10" s="400">
        <v>2</v>
      </c>
      <c r="C10" s="456" t="s">
        <v>2940</v>
      </c>
      <c r="D10" s="594">
        <v>1259</v>
      </c>
      <c r="E10" s="594">
        <v>3453</v>
      </c>
      <c r="F10" s="594">
        <f>9564+1050</f>
        <v>10614</v>
      </c>
      <c r="G10" s="594">
        <f>2319+4668</f>
        <v>6987</v>
      </c>
      <c r="H10" s="594"/>
      <c r="I10" s="594">
        <f>D10+E10+F10+G10</f>
        <v>22313</v>
      </c>
    </row>
    <row r="11" spans="2:9" ht="20.100000000000001" customHeight="1" x14ac:dyDescent="0.2">
      <c r="B11" s="595">
        <v>3</v>
      </c>
      <c r="C11" s="596" t="s">
        <v>198</v>
      </c>
      <c r="D11" s="597">
        <f>D9+D10</f>
        <v>7882</v>
      </c>
      <c r="E11" s="597">
        <f t="shared" ref="E11:I11" si="0">E9+E10</f>
        <v>6492</v>
      </c>
      <c r="F11" s="597">
        <f t="shared" si="0"/>
        <v>29998</v>
      </c>
      <c r="G11" s="597">
        <f t="shared" si="0"/>
        <v>73424</v>
      </c>
      <c r="H11" s="597"/>
      <c r="I11" s="597">
        <f t="shared" si="0"/>
        <v>117796</v>
      </c>
    </row>
  </sheetData>
  <sheetProtection algorithmName="SHA-512" hashValue="QdJ/3PiwiIHhjymwEQewyFGAl869QjniCZlqk4v1Evn5VR/GrFrm6wtUX5U8oPF8067Qx3VLv8kvqAubh6sDYg==" saltValue="9PXNVVrzVZDnTp5eo9gS0w==" spinCount="100000" sheet="1" objects="1" scenarios="1"/>
  <mergeCells count="1">
    <mergeCell ref="D7:I7"/>
  </mergeCells>
  <hyperlinks>
    <hyperlink ref="B2" location="Contents!A1" display="Back to Contents page" xr:uid="{9F3C6DA5-2479-4190-8B4B-8915E8134C9E}"/>
  </hyperlinks>
  <pageMargins left="0.7" right="0.7" top="0.75" bottom="0.75" header="0.3" footer="0.3"/>
  <pageSetup paperSize="9" orientation="portrait" horizontalDpi="144" verticalDpi="144"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D11"/>
  <sheetViews>
    <sheetView workbookViewId="0"/>
  </sheetViews>
  <sheetFormatPr baseColWidth="10" defaultColWidth="9.21875" defaultRowHeight="15" x14ac:dyDescent="0.25"/>
  <cols>
    <col min="1" max="1" width="5.44140625" style="151" customWidth="1"/>
    <col min="2" max="2" width="4.77734375" style="151" customWidth="1"/>
    <col min="3" max="3" width="58.6640625" style="151" customWidth="1"/>
    <col min="4" max="4" width="55.109375" style="151" customWidth="1"/>
    <col min="5" max="5" width="9.21875" style="151"/>
    <col min="6" max="6" width="2.5546875" style="151" customWidth="1"/>
    <col min="7" max="7" width="42.44140625" style="151" customWidth="1"/>
    <col min="8" max="8" width="19.44140625" style="151" customWidth="1"/>
    <col min="9" max="16384" width="9.21875" style="151"/>
  </cols>
  <sheetData>
    <row r="2" spans="2:4" x14ac:dyDescent="0.25">
      <c r="B2" s="150" t="s">
        <v>8</v>
      </c>
    </row>
    <row r="3" spans="2:4" ht="16.5" thickBot="1" x14ac:dyDescent="0.3">
      <c r="B3" s="152"/>
      <c r="C3" s="153"/>
      <c r="D3" s="153"/>
    </row>
    <row r="4" spans="2:4" ht="15.75" x14ac:dyDescent="0.25">
      <c r="B4" s="152"/>
      <c r="C4" s="153"/>
      <c r="D4" s="161" t="s">
        <v>161</v>
      </c>
    </row>
    <row r="5" spans="2:4" ht="16.5" thickBot="1" x14ac:dyDescent="0.3">
      <c r="B5" s="152"/>
      <c r="C5" s="153"/>
      <c r="D5" s="164" t="s">
        <v>944</v>
      </c>
    </row>
    <row r="6" spans="2:4" ht="25.5" customHeight="1" thickBot="1" x14ac:dyDescent="0.3">
      <c r="B6" s="154" t="s">
        <v>289</v>
      </c>
      <c r="C6" s="157" t="s">
        <v>945</v>
      </c>
      <c r="D6" s="165" t="s">
        <v>946</v>
      </c>
    </row>
    <row r="7" spans="2:4" ht="25.5" customHeight="1" thickBot="1" x14ac:dyDescent="0.3">
      <c r="B7" s="155" t="s">
        <v>291</v>
      </c>
      <c r="C7" s="158" t="s">
        <v>947</v>
      </c>
      <c r="D7" s="165" t="s">
        <v>948</v>
      </c>
    </row>
    <row r="8" spans="2:4" ht="25.5" customHeight="1" thickBot="1" x14ac:dyDescent="0.3">
      <c r="B8" s="155" t="s">
        <v>916</v>
      </c>
      <c r="C8" s="158" t="s">
        <v>949</v>
      </c>
      <c r="D8" s="165" t="s">
        <v>950</v>
      </c>
    </row>
    <row r="9" spans="2:4" ht="25.5" customHeight="1" thickBot="1" x14ac:dyDescent="0.3">
      <c r="B9" s="155" t="s">
        <v>918</v>
      </c>
      <c r="C9" s="159" t="s">
        <v>951</v>
      </c>
      <c r="D9" s="165" t="s">
        <v>952</v>
      </c>
    </row>
    <row r="10" spans="2:4" ht="24" customHeight="1" thickBot="1" x14ac:dyDescent="0.3">
      <c r="B10" s="155" t="s">
        <v>920</v>
      </c>
      <c r="C10" s="159" t="s">
        <v>953</v>
      </c>
      <c r="D10" s="165" t="s">
        <v>954</v>
      </c>
    </row>
    <row r="11" spans="2:4" ht="25.5" customHeight="1" thickBot="1" x14ac:dyDescent="0.3">
      <c r="B11" s="156" t="s">
        <v>922</v>
      </c>
      <c r="C11" s="160" t="s">
        <v>955</v>
      </c>
      <c r="D11" s="166" t="s">
        <v>956</v>
      </c>
    </row>
  </sheetData>
  <pageMargins left="0.70866141732283472" right="0.70866141732283472" top="0.74803149606299213" bottom="0.74803149606299213" header="0.31496062992125984" footer="0.31496062992125984"/>
  <pageSetup paperSize="9" orientation="landscape" r:id="rId1"/>
  <headerFoot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K40"/>
  <sheetViews>
    <sheetView workbookViewId="0"/>
  </sheetViews>
  <sheetFormatPr baseColWidth="10" defaultColWidth="9.21875" defaultRowHeight="15" x14ac:dyDescent="0.25"/>
  <cols>
    <col min="1" max="1" width="9.21875" style="84"/>
    <col min="2" max="2" width="5.21875" style="84" customWidth="1"/>
    <col min="3" max="3" width="53.33203125" style="84" customWidth="1"/>
    <col min="4" max="4" width="18.6640625" style="84" customWidth="1"/>
    <col min="5" max="5" width="17.21875" style="84" customWidth="1"/>
    <col min="6" max="6" width="9.21875" style="84"/>
    <col min="7" max="7" width="35.33203125" style="84" customWidth="1"/>
    <col min="8" max="16384" width="9.21875" style="84"/>
  </cols>
  <sheetData>
    <row r="2" spans="2:11" ht="36.75" customHeight="1" x14ac:dyDescent="0.25">
      <c r="B2" s="1210" t="s">
        <v>957</v>
      </c>
      <c r="C2" s="1210"/>
      <c r="D2" s="1210"/>
      <c r="E2" s="1210"/>
      <c r="F2" s="1210"/>
      <c r="G2" s="1210"/>
      <c r="H2" s="1210"/>
      <c r="I2" s="1210"/>
      <c r="J2" s="1210"/>
      <c r="K2" s="1210"/>
    </row>
    <row r="3" spans="2:11" ht="15.75" x14ac:dyDescent="0.25">
      <c r="B3" s="107"/>
      <c r="C3" s="107"/>
      <c r="D3" s="107"/>
      <c r="E3" s="107"/>
      <c r="F3" s="107"/>
      <c r="G3" s="107"/>
    </row>
    <row r="4" spans="2:11" ht="16.5" thickBot="1" x14ac:dyDescent="0.3">
      <c r="B4" s="107"/>
      <c r="C4" s="107"/>
      <c r="D4" s="107"/>
      <c r="E4" s="107"/>
      <c r="F4" s="107"/>
      <c r="G4" s="107"/>
    </row>
    <row r="5" spans="2:11" ht="16.5" thickBot="1" x14ac:dyDescent="0.3">
      <c r="B5" s="107"/>
      <c r="C5" s="107"/>
      <c r="D5" s="87" t="s">
        <v>161</v>
      </c>
      <c r="E5" s="220" t="s">
        <v>162</v>
      </c>
      <c r="F5" s="107"/>
      <c r="G5" s="107"/>
    </row>
    <row r="6" spans="2:11" ht="24.75" thickBot="1" x14ac:dyDescent="0.3">
      <c r="B6" s="107"/>
      <c r="C6" s="107"/>
      <c r="D6" s="223" t="s">
        <v>958</v>
      </c>
      <c r="E6" s="163" t="s">
        <v>959</v>
      </c>
      <c r="F6" s="107"/>
      <c r="G6" s="107"/>
    </row>
    <row r="7" spans="2:11" ht="16.5" thickBot="1" x14ac:dyDescent="0.3">
      <c r="B7" s="138" t="s">
        <v>289</v>
      </c>
      <c r="C7" s="139" t="s">
        <v>945</v>
      </c>
      <c r="D7" s="86" t="s">
        <v>960</v>
      </c>
      <c r="E7" s="140"/>
      <c r="F7" s="107"/>
      <c r="G7" s="107"/>
    </row>
    <row r="8" spans="2:11" ht="16.5" thickBot="1" x14ac:dyDescent="0.3">
      <c r="B8" s="90" t="s">
        <v>291</v>
      </c>
      <c r="C8" s="141" t="s">
        <v>961</v>
      </c>
      <c r="D8" s="86" t="s">
        <v>962</v>
      </c>
      <c r="E8" s="140"/>
      <c r="F8" s="107"/>
      <c r="G8" s="107"/>
    </row>
    <row r="9" spans="2:11" ht="16.5" thickBot="1" x14ac:dyDescent="0.3">
      <c r="B9" s="90" t="s">
        <v>916</v>
      </c>
      <c r="C9" s="141" t="s">
        <v>949</v>
      </c>
      <c r="D9" s="86" t="s">
        <v>963</v>
      </c>
      <c r="E9" s="140"/>
      <c r="F9" s="107"/>
      <c r="G9" s="107"/>
    </row>
    <row r="10" spans="2:11" ht="24.75" thickBot="1" x14ac:dyDescent="0.3">
      <c r="B10" s="90" t="s">
        <v>918</v>
      </c>
      <c r="C10" s="142" t="s">
        <v>964</v>
      </c>
      <c r="D10" s="86" t="s">
        <v>965</v>
      </c>
      <c r="E10" s="140"/>
      <c r="F10" s="107"/>
      <c r="G10" s="107"/>
    </row>
    <row r="11" spans="2:11" ht="16.5" thickBot="1" x14ac:dyDescent="0.3">
      <c r="B11" s="90" t="s">
        <v>920</v>
      </c>
      <c r="C11" s="142" t="s">
        <v>966</v>
      </c>
      <c r="D11" s="86" t="s">
        <v>967</v>
      </c>
      <c r="E11" s="140"/>
      <c r="F11" s="107"/>
      <c r="G11" s="107"/>
    </row>
    <row r="12" spans="2:11" ht="16.5" thickBot="1" x14ac:dyDescent="0.3">
      <c r="B12" s="90" t="s">
        <v>922</v>
      </c>
      <c r="C12" s="142" t="s">
        <v>968</v>
      </c>
      <c r="D12" s="86" t="s">
        <v>969</v>
      </c>
      <c r="E12" s="86" t="s">
        <v>970</v>
      </c>
      <c r="F12" s="107"/>
      <c r="G12" s="107"/>
    </row>
    <row r="13" spans="2:11" ht="16.5" thickBot="1" x14ac:dyDescent="0.3">
      <c r="B13" s="90" t="s">
        <v>924</v>
      </c>
      <c r="C13" s="142" t="s">
        <v>971</v>
      </c>
      <c r="D13" s="86" t="s">
        <v>972</v>
      </c>
      <c r="E13" s="86" t="s">
        <v>973</v>
      </c>
      <c r="F13" s="107"/>
      <c r="G13" s="107"/>
    </row>
    <row r="14" spans="2:11" ht="16.5" thickBot="1" x14ac:dyDescent="0.3">
      <c r="B14" s="90" t="s">
        <v>926</v>
      </c>
      <c r="C14" s="142" t="s">
        <v>974</v>
      </c>
      <c r="D14" s="86" t="s">
        <v>975</v>
      </c>
      <c r="E14" s="86" t="s">
        <v>976</v>
      </c>
      <c r="F14" s="107"/>
      <c r="G14" s="107"/>
    </row>
    <row r="15" spans="2:11" ht="16.5" thickBot="1" x14ac:dyDescent="0.3">
      <c r="B15" s="90" t="s">
        <v>928</v>
      </c>
      <c r="C15" s="142" t="s">
        <v>977</v>
      </c>
      <c r="D15" s="86" t="s">
        <v>978</v>
      </c>
      <c r="E15" s="97" t="s">
        <v>979</v>
      </c>
      <c r="F15" s="107"/>
      <c r="G15" s="107"/>
    </row>
    <row r="16" spans="2:11" ht="16.5" thickBot="1" x14ac:dyDescent="0.3">
      <c r="B16" s="90" t="s">
        <v>930</v>
      </c>
      <c r="C16" s="142" t="s">
        <v>951</v>
      </c>
      <c r="D16" s="86" t="s">
        <v>980</v>
      </c>
      <c r="E16" s="140"/>
      <c r="F16" s="107"/>
      <c r="G16" s="107"/>
    </row>
    <row r="17" spans="2:7" ht="16.5" thickBot="1" x14ac:dyDescent="0.3">
      <c r="B17" s="90" t="s">
        <v>931</v>
      </c>
      <c r="C17" s="142" t="s">
        <v>981</v>
      </c>
      <c r="D17" s="86" t="s">
        <v>982</v>
      </c>
      <c r="E17" s="140"/>
      <c r="F17" s="107"/>
      <c r="G17" s="107"/>
    </row>
    <row r="18" spans="2:7" x14ac:dyDescent="0.25">
      <c r="B18" s="90" t="s">
        <v>932</v>
      </c>
      <c r="C18" s="143" t="s">
        <v>983</v>
      </c>
      <c r="D18" s="102" t="s">
        <v>984</v>
      </c>
      <c r="E18" s="236"/>
      <c r="F18" s="232"/>
      <c r="G18" s="99"/>
    </row>
    <row r="19" spans="2:7" ht="16.5" thickBot="1" x14ac:dyDescent="0.3">
      <c r="B19" s="144" t="s">
        <v>933</v>
      </c>
      <c r="C19" s="145" t="s">
        <v>955</v>
      </c>
      <c r="D19" s="86" t="s">
        <v>986</v>
      </c>
      <c r="E19" s="140"/>
      <c r="F19" s="107"/>
      <c r="G19" s="107"/>
    </row>
    <row r="20" spans="2:7" ht="15.75" x14ac:dyDescent="0.25">
      <c r="B20" s="107"/>
      <c r="C20" s="107"/>
      <c r="D20" s="107"/>
      <c r="E20" s="107"/>
      <c r="F20" s="107"/>
      <c r="G20" s="107"/>
    </row>
    <row r="21" spans="2:7" ht="15.75" x14ac:dyDescent="0.25">
      <c r="B21" s="1116"/>
      <c r="C21" s="1116"/>
      <c r="D21" s="1116"/>
      <c r="E21" s="1116"/>
      <c r="F21" s="107"/>
      <c r="G21" s="107"/>
    </row>
    <row r="22" spans="2:7" ht="15.75" x14ac:dyDescent="0.25">
      <c r="B22" s="107"/>
      <c r="C22" s="107"/>
      <c r="D22" s="107"/>
      <c r="E22" s="107"/>
      <c r="F22" s="107"/>
      <c r="G22" s="107"/>
    </row>
    <row r="23" spans="2:7" ht="15.75" x14ac:dyDescent="0.25">
      <c r="B23" s="1116"/>
      <c r="C23" s="1116"/>
      <c r="D23" s="1116"/>
      <c r="E23" s="1116"/>
      <c r="F23" s="107"/>
      <c r="G23" s="107"/>
    </row>
    <row r="24" spans="2:7" ht="24" customHeight="1" x14ac:dyDescent="0.25">
      <c r="B24" s="1098"/>
      <c r="C24" s="1098"/>
      <c r="D24" s="1098"/>
      <c r="E24" s="1098"/>
      <c r="F24" s="1098"/>
      <c r="G24" s="1098"/>
    </row>
    <row r="25" spans="2:7" ht="15.75" x14ac:dyDescent="0.25">
      <c r="B25" s="1116"/>
      <c r="C25" s="1116"/>
      <c r="D25" s="1116"/>
      <c r="E25" s="1116"/>
      <c r="F25" s="107"/>
      <c r="G25" s="107"/>
    </row>
    <row r="26" spans="2:7" ht="36" customHeight="1" x14ac:dyDescent="0.25">
      <c r="B26" s="1098"/>
      <c r="C26" s="1098"/>
      <c r="D26" s="1098"/>
      <c r="E26" s="1098"/>
      <c r="F26" s="1098"/>
      <c r="G26" s="1098"/>
    </row>
    <row r="27" spans="2:7" ht="36" customHeight="1" x14ac:dyDescent="0.25">
      <c r="B27" s="1098"/>
      <c r="C27" s="1098"/>
      <c r="D27" s="1098"/>
      <c r="E27" s="1098"/>
      <c r="F27" s="1098"/>
      <c r="G27" s="1098"/>
    </row>
    <row r="28" spans="2:7" ht="36" customHeight="1" x14ac:dyDescent="0.25">
      <c r="B28" s="1098"/>
      <c r="C28" s="1098"/>
      <c r="D28" s="1098"/>
      <c r="E28" s="1098"/>
      <c r="F28" s="1098"/>
      <c r="G28" s="1098"/>
    </row>
    <row r="29" spans="2:7" ht="93.75" customHeight="1" x14ac:dyDescent="0.25">
      <c r="B29" s="1098"/>
      <c r="C29" s="1098"/>
      <c r="D29" s="1098"/>
      <c r="E29" s="1098"/>
      <c r="F29" s="1098"/>
      <c r="G29" s="1098"/>
    </row>
    <row r="30" spans="2:7" ht="65.25" customHeight="1" x14ac:dyDescent="0.25">
      <c r="B30" s="1098"/>
      <c r="C30" s="1098"/>
      <c r="D30" s="1098"/>
      <c r="E30" s="1098"/>
      <c r="F30" s="1098"/>
      <c r="G30" s="1098"/>
    </row>
    <row r="31" spans="2:7" ht="36" customHeight="1" x14ac:dyDescent="0.25">
      <c r="B31" s="1098"/>
      <c r="C31" s="1098"/>
      <c r="D31" s="1098"/>
      <c r="E31" s="1098"/>
      <c r="F31" s="1098"/>
      <c r="G31" s="1098"/>
    </row>
    <row r="32" spans="2:7" ht="82.5" customHeight="1" x14ac:dyDescent="0.25">
      <c r="B32" s="1098"/>
      <c r="C32" s="1098"/>
      <c r="D32" s="1098"/>
      <c r="E32" s="1098"/>
      <c r="F32" s="1098"/>
      <c r="G32" s="1098"/>
    </row>
    <row r="33" spans="2:7" ht="45" customHeight="1" x14ac:dyDescent="0.25">
      <c r="B33" s="1098"/>
      <c r="C33" s="1098"/>
      <c r="D33" s="1098"/>
      <c r="E33" s="1098"/>
      <c r="F33" s="1098"/>
      <c r="G33" s="1098"/>
    </row>
    <row r="34" spans="2:7" ht="66.75" customHeight="1" x14ac:dyDescent="0.25">
      <c r="B34" s="1098"/>
      <c r="C34" s="1098"/>
      <c r="D34" s="1098"/>
      <c r="E34" s="1098"/>
      <c r="F34" s="1098"/>
      <c r="G34" s="1098"/>
    </row>
    <row r="35" spans="2:7" ht="36" customHeight="1" x14ac:dyDescent="0.25">
      <c r="B35" s="1098"/>
      <c r="C35" s="1098"/>
      <c r="D35" s="1098"/>
      <c r="E35" s="1098"/>
      <c r="F35" s="1098"/>
      <c r="G35" s="1098"/>
    </row>
    <row r="36" spans="2:7" ht="42" customHeight="1" x14ac:dyDescent="0.25">
      <c r="B36" s="1098"/>
      <c r="C36" s="1098"/>
      <c r="D36" s="1098"/>
      <c r="E36" s="1098"/>
      <c r="F36" s="1098"/>
      <c r="G36" s="1098"/>
    </row>
    <row r="37" spans="2:7" ht="36" customHeight="1" x14ac:dyDescent="0.25">
      <c r="B37" s="1098"/>
      <c r="C37" s="1098"/>
      <c r="D37" s="1098"/>
      <c r="E37" s="1098"/>
      <c r="F37" s="1098"/>
      <c r="G37" s="1098"/>
    </row>
    <row r="38" spans="2:7" ht="88.5" customHeight="1" x14ac:dyDescent="0.25">
      <c r="B38" s="1098"/>
      <c r="C38" s="1098"/>
      <c r="D38" s="1098"/>
      <c r="E38" s="1098"/>
      <c r="F38" s="1098"/>
      <c r="G38" s="1098"/>
    </row>
    <row r="39" spans="2:7" ht="33" customHeight="1" x14ac:dyDescent="0.25">
      <c r="B39" s="1211"/>
      <c r="C39" s="1211"/>
      <c r="D39" s="1211"/>
      <c r="E39" s="1211"/>
      <c r="F39" s="209"/>
      <c r="G39" s="209"/>
    </row>
    <row r="40" spans="2:7" ht="61.5" customHeight="1" x14ac:dyDescent="0.25">
      <c r="B40" s="1098"/>
      <c r="C40" s="1098"/>
      <c r="D40" s="1098"/>
      <c r="E40" s="1098"/>
      <c r="F40" s="1098"/>
      <c r="G40" s="1098"/>
    </row>
  </sheetData>
  <mergeCells count="20">
    <mergeCell ref="B39:E39"/>
    <mergeCell ref="B40:G40"/>
    <mergeCell ref="B33:G33"/>
    <mergeCell ref="B34:G34"/>
    <mergeCell ref="B35:G35"/>
    <mergeCell ref="B36:G36"/>
    <mergeCell ref="B37:G37"/>
    <mergeCell ref="B38:G38"/>
    <mergeCell ref="B2:K2"/>
    <mergeCell ref="B32:G32"/>
    <mergeCell ref="B21:E21"/>
    <mergeCell ref="B23:E23"/>
    <mergeCell ref="B24:G24"/>
    <mergeCell ref="B25:E25"/>
    <mergeCell ref="B26:G26"/>
    <mergeCell ref="B27:G27"/>
    <mergeCell ref="B28:G28"/>
    <mergeCell ref="B29:G29"/>
    <mergeCell ref="B30:G30"/>
    <mergeCell ref="B31:G31"/>
  </mergeCells>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M35"/>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271" customWidth="1"/>
    <col min="2" max="2" width="5.6640625" style="271" customWidth="1"/>
    <col min="3" max="3" width="55.109375" style="271" customWidth="1"/>
    <col min="4" max="8" width="10.77734375" style="271" customWidth="1"/>
    <col min="9" max="9" width="11.109375" style="271" bestFit="1" customWidth="1"/>
    <col min="10" max="10" width="10.21875" style="271" bestFit="1" customWidth="1"/>
    <col min="11" max="11" width="9.21875" style="271"/>
    <col min="12" max="13" width="11.109375" style="271" bestFit="1" customWidth="1"/>
    <col min="14" max="16384" width="9.21875" style="271"/>
  </cols>
  <sheetData>
    <row r="2" spans="1:10" ht="15" x14ac:dyDescent="0.25">
      <c r="B2" s="940" t="s">
        <v>3521</v>
      </c>
    </row>
    <row r="3" spans="1:10" x14ac:dyDescent="0.2">
      <c r="C3" s="281"/>
      <c r="D3" s="281"/>
      <c r="E3" s="281"/>
      <c r="F3" s="281"/>
      <c r="G3" s="281"/>
      <c r="H3" s="281"/>
      <c r="I3" s="281"/>
      <c r="J3" s="274"/>
    </row>
    <row r="4" spans="1:10" ht="21" x14ac:dyDescent="0.35">
      <c r="A4" s="272"/>
      <c r="B4" s="372" t="s">
        <v>987</v>
      </c>
      <c r="J4" s="274"/>
    </row>
    <row r="8" spans="1:10" ht="20.100000000000001" customHeight="1" x14ac:dyDescent="0.2">
      <c r="C8" s="274"/>
      <c r="D8" s="1215" t="s">
        <v>988</v>
      </c>
      <c r="E8" s="1212" t="s">
        <v>989</v>
      </c>
      <c r="F8" s="1213"/>
      <c r="G8" s="1213"/>
      <c r="H8" s="1214"/>
      <c r="I8" s="274"/>
      <c r="J8" s="274"/>
    </row>
    <row r="9" spans="1:10" ht="57.75" customHeight="1" x14ac:dyDescent="0.2">
      <c r="C9" s="332"/>
      <c r="D9" s="1216"/>
      <c r="E9" s="598"/>
      <c r="F9" s="603" t="s">
        <v>3636</v>
      </c>
      <c r="G9" s="603" t="s">
        <v>3637</v>
      </c>
      <c r="H9" s="604"/>
      <c r="I9" s="274"/>
      <c r="J9" s="274"/>
    </row>
    <row r="10" spans="1:10" ht="52.5" customHeight="1" x14ac:dyDescent="0.2">
      <c r="C10" s="332"/>
      <c r="D10" s="1217"/>
      <c r="E10" s="598"/>
      <c r="F10" s="605"/>
      <c r="G10" s="605"/>
      <c r="H10" s="600" t="s">
        <v>3638</v>
      </c>
      <c r="I10" s="274"/>
      <c r="J10" s="274"/>
    </row>
    <row r="11" spans="1:10" ht="20.100000000000001" customHeight="1" x14ac:dyDescent="0.2">
      <c r="C11" s="332"/>
      <c r="D11" s="452" t="s">
        <v>161</v>
      </c>
      <c r="E11" s="452" t="s">
        <v>162</v>
      </c>
      <c r="F11" s="452" t="s">
        <v>163</v>
      </c>
      <c r="G11" s="452" t="s">
        <v>200</v>
      </c>
      <c r="H11" s="452" t="s">
        <v>201</v>
      </c>
      <c r="I11" s="274"/>
      <c r="J11" s="274"/>
    </row>
    <row r="12" spans="1:10" ht="20.100000000000001" customHeight="1" x14ac:dyDescent="0.2">
      <c r="B12" s="400">
        <v>1</v>
      </c>
      <c r="C12" s="457" t="s">
        <v>914</v>
      </c>
      <c r="D12" s="726">
        <f>53060175073/1000000</f>
        <v>53060.175072999999</v>
      </c>
      <c r="E12" s="726">
        <f>86562906658/1000000</f>
        <v>86562.906658000007</v>
      </c>
      <c r="F12" s="930">
        <f>86006726699/1000000</f>
        <v>86006.726699000006</v>
      </c>
      <c r="G12" s="930">
        <f>556179959/1000000</f>
        <v>556.17995900000005</v>
      </c>
      <c r="H12" s="601"/>
      <c r="I12" s="274"/>
      <c r="J12" s="274"/>
    </row>
    <row r="13" spans="1:10" ht="20.100000000000001" customHeight="1" x14ac:dyDescent="0.2">
      <c r="B13" s="400">
        <v>2</v>
      </c>
      <c r="C13" s="457" t="s">
        <v>990</v>
      </c>
      <c r="D13" s="726">
        <f>23296290982/1000000</f>
        <v>23296.290981999999</v>
      </c>
      <c r="E13" s="930"/>
      <c r="F13" s="930"/>
      <c r="G13" s="930"/>
      <c r="H13" s="411"/>
      <c r="I13" s="274"/>
      <c r="J13" s="274"/>
    </row>
    <row r="14" spans="1:10" ht="20.100000000000001" customHeight="1" x14ac:dyDescent="0.2">
      <c r="B14" s="606">
        <v>3</v>
      </c>
      <c r="C14" s="507" t="s">
        <v>198</v>
      </c>
      <c r="D14" s="831">
        <f>D12+D13</f>
        <v>76356.466054999997</v>
      </c>
      <c r="E14" s="831">
        <f>E12+E13</f>
        <v>86562.906658000007</v>
      </c>
      <c r="F14" s="831">
        <f>F12+F13</f>
        <v>86006.726699000006</v>
      </c>
      <c r="G14" s="831">
        <f>G12+G13</f>
        <v>556.17995900000005</v>
      </c>
      <c r="H14" s="439"/>
      <c r="I14" s="274"/>
      <c r="J14" s="274"/>
    </row>
    <row r="15" spans="1:10" ht="20.100000000000001" customHeight="1" x14ac:dyDescent="0.2">
      <c r="B15" s="400">
        <v>4</v>
      </c>
      <c r="C15" s="459" t="s">
        <v>991</v>
      </c>
      <c r="D15" s="726">
        <f>30855794/1000000</f>
        <v>30.855793999999999</v>
      </c>
      <c r="E15" s="930">
        <f>508285357/1000000</f>
        <v>508.28535699999998</v>
      </c>
      <c r="F15" s="930">
        <f>474069839/1000000</f>
        <v>474.069839</v>
      </c>
      <c r="G15" s="930">
        <f>34215518/1000000</f>
        <v>34.215518000000003</v>
      </c>
      <c r="H15" s="452"/>
      <c r="I15" s="274"/>
      <c r="J15" s="274"/>
    </row>
    <row r="16" spans="1:10" ht="20.100000000000001" customHeight="1" x14ac:dyDescent="0.2">
      <c r="B16" s="400" t="s">
        <v>992</v>
      </c>
      <c r="C16" s="459" t="s">
        <v>993</v>
      </c>
      <c r="D16" s="600"/>
      <c r="E16" s="600"/>
      <c r="F16" s="602"/>
      <c r="G16" s="602"/>
      <c r="H16" s="602"/>
      <c r="I16" s="274"/>
      <c r="J16" s="274"/>
    </row>
    <row r="17" spans="3:13" x14ac:dyDescent="0.2">
      <c r="C17" s="281"/>
    </row>
    <row r="21" spans="3:13" x14ac:dyDescent="0.2">
      <c r="L21" s="396"/>
    </row>
    <row r="22" spans="3:13" x14ac:dyDescent="0.2">
      <c r="G22" s="396"/>
      <c r="L22" s="396"/>
    </row>
    <row r="23" spans="3:13" x14ac:dyDescent="0.2">
      <c r="F23" s="396"/>
      <c r="G23" s="396"/>
      <c r="M23" s="396"/>
    </row>
    <row r="24" spans="3:13" x14ac:dyDescent="0.2">
      <c r="G24" s="396"/>
    </row>
    <row r="25" spans="3:13" x14ac:dyDescent="0.2">
      <c r="G25" s="396"/>
      <c r="I25" s="396"/>
      <c r="J25" s="396"/>
    </row>
    <row r="26" spans="3:13" x14ac:dyDescent="0.2">
      <c r="G26" s="396"/>
      <c r="I26" s="396"/>
    </row>
    <row r="28" spans="3:13" x14ac:dyDescent="0.2">
      <c r="I28" s="396"/>
    </row>
    <row r="32" spans="3:13" x14ac:dyDescent="0.2">
      <c r="G32" s="396"/>
    </row>
    <row r="35" spans="5:5" x14ac:dyDescent="0.2">
      <c r="E35" s="254"/>
    </row>
  </sheetData>
  <sheetProtection algorithmName="SHA-512" hashValue="fcfVJYdJTtyblWESEugqOA9qW1uXHTt9ndVA+DvhBcySvzsWTv3qOnzdJgbdSmTXQqnPqhVnL3ZeHXfAcUrLrw==" saltValue="bB1VbU/PT+3+siCPAAFLkg==" spinCount="100000" sheet="1" objects="1" scenarios="1"/>
  <mergeCells count="2">
    <mergeCell ref="E8:H8"/>
    <mergeCell ref="D8:D10"/>
  </mergeCells>
  <hyperlinks>
    <hyperlink ref="B2" location="Contents!A1" display="Back to Contents page" xr:uid="{E1BECF5D-7156-4382-8818-94F295E7B0FD}"/>
  </hyperlinks>
  <pageMargins left="0.7" right="0.7" top="0.75" bottom="0.75" header="0.3" footer="0.3"/>
  <pageSetup paperSize="9" scale="36" orientation="portrait" horizontalDpi="144" verticalDpi="144"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DR30"/>
  <sheetViews>
    <sheetView showGridLines="0" showRowColHeaders="0" zoomScale="80" zoomScaleNormal="80" workbookViewId="0">
      <selection activeCell="B2" sqref="B2"/>
    </sheetView>
  </sheetViews>
  <sheetFormatPr baseColWidth="10" defaultColWidth="11.6640625" defaultRowHeight="12.75" x14ac:dyDescent="0.2"/>
  <cols>
    <col min="1" max="1" width="3.88671875" style="251" customWidth="1"/>
    <col min="2" max="2" width="5.21875" style="251" customWidth="1"/>
    <col min="3" max="3" width="61.88671875" style="251" customWidth="1"/>
    <col min="4" max="9" width="12.77734375" style="251" customWidth="1"/>
    <col min="10" max="10" width="11.6640625" style="251"/>
    <col min="11" max="11" width="32.77734375" style="251" customWidth="1"/>
    <col min="12" max="122" width="11.6640625" style="251"/>
    <col min="123" max="16384" width="11.6640625" style="254"/>
  </cols>
  <sheetData>
    <row r="2" spans="1:122" ht="15" x14ac:dyDescent="0.25">
      <c r="B2" s="940" t="s">
        <v>3521</v>
      </c>
    </row>
    <row r="3" spans="1:122" x14ac:dyDescent="0.2">
      <c r="A3" s="329"/>
    </row>
    <row r="4" spans="1:122" ht="21" x14ac:dyDescent="0.35">
      <c r="B4" s="371" t="s">
        <v>994</v>
      </c>
      <c r="DD4" s="254"/>
      <c r="DE4" s="254"/>
      <c r="DF4" s="254"/>
      <c r="DG4" s="254"/>
      <c r="DH4" s="254"/>
      <c r="DI4" s="254"/>
      <c r="DJ4" s="254"/>
      <c r="DK4" s="254"/>
      <c r="DL4" s="254"/>
      <c r="DM4" s="254"/>
      <c r="DN4" s="254"/>
      <c r="DO4" s="254"/>
      <c r="DP4" s="254"/>
      <c r="DQ4" s="254"/>
      <c r="DR4" s="254"/>
    </row>
    <row r="5" spans="1:122" x14ac:dyDescent="0.2">
      <c r="DD5" s="254"/>
      <c r="DE5" s="254"/>
      <c r="DF5" s="254"/>
      <c r="DG5" s="254"/>
      <c r="DH5" s="254"/>
      <c r="DI5" s="254"/>
      <c r="DJ5" s="254"/>
      <c r="DK5" s="254"/>
      <c r="DL5" s="254"/>
      <c r="DM5" s="254"/>
      <c r="DN5" s="254"/>
      <c r="DO5" s="254"/>
      <c r="DP5" s="254"/>
      <c r="DQ5" s="254"/>
      <c r="DR5" s="254"/>
    </row>
    <row r="6" spans="1:122" s="302" customFormat="1" ht="24.95" customHeight="1" x14ac:dyDescent="0.25">
      <c r="A6" s="252"/>
      <c r="B6" s="252"/>
      <c r="C6" s="1218" t="s">
        <v>995</v>
      </c>
      <c r="D6" s="1219" t="s">
        <v>996</v>
      </c>
      <c r="E6" s="1219"/>
      <c r="F6" s="1219" t="s">
        <v>997</v>
      </c>
      <c r="G6" s="1219"/>
      <c r="H6" s="1220" t="s">
        <v>998</v>
      </c>
      <c r="I6" s="1220"/>
      <c r="J6" s="252"/>
      <c r="K6" s="252"/>
      <c r="L6" s="252"/>
      <c r="M6" s="252"/>
      <c r="N6" s="252"/>
      <c r="O6" s="252"/>
      <c r="P6" s="252"/>
      <c r="Q6" s="252"/>
      <c r="R6" s="252"/>
      <c r="S6" s="252"/>
      <c r="T6" s="252"/>
      <c r="U6" s="252"/>
      <c r="V6" s="252"/>
      <c r="W6" s="252"/>
      <c r="X6" s="252"/>
      <c r="Y6" s="252"/>
      <c r="Z6" s="252"/>
      <c r="AA6" s="252"/>
      <c r="AB6" s="252"/>
      <c r="AC6" s="252"/>
      <c r="AD6" s="252"/>
      <c r="AE6" s="252"/>
      <c r="AF6" s="252"/>
      <c r="AG6" s="252"/>
      <c r="AH6" s="252"/>
      <c r="AI6" s="252"/>
      <c r="AJ6" s="252"/>
      <c r="AK6" s="252"/>
      <c r="AL6" s="252"/>
      <c r="AM6" s="252"/>
      <c r="AN6" s="252"/>
      <c r="AO6" s="252"/>
      <c r="AP6" s="252"/>
      <c r="AQ6" s="252"/>
      <c r="AR6" s="252"/>
      <c r="AS6" s="252"/>
      <c r="AT6" s="252"/>
      <c r="AU6" s="252"/>
      <c r="AV6" s="252"/>
      <c r="AW6" s="252"/>
      <c r="AX6" s="252"/>
      <c r="AY6" s="252"/>
      <c r="AZ6" s="252"/>
      <c r="BA6" s="252"/>
      <c r="BB6" s="252"/>
      <c r="BC6" s="252"/>
      <c r="BD6" s="252"/>
      <c r="BE6" s="252"/>
      <c r="BF6" s="252"/>
      <c r="BG6" s="252"/>
      <c r="BH6" s="252"/>
      <c r="BI6" s="252"/>
      <c r="BJ6" s="252"/>
      <c r="BK6" s="252"/>
      <c r="BL6" s="252"/>
      <c r="BM6" s="252"/>
      <c r="BN6" s="252"/>
      <c r="BO6" s="252"/>
      <c r="BP6" s="252"/>
      <c r="BQ6" s="252"/>
      <c r="BR6" s="252"/>
      <c r="BS6" s="252"/>
      <c r="BT6" s="252"/>
      <c r="BU6" s="252"/>
      <c r="BV6" s="252"/>
      <c r="BW6" s="252"/>
      <c r="BX6" s="252"/>
      <c r="BY6" s="252"/>
      <c r="BZ6" s="252"/>
      <c r="CA6" s="252"/>
      <c r="CB6" s="252"/>
      <c r="CC6" s="252"/>
      <c r="CD6" s="252"/>
      <c r="CE6" s="252"/>
      <c r="CF6" s="252"/>
      <c r="CG6" s="252"/>
      <c r="CH6" s="252"/>
      <c r="CI6" s="252"/>
      <c r="CJ6" s="252"/>
      <c r="CK6" s="252"/>
      <c r="CL6" s="252"/>
      <c r="CM6" s="252"/>
      <c r="CN6" s="252"/>
      <c r="CO6" s="252"/>
      <c r="CP6" s="252"/>
      <c r="CQ6" s="252"/>
      <c r="CR6" s="252"/>
      <c r="CS6" s="252"/>
      <c r="CT6" s="252"/>
      <c r="CU6" s="252"/>
      <c r="CV6" s="252"/>
      <c r="CW6" s="252"/>
      <c r="CX6" s="252"/>
      <c r="CY6" s="252"/>
      <c r="CZ6" s="252"/>
      <c r="DA6" s="252"/>
      <c r="DB6" s="252"/>
      <c r="DC6" s="252"/>
    </row>
    <row r="7" spans="1:122" s="302" customFormat="1" ht="24.95" customHeight="1" x14ac:dyDescent="0.25">
      <c r="A7" s="252"/>
      <c r="B7" s="330"/>
      <c r="C7" s="1218"/>
      <c r="D7" s="497" t="s">
        <v>999</v>
      </c>
      <c r="E7" s="497" t="s">
        <v>1000</v>
      </c>
      <c r="F7" s="497" t="s">
        <v>999</v>
      </c>
      <c r="G7" s="497" t="s">
        <v>1000</v>
      </c>
      <c r="H7" s="439" t="s">
        <v>301</v>
      </c>
      <c r="I7" s="439" t="s">
        <v>1001</v>
      </c>
      <c r="J7" s="252"/>
      <c r="K7" s="252"/>
      <c r="L7" s="252"/>
      <c r="M7" s="252"/>
      <c r="N7" s="252"/>
      <c r="O7" s="252"/>
      <c r="P7" s="252"/>
      <c r="Q7" s="252"/>
      <c r="R7" s="252"/>
      <c r="S7" s="252"/>
      <c r="T7" s="252"/>
      <c r="U7" s="252"/>
      <c r="V7" s="252"/>
      <c r="W7" s="252"/>
      <c r="X7" s="252"/>
      <c r="Y7" s="252"/>
      <c r="Z7" s="252"/>
      <c r="AA7" s="252"/>
      <c r="AB7" s="252"/>
      <c r="AC7" s="252"/>
      <c r="AD7" s="252"/>
      <c r="AE7" s="252"/>
      <c r="AF7" s="252"/>
      <c r="AG7" s="252"/>
      <c r="AH7" s="252"/>
      <c r="AI7" s="252"/>
      <c r="AJ7" s="252"/>
      <c r="AK7" s="252"/>
      <c r="AL7" s="252"/>
      <c r="AM7" s="252"/>
      <c r="AN7" s="252"/>
      <c r="AO7" s="252"/>
      <c r="AP7" s="252"/>
      <c r="AQ7" s="252"/>
      <c r="AR7" s="252"/>
      <c r="AS7" s="252"/>
      <c r="AT7" s="252"/>
      <c r="AU7" s="252"/>
      <c r="AV7" s="252"/>
      <c r="AW7" s="252"/>
      <c r="AX7" s="252"/>
      <c r="AY7" s="252"/>
      <c r="AZ7" s="252"/>
      <c r="BA7" s="252"/>
      <c r="BB7" s="252"/>
      <c r="BC7" s="252"/>
      <c r="BD7" s="252"/>
      <c r="BE7" s="252"/>
      <c r="BF7" s="252"/>
      <c r="BG7" s="252"/>
      <c r="BH7" s="252"/>
      <c r="BI7" s="252"/>
      <c r="BJ7" s="252"/>
      <c r="BK7" s="252"/>
      <c r="BL7" s="252"/>
      <c r="BM7" s="252"/>
      <c r="BN7" s="252"/>
      <c r="BO7" s="252"/>
      <c r="BP7" s="252"/>
      <c r="BQ7" s="252"/>
      <c r="BR7" s="252"/>
      <c r="BS7" s="252"/>
      <c r="BT7" s="252"/>
      <c r="BU7" s="252"/>
      <c r="BV7" s="252"/>
      <c r="BW7" s="252"/>
      <c r="BX7" s="252"/>
      <c r="BY7" s="252"/>
      <c r="BZ7" s="252"/>
      <c r="CA7" s="252"/>
      <c r="CB7" s="252"/>
      <c r="CC7" s="252"/>
      <c r="CD7" s="252"/>
      <c r="CE7" s="252"/>
      <c r="CF7" s="252"/>
      <c r="CG7" s="252"/>
      <c r="CH7" s="252"/>
      <c r="CI7" s="252"/>
      <c r="CJ7" s="252"/>
      <c r="CK7" s="252"/>
      <c r="CL7" s="252"/>
      <c r="CM7" s="252"/>
      <c r="CN7" s="252"/>
      <c r="CO7" s="252"/>
      <c r="CP7" s="252"/>
      <c r="CQ7" s="252"/>
      <c r="CR7" s="252"/>
      <c r="CS7" s="252"/>
      <c r="CT7" s="252"/>
      <c r="CU7" s="252"/>
      <c r="CV7" s="252"/>
      <c r="CW7" s="252"/>
      <c r="CX7" s="252"/>
      <c r="CY7" s="252"/>
      <c r="CZ7" s="252"/>
      <c r="DA7" s="252"/>
      <c r="DB7" s="252"/>
      <c r="DC7" s="252"/>
    </row>
    <row r="8" spans="1:122" s="264" customFormat="1" ht="20.100000000000001" customHeight="1" x14ac:dyDescent="0.2">
      <c r="A8" s="331"/>
      <c r="B8" s="330"/>
      <c r="C8" s="1218"/>
      <c r="D8" s="607" t="s">
        <v>161</v>
      </c>
      <c r="E8" s="607" t="s">
        <v>162</v>
      </c>
      <c r="F8" s="607" t="s">
        <v>163</v>
      </c>
      <c r="G8" s="607" t="s">
        <v>200</v>
      </c>
      <c r="H8" s="607" t="s">
        <v>201</v>
      </c>
      <c r="I8" s="607" t="s">
        <v>266</v>
      </c>
      <c r="J8" s="256"/>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row>
    <row r="9" spans="1:122" s="255" customFormat="1" ht="20.100000000000001" customHeight="1" x14ac:dyDescent="0.2">
      <c r="A9" s="256"/>
      <c r="B9" s="482">
        <v>1</v>
      </c>
      <c r="C9" s="608" t="s">
        <v>1002</v>
      </c>
      <c r="D9" s="926">
        <v>3824.8775059999998</v>
      </c>
      <c r="E9" s="926"/>
      <c r="F9" s="926">
        <v>3824.8775059999998</v>
      </c>
      <c r="G9" s="926"/>
      <c r="H9" s="926"/>
      <c r="I9" s="927">
        <f>H9/(F9+G9)</f>
        <v>0</v>
      </c>
      <c r="J9" s="256"/>
      <c r="K9" s="256"/>
      <c r="L9" s="256"/>
      <c r="M9" s="256"/>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BW9" s="256"/>
      <c r="BX9" s="256"/>
      <c r="BY9" s="256"/>
      <c r="BZ9" s="256"/>
      <c r="CA9" s="256"/>
      <c r="CB9" s="256"/>
      <c r="CC9" s="256"/>
      <c r="CD9" s="256"/>
      <c r="CE9" s="256"/>
      <c r="CF9" s="256"/>
      <c r="CG9" s="256"/>
      <c r="CH9" s="256"/>
      <c r="CI9" s="256"/>
      <c r="CJ9" s="256"/>
      <c r="CK9" s="256"/>
      <c r="CL9" s="256"/>
      <c r="CM9" s="256"/>
      <c r="CN9" s="256"/>
      <c r="CO9" s="256"/>
      <c r="CP9" s="256"/>
      <c r="CQ9" s="256"/>
      <c r="CR9" s="256"/>
      <c r="CS9" s="256"/>
      <c r="CT9" s="256"/>
      <c r="CU9" s="256"/>
      <c r="CV9" s="256"/>
      <c r="CW9" s="256"/>
      <c r="CX9" s="256"/>
      <c r="CY9" s="256"/>
      <c r="CZ9" s="256"/>
      <c r="DA9" s="256"/>
      <c r="DB9" s="256"/>
      <c r="DC9" s="256"/>
    </row>
    <row r="10" spans="1:122" s="255" customFormat="1" ht="20.100000000000001" customHeight="1" x14ac:dyDescent="0.2">
      <c r="A10" s="256"/>
      <c r="B10" s="482">
        <v>2</v>
      </c>
      <c r="C10" s="456" t="s">
        <v>1003</v>
      </c>
      <c r="D10" s="926">
        <v>3479.8681860000002</v>
      </c>
      <c r="E10" s="926">
        <v>411.85714300000001</v>
      </c>
      <c r="F10" s="926">
        <v>3479.8681860000002</v>
      </c>
      <c r="G10" s="926">
        <v>82.953429</v>
      </c>
      <c r="H10" s="926">
        <v>497.84008899999998</v>
      </c>
      <c r="I10" s="928">
        <f>H10/(F10+G10)</f>
        <v>0.13973197167773441</v>
      </c>
      <c r="J10" s="256"/>
      <c r="K10" s="256"/>
      <c r="L10" s="256"/>
      <c r="M10" s="256"/>
      <c r="N10" s="256"/>
      <c r="O10" s="256"/>
      <c r="P10" s="256"/>
      <c r="Q10" s="256"/>
      <c r="R10" s="256"/>
      <c r="S10" s="256"/>
      <c r="T10" s="256"/>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c r="CF10" s="256"/>
      <c r="CG10" s="256"/>
      <c r="CH10" s="256"/>
      <c r="CI10" s="256"/>
      <c r="CJ10" s="256"/>
      <c r="CK10" s="256"/>
      <c r="CL10" s="256"/>
      <c r="CM10" s="256"/>
      <c r="CN10" s="256"/>
      <c r="CO10" s="256"/>
      <c r="CP10" s="256"/>
      <c r="CQ10" s="256"/>
      <c r="CR10" s="256"/>
      <c r="CS10" s="256"/>
      <c r="CT10" s="256"/>
      <c r="CU10" s="256"/>
      <c r="CV10" s="256"/>
      <c r="CW10" s="256"/>
      <c r="CX10" s="256"/>
      <c r="CY10" s="256"/>
      <c r="CZ10" s="256"/>
      <c r="DA10" s="256"/>
      <c r="DB10" s="256"/>
      <c r="DC10" s="256"/>
    </row>
    <row r="11" spans="1:122" s="255" customFormat="1" ht="20.100000000000001" customHeight="1" x14ac:dyDescent="0.2">
      <c r="A11" s="256"/>
      <c r="B11" s="482">
        <v>3</v>
      </c>
      <c r="C11" s="456" t="s">
        <v>332</v>
      </c>
      <c r="D11" s="926">
        <v>468.83581700000002</v>
      </c>
      <c r="E11" s="926">
        <v>7.4999999999999997E-2</v>
      </c>
      <c r="F11" s="926">
        <v>468.83581700000002</v>
      </c>
      <c r="G11" s="926">
        <v>3.7499999999999999E-2</v>
      </c>
      <c r="H11" s="926">
        <v>2.563609</v>
      </c>
      <c r="I11" s="928">
        <f>H11/(F11+G11)</f>
        <v>5.4675941390795752E-3</v>
      </c>
      <c r="J11" s="256"/>
      <c r="K11" s="256"/>
      <c r="L11" s="256"/>
      <c r="M11" s="256"/>
      <c r="N11" s="256"/>
      <c r="O11" s="256"/>
      <c r="P11" s="256"/>
      <c r="Q11" s="256"/>
      <c r="R11" s="256"/>
      <c r="S11" s="256"/>
      <c r="T11" s="256"/>
      <c r="U11" s="256"/>
      <c r="V11" s="256"/>
      <c r="W11" s="256"/>
      <c r="X11" s="256"/>
      <c r="Y11" s="256"/>
      <c r="Z11" s="256"/>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c r="BW11" s="256"/>
      <c r="BX11" s="256"/>
      <c r="BY11" s="256"/>
      <c r="BZ11" s="256"/>
      <c r="CA11" s="256"/>
      <c r="CB11" s="256"/>
      <c r="CC11" s="256"/>
      <c r="CD11" s="256"/>
      <c r="CE11" s="256"/>
      <c r="CF11" s="256"/>
      <c r="CG11" s="256"/>
      <c r="CH11" s="256"/>
      <c r="CI11" s="256"/>
      <c r="CJ11" s="256"/>
      <c r="CK11" s="256"/>
      <c r="CL11" s="256"/>
      <c r="CM11" s="256"/>
      <c r="CN11" s="256"/>
      <c r="CO11" s="256"/>
      <c r="CP11" s="256"/>
      <c r="CQ11" s="256"/>
      <c r="CR11" s="256"/>
      <c r="CS11" s="256"/>
      <c r="CT11" s="256"/>
      <c r="CU11" s="256"/>
      <c r="CV11" s="256"/>
      <c r="CW11" s="256"/>
      <c r="CX11" s="256"/>
      <c r="CY11" s="256"/>
      <c r="CZ11" s="256"/>
      <c r="DA11" s="256"/>
      <c r="DB11" s="256"/>
      <c r="DC11" s="256"/>
    </row>
    <row r="12" spans="1:122" s="255" customFormat="1" ht="20.100000000000001" customHeight="1" x14ac:dyDescent="0.2">
      <c r="A12" s="256"/>
      <c r="B12" s="482">
        <v>4</v>
      </c>
      <c r="C12" s="456" t="s">
        <v>333</v>
      </c>
      <c r="D12" s="926">
        <v>2444.1018909999998</v>
      </c>
      <c r="E12" s="926"/>
      <c r="F12" s="926">
        <v>2444.1018909999998</v>
      </c>
      <c r="G12" s="926"/>
      <c r="H12" s="926"/>
      <c r="I12" s="928">
        <f>H12/(F12+G12)</f>
        <v>0</v>
      </c>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c r="CF12" s="256"/>
      <c r="CG12" s="256"/>
      <c r="CH12" s="256"/>
      <c r="CI12" s="256"/>
      <c r="CJ12" s="256"/>
      <c r="CK12" s="256"/>
      <c r="CL12" s="256"/>
      <c r="CM12" s="256"/>
      <c r="CN12" s="256"/>
      <c r="CO12" s="256"/>
      <c r="CP12" s="256"/>
      <c r="CQ12" s="256"/>
      <c r="CR12" s="256"/>
      <c r="CS12" s="256"/>
      <c r="CT12" s="256"/>
      <c r="CU12" s="256"/>
      <c r="CV12" s="256"/>
      <c r="CW12" s="256"/>
      <c r="CX12" s="256"/>
      <c r="CY12" s="256"/>
      <c r="CZ12" s="256"/>
      <c r="DA12" s="256"/>
      <c r="DB12" s="256"/>
      <c r="DC12" s="256"/>
    </row>
    <row r="13" spans="1:122" s="255" customFormat="1" ht="20.100000000000001" customHeight="1" x14ac:dyDescent="0.2">
      <c r="A13" s="256"/>
      <c r="B13" s="482">
        <v>5</v>
      </c>
      <c r="C13" s="456" t="s">
        <v>334</v>
      </c>
      <c r="D13" s="926"/>
      <c r="E13" s="926"/>
      <c r="F13" s="926"/>
      <c r="G13" s="926"/>
      <c r="H13" s="926"/>
      <c r="I13" s="928"/>
      <c r="J13" s="256"/>
      <c r="K13" s="256"/>
      <c r="L13" s="256"/>
      <c r="M13" s="256"/>
      <c r="N13" s="256"/>
      <c r="O13" s="256"/>
      <c r="P13" s="256"/>
      <c r="Q13" s="256"/>
      <c r="R13" s="256"/>
      <c r="S13" s="256"/>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256"/>
      <c r="CI13" s="256"/>
      <c r="CJ13" s="256"/>
      <c r="CK13" s="256"/>
      <c r="CL13" s="256"/>
      <c r="CM13" s="256"/>
      <c r="CN13" s="256"/>
      <c r="CO13" s="256"/>
      <c r="CP13" s="256"/>
      <c r="CQ13" s="256"/>
      <c r="CR13" s="256"/>
      <c r="CS13" s="256"/>
      <c r="CT13" s="256"/>
      <c r="CU13" s="256"/>
      <c r="CV13" s="256"/>
      <c r="CW13" s="256"/>
      <c r="CX13" s="256"/>
      <c r="CY13" s="256"/>
      <c r="CZ13" s="256"/>
      <c r="DA13" s="256"/>
      <c r="DB13" s="256"/>
      <c r="DC13" s="256"/>
    </row>
    <row r="14" spans="1:122" s="255" customFormat="1" ht="20.100000000000001" customHeight="1" x14ac:dyDescent="0.2">
      <c r="A14" s="256"/>
      <c r="B14" s="482">
        <v>6</v>
      </c>
      <c r="C14" s="456" t="s">
        <v>335</v>
      </c>
      <c r="D14" s="926">
        <v>1767.6133319999999</v>
      </c>
      <c r="E14" s="926">
        <v>34.947184</v>
      </c>
      <c r="F14" s="926">
        <v>1767.6133319999999</v>
      </c>
      <c r="G14" s="926">
        <v>17.473592</v>
      </c>
      <c r="H14" s="926">
        <v>355.05633</v>
      </c>
      <c r="I14" s="928">
        <f t="shared" ref="I14:I25" si="0">H14/(F14+G14)</f>
        <v>0.19890142335724151</v>
      </c>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c r="CC14" s="256"/>
      <c r="CD14" s="256"/>
      <c r="CE14" s="256"/>
      <c r="CF14" s="256"/>
      <c r="CG14" s="256"/>
      <c r="CH14" s="256"/>
      <c r="CI14" s="256"/>
      <c r="CJ14" s="256"/>
      <c r="CK14" s="256"/>
      <c r="CL14" s="256"/>
      <c r="CM14" s="256"/>
      <c r="CN14" s="256"/>
      <c r="CO14" s="256"/>
      <c r="CP14" s="256"/>
      <c r="CQ14" s="256"/>
      <c r="CR14" s="256"/>
      <c r="CS14" s="256"/>
      <c r="CT14" s="256"/>
      <c r="CU14" s="256"/>
      <c r="CV14" s="256"/>
      <c r="CW14" s="256"/>
      <c r="CX14" s="256"/>
      <c r="CY14" s="256"/>
      <c r="CZ14" s="256"/>
      <c r="DA14" s="256"/>
      <c r="DB14" s="256"/>
      <c r="DC14" s="256"/>
    </row>
    <row r="15" spans="1:122" s="255" customFormat="1" ht="20.100000000000001" customHeight="1" x14ac:dyDescent="0.2">
      <c r="A15" s="256"/>
      <c r="B15" s="482">
        <v>7</v>
      </c>
      <c r="C15" s="456" t="s">
        <v>336</v>
      </c>
      <c r="D15" s="926">
        <v>4270.7982300000003</v>
      </c>
      <c r="E15" s="926">
        <v>6031.5352050000001</v>
      </c>
      <c r="F15" s="926">
        <v>4270.7982300000003</v>
      </c>
      <c r="G15" s="926">
        <v>2083.562038</v>
      </c>
      <c r="H15" s="926">
        <v>5880.5829460000004</v>
      </c>
      <c r="I15" s="928">
        <f t="shared" si="0"/>
        <v>0.92544059480135221</v>
      </c>
      <c r="J15" s="256"/>
      <c r="K15" s="256"/>
      <c r="L15" s="256"/>
      <c r="M15" s="256"/>
      <c r="N15" s="256"/>
      <c r="O15" s="256"/>
      <c r="P15" s="256"/>
      <c r="Q15" s="256"/>
      <c r="R15" s="256"/>
      <c r="S15" s="256"/>
      <c r="T15" s="256"/>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c r="BW15" s="256"/>
      <c r="BX15" s="256"/>
      <c r="BY15" s="256"/>
      <c r="BZ15" s="256"/>
      <c r="CA15" s="256"/>
      <c r="CB15" s="256"/>
      <c r="CC15" s="256"/>
      <c r="CD15" s="256"/>
      <c r="CE15" s="256"/>
      <c r="CF15" s="256"/>
      <c r="CG15" s="256"/>
      <c r="CH15" s="256"/>
      <c r="CI15" s="256"/>
      <c r="CJ15" s="256"/>
      <c r="CK15" s="256"/>
      <c r="CL15" s="256"/>
      <c r="CM15" s="256"/>
      <c r="CN15" s="256"/>
      <c r="CO15" s="256"/>
      <c r="CP15" s="256"/>
      <c r="CQ15" s="256"/>
      <c r="CR15" s="256"/>
      <c r="CS15" s="256"/>
      <c r="CT15" s="256"/>
      <c r="CU15" s="256"/>
      <c r="CV15" s="256"/>
      <c r="CW15" s="256"/>
      <c r="CX15" s="256"/>
      <c r="CY15" s="256"/>
      <c r="CZ15" s="256"/>
      <c r="DA15" s="256"/>
      <c r="DB15" s="256"/>
      <c r="DC15" s="256"/>
    </row>
    <row r="16" spans="1:122" s="255" customFormat="1" ht="20.100000000000001" customHeight="1" x14ac:dyDescent="0.2">
      <c r="A16" s="256"/>
      <c r="B16" s="482">
        <v>8</v>
      </c>
      <c r="C16" s="456" t="s">
        <v>337</v>
      </c>
      <c r="D16" s="926">
        <v>6949.9681389999996</v>
      </c>
      <c r="E16" s="926">
        <v>3957.0129310000002</v>
      </c>
      <c r="F16" s="926">
        <v>6949.9681389999996</v>
      </c>
      <c r="G16" s="926">
        <v>25.390388000000002</v>
      </c>
      <c r="H16" s="926">
        <v>4956.3178740000003</v>
      </c>
      <c r="I16" s="928">
        <f t="shared" si="0"/>
        <v>0.71054668441991053</v>
      </c>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56"/>
      <c r="CI16" s="256"/>
      <c r="CJ16" s="256"/>
      <c r="CK16" s="256"/>
      <c r="CL16" s="256"/>
      <c r="CM16" s="256"/>
      <c r="CN16" s="256"/>
      <c r="CO16" s="256"/>
      <c r="CP16" s="256"/>
      <c r="CQ16" s="256"/>
      <c r="CR16" s="256"/>
      <c r="CS16" s="256"/>
      <c r="CT16" s="256"/>
      <c r="CU16" s="256"/>
      <c r="CV16" s="256"/>
      <c r="CW16" s="256"/>
      <c r="CX16" s="256"/>
      <c r="CY16" s="256"/>
      <c r="CZ16" s="256"/>
      <c r="DA16" s="256"/>
      <c r="DB16" s="256"/>
      <c r="DC16" s="256"/>
    </row>
    <row r="17" spans="1:122" s="255" customFormat="1" ht="20.100000000000001" customHeight="1" x14ac:dyDescent="0.2">
      <c r="A17" s="256"/>
      <c r="B17" s="482">
        <v>9</v>
      </c>
      <c r="C17" s="456" t="s">
        <v>1004</v>
      </c>
      <c r="D17" s="926">
        <v>1193.009757</v>
      </c>
      <c r="E17" s="926">
        <v>1370.947987</v>
      </c>
      <c r="F17" s="926">
        <v>1193.009757</v>
      </c>
      <c r="G17" s="926">
        <v>298.55199599999997</v>
      </c>
      <c r="H17" s="926">
        <v>636.73939299999995</v>
      </c>
      <c r="I17" s="928">
        <f t="shared" si="0"/>
        <v>0.42689442238601033</v>
      </c>
      <c r="J17" s="256"/>
      <c r="K17" s="256"/>
      <c r="L17" s="256"/>
      <c r="M17" s="256"/>
      <c r="N17" s="256"/>
      <c r="O17" s="256"/>
      <c r="P17" s="256"/>
      <c r="Q17" s="256"/>
      <c r="R17" s="256"/>
      <c r="S17" s="256"/>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BZ17" s="256"/>
      <c r="CA17" s="256"/>
      <c r="CB17" s="256"/>
      <c r="CC17" s="256"/>
      <c r="CD17" s="256"/>
      <c r="CE17" s="256"/>
      <c r="CF17" s="256"/>
      <c r="CG17" s="256"/>
      <c r="CH17" s="256"/>
      <c r="CI17" s="256"/>
      <c r="CJ17" s="256"/>
      <c r="CK17" s="256"/>
      <c r="CL17" s="256"/>
      <c r="CM17" s="256"/>
      <c r="CN17" s="256"/>
      <c r="CO17" s="256"/>
      <c r="CP17" s="256"/>
      <c r="CQ17" s="256"/>
      <c r="CR17" s="256"/>
      <c r="CS17" s="256"/>
      <c r="CT17" s="256"/>
      <c r="CU17" s="256"/>
      <c r="CV17" s="256"/>
      <c r="CW17" s="256"/>
      <c r="CX17" s="256"/>
      <c r="CY17" s="256"/>
      <c r="CZ17" s="256"/>
      <c r="DA17" s="256"/>
      <c r="DB17" s="256"/>
      <c r="DC17" s="256"/>
    </row>
    <row r="18" spans="1:122" s="255" customFormat="1" ht="20.100000000000001" customHeight="1" x14ac:dyDescent="0.2">
      <c r="A18" s="256"/>
      <c r="B18" s="482">
        <v>10</v>
      </c>
      <c r="C18" s="456" t="s">
        <v>1005</v>
      </c>
      <c r="D18" s="926">
        <v>152.131867</v>
      </c>
      <c r="E18" s="926"/>
      <c r="F18" s="926">
        <v>152.131867</v>
      </c>
      <c r="G18" s="926"/>
      <c r="H18" s="926">
        <v>208.71606299999999</v>
      </c>
      <c r="I18" s="928">
        <f t="shared" si="0"/>
        <v>1.3719417707533952</v>
      </c>
      <c r="J18" s="256"/>
      <c r="K18" s="256"/>
      <c r="L18" s="256"/>
      <c r="M18" s="256"/>
      <c r="N18" s="256"/>
      <c r="O18" s="256"/>
      <c r="P18" s="256"/>
      <c r="Q18" s="256"/>
      <c r="R18" s="256"/>
      <c r="S18" s="256"/>
      <c r="T18" s="256"/>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6"/>
      <c r="CC18" s="256"/>
      <c r="CD18" s="256"/>
      <c r="CE18" s="256"/>
      <c r="CF18" s="256"/>
      <c r="CG18" s="256"/>
      <c r="CH18" s="256"/>
      <c r="CI18" s="256"/>
      <c r="CJ18" s="256"/>
      <c r="CK18" s="256"/>
      <c r="CL18" s="256"/>
      <c r="CM18" s="256"/>
      <c r="CN18" s="256"/>
      <c r="CO18" s="256"/>
      <c r="CP18" s="256"/>
      <c r="CQ18" s="256"/>
      <c r="CR18" s="256"/>
      <c r="CS18" s="256"/>
      <c r="CT18" s="256"/>
      <c r="CU18" s="256"/>
      <c r="CV18" s="256"/>
      <c r="CW18" s="256"/>
      <c r="CX18" s="256"/>
      <c r="CY18" s="256"/>
      <c r="CZ18" s="256"/>
      <c r="DA18" s="256"/>
      <c r="DB18" s="256"/>
      <c r="DC18" s="256"/>
    </row>
    <row r="19" spans="1:122" s="255" customFormat="1" ht="20.100000000000001" customHeight="1" x14ac:dyDescent="0.2">
      <c r="A19" s="256"/>
      <c r="B19" s="482">
        <v>11</v>
      </c>
      <c r="C19" s="456" t="s">
        <v>1006</v>
      </c>
      <c r="D19" s="926"/>
      <c r="E19" s="926"/>
      <c r="F19" s="926"/>
      <c r="G19" s="926"/>
      <c r="H19" s="926"/>
      <c r="I19" s="928"/>
      <c r="J19" s="256"/>
      <c r="K19" s="256"/>
      <c r="L19" s="256"/>
      <c r="M19" s="256"/>
      <c r="N19" s="256"/>
      <c r="O19" s="256"/>
      <c r="P19" s="256"/>
      <c r="Q19" s="256"/>
      <c r="R19" s="256"/>
      <c r="S19" s="256"/>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c r="CE19" s="256"/>
      <c r="CF19" s="256"/>
      <c r="CG19" s="256"/>
      <c r="CH19" s="256"/>
      <c r="CI19" s="256"/>
      <c r="CJ19" s="256"/>
      <c r="CK19" s="256"/>
      <c r="CL19" s="256"/>
      <c r="CM19" s="256"/>
      <c r="CN19" s="256"/>
      <c r="CO19" s="256"/>
      <c r="CP19" s="256"/>
      <c r="CQ19" s="256"/>
      <c r="CR19" s="256"/>
      <c r="CS19" s="256"/>
      <c r="CT19" s="256"/>
      <c r="CU19" s="256"/>
      <c r="CV19" s="256"/>
      <c r="CW19" s="256"/>
      <c r="CX19" s="256"/>
      <c r="CY19" s="256"/>
      <c r="CZ19" s="256"/>
      <c r="DA19" s="256"/>
      <c r="DB19" s="256"/>
      <c r="DC19" s="256"/>
    </row>
    <row r="20" spans="1:122" s="255" customFormat="1" ht="20.100000000000001" customHeight="1" x14ac:dyDescent="0.2">
      <c r="A20" s="256"/>
      <c r="B20" s="482">
        <v>12</v>
      </c>
      <c r="C20" s="456" t="s">
        <v>1007</v>
      </c>
      <c r="D20" s="926">
        <v>13587.040075000001</v>
      </c>
      <c r="E20" s="926"/>
      <c r="F20" s="926">
        <v>13587.040075000001</v>
      </c>
      <c r="G20" s="926"/>
      <c r="H20" s="926">
        <v>1358.704007</v>
      </c>
      <c r="I20" s="928">
        <f t="shared" si="0"/>
        <v>9.999999996320022E-2</v>
      </c>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row>
    <row r="21" spans="1:122" s="255" customFormat="1" ht="20.100000000000001" customHeight="1" x14ac:dyDescent="0.2">
      <c r="A21" s="256"/>
      <c r="B21" s="482">
        <v>13</v>
      </c>
      <c r="C21" s="456" t="s">
        <v>338</v>
      </c>
      <c r="D21" s="926"/>
      <c r="E21" s="926"/>
      <c r="F21" s="926"/>
      <c r="G21" s="926"/>
      <c r="H21" s="926"/>
      <c r="I21" s="928"/>
      <c r="J21" s="256"/>
      <c r="K21" s="256"/>
      <c r="L21" s="256"/>
      <c r="M21" s="256"/>
      <c r="N21" s="256"/>
      <c r="O21" s="256"/>
      <c r="P21" s="256"/>
      <c r="Q21" s="256"/>
      <c r="R21" s="256"/>
      <c r="S21" s="256"/>
      <c r="T21" s="256"/>
      <c r="U21" s="256"/>
      <c r="V21" s="256"/>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c r="CF21" s="256"/>
      <c r="CG21" s="256"/>
      <c r="CH21" s="256"/>
      <c r="CI21" s="256"/>
      <c r="CJ21" s="256"/>
      <c r="CK21" s="256"/>
      <c r="CL21" s="256"/>
      <c r="CM21" s="256"/>
      <c r="CN21" s="256"/>
      <c r="CO21" s="256"/>
      <c r="CP21" s="256"/>
      <c r="CQ21" s="256"/>
      <c r="CR21" s="256"/>
      <c r="CS21" s="256"/>
      <c r="CT21" s="256"/>
      <c r="CU21" s="256"/>
      <c r="CV21" s="256"/>
      <c r="CW21" s="256"/>
      <c r="CX21" s="256"/>
      <c r="CY21" s="256"/>
      <c r="CZ21" s="256"/>
      <c r="DA21" s="256"/>
      <c r="DB21" s="256"/>
      <c r="DC21" s="256"/>
    </row>
    <row r="22" spans="1:122" s="255" customFormat="1" ht="20.100000000000001" customHeight="1" x14ac:dyDescent="0.2">
      <c r="A22" s="256"/>
      <c r="B22" s="482">
        <v>14</v>
      </c>
      <c r="C22" s="456" t="s">
        <v>1008</v>
      </c>
      <c r="D22" s="926">
        <v>5.222092</v>
      </c>
      <c r="E22" s="926"/>
      <c r="F22" s="926">
        <v>5.222092</v>
      </c>
      <c r="G22" s="926"/>
      <c r="H22" s="926">
        <v>0.52220900000000003</v>
      </c>
      <c r="I22" s="928">
        <f t="shared" si="0"/>
        <v>9.9999961701172646E-2</v>
      </c>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56"/>
      <c r="CV22" s="256"/>
      <c r="CW22" s="256"/>
      <c r="CX22" s="256"/>
      <c r="CY22" s="256"/>
      <c r="CZ22" s="256"/>
      <c r="DA22" s="256"/>
      <c r="DB22" s="256"/>
      <c r="DC22" s="256"/>
    </row>
    <row r="23" spans="1:122" s="255" customFormat="1" ht="20.100000000000001" customHeight="1" x14ac:dyDescent="0.2">
      <c r="A23" s="256"/>
      <c r="B23" s="482">
        <v>15</v>
      </c>
      <c r="C23" s="456" t="s">
        <v>1009</v>
      </c>
      <c r="D23" s="926">
        <v>2695.4016040000001</v>
      </c>
      <c r="E23" s="926"/>
      <c r="F23" s="926">
        <v>2695.4016040000001</v>
      </c>
      <c r="G23" s="926"/>
      <c r="H23" s="926">
        <v>6049.8342769999999</v>
      </c>
      <c r="I23" s="928">
        <f t="shared" si="0"/>
        <v>2.2445019948129405</v>
      </c>
      <c r="J23" s="256"/>
      <c r="K23" s="256"/>
      <c r="L23" s="256"/>
      <c r="M23" s="256"/>
      <c r="N23" s="256"/>
      <c r="O23" s="256"/>
      <c r="P23" s="256"/>
      <c r="Q23" s="256"/>
      <c r="R23" s="256"/>
      <c r="S23" s="256"/>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c r="CE23" s="256"/>
      <c r="CF23" s="256"/>
      <c r="CG23" s="256"/>
      <c r="CH23" s="256"/>
      <c r="CI23" s="256"/>
      <c r="CJ23" s="256"/>
      <c r="CK23" s="256"/>
      <c r="CL23" s="256"/>
      <c r="CM23" s="256"/>
      <c r="CN23" s="256"/>
      <c r="CO23" s="256"/>
      <c r="CP23" s="256"/>
      <c r="CQ23" s="256"/>
      <c r="CR23" s="256"/>
      <c r="CS23" s="256"/>
      <c r="CT23" s="256"/>
      <c r="CU23" s="256"/>
      <c r="CV23" s="256"/>
      <c r="CW23" s="256"/>
      <c r="CX23" s="256"/>
      <c r="CY23" s="256"/>
      <c r="CZ23" s="256"/>
      <c r="DA23" s="256"/>
      <c r="DB23" s="256"/>
      <c r="DC23" s="256"/>
    </row>
    <row r="24" spans="1:122" s="255" customFormat="1" ht="20.100000000000001" customHeight="1" x14ac:dyDescent="0.2">
      <c r="A24" s="256"/>
      <c r="B24" s="482">
        <v>16</v>
      </c>
      <c r="C24" s="456" t="s">
        <v>339</v>
      </c>
      <c r="D24" s="926">
        <v>1826.106773</v>
      </c>
      <c r="E24" s="926">
        <v>0.05</v>
      </c>
      <c r="F24" s="926">
        <v>1826.106773</v>
      </c>
      <c r="G24" s="926">
        <v>2.5000000000000001E-2</v>
      </c>
      <c r="H24" s="926">
        <v>1661.9834060000001</v>
      </c>
      <c r="I24" s="928">
        <f t="shared" si="0"/>
        <v>0.910111433672536</v>
      </c>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row>
    <row r="25" spans="1:122" s="255" customFormat="1" ht="20.100000000000001" customHeight="1" x14ac:dyDescent="0.2">
      <c r="A25" s="256"/>
      <c r="B25" s="497">
        <v>17</v>
      </c>
      <c r="C25" s="491" t="s">
        <v>1010</v>
      </c>
      <c r="D25" s="879">
        <f>SUM(D9:D24)</f>
        <v>42664.975269000002</v>
      </c>
      <c r="E25" s="879">
        <f t="shared" ref="E25:H25" si="1">SUM(E9:E24)</f>
        <v>11806.425449999999</v>
      </c>
      <c r="F25" s="879">
        <f t="shared" si="1"/>
        <v>42664.975269000002</v>
      </c>
      <c r="G25" s="879">
        <f t="shared" si="1"/>
        <v>2507.9939429999999</v>
      </c>
      <c r="H25" s="879">
        <f t="shared" si="1"/>
        <v>21608.860203</v>
      </c>
      <c r="I25" s="929">
        <f t="shared" si="0"/>
        <v>0.47835819916083133</v>
      </c>
      <c r="J25" s="256"/>
      <c r="K25" s="256"/>
      <c r="L25" s="256"/>
      <c r="M25" s="256"/>
      <c r="N25" s="256"/>
      <c r="O25" s="256"/>
      <c r="P25" s="256"/>
      <c r="Q25" s="256"/>
      <c r="R25" s="256"/>
      <c r="S25" s="256"/>
      <c r="T25" s="256"/>
      <c r="U25" s="256"/>
      <c r="V25" s="256"/>
      <c r="W25" s="256"/>
      <c r="X25" s="256"/>
      <c r="Y25" s="256"/>
      <c r="Z25" s="256"/>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6"/>
      <c r="CC25" s="256"/>
      <c r="CD25" s="256"/>
      <c r="CE25" s="256"/>
      <c r="CF25" s="256"/>
      <c r="CG25" s="256"/>
      <c r="CH25" s="256"/>
      <c r="CI25" s="256"/>
      <c r="CJ25" s="256"/>
      <c r="CK25" s="256"/>
      <c r="CL25" s="256"/>
      <c r="CM25" s="256"/>
      <c r="CN25" s="256"/>
      <c r="CO25" s="256"/>
      <c r="CP25" s="256"/>
      <c r="CQ25" s="256"/>
      <c r="CR25" s="256"/>
      <c r="CS25" s="256"/>
      <c r="CT25" s="256"/>
      <c r="CU25" s="256"/>
      <c r="CV25" s="256"/>
      <c r="CW25" s="256"/>
      <c r="CX25" s="256"/>
      <c r="CY25" s="256"/>
      <c r="CZ25" s="256"/>
      <c r="DA25" s="256"/>
      <c r="DB25" s="256"/>
      <c r="DC25" s="256"/>
    </row>
    <row r="26" spans="1:122" s="255" customFormat="1" x14ac:dyDescent="0.2">
      <c r="A26" s="256"/>
      <c r="B26" s="256"/>
      <c r="C26" s="256"/>
      <c r="D26" s="256"/>
      <c r="E26" s="256"/>
      <c r="F26" s="256"/>
      <c r="G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c r="CL26" s="256"/>
      <c r="CM26" s="256"/>
      <c r="CN26" s="256"/>
      <c r="CO26" s="256"/>
      <c r="CP26" s="256"/>
      <c r="CQ26" s="256"/>
      <c r="CR26" s="256"/>
      <c r="CS26" s="256"/>
      <c r="CT26" s="256"/>
      <c r="CU26" s="256"/>
      <c r="CV26" s="256"/>
      <c r="CW26" s="256"/>
      <c r="CX26" s="256"/>
      <c r="CY26" s="256"/>
      <c r="CZ26" s="256"/>
      <c r="DA26" s="256"/>
      <c r="DB26" s="256"/>
      <c r="DC26" s="256"/>
    </row>
    <row r="27" spans="1:122" s="255" customFormat="1" x14ac:dyDescent="0.2">
      <c r="A27" s="256"/>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6"/>
      <c r="CA27" s="256"/>
      <c r="CB27" s="256"/>
      <c r="CC27" s="256"/>
      <c r="CD27" s="256"/>
      <c r="CE27" s="256"/>
      <c r="CF27" s="256"/>
      <c r="CG27" s="256"/>
      <c r="CH27" s="256"/>
      <c r="CI27" s="256"/>
      <c r="CJ27" s="256"/>
      <c r="CK27" s="256"/>
      <c r="CL27" s="256"/>
      <c r="CM27" s="256"/>
      <c r="CN27" s="256"/>
      <c r="CO27" s="256"/>
      <c r="CP27" s="256"/>
      <c r="CQ27" s="256"/>
      <c r="CR27" s="256"/>
      <c r="CS27" s="256"/>
      <c r="CT27" s="256"/>
      <c r="CU27" s="256"/>
      <c r="CV27" s="256"/>
      <c r="CW27" s="256"/>
      <c r="CX27" s="256"/>
      <c r="CY27" s="256"/>
      <c r="CZ27" s="256"/>
      <c r="DA27" s="256"/>
      <c r="DB27" s="256"/>
      <c r="DC27" s="256"/>
    </row>
    <row r="28" spans="1:122" s="255" customFormat="1" x14ac:dyDescent="0.2">
      <c r="A28" s="256"/>
      <c r="B28" s="256"/>
      <c r="C28" s="256"/>
      <c r="D28" s="256"/>
      <c r="E28" s="256"/>
      <c r="F28" s="256"/>
      <c r="G28" s="256"/>
      <c r="H28" s="256"/>
      <c r="I28" s="256"/>
      <c r="J28" s="252"/>
      <c r="K28" s="256"/>
      <c r="L28" s="256"/>
      <c r="M28" s="256"/>
      <c r="N28" s="256"/>
      <c r="O28" s="256"/>
      <c r="P28" s="256"/>
      <c r="Q28" s="256"/>
      <c r="R28" s="256"/>
      <c r="S28" s="256"/>
      <c r="T28" s="256"/>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c r="CF28" s="256"/>
      <c r="CG28" s="256"/>
      <c r="CH28" s="256"/>
      <c r="CI28" s="256"/>
      <c r="CJ28" s="256"/>
      <c r="CK28" s="256"/>
      <c r="CL28" s="256"/>
      <c r="CM28" s="256"/>
      <c r="CN28" s="256"/>
      <c r="CO28" s="256"/>
      <c r="CP28" s="256"/>
      <c r="CQ28" s="256"/>
      <c r="CR28" s="256"/>
      <c r="CS28" s="256"/>
      <c r="CT28" s="256"/>
      <c r="CU28" s="256"/>
      <c r="CV28" s="256"/>
      <c r="CW28" s="256"/>
      <c r="CX28" s="256"/>
      <c r="CY28" s="256"/>
      <c r="CZ28" s="256"/>
      <c r="DA28" s="256"/>
      <c r="DB28" s="256"/>
      <c r="DC28" s="256"/>
    </row>
    <row r="29" spans="1:122" x14ac:dyDescent="0.2">
      <c r="DD29" s="254"/>
      <c r="DE29" s="254"/>
      <c r="DF29" s="254"/>
      <c r="DG29" s="254"/>
      <c r="DH29" s="254"/>
      <c r="DI29" s="254"/>
      <c r="DJ29" s="254"/>
      <c r="DK29" s="254"/>
      <c r="DL29" s="254"/>
      <c r="DM29" s="254"/>
      <c r="DN29" s="254"/>
      <c r="DO29" s="254"/>
      <c r="DP29" s="254"/>
      <c r="DQ29" s="254"/>
      <c r="DR29" s="254"/>
    </row>
    <row r="30" spans="1:122" x14ac:dyDescent="0.2">
      <c r="DD30" s="254"/>
      <c r="DE30" s="254"/>
      <c r="DF30" s="254"/>
      <c r="DG30" s="254"/>
      <c r="DH30" s="254"/>
      <c r="DI30" s="254"/>
      <c r="DJ30" s="254"/>
      <c r="DK30" s="254"/>
      <c r="DL30" s="254"/>
      <c r="DM30" s="254"/>
      <c r="DN30" s="254"/>
      <c r="DO30" s="254"/>
      <c r="DP30" s="254"/>
      <c r="DQ30" s="254"/>
      <c r="DR30" s="254"/>
    </row>
  </sheetData>
  <sheetProtection algorithmName="SHA-512" hashValue="LXi6AEqKV0S0hKYiGua59LTodPSjlv+1fws7M4NBP+bVZA0F86KW4guQZ8Iu5TRJhK7DDOUiV0ZDiX90yBzDbQ==" saltValue="mXXVLOMT1k0vPrTejAZ/WQ==" spinCount="100000" sheet="1" objects="1" scenarios="1"/>
  <mergeCells count="4">
    <mergeCell ref="C6:C8"/>
    <mergeCell ref="D6:E6"/>
    <mergeCell ref="F6:G6"/>
    <mergeCell ref="H6:I6"/>
  </mergeCells>
  <hyperlinks>
    <hyperlink ref="B2" location="Contents!A1" display="Back to Contents page" xr:uid="{35DA3739-4E84-4120-AED7-B5786FCFC2F5}"/>
  </hyperlinks>
  <pageMargins left="0.7" right="0.7" top="0.75" bottom="0.75" header="0.3" footer="0.3"/>
  <pageSetup paperSize="9" scale="10" orientation="portrait" horizontalDpi="144" verticalDpi="144" r:id="rId1"/>
  <colBreaks count="1" manualBreakCount="1">
    <brk id="12"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DX30"/>
  <sheetViews>
    <sheetView showGridLines="0" showRowColHeaders="0" zoomScale="80" zoomScaleNormal="80" workbookViewId="0">
      <selection activeCell="B2" sqref="B2"/>
    </sheetView>
  </sheetViews>
  <sheetFormatPr baseColWidth="10" defaultColWidth="22.77734375" defaultRowHeight="12.75" x14ac:dyDescent="0.2"/>
  <cols>
    <col min="1" max="2" width="3.88671875" style="251" customWidth="1"/>
    <col min="3" max="3" width="45.88671875" style="251" customWidth="1"/>
    <col min="4" max="18" width="6.44140625" style="251" customWidth="1"/>
    <col min="19" max="19" width="12.109375" style="251" customWidth="1"/>
    <col min="20" max="20" width="18.6640625" style="251" customWidth="1"/>
    <col min="21" max="21" width="22.77734375" style="251"/>
    <col min="22" max="22" width="33.88671875" style="251" customWidth="1"/>
    <col min="23" max="128" width="22.77734375" style="251"/>
    <col min="129" max="16384" width="22.77734375" style="254"/>
  </cols>
  <sheetData>
    <row r="2" spans="1:128" ht="15" x14ac:dyDescent="0.25">
      <c r="B2" s="940" t="s">
        <v>3521</v>
      </c>
    </row>
    <row r="3" spans="1:128" x14ac:dyDescent="0.2">
      <c r="A3" s="329"/>
    </row>
    <row r="4" spans="1:128" ht="21" x14ac:dyDescent="0.35">
      <c r="B4" s="371" t="s">
        <v>1011</v>
      </c>
      <c r="DJ4" s="254"/>
      <c r="DK4" s="254"/>
      <c r="DL4" s="254"/>
      <c r="DM4" s="254"/>
      <c r="DN4" s="254"/>
      <c r="DO4" s="254"/>
      <c r="DP4" s="254"/>
      <c r="DQ4" s="254"/>
      <c r="DR4" s="254"/>
      <c r="DS4" s="254"/>
      <c r="DT4" s="254"/>
      <c r="DU4" s="254"/>
      <c r="DV4" s="254"/>
      <c r="DW4" s="254"/>
      <c r="DX4" s="254"/>
    </row>
    <row r="5" spans="1:128" x14ac:dyDescent="0.2">
      <c r="DJ5" s="254"/>
      <c r="DK5" s="254"/>
      <c r="DL5" s="254"/>
      <c r="DM5" s="254"/>
      <c r="DN5" s="254"/>
      <c r="DO5" s="254"/>
      <c r="DP5" s="254"/>
      <c r="DQ5" s="254"/>
      <c r="DR5" s="254"/>
      <c r="DS5" s="254"/>
      <c r="DT5" s="254"/>
      <c r="DU5" s="254"/>
      <c r="DV5" s="254"/>
      <c r="DW5" s="254"/>
      <c r="DX5" s="254"/>
    </row>
    <row r="6" spans="1:128" s="302" customFormat="1" ht="20.100000000000001" customHeight="1" x14ac:dyDescent="0.25">
      <c r="A6" s="252"/>
      <c r="B6" s="252"/>
      <c r="C6" s="1218" t="s">
        <v>995</v>
      </c>
      <c r="D6" s="1219" t="s">
        <v>328</v>
      </c>
      <c r="E6" s="1219"/>
      <c r="F6" s="1219"/>
      <c r="G6" s="1219"/>
      <c r="H6" s="1219"/>
      <c r="I6" s="1219"/>
      <c r="J6" s="1219"/>
      <c r="K6" s="1219"/>
      <c r="L6" s="1219"/>
      <c r="M6" s="1219"/>
      <c r="N6" s="1219"/>
      <c r="O6" s="1219"/>
      <c r="P6" s="1219"/>
      <c r="Q6" s="1219"/>
      <c r="R6" s="1219"/>
      <c r="S6" s="1221" t="s">
        <v>198</v>
      </c>
      <c r="T6" s="1221" t="s">
        <v>1012</v>
      </c>
      <c r="U6" s="252"/>
      <c r="V6" s="252"/>
      <c r="W6" s="252"/>
      <c r="X6" s="252"/>
      <c r="Y6" s="252"/>
      <c r="Z6" s="252"/>
      <c r="AA6" s="252"/>
      <c r="AB6" s="252"/>
      <c r="AC6" s="252"/>
      <c r="AD6" s="252"/>
      <c r="AE6" s="252"/>
      <c r="AF6" s="252"/>
      <c r="AG6" s="252"/>
      <c r="AH6" s="252"/>
      <c r="AI6" s="252"/>
      <c r="AJ6" s="252"/>
      <c r="AK6" s="252"/>
      <c r="AL6" s="252"/>
      <c r="AM6" s="252"/>
      <c r="AN6" s="252"/>
      <c r="AO6" s="252"/>
      <c r="AP6" s="252"/>
      <c r="AQ6" s="252"/>
      <c r="AR6" s="252"/>
      <c r="AS6" s="252"/>
      <c r="AT6" s="252"/>
      <c r="AU6" s="252"/>
      <c r="AV6" s="252"/>
      <c r="AW6" s="252"/>
      <c r="AX6" s="252"/>
      <c r="AY6" s="252"/>
      <c r="AZ6" s="252"/>
      <c r="BA6" s="252"/>
      <c r="BB6" s="252"/>
      <c r="BC6" s="252"/>
      <c r="BD6" s="252"/>
      <c r="BE6" s="252"/>
      <c r="BF6" s="252"/>
      <c r="BG6" s="252"/>
      <c r="BH6" s="252"/>
      <c r="BI6" s="252"/>
      <c r="BJ6" s="252"/>
      <c r="BK6" s="252"/>
      <c r="BL6" s="252"/>
      <c r="BM6" s="252"/>
      <c r="BN6" s="252"/>
      <c r="BO6" s="252"/>
      <c r="BP6" s="252"/>
      <c r="BQ6" s="252"/>
      <c r="BR6" s="252"/>
      <c r="BS6" s="252"/>
      <c r="BT6" s="252"/>
      <c r="BU6" s="252"/>
      <c r="BV6" s="252"/>
      <c r="BW6" s="252"/>
      <c r="BX6" s="252"/>
      <c r="BY6" s="252"/>
      <c r="BZ6" s="252"/>
      <c r="CA6" s="252"/>
      <c r="CB6" s="252"/>
      <c r="CC6" s="252"/>
      <c r="CD6" s="252"/>
      <c r="CE6" s="252"/>
      <c r="CF6" s="252"/>
      <c r="CG6" s="252"/>
      <c r="CH6" s="252"/>
      <c r="CI6" s="252"/>
      <c r="CJ6" s="252"/>
      <c r="CK6" s="252"/>
      <c r="CL6" s="252"/>
      <c r="CM6" s="252"/>
      <c r="CN6" s="252"/>
      <c r="CO6" s="252"/>
      <c r="CP6" s="252"/>
      <c r="CQ6" s="252"/>
      <c r="CR6" s="252"/>
      <c r="CS6" s="252"/>
      <c r="CT6" s="252"/>
      <c r="CU6" s="252"/>
      <c r="CV6" s="252"/>
      <c r="CW6" s="252"/>
      <c r="CX6" s="252"/>
      <c r="CY6" s="252"/>
      <c r="CZ6" s="252"/>
      <c r="DA6" s="252"/>
      <c r="DB6" s="252"/>
      <c r="DC6" s="252"/>
      <c r="DD6" s="252"/>
      <c r="DE6" s="252"/>
      <c r="DF6" s="252"/>
      <c r="DG6" s="252"/>
      <c r="DH6" s="252"/>
      <c r="DI6" s="252"/>
    </row>
    <row r="7" spans="1:128" s="302" customFormat="1" ht="20.100000000000001" customHeight="1" x14ac:dyDescent="0.25">
      <c r="A7" s="252"/>
      <c r="B7" s="330"/>
      <c r="C7" s="1218"/>
      <c r="D7" s="610">
        <v>0</v>
      </c>
      <c r="E7" s="610">
        <v>0.02</v>
      </c>
      <c r="F7" s="610">
        <v>0.04</v>
      </c>
      <c r="G7" s="610">
        <v>0.1</v>
      </c>
      <c r="H7" s="610">
        <v>0.2</v>
      </c>
      <c r="I7" s="610">
        <v>0.35</v>
      </c>
      <c r="J7" s="610">
        <v>0.5</v>
      </c>
      <c r="K7" s="610">
        <v>0.7</v>
      </c>
      <c r="L7" s="610">
        <v>0.75</v>
      </c>
      <c r="M7" s="611">
        <v>1</v>
      </c>
      <c r="N7" s="611">
        <v>1.5</v>
      </c>
      <c r="O7" s="611">
        <v>2.5</v>
      </c>
      <c r="P7" s="611">
        <v>3.7</v>
      </c>
      <c r="Q7" s="611">
        <v>12.5</v>
      </c>
      <c r="R7" s="611" t="s">
        <v>329</v>
      </c>
      <c r="S7" s="1221"/>
      <c r="T7" s="1221"/>
      <c r="U7" s="252"/>
      <c r="V7" s="252"/>
      <c r="W7" s="252"/>
      <c r="X7" s="252"/>
      <c r="Y7" s="252"/>
      <c r="Z7" s="252"/>
      <c r="AA7" s="252"/>
      <c r="AB7" s="252"/>
      <c r="AC7" s="252"/>
      <c r="AD7" s="252"/>
      <c r="AE7" s="252"/>
      <c r="AF7" s="252"/>
      <c r="AG7" s="252"/>
      <c r="AH7" s="252"/>
      <c r="AI7" s="252"/>
      <c r="AJ7" s="252"/>
      <c r="AK7" s="252"/>
      <c r="AL7" s="252"/>
      <c r="AM7" s="252"/>
      <c r="AN7" s="252"/>
      <c r="AO7" s="252"/>
      <c r="AP7" s="252"/>
      <c r="AQ7" s="252"/>
      <c r="AR7" s="252"/>
      <c r="AS7" s="252"/>
      <c r="AT7" s="252"/>
      <c r="AU7" s="252"/>
      <c r="AV7" s="252"/>
      <c r="AW7" s="252"/>
      <c r="AX7" s="252"/>
      <c r="AY7" s="252"/>
      <c r="AZ7" s="252"/>
      <c r="BA7" s="252"/>
      <c r="BB7" s="252"/>
      <c r="BC7" s="252"/>
      <c r="BD7" s="252"/>
      <c r="BE7" s="252"/>
      <c r="BF7" s="252"/>
      <c r="BG7" s="252"/>
      <c r="BH7" s="252"/>
      <c r="BI7" s="252"/>
      <c r="BJ7" s="252"/>
      <c r="BK7" s="252"/>
      <c r="BL7" s="252"/>
      <c r="BM7" s="252"/>
      <c r="BN7" s="252"/>
      <c r="BO7" s="252"/>
      <c r="BP7" s="252"/>
      <c r="BQ7" s="252"/>
      <c r="BR7" s="252"/>
      <c r="BS7" s="252"/>
      <c r="BT7" s="252"/>
      <c r="BU7" s="252"/>
      <c r="BV7" s="252"/>
      <c r="BW7" s="252"/>
      <c r="BX7" s="252"/>
      <c r="BY7" s="252"/>
      <c r="BZ7" s="252"/>
      <c r="CA7" s="252"/>
      <c r="CB7" s="252"/>
      <c r="CC7" s="252"/>
      <c r="CD7" s="252"/>
      <c r="CE7" s="252"/>
      <c r="CF7" s="252"/>
      <c r="CG7" s="252"/>
      <c r="CH7" s="252"/>
      <c r="CI7" s="252"/>
      <c r="CJ7" s="252"/>
      <c r="CK7" s="252"/>
      <c r="CL7" s="252"/>
      <c r="CM7" s="252"/>
      <c r="CN7" s="252"/>
      <c r="CO7" s="252"/>
      <c r="CP7" s="252"/>
      <c r="CQ7" s="252"/>
      <c r="CR7" s="252"/>
      <c r="CS7" s="252"/>
      <c r="CT7" s="252"/>
      <c r="CU7" s="252"/>
      <c r="CV7" s="252"/>
      <c r="CW7" s="252"/>
      <c r="CX7" s="252"/>
      <c r="CY7" s="252"/>
      <c r="CZ7" s="252"/>
      <c r="DA7" s="252"/>
      <c r="DB7" s="252"/>
      <c r="DC7" s="252"/>
      <c r="DD7" s="252"/>
      <c r="DE7" s="252"/>
      <c r="DF7" s="252"/>
      <c r="DG7" s="252"/>
      <c r="DH7" s="252"/>
      <c r="DI7" s="252"/>
    </row>
    <row r="8" spans="1:128" s="264" customFormat="1" ht="20.100000000000001" customHeight="1" x14ac:dyDescent="0.25">
      <c r="A8" s="331"/>
      <c r="B8" s="330"/>
      <c r="C8" s="1218"/>
      <c r="D8" s="530" t="s">
        <v>161</v>
      </c>
      <c r="E8" s="530" t="s">
        <v>162</v>
      </c>
      <c r="F8" s="530" t="s">
        <v>163</v>
      </c>
      <c r="G8" s="530" t="s">
        <v>200</v>
      </c>
      <c r="H8" s="530" t="s">
        <v>201</v>
      </c>
      <c r="I8" s="530" t="s">
        <v>266</v>
      </c>
      <c r="J8" s="530" t="s">
        <v>267</v>
      </c>
      <c r="K8" s="530" t="s">
        <v>268</v>
      </c>
      <c r="L8" s="530" t="s">
        <v>269</v>
      </c>
      <c r="M8" s="530" t="s">
        <v>270</v>
      </c>
      <c r="N8" s="530" t="s">
        <v>271</v>
      </c>
      <c r="O8" s="530" t="s">
        <v>272</v>
      </c>
      <c r="P8" s="530" t="s">
        <v>273</v>
      </c>
      <c r="Q8" s="530" t="s">
        <v>897</v>
      </c>
      <c r="R8" s="530" t="s">
        <v>898</v>
      </c>
      <c r="S8" s="607" t="s">
        <v>1013</v>
      </c>
      <c r="T8" s="607" t="s">
        <v>1014</v>
      </c>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row>
    <row r="9" spans="1:128" s="255" customFormat="1" ht="20.100000000000001" customHeight="1" x14ac:dyDescent="0.2">
      <c r="A9" s="256"/>
      <c r="B9" s="613">
        <v>1</v>
      </c>
      <c r="C9" s="608" t="s">
        <v>1002</v>
      </c>
      <c r="D9" s="932">
        <f>3824877506/1000000</f>
        <v>3824.8775059999998</v>
      </c>
      <c r="E9" s="411"/>
      <c r="F9" s="411"/>
      <c r="G9" s="411"/>
      <c r="H9" s="411"/>
      <c r="I9" s="411"/>
      <c r="J9" s="411"/>
      <c r="K9" s="411"/>
      <c r="L9" s="411"/>
      <c r="M9" s="411"/>
      <c r="N9" s="411"/>
      <c r="O9" s="411"/>
      <c r="P9" s="411"/>
      <c r="Q9" s="450"/>
      <c r="R9" s="450"/>
      <c r="S9" s="931">
        <f>SUM(D9:R9)</f>
        <v>3824.8775059999998</v>
      </c>
      <c r="T9" s="612"/>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BW9" s="256"/>
      <c r="BX9" s="256"/>
      <c r="BY9" s="256"/>
      <c r="BZ9" s="256"/>
      <c r="CA9" s="256"/>
      <c r="CB9" s="256"/>
      <c r="CC9" s="256"/>
      <c r="CD9" s="256"/>
      <c r="CE9" s="256"/>
      <c r="CF9" s="256"/>
      <c r="CG9" s="256"/>
      <c r="CH9" s="256"/>
      <c r="CI9" s="256"/>
      <c r="CJ9" s="256"/>
      <c r="CK9" s="256"/>
      <c r="CL9" s="256"/>
      <c r="CM9" s="256"/>
      <c r="CN9" s="256"/>
      <c r="CO9" s="256"/>
      <c r="CP9" s="256"/>
      <c r="CQ9" s="256"/>
      <c r="CR9" s="256"/>
      <c r="CS9" s="256"/>
      <c r="CT9" s="256"/>
      <c r="CU9" s="256"/>
      <c r="CV9" s="256"/>
      <c r="CW9" s="256"/>
      <c r="CX9" s="256"/>
      <c r="CY9" s="256"/>
      <c r="CZ9" s="256"/>
      <c r="DA9" s="256"/>
      <c r="DB9" s="256"/>
      <c r="DC9" s="256"/>
      <c r="DD9" s="256"/>
      <c r="DE9" s="256"/>
      <c r="DF9" s="256"/>
      <c r="DG9" s="256"/>
      <c r="DH9" s="256"/>
      <c r="DI9" s="256"/>
    </row>
    <row r="10" spans="1:128" s="255" customFormat="1" ht="20.100000000000001" customHeight="1" x14ac:dyDescent="0.2">
      <c r="A10" s="256"/>
      <c r="B10" s="613">
        <v>2</v>
      </c>
      <c r="C10" s="456" t="s">
        <v>1003</v>
      </c>
      <c r="D10" s="932">
        <f>1323868789/1000000</f>
        <v>1323.8687890000001</v>
      </c>
      <c r="E10" s="411"/>
      <c r="F10" s="411"/>
      <c r="G10" s="411"/>
      <c r="H10" s="932">
        <f>2232110504/1000000</f>
        <v>2232.1105040000002</v>
      </c>
      <c r="I10" s="411"/>
      <c r="J10" s="411"/>
      <c r="K10" s="411"/>
      <c r="L10" s="411"/>
      <c r="M10" s="411"/>
      <c r="N10" s="411"/>
      <c r="O10" s="932">
        <f>21760662/1000000</f>
        <v>21.760662</v>
      </c>
      <c r="P10" s="411"/>
      <c r="Q10" s="450"/>
      <c r="R10" s="450"/>
      <c r="S10" s="931">
        <f t="shared" ref="S10:S25" si="0">SUM(D10:R10)</f>
        <v>3577.7399550000005</v>
      </c>
      <c r="T10" s="612"/>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c r="CF10" s="256"/>
      <c r="CG10" s="256"/>
      <c r="CH10" s="256"/>
      <c r="CI10" s="256"/>
      <c r="CJ10" s="256"/>
      <c r="CK10" s="256"/>
      <c r="CL10" s="256"/>
      <c r="CM10" s="256"/>
      <c r="CN10" s="256"/>
      <c r="CO10" s="256"/>
      <c r="CP10" s="256"/>
      <c r="CQ10" s="256"/>
      <c r="CR10" s="256"/>
      <c r="CS10" s="256"/>
      <c r="CT10" s="256"/>
      <c r="CU10" s="256"/>
      <c r="CV10" s="256"/>
      <c r="CW10" s="256"/>
      <c r="CX10" s="256"/>
      <c r="CY10" s="256"/>
      <c r="CZ10" s="256"/>
      <c r="DA10" s="256"/>
      <c r="DB10" s="256"/>
      <c r="DC10" s="256"/>
      <c r="DD10" s="256"/>
      <c r="DE10" s="256"/>
      <c r="DF10" s="256"/>
      <c r="DG10" s="256"/>
      <c r="DH10" s="256"/>
      <c r="DI10" s="256"/>
    </row>
    <row r="11" spans="1:128" s="255" customFormat="1" ht="20.100000000000001" customHeight="1" x14ac:dyDescent="0.2">
      <c r="A11" s="256"/>
      <c r="B11" s="613">
        <v>3</v>
      </c>
      <c r="C11" s="456" t="s">
        <v>332</v>
      </c>
      <c r="D11" s="932">
        <f>456055274/1000000</f>
        <v>456.055274</v>
      </c>
      <c r="E11" s="411"/>
      <c r="F11" s="411"/>
      <c r="G11" s="411"/>
      <c r="H11" s="932">
        <f>12855543/1000000</f>
        <v>12.855543000000001</v>
      </c>
      <c r="I11" s="411"/>
      <c r="J11" s="411"/>
      <c r="K11" s="411"/>
      <c r="L11" s="411"/>
      <c r="M11" s="411"/>
      <c r="N11" s="411"/>
      <c r="O11" s="411"/>
      <c r="P11" s="411"/>
      <c r="Q11" s="450"/>
      <c r="R11" s="450"/>
      <c r="S11" s="931">
        <f t="shared" si="0"/>
        <v>468.91081700000001</v>
      </c>
      <c r="T11" s="612"/>
      <c r="U11" s="256"/>
      <c r="V11" s="256"/>
      <c r="W11" s="256"/>
      <c r="X11" s="256"/>
      <c r="Y11" s="256"/>
      <c r="Z11" s="256"/>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c r="BW11" s="256"/>
      <c r="BX11" s="256"/>
      <c r="BY11" s="256"/>
      <c r="BZ11" s="256"/>
      <c r="CA11" s="256"/>
      <c r="CB11" s="256"/>
      <c r="CC11" s="256"/>
      <c r="CD11" s="256"/>
      <c r="CE11" s="256"/>
      <c r="CF11" s="256"/>
      <c r="CG11" s="256"/>
      <c r="CH11" s="256"/>
      <c r="CI11" s="256"/>
      <c r="CJ11" s="256"/>
      <c r="CK11" s="256"/>
      <c r="CL11" s="256"/>
      <c r="CM11" s="256"/>
      <c r="CN11" s="256"/>
      <c r="CO11" s="256"/>
      <c r="CP11" s="256"/>
      <c r="CQ11" s="256"/>
      <c r="CR11" s="256"/>
      <c r="CS11" s="256"/>
      <c r="CT11" s="256"/>
      <c r="CU11" s="256"/>
      <c r="CV11" s="256"/>
      <c r="CW11" s="256"/>
      <c r="CX11" s="256"/>
      <c r="CY11" s="256"/>
      <c r="CZ11" s="256"/>
      <c r="DA11" s="256"/>
      <c r="DB11" s="256"/>
      <c r="DC11" s="256"/>
      <c r="DD11" s="256"/>
      <c r="DE11" s="256"/>
      <c r="DF11" s="256"/>
      <c r="DG11" s="256"/>
      <c r="DH11" s="256"/>
      <c r="DI11" s="256"/>
    </row>
    <row r="12" spans="1:128" s="255" customFormat="1" ht="20.100000000000001" customHeight="1" x14ac:dyDescent="0.2">
      <c r="A12" s="256"/>
      <c r="B12" s="613">
        <v>4</v>
      </c>
      <c r="C12" s="456" t="s">
        <v>333</v>
      </c>
      <c r="D12" s="932">
        <f>2444101891/1000000</f>
        <v>2444.1018909999998</v>
      </c>
      <c r="E12" s="411"/>
      <c r="F12" s="411"/>
      <c r="G12" s="411"/>
      <c r="H12" s="411"/>
      <c r="I12" s="411"/>
      <c r="J12" s="411"/>
      <c r="K12" s="411"/>
      <c r="L12" s="411"/>
      <c r="M12" s="411"/>
      <c r="N12" s="411"/>
      <c r="O12" s="411"/>
      <c r="P12" s="411"/>
      <c r="Q12" s="450"/>
      <c r="R12" s="450"/>
      <c r="S12" s="931">
        <f t="shared" si="0"/>
        <v>2444.1018909999998</v>
      </c>
      <c r="T12" s="612"/>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c r="CF12" s="256"/>
      <c r="CG12" s="256"/>
      <c r="CH12" s="256"/>
      <c r="CI12" s="256"/>
      <c r="CJ12" s="256"/>
      <c r="CK12" s="256"/>
      <c r="CL12" s="256"/>
      <c r="CM12" s="256"/>
      <c r="CN12" s="256"/>
      <c r="CO12" s="256"/>
      <c r="CP12" s="256"/>
      <c r="CQ12" s="256"/>
      <c r="CR12" s="256"/>
      <c r="CS12" s="256"/>
      <c r="CT12" s="256"/>
      <c r="CU12" s="256"/>
      <c r="CV12" s="256"/>
      <c r="CW12" s="256"/>
      <c r="CX12" s="256"/>
      <c r="CY12" s="256"/>
      <c r="CZ12" s="256"/>
      <c r="DA12" s="256"/>
      <c r="DB12" s="256"/>
      <c r="DC12" s="256"/>
      <c r="DD12" s="256"/>
      <c r="DE12" s="256"/>
      <c r="DF12" s="256"/>
      <c r="DG12" s="256"/>
      <c r="DH12" s="256"/>
      <c r="DI12" s="256"/>
    </row>
    <row r="13" spans="1:128" s="255" customFormat="1" ht="20.100000000000001" customHeight="1" x14ac:dyDescent="0.2">
      <c r="A13" s="256"/>
      <c r="B13" s="613">
        <v>5</v>
      </c>
      <c r="C13" s="456" t="s">
        <v>334</v>
      </c>
      <c r="D13" s="411"/>
      <c r="E13" s="411"/>
      <c r="F13" s="411"/>
      <c r="G13" s="411"/>
      <c r="H13" s="411"/>
      <c r="I13" s="411"/>
      <c r="J13" s="411"/>
      <c r="K13" s="411"/>
      <c r="L13" s="411"/>
      <c r="M13" s="411"/>
      <c r="N13" s="411"/>
      <c r="O13" s="411"/>
      <c r="P13" s="411"/>
      <c r="Q13" s="450"/>
      <c r="R13" s="450"/>
      <c r="S13" s="931">
        <f t="shared" si="0"/>
        <v>0</v>
      </c>
      <c r="T13" s="612"/>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256"/>
      <c r="CI13" s="256"/>
      <c r="CJ13" s="256"/>
      <c r="CK13" s="256"/>
      <c r="CL13" s="256"/>
      <c r="CM13" s="256"/>
      <c r="CN13" s="256"/>
      <c r="CO13" s="256"/>
      <c r="CP13" s="256"/>
      <c r="CQ13" s="256"/>
      <c r="CR13" s="256"/>
      <c r="CS13" s="256"/>
      <c r="CT13" s="256"/>
      <c r="CU13" s="256"/>
      <c r="CV13" s="256"/>
      <c r="CW13" s="256"/>
      <c r="CX13" s="256"/>
      <c r="CY13" s="256"/>
      <c r="CZ13" s="256"/>
      <c r="DA13" s="256"/>
      <c r="DB13" s="256"/>
      <c r="DC13" s="256"/>
      <c r="DD13" s="256"/>
      <c r="DE13" s="256"/>
      <c r="DF13" s="256"/>
      <c r="DG13" s="256"/>
      <c r="DH13" s="256"/>
      <c r="DI13" s="256"/>
    </row>
    <row r="14" spans="1:128" s="255" customFormat="1" ht="20.100000000000001" customHeight="1" x14ac:dyDescent="0.2">
      <c r="A14" s="256"/>
      <c r="B14" s="613">
        <v>6</v>
      </c>
      <c r="C14" s="456" t="s">
        <v>335</v>
      </c>
      <c r="D14" s="932">
        <f>75324600/1000000</f>
        <v>75.324600000000004</v>
      </c>
      <c r="E14" s="411"/>
      <c r="F14" s="932">
        <f>435804337/1000000</f>
        <v>435.80433699999998</v>
      </c>
      <c r="G14" s="411"/>
      <c r="H14" s="932">
        <f>2431350835/1000000</f>
        <v>2431.3508350000002</v>
      </c>
      <c r="I14" s="411"/>
      <c r="J14" s="932">
        <f>686063020/1000000</f>
        <v>686.06302000000005</v>
      </c>
      <c r="K14" s="411"/>
      <c r="L14" s="411"/>
      <c r="M14" s="932">
        <f>16379836/1000000</f>
        <v>16.379836000000001</v>
      </c>
      <c r="N14" s="411"/>
      <c r="O14" s="411"/>
      <c r="P14" s="411"/>
      <c r="Q14" s="450"/>
      <c r="R14" s="450"/>
      <c r="S14" s="931">
        <f t="shared" si="0"/>
        <v>3644.9226280000003</v>
      </c>
      <c r="T14" s="612"/>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c r="CC14" s="256"/>
      <c r="CD14" s="256"/>
      <c r="CE14" s="256"/>
      <c r="CF14" s="256"/>
      <c r="CG14" s="256"/>
      <c r="CH14" s="256"/>
      <c r="CI14" s="256"/>
      <c r="CJ14" s="256"/>
      <c r="CK14" s="256"/>
      <c r="CL14" s="256"/>
      <c r="CM14" s="256"/>
      <c r="CN14" s="256"/>
      <c r="CO14" s="256"/>
      <c r="CP14" s="256"/>
      <c r="CQ14" s="256"/>
      <c r="CR14" s="256"/>
      <c r="CS14" s="256"/>
      <c r="CT14" s="256"/>
      <c r="CU14" s="256"/>
      <c r="CV14" s="256"/>
      <c r="CW14" s="256"/>
      <c r="CX14" s="256"/>
      <c r="CY14" s="256"/>
      <c r="CZ14" s="256"/>
      <c r="DA14" s="256"/>
      <c r="DB14" s="256"/>
      <c r="DC14" s="256"/>
      <c r="DD14" s="256"/>
      <c r="DE14" s="256"/>
      <c r="DF14" s="256"/>
      <c r="DG14" s="256"/>
      <c r="DH14" s="256"/>
      <c r="DI14" s="256"/>
    </row>
    <row r="15" spans="1:128" s="255" customFormat="1" ht="20.100000000000001" customHeight="1" x14ac:dyDescent="0.2">
      <c r="A15" s="256"/>
      <c r="B15" s="613">
        <v>7</v>
      </c>
      <c r="C15" s="456" t="s">
        <v>336</v>
      </c>
      <c r="D15" s="411"/>
      <c r="E15" s="411"/>
      <c r="F15" s="411"/>
      <c r="G15" s="411"/>
      <c r="H15" s="411"/>
      <c r="I15" s="932">
        <f>10800181/1000000</f>
        <v>10.800181</v>
      </c>
      <c r="J15" s="411"/>
      <c r="K15" s="411"/>
      <c r="L15" s="411"/>
      <c r="M15" s="932">
        <f>6589101180/1000000</f>
        <v>6589.1011799999997</v>
      </c>
      <c r="N15" s="932">
        <f>54000/1000000</f>
        <v>5.3999999999999999E-2</v>
      </c>
      <c r="O15" s="411"/>
      <c r="P15" s="411"/>
      <c r="Q15" s="450"/>
      <c r="R15" s="450"/>
      <c r="S15" s="931">
        <f t="shared" si="0"/>
        <v>6599.9553609999994</v>
      </c>
      <c r="T15" s="612"/>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c r="BW15" s="256"/>
      <c r="BX15" s="256"/>
      <c r="BY15" s="256"/>
      <c r="BZ15" s="256"/>
      <c r="CA15" s="256"/>
      <c r="CB15" s="256"/>
      <c r="CC15" s="256"/>
      <c r="CD15" s="256"/>
      <c r="CE15" s="256"/>
      <c r="CF15" s="256"/>
      <c r="CG15" s="256"/>
      <c r="CH15" s="256"/>
      <c r="CI15" s="256"/>
      <c r="CJ15" s="256"/>
      <c r="CK15" s="256"/>
      <c r="CL15" s="256"/>
      <c r="CM15" s="256"/>
      <c r="CN15" s="256"/>
      <c r="CO15" s="256"/>
      <c r="CP15" s="256"/>
      <c r="CQ15" s="256"/>
      <c r="CR15" s="256"/>
      <c r="CS15" s="256"/>
      <c r="CT15" s="256"/>
      <c r="CU15" s="256"/>
      <c r="CV15" s="256"/>
      <c r="CW15" s="256"/>
      <c r="CX15" s="256"/>
      <c r="CY15" s="256"/>
      <c r="CZ15" s="256"/>
      <c r="DA15" s="256"/>
      <c r="DB15" s="256"/>
      <c r="DC15" s="256"/>
      <c r="DD15" s="256"/>
      <c r="DE15" s="256"/>
      <c r="DF15" s="256"/>
      <c r="DG15" s="256"/>
      <c r="DH15" s="256"/>
      <c r="DI15" s="256"/>
    </row>
    <row r="16" spans="1:128" s="255" customFormat="1" ht="20.100000000000001" customHeight="1" x14ac:dyDescent="0.2">
      <c r="A16" s="256"/>
      <c r="B16" s="613">
        <v>8</v>
      </c>
      <c r="C16" s="456" t="s">
        <v>337</v>
      </c>
      <c r="D16" s="411"/>
      <c r="E16" s="411"/>
      <c r="F16" s="411"/>
      <c r="G16" s="411"/>
      <c r="H16" s="411"/>
      <c r="I16" s="411"/>
      <c r="J16" s="411"/>
      <c r="K16" s="411"/>
      <c r="L16" s="932">
        <f>6981586152/1000000</f>
        <v>6981.5861519999999</v>
      </c>
      <c r="M16" s="411"/>
      <c r="N16" s="411"/>
      <c r="O16" s="411"/>
      <c r="P16" s="411"/>
      <c r="Q16" s="450"/>
      <c r="R16" s="450"/>
      <c r="S16" s="931">
        <f t="shared" si="0"/>
        <v>6981.5861519999999</v>
      </c>
      <c r="T16" s="612"/>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56"/>
      <c r="CI16" s="256"/>
      <c r="CJ16" s="256"/>
      <c r="CK16" s="256"/>
      <c r="CL16" s="256"/>
      <c r="CM16" s="256"/>
      <c r="CN16" s="256"/>
      <c r="CO16" s="256"/>
      <c r="CP16" s="256"/>
      <c r="CQ16" s="256"/>
      <c r="CR16" s="256"/>
      <c r="CS16" s="256"/>
      <c r="CT16" s="256"/>
      <c r="CU16" s="256"/>
      <c r="CV16" s="256"/>
      <c r="CW16" s="256"/>
      <c r="CX16" s="256"/>
      <c r="CY16" s="256"/>
      <c r="CZ16" s="256"/>
      <c r="DA16" s="256"/>
      <c r="DB16" s="256"/>
      <c r="DC16" s="256"/>
      <c r="DD16" s="256"/>
      <c r="DE16" s="256"/>
      <c r="DF16" s="256"/>
      <c r="DG16" s="256"/>
      <c r="DH16" s="256"/>
      <c r="DI16" s="256"/>
    </row>
    <row r="17" spans="1:128" s="255" customFormat="1" ht="20.100000000000001" customHeight="1" x14ac:dyDescent="0.2">
      <c r="A17" s="256"/>
      <c r="B17" s="613">
        <v>9</v>
      </c>
      <c r="C17" s="456" t="s">
        <v>1004</v>
      </c>
      <c r="D17" s="411"/>
      <c r="E17" s="411"/>
      <c r="F17" s="411"/>
      <c r="G17" s="411"/>
      <c r="H17" s="411"/>
      <c r="I17" s="932">
        <f>1279161615/1000000</f>
        <v>1279.161615</v>
      </c>
      <c r="J17" s="411"/>
      <c r="K17" s="411"/>
      <c r="L17" s="932">
        <f>20853976/1000000</f>
        <v>20.853975999999999</v>
      </c>
      <c r="M17" s="932">
        <f>191546162/1000000</f>
        <v>191.54616200000001</v>
      </c>
      <c r="N17" s="411"/>
      <c r="O17" s="411"/>
      <c r="P17" s="411"/>
      <c r="Q17" s="450"/>
      <c r="R17" s="450"/>
      <c r="S17" s="931">
        <f t="shared" si="0"/>
        <v>1491.5617530000002</v>
      </c>
      <c r="T17" s="612"/>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BZ17" s="256"/>
      <c r="CA17" s="256"/>
      <c r="CB17" s="256"/>
      <c r="CC17" s="256"/>
      <c r="CD17" s="256"/>
      <c r="CE17" s="256"/>
      <c r="CF17" s="256"/>
      <c r="CG17" s="256"/>
      <c r="CH17" s="256"/>
      <c r="CI17" s="256"/>
      <c r="CJ17" s="256"/>
      <c r="CK17" s="256"/>
      <c r="CL17" s="256"/>
      <c r="CM17" s="256"/>
      <c r="CN17" s="256"/>
      <c r="CO17" s="256"/>
      <c r="CP17" s="256"/>
      <c r="CQ17" s="256"/>
      <c r="CR17" s="256"/>
      <c r="CS17" s="256"/>
      <c r="CT17" s="256"/>
      <c r="CU17" s="256"/>
      <c r="CV17" s="256"/>
      <c r="CW17" s="256"/>
      <c r="CX17" s="256"/>
      <c r="CY17" s="256"/>
      <c r="CZ17" s="256"/>
      <c r="DA17" s="256"/>
      <c r="DB17" s="256"/>
      <c r="DC17" s="256"/>
      <c r="DD17" s="256"/>
      <c r="DE17" s="256"/>
      <c r="DF17" s="256"/>
      <c r="DG17" s="256"/>
      <c r="DH17" s="256"/>
      <c r="DI17" s="256"/>
    </row>
    <row r="18" spans="1:128" s="255" customFormat="1" ht="20.100000000000001" customHeight="1" x14ac:dyDescent="0.2">
      <c r="A18" s="256"/>
      <c r="B18" s="613">
        <v>10</v>
      </c>
      <c r="C18" s="456" t="s">
        <v>1005</v>
      </c>
      <c r="D18" s="411"/>
      <c r="E18" s="411"/>
      <c r="F18" s="411"/>
      <c r="G18" s="411"/>
      <c r="H18" s="411"/>
      <c r="I18" s="411"/>
      <c r="J18" s="411"/>
      <c r="K18" s="411"/>
      <c r="L18" s="411"/>
      <c r="M18" s="932">
        <f>38963477/1000000</f>
        <v>38.963476999999997</v>
      </c>
      <c r="N18" s="932">
        <f>113168390/1000000</f>
        <v>113.16839</v>
      </c>
      <c r="O18" s="411"/>
      <c r="P18" s="411"/>
      <c r="Q18" s="450"/>
      <c r="R18" s="450"/>
      <c r="S18" s="931">
        <f t="shared" si="0"/>
        <v>152.131867</v>
      </c>
      <c r="T18" s="612"/>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6"/>
      <c r="CC18" s="256"/>
      <c r="CD18" s="256"/>
      <c r="CE18" s="256"/>
      <c r="CF18" s="256"/>
      <c r="CG18" s="256"/>
      <c r="CH18" s="256"/>
      <c r="CI18" s="256"/>
      <c r="CJ18" s="256"/>
      <c r="CK18" s="256"/>
      <c r="CL18" s="256"/>
      <c r="CM18" s="256"/>
      <c r="CN18" s="256"/>
      <c r="CO18" s="256"/>
      <c r="CP18" s="256"/>
      <c r="CQ18" s="256"/>
      <c r="CR18" s="256"/>
      <c r="CS18" s="256"/>
      <c r="CT18" s="256"/>
      <c r="CU18" s="256"/>
      <c r="CV18" s="256"/>
      <c r="CW18" s="256"/>
      <c r="CX18" s="256"/>
      <c r="CY18" s="256"/>
      <c r="CZ18" s="256"/>
      <c r="DA18" s="256"/>
      <c r="DB18" s="256"/>
      <c r="DC18" s="256"/>
      <c r="DD18" s="256"/>
      <c r="DE18" s="256"/>
      <c r="DF18" s="256"/>
      <c r="DG18" s="256"/>
      <c r="DH18" s="256"/>
      <c r="DI18" s="256"/>
    </row>
    <row r="19" spans="1:128" s="255" customFormat="1" ht="20.100000000000001" customHeight="1" x14ac:dyDescent="0.2">
      <c r="A19" s="256"/>
      <c r="B19" s="613">
        <v>11</v>
      </c>
      <c r="C19" s="456" t="s">
        <v>1006</v>
      </c>
      <c r="D19" s="411"/>
      <c r="E19" s="411"/>
      <c r="F19" s="411"/>
      <c r="G19" s="411"/>
      <c r="H19" s="411"/>
      <c r="I19" s="411"/>
      <c r="J19" s="411"/>
      <c r="K19" s="411"/>
      <c r="L19" s="411"/>
      <c r="M19" s="411"/>
      <c r="N19" s="411"/>
      <c r="O19" s="411"/>
      <c r="P19" s="411"/>
      <c r="Q19" s="450"/>
      <c r="R19" s="450"/>
      <c r="S19" s="931">
        <f t="shared" si="0"/>
        <v>0</v>
      </c>
      <c r="T19" s="612"/>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c r="CE19" s="256"/>
      <c r="CF19" s="256"/>
      <c r="CG19" s="256"/>
      <c r="CH19" s="256"/>
      <c r="CI19" s="256"/>
      <c r="CJ19" s="256"/>
      <c r="CK19" s="256"/>
      <c r="CL19" s="256"/>
      <c r="CM19" s="256"/>
      <c r="CN19" s="256"/>
      <c r="CO19" s="256"/>
      <c r="CP19" s="256"/>
      <c r="CQ19" s="256"/>
      <c r="CR19" s="256"/>
      <c r="CS19" s="256"/>
      <c r="CT19" s="256"/>
      <c r="CU19" s="256"/>
      <c r="CV19" s="256"/>
      <c r="CW19" s="256"/>
      <c r="CX19" s="256"/>
      <c r="CY19" s="256"/>
      <c r="CZ19" s="256"/>
      <c r="DA19" s="256"/>
      <c r="DB19" s="256"/>
      <c r="DC19" s="256"/>
      <c r="DD19" s="256"/>
      <c r="DE19" s="256"/>
      <c r="DF19" s="256"/>
      <c r="DG19" s="256"/>
      <c r="DH19" s="256"/>
      <c r="DI19" s="256"/>
    </row>
    <row r="20" spans="1:128" s="255" customFormat="1" ht="20.100000000000001" customHeight="1" x14ac:dyDescent="0.2">
      <c r="A20" s="256"/>
      <c r="B20" s="613">
        <v>12</v>
      </c>
      <c r="C20" s="456" t="s">
        <v>1007</v>
      </c>
      <c r="D20" s="411"/>
      <c r="E20" s="411"/>
      <c r="F20" s="411"/>
      <c r="G20" s="932">
        <f>13587040075/1000000</f>
        <v>13587.040075000001</v>
      </c>
      <c r="H20" s="411"/>
      <c r="I20" s="411"/>
      <c r="J20" s="411"/>
      <c r="K20" s="411"/>
      <c r="L20" s="411"/>
      <c r="M20" s="411"/>
      <c r="N20" s="411"/>
      <c r="O20" s="411"/>
      <c r="P20" s="411"/>
      <c r="Q20" s="450"/>
      <c r="R20" s="450"/>
      <c r="S20" s="931">
        <f t="shared" si="0"/>
        <v>13587.040075000001</v>
      </c>
      <c r="T20" s="612"/>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c r="DD20" s="256"/>
      <c r="DE20" s="256"/>
      <c r="DF20" s="256"/>
      <c r="DG20" s="256"/>
      <c r="DH20" s="256"/>
      <c r="DI20" s="256"/>
    </row>
    <row r="21" spans="1:128" s="255" customFormat="1" ht="20.100000000000001" customHeight="1" x14ac:dyDescent="0.2">
      <c r="A21" s="256"/>
      <c r="B21" s="613">
        <v>13</v>
      </c>
      <c r="C21" s="456" t="s">
        <v>338</v>
      </c>
      <c r="D21" s="411"/>
      <c r="E21" s="411"/>
      <c r="F21" s="411"/>
      <c r="G21" s="932">
        <f>5222092/1000000</f>
        <v>5.222092</v>
      </c>
      <c r="H21" s="411"/>
      <c r="I21" s="411"/>
      <c r="J21" s="411"/>
      <c r="K21" s="411"/>
      <c r="L21" s="411"/>
      <c r="M21" s="411"/>
      <c r="N21" s="411"/>
      <c r="O21" s="411"/>
      <c r="P21" s="411"/>
      <c r="Q21" s="450"/>
      <c r="R21" s="450"/>
      <c r="S21" s="931">
        <f t="shared" si="0"/>
        <v>5.222092</v>
      </c>
      <c r="T21" s="612"/>
      <c r="U21" s="256"/>
      <c r="V21" s="256"/>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c r="CF21" s="256"/>
      <c r="CG21" s="256"/>
      <c r="CH21" s="256"/>
      <c r="CI21" s="256"/>
      <c r="CJ21" s="256"/>
      <c r="CK21" s="256"/>
      <c r="CL21" s="256"/>
      <c r="CM21" s="256"/>
      <c r="CN21" s="256"/>
      <c r="CO21" s="256"/>
      <c r="CP21" s="256"/>
      <c r="CQ21" s="256"/>
      <c r="CR21" s="256"/>
      <c r="CS21" s="256"/>
      <c r="CT21" s="256"/>
      <c r="CU21" s="256"/>
      <c r="CV21" s="256"/>
      <c r="CW21" s="256"/>
      <c r="CX21" s="256"/>
      <c r="CY21" s="256"/>
      <c r="CZ21" s="256"/>
      <c r="DA21" s="256"/>
      <c r="DB21" s="256"/>
      <c r="DC21" s="256"/>
      <c r="DD21" s="256"/>
      <c r="DE21" s="256"/>
      <c r="DF21" s="256"/>
      <c r="DG21" s="256"/>
      <c r="DH21" s="256"/>
      <c r="DI21" s="256"/>
    </row>
    <row r="22" spans="1:128" s="255" customFormat="1" ht="20.100000000000001" customHeight="1" x14ac:dyDescent="0.2">
      <c r="A22" s="256"/>
      <c r="B22" s="613">
        <v>14</v>
      </c>
      <c r="C22" s="456" t="s">
        <v>1015</v>
      </c>
      <c r="D22" s="411"/>
      <c r="E22" s="411"/>
      <c r="F22" s="411"/>
      <c r="G22" s="411"/>
      <c r="H22" s="411"/>
      <c r="I22" s="411"/>
      <c r="J22" s="411"/>
      <c r="K22" s="411"/>
      <c r="L22" s="411"/>
      <c r="M22" s="411"/>
      <c r="N22" s="411"/>
      <c r="O22" s="411"/>
      <c r="P22" s="411"/>
      <c r="Q22" s="450"/>
      <c r="R22" s="450"/>
      <c r="S22" s="931">
        <f t="shared" si="0"/>
        <v>0</v>
      </c>
      <c r="T22" s="612"/>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56"/>
      <c r="CV22" s="256"/>
      <c r="CW22" s="256"/>
      <c r="CX22" s="256"/>
      <c r="CY22" s="256"/>
      <c r="CZ22" s="256"/>
      <c r="DA22" s="256"/>
      <c r="DB22" s="256"/>
      <c r="DC22" s="256"/>
      <c r="DD22" s="256"/>
      <c r="DE22" s="256"/>
      <c r="DF22" s="256"/>
      <c r="DG22" s="256"/>
      <c r="DH22" s="256"/>
      <c r="DI22" s="256"/>
    </row>
    <row r="23" spans="1:128" s="255" customFormat="1" ht="20.100000000000001" customHeight="1" x14ac:dyDescent="0.2">
      <c r="A23" s="256"/>
      <c r="B23" s="613">
        <v>15</v>
      </c>
      <c r="C23" s="456" t="s">
        <v>1009</v>
      </c>
      <c r="D23" s="411"/>
      <c r="E23" s="411"/>
      <c r="F23" s="411"/>
      <c r="G23" s="411"/>
      <c r="H23" s="411"/>
      <c r="I23" s="411"/>
      <c r="J23" s="411"/>
      <c r="K23" s="411"/>
      <c r="L23" s="411"/>
      <c r="M23" s="932">
        <f>459113156/1000000</f>
        <v>459.113156</v>
      </c>
      <c r="N23" s="932"/>
      <c r="O23" s="932">
        <v>2236.2884479999998</v>
      </c>
      <c r="P23" s="411"/>
      <c r="Q23" s="450"/>
      <c r="R23" s="450"/>
      <c r="S23" s="931">
        <f>SUM(D23:R23)</f>
        <v>2695.4016039999997</v>
      </c>
      <c r="T23" s="612"/>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c r="CE23" s="256"/>
      <c r="CF23" s="256"/>
      <c r="CG23" s="256"/>
      <c r="CH23" s="256"/>
      <c r="CI23" s="256"/>
      <c r="CJ23" s="256"/>
      <c r="CK23" s="256"/>
      <c r="CL23" s="256"/>
      <c r="CM23" s="256"/>
      <c r="CN23" s="256"/>
      <c r="CO23" s="256"/>
      <c r="CP23" s="256"/>
      <c r="CQ23" s="256"/>
      <c r="CR23" s="256"/>
      <c r="CS23" s="256"/>
      <c r="CT23" s="256"/>
      <c r="CU23" s="256"/>
      <c r="CV23" s="256"/>
      <c r="CW23" s="256"/>
      <c r="CX23" s="256"/>
      <c r="CY23" s="256"/>
      <c r="CZ23" s="256"/>
      <c r="DA23" s="256"/>
      <c r="DB23" s="256"/>
      <c r="DC23" s="256"/>
      <c r="DD23" s="256"/>
      <c r="DE23" s="256"/>
      <c r="DF23" s="256"/>
      <c r="DG23" s="256"/>
      <c r="DH23" s="256"/>
      <c r="DI23" s="256"/>
    </row>
    <row r="24" spans="1:128" s="255" customFormat="1" ht="20.100000000000001" customHeight="1" x14ac:dyDescent="0.2">
      <c r="A24" s="256"/>
      <c r="B24" s="613">
        <v>16</v>
      </c>
      <c r="C24" s="456" t="s">
        <v>339</v>
      </c>
      <c r="D24" s="932">
        <f>92057806/1000000</f>
        <v>92.057805999999999</v>
      </c>
      <c r="E24" s="411"/>
      <c r="F24" s="411"/>
      <c r="G24" s="411"/>
      <c r="H24" s="411"/>
      <c r="I24" s="411"/>
      <c r="J24" s="932">
        <f>139075441/1000000</f>
        <v>139.07544100000001</v>
      </c>
      <c r="K24" s="411"/>
      <c r="L24" s="932">
        <f>10211350/1000000</f>
        <v>10.211349999999999</v>
      </c>
      <c r="M24" s="932">
        <f>1584787176/1000000</f>
        <v>1584.787176</v>
      </c>
      <c r="N24" s="411"/>
      <c r="O24" s="411"/>
      <c r="P24" s="411"/>
      <c r="Q24" s="450"/>
      <c r="R24" s="450"/>
      <c r="S24" s="931">
        <f t="shared" si="0"/>
        <v>1826.1317730000001</v>
      </c>
      <c r="T24" s="612"/>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row>
    <row r="25" spans="1:128" s="255" customFormat="1" ht="20.100000000000001" customHeight="1" x14ac:dyDescent="0.2">
      <c r="A25" s="256"/>
      <c r="B25" s="874">
        <v>17</v>
      </c>
      <c r="C25" s="875" t="s">
        <v>1010</v>
      </c>
      <c r="D25" s="874">
        <f>SUM(D9:D24)</f>
        <v>8216.2858660000002</v>
      </c>
      <c r="E25" s="874">
        <f t="shared" ref="E25:O25" si="1">SUM(E9:E24)</f>
        <v>0</v>
      </c>
      <c r="F25" s="874">
        <f t="shared" si="1"/>
        <v>435.80433699999998</v>
      </c>
      <c r="G25" s="874">
        <f t="shared" si="1"/>
        <v>13592.262167000001</v>
      </c>
      <c r="H25" s="874">
        <f t="shared" si="1"/>
        <v>4676.316882000001</v>
      </c>
      <c r="I25" s="874">
        <f t="shared" si="1"/>
        <v>1289.961796</v>
      </c>
      <c r="J25" s="874">
        <f t="shared" si="1"/>
        <v>825.13846100000001</v>
      </c>
      <c r="K25" s="874">
        <f t="shared" si="1"/>
        <v>0</v>
      </c>
      <c r="L25" s="874">
        <f t="shared" si="1"/>
        <v>7012.6514779999998</v>
      </c>
      <c r="M25" s="874">
        <f t="shared" si="1"/>
        <v>8879.8909870000007</v>
      </c>
      <c r="N25" s="874">
        <f t="shared" si="1"/>
        <v>113.22239</v>
      </c>
      <c r="O25" s="874">
        <f t="shared" si="1"/>
        <v>2258.0491099999999</v>
      </c>
      <c r="P25" s="874"/>
      <c r="Q25" s="609"/>
      <c r="R25" s="609"/>
      <c r="S25" s="879">
        <f t="shared" si="0"/>
        <v>47299.583473999999</v>
      </c>
      <c r="T25" s="612"/>
      <c r="U25" s="256"/>
      <c r="V25" s="256"/>
      <c r="W25" s="256"/>
      <c r="X25" s="256"/>
      <c r="Y25" s="256"/>
      <c r="Z25" s="256"/>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6"/>
      <c r="CC25" s="256"/>
      <c r="CD25" s="256"/>
      <c r="CE25" s="256"/>
      <c r="CF25" s="256"/>
      <c r="CG25" s="256"/>
      <c r="CH25" s="256"/>
      <c r="CI25" s="256"/>
      <c r="CJ25" s="256"/>
      <c r="CK25" s="256"/>
      <c r="CL25" s="256"/>
      <c r="CM25" s="256"/>
      <c r="CN25" s="256"/>
      <c r="CO25" s="256"/>
      <c r="CP25" s="256"/>
      <c r="CQ25" s="256"/>
      <c r="CR25" s="256"/>
      <c r="CS25" s="256"/>
      <c r="CT25" s="256"/>
      <c r="CU25" s="256"/>
      <c r="CV25" s="256"/>
      <c r="CW25" s="256"/>
      <c r="CX25" s="256"/>
      <c r="CY25" s="256"/>
      <c r="CZ25" s="256"/>
      <c r="DA25" s="256"/>
      <c r="DB25" s="256"/>
      <c r="DC25" s="256"/>
      <c r="DD25" s="256"/>
      <c r="DE25" s="256"/>
      <c r="DF25" s="256"/>
      <c r="DG25" s="256"/>
      <c r="DH25" s="256"/>
      <c r="DI25" s="256"/>
    </row>
    <row r="26" spans="1:128" s="255" customFormat="1" x14ac:dyDescent="0.2">
      <c r="A26" s="256"/>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c r="CL26" s="256"/>
      <c r="CM26" s="256"/>
      <c r="CN26" s="256"/>
      <c r="CO26" s="256"/>
      <c r="CP26" s="256"/>
      <c r="CQ26" s="256"/>
      <c r="CR26" s="256"/>
      <c r="CS26" s="256"/>
      <c r="CT26" s="256"/>
      <c r="CU26" s="256"/>
      <c r="CV26" s="256"/>
      <c r="CW26" s="256"/>
      <c r="CX26" s="256"/>
      <c r="CY26" s="256"/>
      <c r="CZ26" s="256"/>
      <c r="DA26" s="256"/>
      <c r="DB26" s="256"/>
      <c r="DC26" s="256"/>
      <c r="DD26" s="256"/>
      <c r="DE26" s="256"/>
      <c r="DF26" s="256"/>
      <c r="DG26" s="256"/>
      <c r="DH26" s="256"/>
      <c r="DI26" s="256"/>
    </row>
    <row r="27" spans="1:128" s="255" customFormat="1" x14ac:dyDescent="0.2">
      <c r="A27" s="256"/>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6"/>
      <c r="CA27" s="256"/>
      <c r="CB27" s="256"/>
      <c r="CC27" s="256"/>
      <c r="CD27" s="256"/>
      <c r="CE27" s="256"/>
      <c r="CF27" s="256"/>
      <c r="CG27" s="256"/>
      <c r="CH27" s="256"/>
      <c r="CI27" s="256"/>
      <c r="CJ27" s="256"/>
      <c r="CK27" s="256"/>
      <c r="CL27" s="256"/>
      <c r="CM27" s="256"/>
      <c r="CN27" s="256"/>
      <c r="CO27" s="256"/>
      <c r="CP27" s="256"/>
      <c r="CQ27" s="256"/>
      <c r="CR27" s="256"/>
      <c r="CS27" s="256"/>
      <c r="CT27" s="256"/>
      <c r="CU27" s="256"/>
      <c r="CV27" s="256"/>
      <c r="CW27" s="256"/>
      <c r="CX27" s="256"/>
      <c r="CY27" s="256"/>
      <c r="CZ27" s="256"/>
      <c r="DA27" s="256"/>
      <c r="DB27" s="256"/>
      <c r="DC27" s="256"/>
      <c r="DD27" s="256"/>
      <c r="DE27" s="256"/>
      <c r="DF27" s="256"/>
      <c r="DG27" s="256"/>
      <c r="DH27" s="256"/>
      <c r="DI27" s="256"/>
    </row>
    <row r="28" spans="1:128" s="255" customFormat="1" x14ac:dyDescent="0.2">
      <c r="A28" s="256"/>
      <c r="B28" s="256"/>
      <c r="C28" s="256"/>
      <c r="D28" s="256"/>
      <c r="E28" s="256"/>
      <c r="F28" s="256"/>
      <c r="G28" s="256"/>
      <c r="H28" s="256"/>
      <c r="I28" s="256"/>
      <c r="J28" s="256"/>
      <c r="K28" s="256"/>
      <c r="L28" s="256"/>
      <c r="M28" s="256"/>
      <c r="N28" s="256"/>
      <c r="O28" s="256"/>
      <c r="P28" s="252"/>
      <c r="Q28" s="256"/>
      <c r="R28" s="256"/>
      <c r="S28" s="251"/>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c r="CF28" s="256"/>
      <c r="CG28" s="256"/>
      <c r="CH28" s="256"/>
      <c r="CI28" s="256"/>
      <c r="CJ28" s="256"/>
      <c r="CK28" s="256"/>
      <c r="CL28" s="256"/>
      <c r="CM28" s="256"/>
      <c r="CN28" s="256"/>
      <c r="CO28" s="256"/>
      <c r="CP28" s="256"/>
      <c r="CQ28" s="256"/>
      <c r="CR28" s="256"/>
      <c r="CS28" s="256"/>
      <c r="CT28" s="256"/>
      <c r="CU28" s="256"/>
      <c r="CV28" s="256"/>
      <c r="CW28" s="256"/>
      <c r="CX28" s="256"/>
      <c r="CY28" s="256"/>
      <c r="CZ28" s="256"/>
      <c r="DA28" s="256"/>
      <c r="DB28" s="256"/>
      <c r="DC28" s="256"/>
      <c r="DD28" s="256"/>
      <c r="DE28" s="256"/>
      <c r="DF28" s="256"/>
      <c r="DG28" s="256"/>
      <c r="DH28" s="256"/>
      <c r="DI28" s="256"/>
    </row>
    <row r="29" spans="1:128" x14ac:dyDescent="0.2">
      <c r="S29" s="254"/>
      <c r="DJ29" s="254"/>
      <c r="DK29" s="254"/>
      <c r="DL29" s="254"/>
      <c r="DM29" s="254"/>
      <c r="DN29" s="254"/>
      <c r="DO29" s="254"/>
      <c r="DP29" s="254"/>
      <c r="DQ29" s="254"/>
      <c r="DR29" s="254"/>
      <c r="DS29" s="254"/>
      <c r="DT29" s="254"/>
      <c r="DU29" s="254"/>
      <c r="DV29" s="254"/>
      <c r="DW29" s="254"/>
      <c r="DX29" s="254"/>
    </row>
    <row r="30" spans="1:128" x14ac:dyDescent="0.2">
      <c r="DJ30" s="254"/>
      <c r="DK30" s="254"/>
      <c r="DL30" s="254"/>
      <c r="DM30" s="254"/>
      <c r="DN30" s="254"/>
      <c r="DO30" s="254"/>
      <c r="DP30" s="254"/>
      <c r="DQ30" s="254"/>
      <c r="DR30" s="254"/>
      <c r="DS30" s="254"/>
      <c r="DT30" s="254"/>
      <c r="DU30" s="254"/>
      <c r="DV30" s="254"/>
      <c r="DW30" s="254"/>
      <c r="DX30" s="254"/>
    </row>
  </sheetData>
  <sheetProtection algorithmName="SHA-512" hashValue="atxohBoTq20dn1mqZnwGhJ4NhEiXQ0f9HwXdA/EpRh8WTEI5h73ch2NN3CRlH19+BOKfRnw8gfcW2kLFpdEDQw==" saltValue="Tt446/r/qhanCPLq4cFjiQ==" spinCount="100000" sheet="1" objects="1" scenarios="1"/>
  <mergeCells count="4">
    <mergeCell ref="C6:C8"/>
    <mergeCell ref="D6:R6"/>
    <mergeCell ref="S6:S7"/>
    <mergeCell ref="T6:T7"/>
  </mergeCells>
  <hyperlinks>
    <hyperlink ref="B2" location="Contents!A1" display="Back to Contents page" xr:uid="{60783F8B-A17B-4648-BB38-15A18906C16F}"/>
  </hyperlinks>
  <pageMargins left="0.7" right="0.7" top="0.75" bottom="0.75" header="0.3" footer="0.3"/>
  <pageSetup paperSize="9" scale="10" orientation="portrait" horizontalDpi="144" verticalDpi="14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7EFE0-C423-4412-97CF-2AB1F8E25F48}">
  <sheetPr>
    <pageSetUpPr fitToPage="1"/>
  </sheetPr>
  <dimension ref="B2:P54"/>
  <sheetViews>
    <sheetView showGridLines="0" showRowColHeaders="0" zoomScale="70" zoomScaleNormal="70" workbookViewId="0">
      <selection activeCell="E17" sqref="E17"/>
    </sheetView>
  </sheetViews>
  <sheetFormatPr baseColWidth="10" defaultColWidth="9.21875" defaultRowHeight="12.75" x14ac:dyDescent="0.2"/>
  <cols>
    <col min="1" max="1" width="3.88671875" style="254" customWidth="1"/>
    <col min="2" max="2" width="7.6640625" style="264" customWidth="1"/>
    <col min="3" max="3" width="44.109375" style="254" customWidth="1"/>
    <col min="4" max="10" width="10.5546875" style="254" customWidth="1"/>
    <col min="11" max="16384" width="9.21875" style="254"/>
  </cols>
  <sheetData>
    <row r="2" spans="2:16" ht="15" x14ac:dyDescent="0.25">
      <c r="B2" s="940" t="s">
        <v>3521</v>
      </c>
    </row>
    <row r="4" spans="2:16" ht="21" x14ac:dyDescent="0.2">
      <c r="B4" s="368" t="s">
        <v>3127</v>
      </c>
      <c r="D4" s="280"/>
      <c r="E4" s="280"/>
      <c r="F4" s="280"/>
      <c r="G4" s="280"/>
      <c r="H4" s="280"/>
      <c r="I4" s="280"/>
      <c r="J4" s="280"/>
    </row>
    <row r="6" spans="2:16" x14ac:dyDescent="0.2">
      <c r="B6" s="254"/>
    </row>
    <row r="7" spans="2:16" x14ac:dyDescent="0.2">
      <c r="B7" s="254"/>
      <c r="D7" s="433" t="s">
        <v>161</v>
      </c>
      <c r="E7" s="433" t="s">
        <v>162</v>
      </c>
      <c r="F7" s="433" t="s">
        <v>163</v>
      </c>
      <c r="G7" s="433" t="s">
        <v>200</v>
      </c>
      <c r="H7" s="433" t="s">
        <v>201</v>
      </c>
      <c r="I7" s="433" t="s">
        <v>266</v>
      </c>
      <c r="J7" s="433" t="s">
        <v>267</v>
      </c>
    </row>
    <row r="8" spans="2:16" x14ac:dyDescent="0.2">
      <c r="B8" s="254"/>
      <c r="C8" s="254" t="s">
        <v>3128</v>
      </c>
      <c r="D8" s="951" t="s">
        <v>3129</v>
      </c>
      <c r="E8" s="951" t="s">
        <v>3130</v>
      </c>
      <c r="F8" s="951" t="s">
        <v>3131</v>
      </c>
      <c r="G8" s="951"/>
      <c r="H8" s="951"/>
      <c r="I8" s="951"/>
      <c r="J8" s="951"/>
    </row>
    <row r="9" spans="2:16" ht="121.5" customHeight="1" x14ac:dyDescent="0.2">
      <c r="B9" s="254"/>
      <c r="D9" s="951"/>
      <c r="E9" s="951"/>
      <c r="F9" s="433" t="s">
        <v>3132</v>
      </c>
      <c r="G9" s="433" t="s">
        <v>3133</v>
      </c>
      <c r="H9" s="433" t="s">
        <v>3134</v>
      </c>
      <c r="I9" s="433" t="s">
        <v>3135</v>
      </c>
      <c r="J9" s="433" t="s">
        <v>3136</v>
      </c>
    </row>
    <row r="10" spans="2:16" ht="36.75" customHeight="1" x14ac:dyDescent="0.2">
      <c r="C10" s="953" t="s">
        <v>3137</v>
      </c>
      <c r="D10" s="954"/>
      <c r="E10" s="954"/>
      <c r="F10" s="954"/>
      <c r="G10" s="954"/>
      <c r="H10" s="954"/>
      <c r="I10" s="954"/>
      <c r="J10" s="955"/>
      <c r="P10" s="351"/>
    </row>
    <row r="11" spans="2:16" ht="15" customHeight="1" x14ac:dyDescent="0.2">
      <c r="B11" s="477">
        <v>1</v>
      </c>
      <c r="C11" s="479" t="s">
        <v>3567</v>
      </c>
      <c r="D11" s="475">
        <v>145</v>
      </c>
      <c r="E11" s="471">
        <v>176.34807599999999</v>
      </c>
      <c r="F11" s="471">
        <v>176.34807599999999</v>
      </c>
      <c r="G11" s="471"/>
      <c r="H11" s="471"/>
      <c r="I11" s="472"/>
      <c r="J11" s="471"/>
    </row>
    <row r="12" spans="2:16" ht="15" customHeight="1" x14ac:dyDescent="0.2">
      <c r="B12" s="477">
        <v>2</v>
      </c>
      <c r="C12" s="479" t="s">
        <v>3568</v>
      </c>
      <c r="D12" s="475">
        <v>1787</v>
      </c>
      <c r="E12" s="471">
        <v>780.95468600000004</v>
      </c>
      <c r="F12" s="471">
        <v>780.95468600000004</v>
      </c>
      <c r="G12" s="471"/>
      <c r="H12" s="471"/>
      <c r="I12" s="472"/>
      <c r="J12" s="471"/>
    </row>
    <row r="13" spans="2:16" ht="15" customHeight="1" x14ac:dyDescent="0.2">
      <c r="B13" s="477">
        <v>3</v>
      </c>
      <c r="C13" s="479" t="s">
        <v>3569</v>
      </c>
      <c r="D13" s="475">
        <v>92850</v>
      </c>
      <c r="E13" s="471">
        <v>138746.93455800001</v>
      </c>
      <c r="F13" s="471">
        <v>138746.93455800001</v>
      </c>
      <c r="G13" s="471"/>
      <c r="H13" s="471"/>
      <c r="I13" s="472"/>
      <c r="J13" s="471"/>
    </row>
    <row r="14" spans="2:16" ht="15" customHeight="1" x14ac:dyDescent="0.2">
      <c r="B14" s="477">
        <v>4</v>
      </c>
      <c r="C14" s="479" t="s">
        <v>3570</v>
      </c>
      <c r="D14" s="475">
        <v>1528</v>
      </c>
      <c r="E14" s="471">
        <v>1617.6547909999999</v>
      </c>
      <c r="F14" s="471">
        <v>1617.6547909999999</v>
      </c>
      <c r="G14" s="471"/>
      <c r="H14" s="471"/>
      <c r="I14" s="472"/>
      <c r="J14" s="471"/>
    </row>
    <row r="15" spans="2:16" ht="15" customHeight="1" x14ac:dyDescent="0.2">
      <c r="B15" s="477">
        <v>5</v>
      </c>
      <c r="C15" s="479" t="s">
        <v>3571</v>
      </c>
      <c r="D15" s="475">
        <v>18073</v>
      </c>
      <c r="E15" s="471">
        <v>23311.723540999999</v>
      </c>
      <c r="F15" s="471">
        <v>23046.676541000001</v>
      </c>
      <c r="G15" s="471"/>
      <c r="H15" s="471"/>
      <c r="I15" s="472"/>
      <c r="J15" s="471">
        <v>265.04700000000003</v>
      </c>
    </row>
    <row r="16" spans="2:16" ht="15" customHeight="1" x14ac:dyDescent="0.2">
      <c r="B16" s="477">
        <v>6</v>
      </c>
      <c r="C16" s="479" t="s">
        <v>3572</v>
      </c>
      <c r="D16" s="475">
        <v>1458</v>
      </c>
      <c r="E16" s="471">
        <v>2093.832938</v>
      </c>
      <c r="F16" s="471"/>
      <c r="G16" s="471">
        <v>2093.832938</v>
      </c>
      <c r="H16" s="471"/>
      <c r="I16" s="472"/>
      <c r="J16" s="471"/>
    </row>
    <row r="17" spans="2:10" ht="15" customHeight="1" x14ac:dyDescent="0.2">
      <c r="B17" s="477">
        <v>7</v>
      </c>
      <c r="C17" s="479" t="s">
        <v>3573</v>
      </c>
      <c r="D17" s="475">
        <v>0</v>
      </c>
      <c r="E17" s="471"/>
      <c r="F17" s="471"/>
      <c r="G17" s="471"/>
      <c r="H17" s="471"/>
      <c r="I17" s="472"/>
      <c r="J17" s="471"/>
    </row>
    <row r="18" spans="2:10" ht="15" customHeight="1" x14ac:dyDescent="0.2">
      <c r="B18" s="477">
        <v>8</v>
      </c>
      <c r="C18" s="479" t="s">
        <v>3574</v>
      </c>
      <c r="D18" s="475">
        <v>5063</v>
      </c>
      <c r="E18" s="471">
        <v>2441.9327669999998</v>
      </c>
      <c r="F18" s="471">
        <v>1277.6767419999996</v>
      </c>
      <c r="G18" s="471"/>
      <c r="H18" s="471"/>
      <c r="I18" s="472"/>
      <c r="J18" s="471">
        <v>1164.2560250000001</v>
      </c>
    </row>
    <row r="19" spans="2:10" ht="15" customHeight="1" x14ac:dyDescent="0.2">
      <c r="B19" s="477">
        <v>9</v>
      </c>
      <c r="C19" s="479" t="s">
        <v>3575</v>
      </c>
      <c r="D19" s="475">
        <v>829</v>
      </c>
      <c r="E19" s="471">
        <v>861.85660199999995</v>
      </c>
      <c r="F19" s="471">
        <v>861.85660199999995</v>
      </c>
      <c r="G19" s="471"/>
      <c r="H19" s="471"/>
      <c r="I19" s="472"/>
      <c r="J19" s="471"/>
    </row>
    <row r="20" spans="2:10" ht="15" customHeight="1" x14ac:dyDescent="0.2">
      <c r="B20" s="477">
        <v>10</v>
      </c>
      <c r="C20" s="479" t="s">
        <v>3576</v>
      </c>
      <c r="D20" s="475">
        <v>0</v>
      </c>
      <c r="E20" s="471">
        <v>0</v>
      </c>
      <c r="F20" s="471"/>
      <c r="G20" s="471"/>
      <c r="H20" s="471"/>
      <c r="I20" s="472"/>
      <c r="J20" s="471"/>
    </row>
    <row r="21" spans="2:10" ht="15" customHeight="1" x14ac:dyDescent="0.2">
      <c r="B21" s="477">
        <v>11</v>
      </c>
      <c r="C21" s="479" t="s">
        <v>3577</v>
      </c>
      <c r="D21" s="475">
        <v>118</v>
      </c>
      <c r="E21" s="471">
        <v>101.138186</v>
      </c>
      <c r="F21" s="471"/>
      <c r="G21" s="471"/>
      <c r="H21" s="471"/>
      <c r="I21" s="472"/>
      <c r="J21" s="471">
        <v>101.426</v>
      </c>
    </row>
    <row r="22" spans="2:10" ht="15" customHeight="1" x14ac:dyDescent="0.2">
      <c r="B22" s="477">
        <v>12</v>
      </c>
      <c r="C22" s="479" t="s">
        <v>2946</v>
      </c>
      <c r="D22" s="475">
        <v>670</v>
      </c>
      <c r="E22" s="471">
        <v>833.18836499999998</v>
      </c>
      <c r="F22" s="471">
        <v>802.12436500000001</v>
      </c>
      <c r="G22" s="471"/>
      <c r="H22" s="471"/>
      <c r="I22" s="472"/>
      <c r="J22" s="471">
        <v>31.064</v>
      </c>
    </row>
    <row r="23" spans="2:10" ht="15" customHeight="1" x14ac:dyDescent="0.2">
      <c r="B23" s="490">
        <v>13</v>
      </c>
      <c r="C23" s="491" t="s">
        <v>3138</v>
      </c>
      <c r="D23" s="492">
        <v>122521</v>
      </c>
      <c r="E23" s="493">
        <v>170965.56451000003</v>
      </c>
      <c r="F23" s="493">
        <v>167310.22636100004</v>
      </c>
      <c r="G23" s="493">
        <v>2093.832938</v>
      </c>
      <c r="H23" s="493">
        <v>0</v>
      </c>
      <c r="I23" s="493">
        <v>0</v>
      </c>
      <c r="J23" s="493">
        <v>1561.7930250000002</v>
      </c>
    </row>
    <row r="24" spans="2:10" ht="15" customHeight="1" x14ac:dyDescent="0.2">
      <c r="C24" s="478"/>
      <c r="D24" s="476"/>
      <c r="E24" s="473"/>
      <c r="F24" s="473"/>
      <c r="G24" s="473"/>
      <c r="H24" s="473"/>
      <c r="I24" s="474"/>
      <c r="J24" s="474"/>
    </row>
    <row r="25" spans="2:10" ht="29.25" customHeight="1" x14ac:dyDescent="0.2">
      <c r="C25" s="953" t="s">
        <v>3139</v>
      </c>
      <c r="D25" s="954"/>
      <c r="E25" s="954"/>
      <c r="F25" s="954"/>
      <c r="G25" s="954"/>
      <c r="H25" s="954"/>
      <c r="I25" s="954"/>
      <c r="J25" s="955"/>
    </row>
    <row r="26" spans="2:10" ht="15" customHeight="1" x14ac:dyDescent="0.2">
      <c r="B26" s="477">
        <v>1</v>
      </c>
      <c r="C26" s="479" t="s">
        <v>3578</v>
      </c>
      <c r="D26" s="471">
        <v>1185</v>
      </c>
      <c r="E26" s="471">
        <v>11471.86069</v>
      </c>
      <c r="F26" s="471"/>
      <c r="G26" s="471"/>
      <c r="H26" s="471"/>
      <c r="I26" s="472"/>
      <c r="J26" s="472"/>
    </row>
    <row r="27" spans="2:10" ht="15" customHeight="1" x14ac:dyDescent="0.2">
      <c r="B27" s="477">
        <v>2</v>
      </c>
      <c r="C27" s="479" t="s">
        <v>3579</v>
      </c>
      <c r="D27" s="475">
        <v>79484</v>
      </c>
      <c r="E27" s="471">
        <v>72350.226823000005</v>
      </c>
      <c r="F27" s="471"/>
      <c r="G27" s="471"/>
      <c r="H27" s="471"/>
      <c r="I27" s="472"/>
      <c r="J27" s="472"/>
    </row>
    <row r="28" spans="2:10" ht="15" customHeight="1" x14ac:dyDescent="0.2">
      <c r="B28" s="477">
        <v>3</v>
      </c>
      <c r="C28" s="479" t="s">
        <v>3580</v>
      </c>
      <c r="D28" s="475">
        <v>15336</v>
      </c>
      <c r="E28" s="471">
        <v>63629.888585000001</v>
      </c>
      <c r="F28" s="471"/>
      <c r="G28" s="471"/>
      <c r="H28" s="471"/>
      <c r="I28" s="472"/>
      <c r="J28" s="472"/>
    </row>
    <row r="29" spans="2:10" ht="15" customHeight="1" x14ac:dyDescent="0.2">
      <c r="B29" s="477">
        <v>4</v>
      </c>
      <c r="C29" s="479" t="s">
        <v>3572</v>
      </c>
      <c r="D29" s="475">
        <v>1259</v>
      </c>
      <c r="E29" s="471">
        <v>3156.9891149999999</v>
      </c>
      <c r="F29" s="471"/>
      <c r="G29" s="471">
        <v>3156.9891149999999</v>
      </c>
      <c r="H29" s="471"/>
      <c r="I29" s="472"/>
      <c r="J29" s="472"/>
    </row>
    <row r="30" spans="2:10" ht="15" customHeight="1" x14ac:dyDescent="0.2">
      <c r="B30" s="477">
        <v>5</v>
      </c>
      <c r="C30" s="479" t="s">
        <v>3581</v>
      </c>
      <c r="D30" s="475">
        <v>3389</v>
      </c>
      <c r="E30" s="471">
        <v>2475</v>
      </c>
      <c r="F30" s="471"/>
      <c r="G30" s="471"/>
      <c r="H30" s="471"/>
      <c r="I30" s="472"/>
      <c r="J30" s="472"/>
    </row>
    <row r="31" spans="2:10" ht="15" customHeight="1" x14ac:dyDescent="0.2">
      <c r="B31" s="477">
        <v>6</v>
      </c>
      <c r="C31" s="479" t="s">
        <v>3582</v>
      </c>
      <c r="D31" s="475">
        <v>25</v>
      </c>
      <c r="E31" s="471">
        <v>111.55059</v>
      </c>
      <c r="F31" s="471"/>
      <c r="G31" s="471"/>
      <c r="H31" s="471"/>
      <c r="I31" s="472"/>
      <c r="J31" s="472"/>
    </row>
    <row r="32" spans="2:10" ht="15" customHeight="1" x14ac:dyDescent="0.2">
      <c r="B32" s="477">
        <v>7</v>
      </c>
      <c r="C32" s="479" t="s">
        <v>3410</v>
      </c>
      <c r="D32" s="475">
        <v>5718</v>
      </c>
      <c r="E32" s="471">
        <v>1408.9153530000001</v>
      </c>
      <c r="F32" s="471"/>
      <c r="G32" s="471"/>
      <c r="H32" s="471"/>
      <c r="I32" s="472"/>
      <c r="J32" s="472"/>
    </row>
    <row r="33" spans="2:10" ht="15" customHeight="1" x14ac:dyDescent="0.2">
      <c r="B33" s="490">
        <v>8</v>
      </c>
      <c r="C33" s="491" t="s">
        <v>3140</v>
      </c>
      <c r="D33" s="492">
        <v>106396</v>
      </c>
      <c r="E33" s="493">
        <v>154604.43115600001</v>
      </c>
      <c r="F33" s="493">
        <v>0</v>
      </c>
      <c r="G33" s="493">
        <v>3156.9891149999999</v>
      </c>
      <c r="H33" s="493">
        <v>0</v>
      </c>
      <c r="I33" s="493">
        <v>0</v>
      </c>
      <c r="J33" s="493">
        <v>0</v>
      </c>
    </row>
    <row r="34" spans="2:10" x14ac:dyDescent="0.2">
      <c r="C34" s="950"/>
      <c r="D34" s="950"/>
    </row>
    <row r="35" spans="2:10" x14ac:dyDescent="0.2">
      <c r="C35" s="950"/>
      <c r="D35" s="950"/>
    </row>
    <row r="36" spans="2:10" x14ac:dyDescent="0.2">
      <c r="C36" s="949"/>
      <c r="D36" s="949"/>
    </row>
    <row r="37" spans="2:10" x14ac:dyDescent="0.2">
      <c r="C37" s="950"/>
      <c r="D37" s="950"/>
    </row>
    <row r="38" spans="2:10" x14ac:dyDescent="0.2">
      <c r="C38" s="952"/>
      <c r="D38" s="952"/>
    </row>
    <row r="39" spans="2:10" x14ac:dyDescent="0.2">
      <c r="C39" s="952"/>
      <c r="D39" s="952"/>
    </row>
    <row r="40" spans="2:10" x14ac:dyDescent="0.2">
      <c r="C40" s="949"/>
      <c r="D40" s="949"/>
    </row>
    <row r="41" spans="2:10" x14ac:dyDescent="0.2">
      <c r="C41" s="949"/>
      <c r="D41" s="949"/>
    </row>
    <row r="42" spans="2:10" x14ac:dyDescent="0.2">
      <c r="C42" s="949"/>
      <c r="D42" s="949"/>
    </row>
    <row r="43" spans="2:10" x14ac:dyDescent="0.2">
      <c r="C43" s="949"/>
      <c r="D43" s="949"/>
    </row>
    <row r="44" spans="2:10" x14ac:dyDescent="0.2">
      <c r="C44" s="949"/>
      <c r="D44" s="949"/>
    </row>
    <row r="45" spans="2:10" x14ac:dyDescent="0.2">
      <c r="C45" s="949"/>
      <c r="D45" s="949"/>
    </row>
    <row r="46" spans="2:10" x14ac:dyDescent="0.2">
      <c r="C46" s="949"/>
      <c r="D46" s="949"/>
    </row>
    <row r="47" spans="2:10" x14ac:dyDescent="0.2">
      <c r="C47" s="949"/>
      <c r="D47" s="949"/>
    </row>
    <row r="48" spans="2:10" x14ac:dyDescent="0.2">
      <c r="C48" s="949"/>
      <c r="D48" s="949"/>
    </row>
    <row r="49" spans="3:4" x14ac:dyDescent="0.2">
      <c r="C49" s="950"/>
      <c r="D49" s="950"/>
    </row>
    <row r="50" spans="3:4" x14ac:dyDescent="0.2">
      <c r="C50" s="949"/>
      <c r="D50" s="949"/>
    </row>
    <row r="51" spans="3:4" x14ac:dyDescent="0.2">
      <c r="C51" s="949"/>
      <c r="D51" s="949"/>
    </row>
    <row r="52" spans="3:4" x14ac:dyDescent="0.2">
      <c r="C52" s="949"/>
      <c r="D52" s="949"/>
    </row>
    <row r="53" spans="3:4" x14ac:dyDescent="0.2">
      <c r="C53" s="949"/>
      <c r="D53" s="949"/>
    </row>
    <row r="54" spans="3:4" x14ac:dyDescent="0.2">
      <c r="C54" s="949"/>
      <c r="D54" s="949"/>
    </row>
  </sheetData>
  <sheetProtection algorithmName="SHA-512" hashValue="zGaiAJkkj6KMCXmDbFlFG8QvGQvMwL3KeWI0MXQ9vtjkGpAhXI9pLGIw+TOO4M41SfktvTQtOVpp2MgT7FOYNg==" saltValue="2a5xmiKKuQstwPFyMJEABw==" spinCount="100000" sheet="1" objects="1" scenarios="1"/>
  <mergeCells count="26">
    <mergeCell ref="C42:D42"/>
    <mergeCell ref="D8:D9"/>
    <mergeCell ref="E8:E9"/>
    <mergeCell ref="F8:J8"/>
    <mergeCell ref="C34:D34"/>
    <mergeCell ref="C35:D35"/>
    <mergeCell ref="C36:D36"/>
    <mergeCell ref="C37:D37"/>
    <mergeCell ref="C38:D38"/>
    <mergeCell ref="C39:D39"/>
    <mergeCell ref="C40:D40"/>
    <mergeCell ref="C41:D41"/>
    <mergeCell ref="C10:J10"/>
    <mergeCell ref="C25:J25"/>
    <mergeCell ref="C54:D54"/>
    <mergeCell ref="C43:D43"/>
    <mergeCell ref="C44:D44"/>
    <mergeCell ref="C45:D45"/>
    <mergeCell ref="C46:D46"/>
    <mergeCell ref="C47:D47"/>
    <mergeCell ref="C48:D48"/>
    <mergeCell ref="C49:D49"/>
    <mergeCell ref="C50:D50"/>
    <mergeCell ref="C51:D51"/>
    <mergeCell ref="C52:D52"/>
    <mergeCell ref="C53:D53"/>
  </mergeCells>
  <hyperlinks>
    <hyperlink ref="B2" location="Contents!A1" display="Back to Contents page" xr:uid="{286BFDFC-6FC4-4103-B714-C407A061ADE1}"/>
  </hyperlinks>
  <pageMargins left="0.7" right="0.7" top="0.75" bottom="0.75" header="0.3" footer="0.3"/>
  <pageSetup paperSize="9" scale="34" orientation="portrait" horizontalDpi="144" verticalDpi="144"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Q183"/>
  <sheetViews>
    <sheetView showGridLines="0" showRowColHeaders="0" zoomScale="80" zoomScaleNormal="80" workbookViewId="0">
      <selection activeCell="B2" sqref="B2"/>
    </sheetView>
  </sheetViews>
  <sheetFormatPr baseColWidth="10" defaultColWidth="11.6640625" defaultRowHeight="12.75" x14ac:dyDescent="0.2"/>
  <cols>
    <col min="1" max="1" width="3.88671875" style="271" customWidth="1"/>
    <col min="2" max="3" width="18.88671875" style="271" customWidth="1"/>
    <col min="4" max="5" width="11" style="378" customWidth="1"/>
    <col min="6" max="6" width="11" style="271" customWidth="1"/>
    <col min="7" max="7" width="11" style="378" customWidth="1"/>
    <col min="8" max="8" width="11" style="383" customWidth="1"/>
    <col min="9" max="9" width="11" style="271" customWidth="1"/>
    <col min="10" max="10" width="11" style="383" customWidth="1"/>
    <col min="11" max="11" width="11" style="271" customWidth="1"/>
    <col min="12" max="12" width="11" style="378" customWidth="1"/>
    <col min="13" max="13" width="11" style="383" customWidth="1"/>
    <col min="14" max="14" width="11" style="378" customWidth="1"/>
    <col min="15" max="15" width="12.6640625" style="378" customWidth="1"/>
    <col min="16" max="16" width="11.6640625" style="271"/>
    <col min="17" max="17" width="17.5546875" style="271" customWidth="1"/>
    <col min="18" max="18" width="25.44140625" style="271" customWidth="1"/>
    <col min="19" max="16384" width="11.6640625" style="271"/>
  </cols>
  <sheetData>
    <row r="2" spans="2:17" ht="15" x14ac:dyDescent="0.25">
      <c r="B2" s="940" t="s">
        <v>3521</v>
      </c>
      <c r="K2" s="386"/>
    </row>
    <row r="3" spans="2:17" x14ac:dyDescent="0.2">
      <c r="K3" s="386"/>
      <c r="N3" s="382"/>
    </row>
    <row r="4" spans="2:17" ht="21" x14ac:dyDescent="0.35">
      <c r="B4" s="369" t="s">
        <v>3621</v>
      </c>
      <c r="K4" s="386"/>
    </row>
    <row r="5" spans="2:17" x14ac:dyDescent="0.2">
      <c r="B5" s="282"/>
      <c r="K5" s="386"/>
    </row>
    <row r="6" spans="2:17" s="299" customFormat="1" ht="69" customHeight="1" x14ac:dyDescent="0.25">
      <c r="B6" s="1225" t="s">
        <v>1016</v>
      </c>
      <c r="C6" s="488" t="s">
        <v>1139</v>
      </c>
      <c r="D6" s="614" t="s">
        <v>1017</v>
      </c>
      <c r="E6" s="614" t="s">
        <v>1018</v>
      </c>
      <c r="F6" s="488" t="s">
        <v>1019</v>
      </c>
      <c r="G6" s="614" t="s">
        <v>1020</v>
      </c>
      <c r="H6" s="615" t="s">
        <v>344</v>
      </c>
      <c r="I6" s="488" t="s">
        <v>345</v>
      </c>
      <c r="J6" s="615" t="s">
        <v>346</v>
      </c>
      <c r="K6" s="616" t="s">
        <v>1021</v>
      </c>
      <c r="L6" s="614" t="s">
        <v>1022</v>
      </c>
      <c r="M6" s="615" t="s">
        <v>348</v>
      </c>
      <c r="N6" s="614" t="s">
        <v>1023</v>
      </c>
      <c r="O6" s="614" t="s">
        <v>1024</v>
      </c>
      <c r="Q6" s="303"/>
    </row>
    <row r="7" spans="2:17" s="300" customFormat="1" ht="20.100000000000001" customHeight="1" x14ac:dyDescent="0.25">
      <c r="B7" s="1225"/>
      <c r="C7" s="400" t="s">
        <v>161</v>
      </c>
      <c r="D7" s="414" t="s">
        <v>162</v>
      </c>
      <c r="E7" s="414" t="s">
        <v>163</v>
      </c>
      <c r="F7" s="400" t="s">
        <v>200</v>
      </c>
      <c r="G7" s="414" t="s">
        <v>201</v>
      </c>
      <c r="H7" s="617" t="s">
        <v>266</v>
      </c>
      <c r="I7" s="400" t="s">
        <v>267</v>
      </c>
      <c r="J7" s="617" t="s">
        <v>268</v>
      </c>
      <c r="K7" s="618" t="s">
        <v>269</v>
      </c>
      <c r="L7" s="414" t="s">
        <v>270</v>
      </c>
      <c r="M7" s="617" t="s">
        <v>271</v>
      </c>
      <c r="N7" s="414" t="s">
        <v>272</v>
      </c>
      <c r="O7" s="414" t="s">
        <v>273</v>
      </c>
    </row>
    <row r="8" spans="2:17" s="387" customFormat="1" ht="20.100000000000001" customHeight="1" x14ac:dyDescent="0.25">
      <c r="B8" s="1223"/>
      <c r="C8" s="1223"/>
      <c r="D8" s="1223"/>
      <c r="E8" s="1223"/>
      <c r="F8" s="1223"/>
      <c r="G8" s="1223"/>
      <c r="H8" s="1223"/>
      <c r="I8" s="1223"/>
      <c r="J8" s="1223"/>
      <c r="K8" s="1223"/>
      <c r="L8" s="1223"/>
      <c r="M8" s="1223"/>
      <c r="N8" s="1223"/>
      <c r="O8" s="1223"/>
    </row>
    <row r="9" spans="2:17" s="327" customFormat="1" ht="20.100000000000001" customHeight="1" x14ac:dyDescent="0.2">
      <c r="B9" s="1222" t="s">
        <v>3603</v>
      </c>
      <c r="C9" s="457" t="s">
        <v>351</v>
      </c>
      <c r="D9" s="417">
        <v>9.9999999999999995E-7</v>
      </c>
      <c r="E9" s="417">
        <v>0</v>
      </c>
      <c r="F9" s="619">
        <v>0</v>
      </c>
      <c r="G9" s="417">
        <v>9.9999999999999995E-7</v>
      </c>
      <c r="H9" s="620"/>
      <c r="I9" s="525"/>
      <c r="J9" s="620">
        <v>1</v>
      </c>
      <c r="K9" s="635"/>
      <c r="L9" s="417">
        <v>0</v>
      </c>
      <c r="M9" s="620">
        <v>0</v>
      </c>
      <c r="N9" s="417">
        <v>0</v>
      </c>
      <c r="O9" s="621"/>
      <c r="Q9" s="381"/>
    </row>
    <row r="10" spans="2:17" s="327" customFormat="1" ht="20.100000000000001" customHeight="1" x14ac:dyDescent="0.2">
      <c r="B10" s="1222"/>
      <c r="C10" s="622" t="s">
        <v>1025</v>
      </c>
      <c r="D10" s="417">
        <v>0</v>
      </c>
      <c r="E10" s="417">
        <v>0</v>
      </c>
      <c r="F10" s="619">
        <v>0</v>
      </c>
      <c r="G10" s="417">
        <v>0</v>
      </c>
      <c r="H10" s="620"/>
      <c r="I10" s="525"/>
      <c r="J10" s="620"/>
      <c r="K10" s="635"/>
      <c r="L10" s="417">
        <v>0</v>
      </c>
      <c r="M10" s="620"/>
      <c r="N10" s="417">
        <v>0</v>
      </c>
      <c r="O10" s="621"/>
      <c r="Q10" s="381"/>
    </row>
    <row r="11" spans="2:17" s="327" customFormat="1" ht="20.100000000000001" customHeight="1" x14ac:dyDescent="0.2">
      <c r="B11" s="1222"/>
      <c r="C11" s="622" t="s">
        <v>1026</v>
      </c>
      <c r="D11" s="417">
        <v>9.9999999999999995E-7</v>
      </c>
      <c r="E11" s="417">
        <v>0</v>
      </c>
      <c r="F11" s="619">
        <v>0</v>
      </c>
      <c r="G11" s="417">
        <v>9.9999999999999995E-7</v>
      </c>
      <c r="H11" s="620"/>
      <c r="I11" s="525"/>
      <c r="J11" s="620">
        <v>1</v>
      </c>
      <c r="K11" s="635"/>
      <c r="L11" s="417">
        <v>0</v>
      </c>
      <c r="M11" s="620">
        <v>0</v>
      </c>
      <c r="N11" s="417">
        <v>0</v>
      </c>
      <c r="O11" s="621"/>
      <c r="Q11" s="381"/>
    </row>
    <row r="12" spans="2:17" s="327" customFormat="1" ht="20.100000000000001" customHeight="1" x14ac:dyDescent="0.2">
      <c r="B12" s="1222"/>
      <c r="C12" s="457" t="s">
        <v>359</v>
      </c>
      <c r="D12" s="417">
        <v>52.606121000000002</v>
      </c>
      <c r="E12" s="417">
        <v>0</v>
      </c>
      <c r="F12" s="619">
        <v>0</v>
      </c>
      <c r="G12" s="417">
        <v>52.606121000000002</v>
      </c>
      <c r="H12" s="620">
        <v>2.5000000000000001E-3</v>
      </c>
      <c r="I12" s="525"/>
      <c r="J12" s="620">
        <v>0.1308</v>
      </c>
      <c r="K12" s="635"/>
      <c r="L12" s="417">
        <v>5.3908290000000001</v>
      </c>
      <c r="M12" s="620">
        <v>0.10247531841399217</v>
      </c>
      <c r="N12" s="417">
        <v>1.6934000000000001E-2</v>
      </c>
      <c r="O12" s="621"/>
      <c r="Q12" s="381"/>
    </row>
    <row r="13" spans="2:17" s="327" customFormat="1" ht="20.100000000000001" customHeight="1" x14ac:dyDescent="0.2">
      <c r="B13" s="1222"/>
      <c r="C13" s="457" t="s">
        <v>367</v>
      </c>
      <c r="D13" s="417">
        <v>2130.573864</v>
      </c>
      <c r="E13" s="417">
        <v>384.30582299999998</v>
      </c>
      <c r="F13" s="619">
        <v>0.70650000000000002</v>
      </c>
      <c r="G13" s="417">
        <v>2402.0810350000002</v>
      </c>
      <c r="H13" s="620">
        <v>3.8999999999999998E-3</v>
      </c>
      <c r="I13" s="525"/>
      <c r="J13" s="620">
        <v>0.24529999999999999</v>
      </c>
      <c r="K13" s="635"/>
      <c r="L13" s="417">
        <v>709.55010000000004</v>
      </c>
      <c r="M13" s="620">
        <v>0.29538974316909339</v>
      </c>
      <c r="N13" s="417">
        <v>2.2949489999999999</v>
      </c>
      <c r="O13" s="621"/>
      <c r="Q13" s="381"/>
    </row>
    <row r="14" spans="2:17" s="327" customFormat="1" ht="20.100000000000001" customHeight="1" x14ac:dyDescent="0.2">
      <c r="B14" s="1222"/>
      <c r="C14" s="457" t="s">
        <v>375</v>
      </c>
      <c r="D14" s="417">
        <v>785.62510899999995</v>
      </c>
      <c r="E14" s="417">
        <v>178.20845700000001</v>
      </c>
      <c r="F14" s="619">
        <v>0.69819999999999993</v>
      </c>
      <c r="G14" s="417">
        <v>910.05044199999998</v>
      </c>
      <c r="H14" s="620">
        <v>6.4000000000000003E-3</v>
      </c>
      <c r="I14" s="525"/>
      <c r="J14" s="620">
        <v>0.34770000000000001</v>
      </c>
      <c r="K14" s="635"/>
      <c r="L14" s="417">
        <v>488.39461899999998</v>
      </c>
      <c r="M14" s="620">
        <v>0.53666763561662001</v>
      </c>
      <c r="N14" s="417">
        <v>2.0452590000000002</v>
      </c>
      <c r="O14" s="621"/>
      <c r="Q14" s="381"/>
    </row>
    <row r="15" spans="2:17" s="327" customFormat="1" ht="20.100000000000001" customHeight="1" x14ac:dyDescent="0.2">
      <c r="B15" s="1222"/>
      <c r="C15" s="457" t="s">
        <v>383</v>
      </c>
      <c r="D15" s="417">
        <v>2982.3092769999998</v>
      </c>
      <c r="E15" s="417">
        <v>991.96815500000002</v>
      </c>
      <c r="F15" s="619">
        <v>0.71849999999999992</v>
      </c>
      <c r="G15" s="417">
        <v>3694.9964650000002</v>
      </c>
      <c r="H15" s="620">
        <v>1.46E-2</v>
      </c>
      <c r="I15" s="525"/>
      <c r="J15" s="620">
        <v>0.27689999999999998</v>
      </c>
      <c r="K15" s="635"/>
      <c r="L15" s="417">
        <v>1770.5352439999999</v>
      </c>
      <c r="M15" s="620">
        <v>0.47917102513384946</v>
      </c>
      <c r="N15" s="417">
        <v>14.41062</v>
      </c>
      <c r="O15" s="621"/>
      <c r="Q15" s="381"/>
    </row>
    <row r="16" spans="2:17" s="327" customFormat="1" ht="20.100000000000001" customHeight="1" x14ac:dyDescent="0.2">
      <c r="B16" s="1222"/>
      <c r="C16" s="622" t="s">
        <v>1027</v>
      </c>
      <c r="D16" s="417">
        <v>2077.8482909999998</v>
      </c>
      <c r="E16" s="417">
        <v>410.259884</v>
      </c>
      <c r="F16" s="619">
        <v>0.68590000000000007</v>
      </c>
      <c r="G16" s="417">
        <v>2359.2509359999999</v>
      </c>
      <c r="H16" s="620">
        <v>1.15E-2</v>
      </c>
      <c r="I16" s="525"/>
      <c r="J16" s="620">
        <v>0.28389999999999999</v>
      </c>
      <c r="K16" s="635"/>
      <c r="L16" s="417">
        <v>1095.2194360000001</v>
      </c>
      <c r="M16" s="620">
        <v>0.46422337670315544</v>
      </c>
      <c r="N16" s="417">
        <v>7.3408899999999999</v>
      </c>
      <c r="O16" s="621"/>
      <c r="Q16" s="381"/>
    </row>
    <row r="17" spans="2:17" s="327" customFormat="1" ht="20.100000000000001" customHeight="1" x14ac:dyDescent="0.2">
      <c r="B17" s="1222"/>
      <c r="C17" s="622" t="s">
        <v>1028</v>
      </c>
      <c r="D17" s="417">
        <v>904.46098600000005</v>
      </c>
      <c r="E17" s="417">
        <v>581.70827099999997</v>
      </c>
      <c r="F17" s="619">
        <v>0.74140000000000006</v>
      </c>
      <c r="G17" s="417">
        <v>1335.745529</v>
      </c>
      <c r="H17" s="620">
        <v>0.02</v>
      </c>
      <c r="I17" s="525"/>
      <c r="J17" s="620">
        <v>0.26469999999999999</v>
      </c>
      <c r="K17" s="635"/>
      <c r="L17" s="417">
        <v>675.31580799999995</v>
      </c>
      <c r="M17" s="620">
        <v>0.50557220169441419</v>
      </c>
      <c r="N17" s="417">
        <v>7.0697299999999998</v>
      </c>
      <c r="O17" s="621"/>
      <c r="Q17" s="381"/>
    </row>
    <row r="18" spans="2:17" s="327" customFormat="1" ht="20.100000000000001" customHeight="1" x14ac:dyDescent="0.2">
      <c r="B18" s="1222"/>
      <c r="C18" s="457" t="s">
        <v>391</v>
      </c>
      <c r="D18" s="417">
        <v>1465.501266</v>
      </c>
      <c r="E18" s="417">
        <v>469.490252</v>
      </c>
      <c r="F18" s="619">
        <v>0.58450000000000002</v>
      </c>
      <c r="G18" s="417">
        <v>1739.901378</v>
      </c>
      <c r="H18" s="620">
        <v>0.04</v>
      </c>
      <c r="I18" s="525"/>
      <c r="J18" s="620">
        <v>0.35199999999999998</v>
      </c>
      <c r="K18" s="635"/>
      <c r="L18" s="417">
        <v>1423.0129629999999</v>
      </c>
      <c r="M18" s="620">
        <v>0.8178698982558078</v>
      </c>
      <c r="N18" s="417">
        <v>23.708288</v>
      </c>
      <c r="O18" s="621"/>
      <c r="Q18" s="381"/>
    </row>
    <row r="19" spans="2:17" s="327" customFormat="1" ht="20.100000000000001" customHeight="1" x14ac:dyDescent="0.2">
      <c r="B19" s="1222"/>
      <c r="C19" s="622" t="s">
        <v>1029</v>
      </c>
      <c r="D19" s="417">
        <v>1198.369751</v>
      </c>
      <c r="E19" s="417">
        <v>173.66966600000001</v>
      </c>
      <c r="F19" s="619">
        <v>0.67559999999999998</v>
      </c>
      <c r="G19" s="417">
        <v>1315.7077489999999</v>
      </c>
      <c r="H19" s="620">
        <v>3.4099999999999998E-2</v>
      </c>
      <c r="I19" s="525"/>
      <c r="J19" s="620">
        <v>0.37419999999999998</v>
      </c>
      <c r="K19" s="635"/>
      <c r="L19" s="417">
        <v>1105.5039839999999</v>
      </c>
      <c r="M19" s="620">
        <v>0.84023521548781277</v>
      </c>
      <c r="N19" s="417">
        <v>16.588248</v>
      </c>
      <c r="O19" s="621"/>
      <c r="Q19" s="381"/>
    </row>
    <row r="20" spans="2:17" s="327" customFormat="1" ht="20.100000000000001" customHeight="1" x14ac:dyDescent="0.2">
      <c r="B20" s="1222"/>
      <c r="C20" s="623" t="s">
        <v>1030</v>
      </c>
      <c r="D20" s="417">
        <v>267.13151499999998</v>
      </c>
      <c r="E20" s="417">
        <v>295.82058599999999</v>
      </c>
      <c r="F20" s="619">
        <v>0.53090000000000004</v>
      </c>
      <c r="G20" s="417">
        <v>424.19362899999999</v>
      </c>
      <c r="H20" s="620">
        <v>5.8299999999999998E-2</v>
      </c>
      <c r="I20" s="525"/>
      <c r="J20" s="620">
        <v>0.28299999999999997</v>
      </c>
      <c r="K20" s="635"/>
      <c r="L20" s="417">
        <v>317.50897900000001</v>
      </c>
      <c r="M20" s="620">
        <v>0.7485001124333247</v>
      </c>
      <c r="N20" s="417">
        <v>7.1200400000000004</v>
      </c>
      <c r="O20" s="621"/>
      <c r="Q20" s="381"/>
    </row>
    <row r="21" spans="2:17" s="327" customFormat="1" ht="20.100000000000001" customHeight="1" x14ac:dyDescent="0.2">
      <c r="B21" s="1222"/>
      <c r="C21" s="457" t="s">
        <v>399</v>
      </c>
      <c r="D21" s="417">
        <v>209.046019</v>
      </c>
      <c r="E21" s="417">
        <v>19.452256999999999</v>
      </c>
      <c r="F21" s="619">
        <v>0.78390000000000004</v>
      </c>
      <c r="G21" s="417">
        <v>224.29471599999999</v>
      </c>
      <c r="H21" s="620">
        <v>0.1578</v>
      </c>
      <c r="I21" s="525"/>
      <c r="J21" s="620">
        <v>0.48349999999999999</v>
      </c>
      <c r="K21" s="635"/>
      <c r="L21" s="417">
        <v>393.60760199999999</v>
      </c>
      <c r="M21" s="620">
        <v>1.7548679211863376</v>
      </c>
      <c r="N21" s="417">
        <v>17.337026999999999</v>
      </c>
      <c r="O21" s="621"/>
      <c r="Q21" s="381"/>
    </row>
    <row r="22" spans="2:17" s="327" customFormat="1" ht="20.100000000000001" customHeight="1" x14ac:dyDescent="0.2">
      <c r="B22" s="1222"/>
      <c r="C22" s="622" t="s">
        <v>1031</v>
      </c>
      <c r="D22" s="417">
        <v>196.521874</v>
      </c>
      <c r="E22" s="417">
        <v>12.963075999999999</v>
      </c>
      <c r="F22" s="619">
        <v>0.7904000000000001</v>
      </c>
      <c r="G22" s="417">
        <v>206.76808700000001</v>
      </c>
      <c r="H22" s="620">
        <v>0.15010000000000001</v>
      </c>
      <c r="I22" s="525"/>
      <c r="J22" s="620">
        <v>0.48399999999999999</v>
      </c>
      <c r="K22" s="635"/>
      <c r="L22" s="417">
        <v>364.95246200000003</v>
      </c>
      <c r="M22" s="620">
        <v>1.7650328312028152</v>
      </c>
      <c r="N22" s="417">
        <v>15.349489</v>
      </c>
      <c r="O22" s="621"/>
      <c r="Q22" s="381"/>
    </row>
    <row r="23" spans="2:17" s="327" customFormat="1" ht="20.100000000000001" customHeight="1" x14ac:dyDescent="0.2">
      <c r="B23" s="1222"/>
      <c r="C23" s="622" t="s">
        <v>1032</v>
      </c>
      <c r="D23" s="417">
        <v>11.001393999999999</v>
      </c>
      <c r="E23" s="417">
        <v>5.9361899999999999</v>
      </c>
      <c r="F23" s="619">
        <v>0.79530000000000001</v>
      </c>
      <c r="G23" s="417">
        <v>15.722186000000001</v>
      </c>
      <c r="H23" s="620">
        <v>0.24310000000000001</v>
      </c>
      <c r="I23" s="525"/>
      <c r="J23" s="620">
        <v>0.49440000000000001</v>
      </c>
      <c r="K23" s="635"/>
      <c r="L23" s="417">
        <v>26.611089</v>
      </c>
      <c r="M23" s="620">
        <v>1.6925819984574664</v>
      </c>
      <c r="N23" s="417">
        <v>1.8126690000000001</v>
      </c>
      <c r="O23" s="621"/>
      <c r="Q23" s="381"/>
    </row>
    <row r="24" spans="2:17" s="327" customFormat="1" ht="20.100000000000001" customHeight="1" x14ac:dyDescent="0.2">
      <c r="B24" s="1222"/>
      <c r="C24" s="622" t="s">
        <v>1033</v>
      </c>
      <c r="D24" s="417">
        <v>1.522751</v>
      </c>
      <c r="E24" s="417">
        <v>0.55299100000000001</v>
      </c>
      <c r="F24" s="619">
        <v>0.50939999999999996</v>
      </c>
      <c r="G24" s="417">
        <v>1.804443</v>
      </c>
      <c r="H24" s="620">
        <v>0.3</v>
      </c>
      <c r="I24" s="525"/>
      <c r="J24" s="620">
        <v>0.32300000000000001</v>
      </c>
      <c r="K24" s="635"/>
      <c r="L24" s="417">
        <v>2.0440510000000001</v>
      </c>
      <c r="M24" s="620">
        <v>1.1327877910247095</v>
      </c>
      <c r="N24" s="417">
        <v>0.174869</v>
      </c>
      <c r="O24" s="621"/>
      <c r="Q24" s="381"/>
    </row>
    <row r="25" spans="2:17" s="327" customFormat="1" ht="20.100000000000001" customHeight="1" x14ac:dyDescent="0.2">
      <c r="B25" s="1222"/>
      <c r="C25" s="457" t="s">
        <v>407</v>
      </c>
      <c r="D25" s="417">
        <v>78.121347</v>
      </c>
      <c r="E25" s="417">
        <v>23.263237</v>
      </c>
      <c r="F25" s="619">
        <v>0.81790000000000007</v>
      </c>
      <c r="G25" s="417">
        <v>97.148696999999999</v>
      </c>
      <c r="H25" s="620">
        <v>1</v>
      </c>
      <c r="I25" s="525"/>
      <c r="J25" s="620">
        <v>0.37340000000000001</v>
      </c>
      <c r="K25" s="635"/>
      <c r="L25" s="417">
        <v>97.374455999999995</v>
      </c>
      <c r="M25" s="620">
        <v>1.0023238500049054</v>
      </c>
      <c r="N25" s="417">
        <v>36.275226000000004</v>
      </c>
      <c r="O25" s="877">
        <v>-27.172787</v>
      </c>
      <c r="Q25" s="381"/>
    </row>
    <row r="26" spans="2:17" s="387" customFormat="1" ht="20.100000000000001" customHeight="1" x14ac:dyDescent="0.25">
      <c r="B26" s="1224" t="s">
        <v>3617</v>
      </c>
      <c r="C26" s="1224"/>
      <c r="D26" s="624">
        <v>7703.7830040000008</v>
      </c>
      <c r="E26" s="624">
        <v>2066.688181</v>
      </c>
      <c r="F26" s="625">
        <v>0.68578117590734933</v>
      </c>
      <c r="G26" s="624">
        <v>9121.0788550000016</v>
      </c>
      <c r="H26" s="626">
        <v>2.9756278306136839E-2</v>
      </c>
      <c r="I26" s="636"/>
      <c r="J26" s="627">
        <v>0.29520000000000002</v>
      </c>
      <c r="K26" s="636"/>
      <c r="L26" s="624">
        <v>4887.8658129999994</v>
      </c>
      <c r="M26" s="625">
        <v>0.53588680579387438</v>
      </c>
      <c r="N26" s="624">
        <v>96.088302999999996</v>
      </c>
      <c r="O26" s="878">
        <v>-27.172787</v>
      </c>
    </row>
    <row r="27" spans="2:17" s="387" customFormat="1" ht="20.100000000000001" customHeight="1" x14ac:dyDescent="0.25">
      <c r="B27" s="1223"/>
      <c r="C27" s="1223"/>
      <c r="D27" s="1223"/>
      <c r="E27" s="1223"/>
      <c r="F27" s="1223"/>
      <c r="G27" s="1223"/>
      <c r="H27" s="1223"/>
      <c r="I27" s="1223"/>
      <c r="J27" s="1223"/>
      <c r="K27" s="1223"/>
      <c r="L27" s="1223"/>
      <c r="M27" s="1223"/>
      <c r="N27" s="1223"/>
      <c r="O27" s="1223"/>
    </row>
    <row r="28" spans="2:17" s="385" customFormat="1" ht="20.100000000000001" customHeight="1" x14ac:dyDescent="0.2">
      <c r="B28" s="1222" t="s">
        <v>3604</v>
      </c>
      <c r="C28" s="628" t="s">
        <v>351</v>
      </c>
      <c r="D28" s="629">
        <v>546.92884200000003</v>
      </c>
      <c r="E28" s="629">
        <v>149.90204900000001</v>
      </c>
      <c r="F28" s="630">
        <v>0.65849999999999997</v>
      </c>
      <c r="G28" s="629">
        <v>645.63836400000002</v>
      </c>
      <c r="H28" s="631">
        <v>1.1000000000000001E-3</v>
      </c>
      <c r="I28" s="635"/>
      <c r="J28" s="631">
        <v>0.48530000000000001</v>
      </c>
      <c r="K28" s="635"/>
      <c r="L28" s="629">
        <v>246.22864100000001</v>
      </c>
      <c r="M28" s="631"/>
      <c r="N28" s="629">
        <v>0.33012599999999998</v>
      </c>
      <c r="O28" s="632"/>
      <c r="Q28" s="384"/>
    </row>
    <row r="29" spans="2:17" s="385" customFormat="1" ht="20.100000000000001" customHeight="1" x14ac:dyDescent="0.2">
      <c r="B29" s="1222"/>
      <c r="C29" s="633" t="s">
        <v>1025</v>
      </c>
      <c r="D29" s="629">
        <v>128.644329</v>
      </c>
      <c r="E29" s="629">
        <v>13.186999999999999</v>
      </c>
      <c r="F29" s="630">
        <v>0.69909999999999994</v>
      </c>
      <c r="G29" s="629">
        <v>137.862829</v>
      </c>
      <c r="H29" s="631">
        <v>8.9999999999999998E-4</v>
      </c>
      <c r="I29" s="635"/>
      <c r="J29" s="631">
        <v>0.51539999999999997</v>
      </c>
      <c r="K29" s="635"/>
      <c r="L29" s="629">
        <v>46.747973999999999</v>
      </c>
      <c r="M29" s="631">
        <v>0.33909048827077237</v>
      </c>
      <c r="N29" s="629">
        <v>6.5626000000000004E-2</v>
      </c>
      <c r="O29" s="632"/>
      <c r="Q29" s="384"/>
    </row>
    <row r="30" spans="2:17" s="385" customFormat="1" ht="20.100000000000001" customHeight="1" x14ac:dyDescent="0.2">
      <c r="B30" s="1222"/>
      <c r="C30" s="633" t="s">
        <v>1026</v>
      </c>
      <c r="D30" s="629">
        <v>418.284513</v>
      </c>
      <c r="E30" s="629">
        <v>136.71504899999999</v>
      </c>
      <c r="F30" s="630">
        <v>0.65459999999999996</v>
      </c>
      <c r="G30" s="629">
        <v>507.77553499999999</v>
      </c>
      <c r="H30" s="631">
        <v>1.1000000000000001E-3</v>
      </c>
      <c r="I30" s="635"/>
      <c r="J30" s="631">
        <v>0.47710000000000002</v>
      </c>
      <c r="K30" s="635"/>
      <c r="L30" s="629">
        <v>199.48066700000001</v>
      </c>
      <c r="M30" s="631"/>
      <c r="N30" s="629">
        <v>0.26450000000000001</v>
      </c>
      <c r="O30" s="632"/>
      <c r="Q30" s="384"/>
    </row>
    <row r="31" spans="2:17" s="385" customFormat="1" ht="20.100000000000001" customHeight="1" x14ac:dyDescent="0.2">
      <c r="B31" s="1222"/>
      <c r="C31" s="628" t="s">
        <v>359</v>
      </c>
      <c r="D31" s="629">
        <v>1410.4441400000001</v>
      </c>
      <c r="E31" s="629">
        <v>38.955193999999999</v>
      </c>
      <c r="F31" s="630">
        <v>0.90459999999999996</v>
      </c>
      <c r="G31" s="629">
        <v>1445.6848339999999</v>
      </c>
      <c r="H31" s="631">
        <v>2E-3</v>
      </c>
      <c r="I31" s="635"/>
      <c r="J31" s="631">
        <v>0.2326</v>
      </c>
      <c r="K31" s="635"/>
      <c r="L31" s="629">
        <v>310.28189099999997</v>
      </c>
      <c r="M31" s="631">
        <v>0.21462623367327929</v>
      </c>
      <c r="N31" s="629">
        <v>0.69797799999999999</v>
      </c>
      <c r="O31" s="632"/>
      <c r="Q31" s="384"/>
    </row>
    <row r="32" spans="2:17" s="385" customFormat="1" ht="20.100000000000001" customHeight="1" x14ac:dyDescent="0.2">
      <c r="B32" s="1222"/>
      <c r="C32" s="628" t="s">
        <v>367</v>
      </c>
      <c r="D32" s="629">
        <v>5731.2414950000002</v>
      </c>
      <c r="E32" s="629">
        <v>346.35679399999998</v>
      </c>
      <c r="F32" s="630">
        <v>0.70909999999999995</v>
      </c>
      <c r="G32" s="629">
        <v>5976.8560829999997</v>
      </c>
      <c r="H32" s="631">
        <v>3.8999999999999998E-3</v>
      </c>
      <c r="I32" s="635"/>
      <c r="J32" s="631">
        <v>0.2298</v>
      </c>
      <c r="K32" s="635"/>
      <c r="L32" s="629">
        <v>1751.3616219999999</v>
      </c>
      <c r="M32" s="631">
        <v>0.29302389043320054</v>
      </c>
      <c r="N32" s="629">
        <v>5.3953360000000004</v>
      </c>
      <c r="O32" s="632"/>
      <c r="Q32" s="384"/>
    </row>
    <row r="33" spans="2:17" s="385" customFormat="1" ht="20.100000000000001" customHeight="1" x14ac:dyDescent="0.2">
      <c r="B33" s="1222"/>
      <c r="C33" s="628" t="s">
        <v>375</v>
      </c>
      <c r="D33" s="629">
        <v>2750.4527309999999</v>
      </c>
      <c r="E33" s="629">
        <v>279.853047</v>
      </c>
      <c r="F33" s="630">
        <v>0.76300000000000001</v>
      </c>
      <c r="G33" s="629">
        <v>2963.990448</v>
      </c>
      <c r="H33" s="631">
        <v>6.1999999999999998E-3</v>
      </c>
      <c r="I33" s="635"/>
      <c r="J33" s="631">
        <v>0.24460000000000001</v>
      </c>
      <c r="K33" s="635"/>
      <c r="L33" s="629">
        <v>1100.709944</v>
      </c>
      <c r="M33" s="631">
        <v>0.37136082700358281</v>
      </c>
      <c r="N33" s="629">
        <v>4.5065580000000001</v>
      </c>
      <c r="O33" s="632"/>
      <c r="Q33" s="384"/>
    </row>
    <row r="34" spans="2:17" s="385" customFormat="1" ht="20.100000000000001" customHeight="1" x14ac:dyDescent="0.2">
      <c r="B34" s="1222"/>
      <c r="C34" s="628" t="s">
        <v>383</v>
      </c>
      <c r="D34" s="629">
        <v>11033.207039999999</v>
      </c>
      <c r="E34" s="629">
        <v>915.45681100000002</v>
      </c>
      <c r="F34" s="630">
        <v>0.62759999999999994</v>
      </c>
      <c r="G34" s="629">
        <v>11607.730133999999</v>
      </c>
      <c r="H34" s="631">
        <v>1.37E-2</v>
      </c>
      <c r="I34" s="635"/>
      <c r="J34" s="631">
        <v>0.2712</v>
      </c>
      <c r="K34" s="635"/>
      <c r="L34" s="629">
        <v>5983.802882</v>
      </c>
      <c r="M34" s="631">
        <v>0.51550155051183932</v>
      </c>
      <c r="N34" s="629">
        <v>45.446945999999997</v>
      </c>
      <c r="O34" s="632"/>
      <c r="Q34" s="384"/>
    </row>
    <row r="35" spans="2:17" s="385" customFormat="1" ht="20.100000000000001" customHeight="1" x14ac:dyDescent="0.2">
      <c r="B35" s="1222"/>
      <c r="C35" s="633" t="s">
        <v>1027</v>
      </c>
      <c r="D35" s="629">
        <v>8210.1663559999997</v>
      </c>
      <c r="E35" s="629">
        <v>763.46267</v>
      </c>
      <c r="F35" s="630">
        <v>0.60560000000000003</v>
      </c>
      <c r="G35" s="629">
        <v>8672.5081439999994</v>
      </c>
      <c r="H35" s="631">
        <v>1.1299999999999999E-2</v>
      </c>
      <c r="I35" s="635"/>
      <c r="J35" s="631">
        <v>0.25030000000000002</v>
      </c>
      <c r="K35" s="635"/>
      <c r="L35" s="629">
        <v>3955.0887539999999</v>
      </c>
      <c r="M35" s="631">
        <v>0.45604901008208265</v>
      </c>
      <c r="N35" s="629">
        <v>24.952437</v>
      </c>
      <c r="O35" s="632"/>
      <c r="Q35" s="384"/>
    </row>
    <row r="36" spans="2:17" s="385" customFormat="1" ht="20.100000000000001" customHeight="1" x14ac:dyDescent="0.2">
      <c r="B36" s="1222"/>
      <c r="C36" s="633" t="s">
        <v>1028</v>
      </c>
      <c r="D36" s="629">
        <v>2823.0406840000001</v>
      </c>
      <c r="E36" s="629">
        <v>151.99414100000001</v>
      </c>
      <c r="F36" s="630">
        <v>0.73809999999999998</v>
      </c>
      <c r="G36" s="629">
        <v>2935.22199</v>
      </c>
      <c r="H36" s="631">
        <v>2.07E-2</v>
      </c>
      <c r="I36" s="635"/>
      <c r="J36" s="631">
        <v>0.33289999999999997</v>
      </c>
      <c r="K36" s="635"/>
      <c r="L36" s="629">
        <v>2028.7141280000001</v>
      </c>
      <c r="M36" s="631">
        <v>0.69116207731872437</v>
      </c>
      <c r="N36" s="629">
        <v>20.494509000000001</v>
      </c>
      <c r="O36" s="632"/>
      <c r="Q36" s="384"/>
    </row>
    <row r="37" spans="2:17" s="385" customFormat="1" ht="20.100000000000001" customHeight="1" x14ac:dyDescent="0.2">
      <c r="B37" s="1222"/>
      <c r="C37" s="628" t="s">
        <v>391</v>
      </c>
      <c r="D37" s="629">
        <v>4923.9300780000003</v>
      </c>
      <c r="E37" s="629">
        <v>877.604287</v>
      </c>
      <c r="F37" s="630">
        <v>0.89790000000000003</v>
      </c>
      <c r="G37" s="629">
        <v>5711.9285620000001</v>
      </c>
      <c r="H37" s="631">
        <v>5.3100000000000001E-2</v>
      </c>
      <c r="I37" s="635"/>
      <c r="J37" s="631">
        <v>0.33650000000000002</v>
      </c>
      <c r="K37" s="635"/>
      <c r="L37" s="629">
        <v>4987.3252739999998</v>
      </c>
      <c r="M37" s="631">
        <v>0.87314209550508026</v>
      </c>
      <c r="N37" s="629">
        <v>103.18165</v>
      </c>
      <c r="O37" s="632"/>
      <c r="Q37" s="384"/>
    </row>
    <row r="38" spans="2:17" s="385" customFormat="1" ht="20.100000000000001" customHeight="1" x14ac:dyDescent="0.2">
      <c r="B38" s="1222"/>
      <c r="C38" s="633" t="s">
        <v>1029</v>
      </c>
      <c r="D38" s="629">
        <v>2328.2943409999998</v>
      </c>
      <c r="E38" s="629">
        <v>96.987892000000002</v>
      </c>
      <c r="F38" s="630">
        <v>0.88879999999999992</v>
      </c>
      <c r="G38" s="629">
        <v>2414.496666</v>
      </c>
      <c r="H38" s="631">
        <v>3.5499999999999997E-2</v>
      </c>
      <c r="I38" s="635"/>
      <c r="J38" s="631">
        <v>0.30530000000000002</v>
      </c>
      <c r="K38" s="635"/>
      <c r="L38" s="629">
        <v>1715.829428</v>
      </c>
      <c r="M38" s="631">
        <v>0.71063648675172786</v>
      </c>
      <c r="N38" s="629">
        <v>25.756744999999999</v>
      </c>
      <c r="O38" s="632"/>
      <c r="Q38" s="384"/>
    </row>
    <row r="39" spans="2:17" s="385" customFormat="1" ht="20.100000000000001" customHeight="1" x14ac:dyDescent="0.2">
      <c r="B39" s="1222"/>
      <c r="C39" s="634" t="s">
        <v>1030</v>
      </c>
      <c r="D39" s="629">
        <v>2595.6357370000001</v>
      </c>
      <c r="E39" s="629">
        <v>780.61639500000001</v>
      </c>
      <c r="F39" s="630">
        <v>0.89900000000000002</v>
      </c>
      <c r="G39" s="629">
        <v>3297.4318960000001</v>
      </c>
      <c r="H39" s="631">
        <v>6.59E-2</v>
      </c>
      <c r="I39" s="635"/>
      <c r="J39" s="631">
        <v>0.3594</v>
      </c>
      <c r="K39" s="635"/>
      <c r="L39" s="629">
        <v>3271.4958459999998</v>
      </c>
      <c r="M39" s="631">
        <v>0.99213446984865328</v>
      </c>
      <c r="N39" s="629">
        <v>77.424904999999995</v>
      </c>
      <c r="O39" s="632"/>
      <c r="Q39" s="384"/>
    </row>
    <row r="40" spans="2:17" s="385" customFormat="1" ht="20.100000000000001" customHeight="1" x14ac:dyDescent="0.2">
      <c r="B40" s="1222"/>
      <c r="C40" s="628" t="s">
        <v>399</v>
      </c>
      <c r="D40" s="629">
        <v>197.330207</v>
      </c>
      <c r="E40" s="629">
        <v>0.80152599999999996</v>
      </c>
      <c r="F40" s="630">
        <v>0.5706</v>
      </c>
      <c r="G40" s="629">
        <v>197.78757999999999</v>
      </c>
      <c r="H40" s="631">
        <v>0.19350000000000001</v>
      </c>
      <c r="I40" s="635"/>
      <c r="J40" s="631">
        <v>0.33169999999999999</v>
      </c>
      <c r="K40" s="635"/>
      <c r="L40" s="629">
        <v>234.539434</v>
      </c>
      <c r="M40" s="631">
        <v>1.1858147715847478</v>
      </c>
      <c r="N40" s="629">
        <v>11.948186</v>
      </c>
      <c r="O40" s="632"/>
      <c r="Q40" s="384"/>
    </row>
    <row r="41" spans="2:17" s="385" customFormat="1" ht="20.100000000000001" customHeight="1" x14ac:dyDescent="0.2">
      <c r="B41" s="1222"/>
      <c r="C41" s="633" t="s">
        <v>1031</v>
      </c>
      <c r="D41" s="629">
        <v>157.84845999999999</v>
      </c>
      <c r="E41" s="629">
        <v>0.80152599999999996</v>
      </c>
      <c r="F41" s="630">
        <v>0.5706</v>
      </c>
      <c r="G41" s="629">
        <v>158.30583300000001</v>
      </c>
      <c r="H41" s="631">
        <v>0.16039999999999999</v>
      </c>
      <c r="I41" s="635"/>
      <c r="J41" s="631">
        <v>0.36430000000000001</v>
      </c>
      <c r="K41" s="635"/>
      <c r="L41" s="629">
        <v>200.244699</v>
      </c>
      <c r="M41" s="631">
        <v>1.2649230619316472</v>
      </c>
      <c r="N41" s="629">
        <v>9.4911750000000001</v>
      </c>
      <c r="O41" s="632"/>
      <c r="Q41" s="384"/>
    </row>
    <row r="42" spans="2:17" s="385" customFormat="1" ht="20.100000000000001" customHeight="1" x14ac:dyDescent="0.2">
      <c r="B42" s="1222"/>
      <c r="C42" s="633" t="s">
        <v>1032</v>
      </c>
      <c r="D42" s="629">
        <v>9.278143</v>
      </c>
      <c r="E42" s="629">
        <v>0</v>
      </c>
      <c r="F42" s="630">
        <v>0</v>
      </c>
      <c r="G42" s="629">
        <v>9.278143</v>
      </c>
      <c r="H42" s="631">
        <v>0.22239999999999999</v>
      </c>
      <c r="I42" s="635"/>
      <c r="J42" s="631">
        <v>0.22040000000000001</v>
      </c>
      <c r="K42" s="635"/>
      <c r="L42" s="629">
        <v>7.6218190000000003</v>
      </c>
      <c r="M42" s="631">
        <v>0.82148108732534086</v>
      </c>
      <c r="N42" s="629">
        <v>0.45022800000000002</v>
      </c>
      <c r="O42" s="632"/>
      <c r="Q42" s="384"/>
    </row>
    <row r="43" spans="2:17" s="385" customFormat="1" ht="20.100000000000001" customHeight="1" x14ac:dyDescent="0.2">
      <c r="B43" s="1222"/>
      <c r="C43" s="633" t="s">
        <v>1033</v>
      </c>
      <c r="D43" s="629">
        <v>30.203603999999999</v>
      </c>
      <c r="E43" s="629">
        <v>0</v>
      </c>
      <c r="F43" s="630">
        <v>0</v>
      </c>
      <c r="G43" s="629">
        <v>30.203603999999999</v>
      </c>
      <c r="H43" s="631">
        <v>0.3579</v>
      </c>
      <c r="I43" s="635"/>
      <c r="J43" s="631">
        <v>0.19520000000000001</v>
      </c>
      <c r="K43" s="635"/>
      <c r="L43" s="629">
        <v>26.672916000000001</v>
      </c>
      <c r="M43" s="631">
        <v>0.88310375145959408</v>
      </c>
      <c r="N43" s="629">
        <v>2.006783</v>
      </c>
      <c r="O43" s="632"/>
      <c r="Q43" s="384"/>
    </row>
    <row r="44" spans="2:17" s="385" customFormat="1" ht="20.100000000000001" customHeight="1" x14ac:dyDescent="0.2">
      <c r="B44" s="1222"/>
      <c r="C44" s="628" t="s">
        <v>407</v>
      </c>
      <c r="D44" s="629">
        <v>244.24650500000001</v>
      </c>
      <c r="E44" s="629">
        <v>6.8205090000000004</v>
      </c>
      <c r="F44" s="630">
        <v>0.69019999999999992</v>
      </c>
      <c r="G44" s="629">
        <v>248.953777</v>
      </c>
      <c r="H44" s="631">
        <v>1</v>
      </c>
      <c r="I44" s="635"/>
      <c r="J44" s="631">
        <v>0.34620000000000001</v>
      </c>
      <c r="K44" s="635"/>
      <c r="L44" s="629">
        <v>197.35055500000001</v>
      </c>
      <c r="M44" s="631">
        <v>0.79271966618927825</v>
      </c>
      <c r="N44" s="629">
        <v>86.190471000000002</v>
      </c>
      <c r="O44" s="877">
        <v>-73.466267000000002</v>
      </c>
      <c r="Q44" s="384"/>
    </row>
    <row r="45" spans="2:17" s="387" customFormat="1" ht="20.100000000000001" customHeight="1" x14ac:dyDescent="0.25">
      <c r="B45" s="1224" t="s">
        <v>3616</v>
      </c>
      <c r="C45" s="1224"/>
      <c r="D45" s="624">
        <v>26837.781038000001</v>
      </c>
      <c r="E45" s="624">
        <v>2615.7502170000002</v>
      </c>
      <c r="F45" s="625">
        <v>0.74960855637386625</v>
      </c>
      <c r="G45" s="624">
        <v>28798.569781999999</v>
      </c>
      <c r="H45" s="626">
        <v>2.7600087108301526E-2</v>
      </c>
      <c r="I45" s="636"/>
      <c r="J45" s="627">
        <v>0.2767</v>
      </c>
      <c r="K45" s="636"/>
      <c r="L45" s="624">
        <v>14811.600242999999</v>
      </c>
      <c r="M45" s="625">
        <v>0.51431721627570925</v>
      </c>
      <c r="N45" s="624">
        <v>257.69725099999999</v>
      </c>
      <c r="O45" s="878">
        <v>-73.466267000000002</v>
      </c>
    </row>
    <row r="46" spans="2:17" s="387" customFormat="1" ht="20.100000000000001" customHeight="1" x14ac:dyDescent="0.25">
      <c r="B46" s="1223"/>
      <c r="C46" s="1223"/>
      <c r="D46" s="1223"/>
      <c r="E46" s="1223"/>
      <c r="F46" s="1223"/>
      <c r="G46" s="1223"/>
      <c r="H46" s="1223"/>
      <c r="I46" s="1223"/>
      <c r="J46" s="1223"/>
      <c r="K46" s="1223"/>
      <c r="L46" s="1223"/>
      <c r="M46" s="1223"/>
      <c r="N46" s="1223"/>
      <c r="O46" s="1223"/>
    </row>
    <row r="47" spans="2:17" s="385" customFormat="1" ht="20.100000000000001" customHeight="1" x14ac:dyDescent="0.2">
      <c r="B47" s="1222" t="s">
        <v>3596</v>
      </c>
      <c r="C47" s="628" t="s">
        <v>351</v>
      </c>
      <c r="D47" s="629"/>
      <c r="E47" s="629"/>
      <c r="F47" s="630"/>
      <c r="G47" s="629"/>
      <c r="H47" s="631"/>
      <c r="I47" s="635"/>
      <c r="J47" s="631"/>
      <c r="K47" s="635"/>
      <c r="L47" s="629"/>
      <c r="M47" s="631"/>
      <c r="N47" s="629"/>
      <c r="O47" s="632"/>
      <c r="Q47" s="384"/>
    </row>
    <row r="48" spans="2:17" s="385" customFormat="1" ht="20.100000000000001" customHeight="1" x14ac:dyDescent="0.2">
      <c r="B48" s="1222"/>
      <c r="C48" s="633" t="s">
        <v>1025</v>
      </c>
      <c r="D48" s="629"/>
      <c r="E48" s="629"/>
      <c r="F48" s="630"/>
      <c r="G48" s="629"/>
      <c r="H48" s="631"/>
      <c r="I48" s="635"/>
      <c r="J48" s="631"/>
      <c r="K48" s="635"/>
      <c r="L48" s="629"/>
      <c r="M48" s="631"/>
      <c r="N48" s="629"/>
      <c r="O48" s="632"/>
      <c r="Q48" s="384"/>
    </row>
    <row r="49" spans="2:17" s="385" customFormat="1" ht="20.100000000000001" customHeight="1" x14ac:dyDescent="0.2">
      <c r="B49" s="1222"/>
      <c r="C49" s="633" t="s">
        <v>1026</v>
      </c>
      <c r="D49" s="629"/>
      <c r="E49" s="629"/>
      <c r="F49" s="630"/>
      <c r="G49" s="629"/>
      <c r="H49" s="631"/>
      <c r="I49" s="635"/>
      <c r="J49" s="631"/>
      <c r="K49" s="635"/>
      <c r="L49" s="629"/>
      <c r="M49" s="631"/>
      <c r="N49" s="629"/>
      <c r="O49" s="632"/>
      <c r="Q49" s="384"/>
    </row>
    <row r="50" spans="2:17" s="385" customFormat="1" ht="20.100000000000001" customHeight="1" x14ac:dyDescent="0.2">
      <c r="B50" s="1222"/>
      <c r="C50" s="628" t="s">
        <v>359</v>
      </c>
      <c r="D50" s="629">
        <v>30.674713000000001</v>
      </c>
      <c r="E50" s="629">
        <v>0</v>
      </c>
      <c r="F50" s="630">
        <v>0</v>
      </c>
      <c r="G50" s="629">
        <v>30.674713000000001</v>
      </c>
      <c r="H50" s="631">
        <v>1.5E-3</v>
      </c>
      <c r="I50" s="635"/>
      <c r="J50" s="631">
        <v>0.2414</v>
      </c>
      <c r="K50" s="635"/>
      <c r="L50" s="629">
        <v>3.850095</v>
      </c>
      <c r="M50" s="631">
        <v>0.12551364376253496</v>
      </c>
      <c r="N50" s="629">
        <v>1.1106E-2</v>
      </c>
      <c r="O50" s="632"/>
      <c r="Q50" s="384"/>
    </row>
    <row r="51" spans="2:17" s="385" customFormat="1" ht="20.100000000000001" customHeight="1" x14ac:dyDescent="0.2">
      <c r="B51" s="1222"/>
      <c r="C51" s="628" t="s">
        <v>367</v>
      </c>
      <c r="D51" s="629">
        <v>379.86460499999998</v>
      </c>
      <c r="E51" s="629">
        <v>102.09364600000001</v>
      </c>
      <c r="F51" s="630">
        <v>0.72040000000000004</v>
      </c>
      <c r="G51" s="629">
        <v>453.411428</v>
      </c>
      <c r="H51" s="631">
        <v>4.7000000000000002E-3</v>
      </c>
      <c r="I51" s="635"/>
      <c r="J51" s="631">
        <v>0.21479999999999999</v>
      </c>
      <c r="K51" s="635"/>
      <c r="L51" s="629">
        <v>160.40687199999999</v>
      </c>
      <c r="M51" s="631">
        <v>0.35377774377579208</v>
      </c>
      <c r="N51" s="629">
        <v>0.45800600000000002</v>
      </c>
      <c r="O51" s="632"/>
      <c r="Q51" s="384"/>
    </row>
    <row r="52" spans="2:17" s="385" customFormat="1" ht="20.100000000000001" customHeight="1" x14ac:dyDescent="0.2">
      <c r="B52" s="1222"/>
      <c r="C52" s="628" t="s">
        <v>375</v>
      </c>
      <c r="D52" s="629">
        <v>641.89088300000003</v>
      </c>
      <c r="E52" s="629">
        <v>411.66122899999999</v>
      </c>
      <c r="F52" s="630">
        <v>0.71860000000000002</v>
      </c>
      <c r="G52" s="629">
        <v>937.721498</v>
      </c>
      <c r="H52" s="631">
        <v>5.4999999999999997E-3</v>
      </c>
      <c r="I52" s="635"/>
      <c r="J52" s="631">
        <v>0.2107</v>
      </c>
      <c r="K52" s="635"/>
      <c r="L52" s="629">
        <v>271.612459</v>
      </c>
      <c r="M52" s="631">
        <v>0.28965152188501919</v>
      </c>
      <c r="N52" s="629">
        <v>1.1005590000000001</v>
      </c>
      <c r="O52" s="632"/>
      <c r="Q52" s="384"/>
    </row>
    <row r="53" spans="2:17" s="385" customFormat="1" ht="20.100000000000001" customHeight="1" x14ac:dyDescent="0.2">
      <c r="B53" s="1222"/>
      <c r="C53" s="628" t="s">
        <v>383</v>
      </c>
      <c r="D53" s="629">
        <v>325.42104599999999</v>
      </c>
      <c r="E53" s="629">
        <v>274.66929399999998</v>
      </c>
      <c r="F53" s="630">
        <v>0.59929999999999994</v>
      </c>
      <c r="G53" s="629">
        <v>490.02646700000003</v>
      </c>
      <c r="H53" s="631">
        <v>1.3299999999999999E-2</v>
      </c>
      <c r="I53" s="635"/>
      <c r="J53" s="631">
        <v>0.27789999999999998</v>
      </c>
      <c r="K53" s="635"/>
      <c r="L53" s="629">
        <v>298.10452800000002</v>
      </c>
      <c r="M53" s="631">
        <v>0.60834372850313823</v>
      </c>
      <c r="N53" s="629">
        <v>1.7552509999999999</v>
      </c>
      <c r="O53" s="632"/>
      <c r="Q53" s="384"/>
    </row>
    <row r="54" spans="2:17" s="385" customFormat="1" ht="20.100000000000001" customHeight="1" x14ac:dyDescent="0.2">
      <c r="B54" s="1222"/>
      <c r="C54" s="633" t="s">
        <v>1027</v>
      </c>
      <c r="D54" s="629">
        <v>325.42104599999999</v>
      </c>
      <c r="E54" s="629">
        <v>259.81929400000001</v>
      </c>
      <c r="F54" s="630">
        <v>0.60350000000000004</v>
      </c>
      <c r="G54" s="629">
        <v>482.22646700000001</v>
      </c>
      <c r="H54" s="631">
        <v>1.3100000000000001E-2</v>
      </c>
      <c r="I54" s="635"/>
      <c r="J54" s="631">
        <v>0.2792</v>
      </c>
      <c r="K54" s="635"/>
      <c r="L54" s="629">
        <v>293.99622199999999</v>
      </c>
      <c r="M54" s="631">
        <v>0.60966421820227457</v>
      </c>
      <c r="N54" s="629">
        <v>1.7239059999999999</v>
      </c>
      <c r="O54" s="632"/>
      <c r="Q54" s="384"/>
    </row>
    <row r="55" spans="2:17" s="385" customFormat="1" ht="20.100000000000001" customHeight="1" x14ac:dyDescent="0.2">
      <c r="B55" s="1222"/>
      <c r="C55" s="633" t="s">
        <v>1028</v>
      </c>
      <c r="D55" s="629">
        <v>0</v>
      </c>
      <c r="E55" s="629">
        <v>14.85</v>
      </c>
      <c r="F55" s="630">
        <v>0.52529999999999999</v>
      </c>
      <c r="G55" s="629">
        <v>7.8</v>
      </c>
      <c r="H55" s="631">
        <v>2.06E-2</v>
      </c>
      <c r="I55" s="635"/>
      <c r="J55" s="631">
        <v>0.1948</v>
      </c>
      <c r="K55" s="635"/>
      <c r="L55" s="629">
        <v>4.1083059999999998</v>
      </c>
      <c r="M55" s="631">
        <v>0.52670589743589746</v>
      </c>
      <c r="N55" s="629">
        <v>3.1344999999999998E-2</v>
      </c>
      <c r="O55" s="632"/>
      <c r="Q55" s="384"/>
    </row>
    <row r="56" spans="2:17" s="385" customFormat="1" ht="20.100000000000001" customHeight="1" x14ac:dyDescent="0.2">
      <c r="B56" s="1222"/>
      <c r="C56" s="628" t="s">
        <v>391</v>
      </c>
      <c r="D56" s="629">
        <v>43.465634000000001</v>
      </c>
      <c r="E56" s="629">
        <v>6.0832170000000003</v>
      </c>
      <c r="F56" s="630">
        <v>1</v>
      </c>
      <c r="G56" s="629">
        <v>49.548850999999999</v>
      </c>
      <c r="H56" s="631">
        <v>6.5600000000000006E-2</v>
      </c>
      <c r="I56" s="635"/>
      <c r="J56" s="631">
        <v>0.25180000000000002</v>
      </c>
      <c r="K56" s="635"/>
      <c r="L56" s="629">
        <v>31.042770999999998</v>
      </c>
      <c r="M56" s="631">
        <v>0.62650839269713843</v>
      </c>
      <c r="N56" s="629">
        <v>0.89383299999999999</v>
      </c>
      <c r="O56" s="632"/>
      <c r="Q56" s="384"/>
    </row>
    <row r="57" spans="2:17" s="385" customFormat="1" ht="20.100000000000001" customHeight="1" x14ac:dyDescent="0.2">
      <c r="B57" s="1222"/>
      <c r="C57" s="633" t="s">
        <v>1029</v>
      </c>
      <c r="D57" s="629">
        <v>6.6063530000000004</v>
      </c>
      <c r="E57" s="629">
        <v>1.800163</v>
      </c>
      <c r="F57" s="630">
        <v>1</v>
      </c>
      <c r="G57" s="629">
        <v>8.4065159999999999</v>
      </c>
      <c r="H57" s="631">
        <v>3.4200000000000001E-2</v>
      </c>
      <c r="I57" s="635"/>
      <c r="J57" s="631">
        <v>0.1918</v>
      </c>
      <c r="K57" s="635"/>
      <c r="L57" s="629">
        <v>2.7106620000000001</v>
      </c>
      <c r="M57" s="631">
        <v>0.32244772983243003</v>
      </c>
      <c r="N57" s="629">
        <v>5.3602999999999998E-2</v>
      </c>
      <c r="O57" s="632"/>
      <c r="Q57" s="384"/>
    </row>
    <row r="58" spans="2:17" s="385" customFormat="1" ht="20.100000000000001" customHeight="1" x14ac:dyDescent="0.2">
      <c r="B58" s="1222"/>
      <c r="C58" s="634" t="s">
        <v>1030</v>
      </c>
      <c r="D58" s="629">
        <v>36.859281000000003</v>
      </c>
      <c r="E58" s="629">
        <v>4.2830539999999999</v>
      </c>
      <c r="F58" s="630">
        <v>1</v>
      </c>
      <c r="G58" s="629">
        <v>41.142335000000003</v>
      </c>
      <c r="H58" s="631">
        <v>7.1999999999999995E-2</v>
      </c>
      <c r="I58" s="635"/>
      <c r="J58" s="631">
        <v>0.2641</v>
      </c>
      <c r="K58" s="635"/>
      <c r="L58" s="629">
        <v>28.332108999999999</v>
      </c>
      <c r="M58" s="631">
        <v>0.68863638877083655</v>
      </c>
      <c r="N58" s="629">
        <v>0.84023000000000003</v>
      </c>
      <c r="O58" s="632"/>
      <c r="Q58" s="384"/>
    </row>
    <row r="59" spans="2:17" s="385" customFormat="1" ht="20.100000000000001" customHeight="1" x14ac:dyDescent="0.2">
      <c r="B59" s="1222"/>
      <c r="C59" s="628" t="s">
        <v>399</v>
      </c>
      <c r="D59" s="629">
        <v>0.297292</v>
      </c>
      <c r="E59" s="629">
        <v>0</v>
      </c>
      <c r="F59" s="630">
        <v>0</v>
      </c>
      <c r="G59" s="629">
        <v>0.297292</v>
      </c>
      <c r="H59" s="631">
        <v>0.14000000000000001</v>
      </c>
      <c r="I59" s="635"/>
      <c r="J59" s="631">
        <v>0.24</v>
      </c>
      <c r="K59" s="635"/>
      <c r="L59" s="629">
        <v>0.21904599999999999</v>
      </c>
      <c r="M59" s="631">
        <v>0.7368042194206369</v>
      </c>
      <c r="N59" s="629">
        <v>9.9889999999999996E-3</v>
      </c>
      <c r="O59" s="632"/>
      <c r="Q59" s="384"/>
    </row>
    <row r="60" spans="2:17" s="385" customFormat="1" ht="20.100000000000001" customHeight="1" x14ac:dyDescent="0.2">
      <c r="B60" s="1222"/>
      <c r="C60" s="633" t="s">
        <v>1031</v>
      </c>
      <c r="D60" s="629">
        <v>0.297292</v>
      </c>
      <c r="E60" s="629">
        <v>0</v>
      </c>
      <c r="F60" s="630">
        <v>0</v>
      </c>
      <c r="G60" s="629">
        <v>0.297292</v>
      </c>
      <c r="H60" s="631">
        <v>0.14000000000000001</v>
      </c>
      <c r="I60" s="635"/>
      <c r="J60" s="631">
        <v>0.24</v>
      </c>
      <c r="K60" s="635"/>
      <c r="L60" s="629">
        <v>0.21904599999999999</v>
      </c>
      <c r="M60" s="631">
        <v>0.7368042194206369</v>
      </c>
      <c r="N60" s="629">
        <v>9.9889999999999996E-3</v>
      </c>
      <c r="O60" s="632"/>
      <c r="Q60" s="384"/>
    </row>
    <row r="61" spans="2:17" s="385" customFormat="1" ht="20.100000000000001" customHeight="1" x14ac:dyDescent="0.2">
      <c r="B61" s="1222"/>
      <c r="C61" s="633" t="s">
        <v>1032</v>
      </c>
      <c r="D61" s="629"/>
      <c r="E61" s="629"/>
      <c r="F61" s="630"/>
      <c r="G61" s="629"/>
      <c r="H61" s="631"/>
      <c r="I61" s="635"/>
      <c r="J61" s="631"/>
      <c r="K61" s="635"/>
      <c r="L61" s="629"/>
      <c r="M61" s="631"/>
      <c r="N61" s="629"/>
      <c r="O61" s="632"/>
      <c r="Q61" s="384"/>
    </row>
    <row r="62" spans="2:17" s="385" customFormat="1" ht="20.100000000000001" customHeight="1" x14ac:dyDescent="0.2">
      <c r="B62" s="1222"/>
      <c r="C62" s="633" t="s">
        <v>1033</v>
      </c>
      <c r="D62" s="629"/>
      <c r="E62" s="629"/>
      <c r="F62" s="630"/>
      <c r="G62" s="629"/>
      <c r="H62" s="631"/>
      <c r="I62" s="635"/>
      <c r="J62" s="631"/>
      <c r="K62" s="635"/>
      <c r="L62" s="629"/>
      <c r="M62" s="631"/>
      <c r="N62" s="629"/>
      <c r="O62" s="632"/>
      <c r="Q62" s="384"/>
    </row>
    <row r="63" spans="2:17" s="385" customFormat="1" ht="20.100000000000001" customHeight="1" x14ac:dyDescent="0.2">
      <c r="B63" s="1222"/>
      <c r="C63" s="628" t="s">
        <v>407</v>
      </c>
      <c r="D63" s="629">
        <v>1.05894</v>
      </c>
      <c r="E63" s="629">
        <v>0</v>
      </c>
      <c r="F63" s="630">
        <v>0</v>
      </c>
      <c r="G63" s="629">
        <v>1.05894</v>
      </c>
      <c r="H63" s="631">
        <v>1</v>
      </c>
      <c r="I63" s="635"/>
      <c r="J63" s="631">
        <v>0.27279999999999999</v>
      </c>
      <c r="K63" s="635"/>
      <c r="L63" s="629">
        <v>0</v>
      </c>
      <c r="M63" s="631">
        <v>0</v>
      </c>
      <c r="N63" s="629">
        <v>0.28891099999999997</v>
      </c>
      <c r="O63" s="632"/>
      <c r="Q63" s="384"/>
    </row>
    <row r="64" spans="2:17" s="387" customFormat="1" ht="20.100000000000001" customHeight="1" x14ac:dyDescent="0.25">
      <c r="B64" s="1224" t="s">
        <v>3615</v>
      </c>
      <c r="C64" s="1224"/>
      <c r="D64" s="624">
        <v>1422.6731129999998</v>
      </c>
      <c r="E64" s="624">
        <v>794.50738599999988</v>
      </c>
      <c r="F64" s="625">
        <v>0.67974959769599974</v>
      </c>
      <c r="G64" s="624">
        <v>1962.7391890000001</v>
      </c>
      <c r="H64" s="626">
        <v>9.2741978347485876E-3</v>
      </c>
      <c r="I64" s="636"/>
      <c r="J64" s="627">
        <v>0.23</v>
      </c>
      <c r="K64" s="636"/>
      <c r="L64" s="624">
        <v>765.23577100000011</v>
      </c>
      <c r="M64" s="625">
        <v>0.38988153662427333</v>
      </c>
      <c r="N64" s="624">
        <v>4.5176549999999995</v>
      </c>
      <c r="O64" s="624"/>
    </row>
    <row r="65" spans="2:17" s="274" customFormat="1" ht="20.100000000000001" customHeight="1" x14ac:dyDescent="0.25">
      <c r="B65" s="1223"/>
      <c r="C65" s="1223"/>
      <c r="D65" s="1223"/>
      <c r="E65" s="1223"/>
      <c r="F65" s="1223"/>
      <c r="G65" s="1223"/>
      <c r="H65" s="1223"/>
      <c r="I65" s="1223"/>
      <c r="J65" s="1223"/>
      <c r="K65" s="1223"/>
      <c r="L65" s="1223"/>
      <c r="M65" s="1223"/>
      <c r="N65" s="1223"/>
      <c r="O65" s="1223"/>
      <c r="P65" s="387"/>
      <c r="Q65" s="387"/>
    </row>
    <row r="66" spans="2:17" s="327" customFormat="1" ht="20.100000000000001" customHeight="1" x14ac:dyDescent="0.2">
      <c r="B66" s="1222" t="s">
        <v>3605</v>
      </c>
      <c r="C66" s="628" t="s">
        <v>351</v>
      </c>
      <c r="D66" s="629">
        <v>1026.86581</v>
      </c>
      <c r="E66" s="629">
        <v>59.035699000000001</v>
      </c>
      <c r="F66" s="630">
        <v>1</v>
      </c>
      <c r="G66" s="629">
        <v>1085.901509</v>
      </c>
      <c r="H66" s="631">
        <v>7.7000000000000002E-3</v>
      </c>
      <c r="I66" s="635"/>
      <c r="J66" s="631">
        <v>0.1812</v>
      </c>
      <c r="K66" s="635"/>
      <c r="L66" s="629">
        <v>193.79306600000001</v>
      </c>
      <c r="M66" s="631">
        <v>0.17846283884296546</v>
      </c>
      <c r="N66" s="629">
        <v>1.5590740000000001</v>
      </c>
      <c r="O66" s="632"/>
      <c r="P66" s="385"/>
      <c r="Q66" s="384"/>
    </row>
    <row r="67" spans="2:17" s="327" customFormat="1" ht="20.100000000000001" customHeight="1" x14ac:dyDescent="0.2">
      <c r="B67" s="1222"/>
      <c r="C67" s="633" t="s">
        <v>1025</v>
      </c>
      <c r="D67" s="629">
        <v>1026.86581</v>
      </c>
      <c r="E67" s="629">
        <v>59.035699000000001</v>
      </c>
      <c r="F67" s="630">
        <v>1</v>
      </c>
      <c r="G67" s="629">
        <v>1085.901509</v>
      </c>
      <c r="H67" s="631">
        <v>7.7000000000000002E-3</v>
      </c>
      <c r="I67" s="635"/>
      <c r="J67" s="631">
        <v>0.1812</v>
      </c>
      <c r="K67" s="635"/>
      <c r="L67" s="629">
        <v>193.79306600000001</v>
      </c>
      <c r="M67" s="631">
        <v>0.17846283884296546</v>
      </c>
      <c r="N67" s="629">
        <v>1.5590740000000001</v>
      </c>
      <c r="O67" s="632"/>
      <c r="P67" s="385"/>
      <c r="Q67" s="384"/>
    </row>
    <row r="68" spans="2:17" s="327" customFormat="1" ht="20.100000000000001" customHeight="1" x14ac:dyDescent="0.2">
      <c r="B68" s="1222"/>
      <c r="C68" s="633" t="s">
        <v>1026</v>
      </c>
      <c r="D68" s="629"/>
      <c r="E68" s="629"/>
      <c r="F68" s="630"/>
      <c r="G68" s="629"/>
      <c r="H68" s="631"/>
      <c r="I68" s="635"/>
      <c r="J68" s="631"/>
      <c r="K68" s="635"/>
      <c r="L68" s="629"/>
      <c r="M68" s="631"/>
      <c r="N68" s="629"/>
      <c r="O68" s="632"/>
      <c r="P68" s="385"/>
      <c r="Q68" s="384"/>
    </row>
    <row r="69" spans="2:17" s="327" customFormat="1" ht="20.100000000000001" customHeight="1" x14ac:dyDescent="0.2">
      <c r="B69" s="1222"/>
      <c r="C69" s="628" t="s">
        <v>359</v>
      </c>
      <c r="D69" s="629">
        <v>236.21812</v>
      </c>
      <c r="E69" s="629">
        <v>47.517930999999997</v>
      </c>
      <c r="F69" s="630">
        <v>0.95840000000000003</v>
      </c>
      <c r="G69" s="629">
        <v>281.75968899999998</v>
      </c>
      <c r="H69" s="631">
        <v>2.0999999999999999E-3</v>
      </c>
      <c r="I69" s="635"/>
      <c r="J69" s="631">
        <v>0.1454</v>
      </c>
      <c r="K69" s="635"/>
      <c r="L69" s="629">
        <v>17.967003999999999</v>
      </c>
      <c r="M69" s="631">
        <v>6.3767120356240881E-2</v>
      </c>
      <c r="N69" s="629">
        <v>8.5739999999999997E-2</v>
      </c>
      <c r="O69" s="632"/>
      <c r="P69" s="385"/>
      <c r="Q69" s="384"/>
    </row>
    <row r="70" spans="2:17" s="327" customFormat="1" ht="20.100000000000001" customHeight="1" x14ac:dyDescent="0.2">
      <c r="B70" s="1222"/>
      <c r="C70" s="628" t="s">
        <v>367</v>
      </c>
      <c r="D70" s="629">
        <v>411.683742</v>
      </c>
      <c r="E70" s="629">
        <v>18.408928</v>
      </c>
      <c r="F70" s="630">
        <v>0.92890000000000006</v>
      </c>
      <c r="G70" s="629">
        <v>428.78403900000001</v>
      </c>
      <c r="H70" s="631">
        <v>3.5999999999999999E-3</v>
      </c>
      <c r="I70" s="635"/>
      <c r="J70" s="631">
        <v>0.21490000000000001</v>
      </c>
      <c r="K70" s="635"/>
      <c r="L70" s="629">
        <v>60.465322</v>
      </c>
      <c r="M70" s="631">
        <v>0.1410157946667413</v>
      </c>
      <c r="N70" s="629">
        <v>0.33734500000000001</v>
      </c>
      <c r="O70" s="632"/>
      <c r="P70" s="385"/>
      <c r="Q70" s="384"/>
    </row>
    <row r="71" spans="2:17" s="327" customFormat="1" ht="20.100000000000001" customHeight="1" x14ac:dyDescent="0.2">
      <c r="B71" s="1222"/>
      <c r="C71" s="628" t="s">
        <v>375</v>
      </c>
      <c r="D71" s="629">
        <v>284.641682</v>
      </c>
      <c r="E71" s="629">
        <v>1.8364259999999999</v>
      </c>
      <c r="F71" s="630">
        <v>0.87580000000000002</v>
      </c>
      <c r="G71" s="629">
        <v>286.25010800000001</v>
      </c>
      <c r="H71" s="631">
        <v>6.1999999999999998E-3</v>
      </c>
      <c r="I71" s="635"/>
      <c r="J71" s="631">
        <v>0.247</v>
      </c>
      <c r="K71" s="635"/>
      <c r="L71" s="629">
        <v>67.982868999999994</v>
      </c>
      <c r="M71" s="631">
        <v>0.23749464925966068</v>
      </c>
      <c r="N71" s="629">
        <v>0.44028899999999999</v>
      </c>
      <c r="O71" s="632"/>
      <c r="P71" s="385"/>
      <c r="Q71" s="384"/>
    </row>
    <row r="72" spans="2:17" s="327" customFormat="1" ht="20.100000000000001" customHeight="1" x14ac:dyDescent="0.2">
      <c r="B72" s="1222"/>
      <c r="C72" s="628" t="s">
        <v>383</v>
      </c>
      <c r="D72" s="629">
        <v>437.94849699999997</v>
      </c>
      <c r="E72" s="629">
        <v>4.5654880000000002</v>
      </c>
      <c r="F72" s="630">
        <v>0.82900000000000007</v>
      </c>
      <c r="G72" s="629">
        <v>441.73348499999997</v>
      </c>
      <c r="H72" s="631">
        <v>1.2800000000000001E-2</v>
      </c>
      <c r="I72" s="635"/>
      <c r="J72" s="631">
        <v>0.25559999999999999</v>
      </c>
      <c r="K72" s="635"/>
      <c r="L72" s="629">
        <v>174.47901200000001</v>
      </c>
      <c r="M72" s="631">
        <v>0.39498706329677502</v>
      </c>
      <c r="N72" s="629">
        <v>1.4681120000000001</v>
      </c>
      <c r="O72" s="632"/>
      <c r="P72" s="385"/>
      <c r="Q72" s="384"/>
    </row>
    <row r="73" spans="2:17" s="327" customFormat="1" ht="20.100000000000001" customHeight="1" x14ac:dyDescent="0.2">
      <c r="B73" s="1222"/>
      <c r="C73" s="633" t="s">
        <v>1027</v>
      </c>
      <c r="D73" s="629">
        <v>363.29542199999997</v>
      </c>
      <c r="E73" s="629">
        <v>2.2657259999999999</v>
      </c>
      <c r="F73" s="630">
        <v>0.71730000000000005</v>
      </c>
      <c r="G73" s="629">
        <v>364.92064800000003</v>
      </c>
      <c r="H73" s="631">
        <v>1.11E-2</v>
      </c>
      <c r="I73" s="635"/>
      <c r="J73" s="631">
        <v>0.2475</v>
      </c>
      <c r="K73" s="635"/>
      <c r="L73" s="629">
        <v>127.340063</v>
      </c>
      <c r="M73" s="631">
        <v>0.34895274821500372</v>
      </c>
      <c r="N73" s="629">
        <v>1.009171</v>
      </c>
      <c r="O73" s="632"/>
      <c r="P73" s="385"/>
      <c r="Q73" s="384"/>
    </row>
    <row r="74" spans="2:17" s="327" customFormat="1" ht="20.100000000000001" customHeight="1" x14ac:dyDescent="0.2">
      <c r="B74" s="1222"/>
      <c r="C74" s="633" t="s">
        <v>1028</v>
      </c>
      <c r="D74" s="629">
        <v>74.653075000000001</v>
      </c>
      <c r="E74" s="629">
        <v>2.2997619999999999</v>
      </c>
      <c r="F74" s="630">
        <v>0.93909999999999993</v>
      </c>
      <c r="G74" s="629">
        <v>76.812837000000002</v>
      </c>
      <c r="H74" s="631">
        <v>2.0400000000000001E-2</v>
      </c>
      <c r="I74" s="635"/>
      <c r="J74" s="631">
        <v>0.29430000000000001</v>
      </c>
      <c r="K74" s="635"/>
      <c r="L74" s="629">
        <v>47.138948999999997</v>
      </c>
      <c r="M74" s="631">
        <v>0.6136858218112683</v>
      </c>
      <c r="N74" s="629">
        <v>0.45894099999999999</v>
      </c>
      <c r="O74" s="632"/>
      <c r="P74" s="385"/>
      <c r="Q74" s="384"/>
    </row>
    <row r="75" spans="2:17" s="327" customFormat="1" ht="20.100000000000001" customHeight="1" x14ac:dyDescent="0.2">
      <c r="B75" s="1222"/>
      <c r="C75" s="628" t="s">
        <v>391</v>
      </c>
      <c r="D75" s="629">
        <v>112.844182</v>
      </c>
      <c r="E75" s="629">
        <v>0.221862</v>
      </c>
      <c r="F75" s="630">
        <v>0.70480000000000009</v>
      </c>
      <c r="G75" s="629">
        <v>113.000544</v>
      </c>
      <c r="H75" s="631">
        <v>4.6800000000000001E-2</v>
      </c>
      <c r="I75" s="635"/>
      <c r="J75" s="631">
        <v>0.2505</v>
      </c>
      <c r="K75" s="635"/>
      <c r="L75" s="629">
        <v>91.476231999999996</v>
      </c>
      <c r="M75" s="631">
        <v>0.80952027983157315</v>
      </c>
      <c r="N75" s="629">
        <v>1.302875</v>
      </c>
      <c r="O75" s="632"/>
      <c r="P75" s="385"/>
      <c r="Q75" s="384"/>
    </row>
    <row r="76" spans="2:17" s="327" customFormat="1" ht="20.100000000000001" customHeight="1" x14ac:dyDescent="0.2">
      <c r="B76" s="1222"/>
      <c r="C76" s="633" t="s">
        <v>1029</v>
      </c>
      <c r="D76" s="629">
        <v>69.520292999999995</v>
      </c>
      <c r="E76" s="629">
        <v>0.221861</v>
      </c>
      <c r="F76" s="630">
        <v>0.70480000000000009</v>
      </c>
      <c r="G76" s="629">
        <v>69.676653999999999</v>
      </c>
      <c r="H76" s="631">
        <v>3.3500000000000002E-2</v>
      </c>
      <c r="I76" s="635"/>
      <c r="J76" s="631">
        <v>0.26879999999999998</v>
      </c>
      <c r="K76" s="635"/>
      <c r="L76" s="629">
        <v>52.075248999999999</v>
      </c>
      <c r="M76" s="631">
        <v>0.74738446826106197</v>
      </c>
      <c r="N76" s="629">
        <v>0.62471100000000002</v>
      </c>
      <c r="O76" s="632"/>
      <c r="P76" s="385"/>
      <c r="Q76" s="384"/>
    </row>
    <row r="77" spans="2:17" s="327" customFormat="1" ht="20.100000000000001" customHeight="1" x14ac:dyDescent="0.2">
      <c r="B77" s="1222"/>
      <c r="C77" s="634" t="s">
        <v>1030</v>
      </c>
      <c r="D77" s="629">
        <v>43.323889000000001</v>
      </c>
      <c r="E77" s="629">
        <v>9.9999999999999995E-7</v>
      </c>
      <c r="F77" s="630">
        <v>1</v>
      </c>
      <c r="G77" s="629">
        <v>43.323889999999999</v>
      </c>
      <c r="H77" s="631">
        <v>6.8199999999999997E-2</v>
      </c>
      <c r="I77" s="635"/>
      <c r="J77" s="631">
        <v>0.22109999999999999</v>
      </c>
      <c r="K77" s="635"/>
      <c r="L77" s="629">
        <v>39.400982999999997</v>
      </c>
      <c r="M77" s="631">
        <v>0.90945164434680259</v>
      </c>
      <c r="N77" s="629">
        <v>0.67816399999999999</v>
      </c>
      <c r="O77" s="632"/>
      <c r="P77" s="385"/>
      <c r="Q77" s="384"/>
    </row>
    <row r="78" spans="2:17" s="327" customFormat="1" ht="20.100000000000001" customHeight="1" x14ac:dyDescent="0.2">
      <c r="B78" s="1222"/>
      <c r="C78" s="628" t="s">
        <v>399</v>
      </c>
      <c r="D78" s="629">
        <v>101.45433</v>
      </c>
      <c r="E78" s="629">
        <v>0.62838099999999997</v>
      </c>
      <c r="F78" s="630">
        <v>0.82099999999999995</v>
      </c>
      <c r="G78" s="629">
        <v>101.97021100000001</v>
      </c>
      <c r="H78" s="631">
        <v>0.22059999999999999</v>
      </c>
      <c r="I78" s="635"/>
      <c r="J78" s="631">
        <v>0.1908</v>
      </c>
      <c r="K78" s="635"/>
      <c r="L78" s="629">
        <v>107.6606</v>
      </c>
      <c r="M78" s="631">
        <v>1.0558044250786143</v>
      </c>
      <c r="N78" s="629">
        <v>3.9888330000000001</v>
      </c>
      <c r="O78" s="632"/>
      <c r="P78" s="385"/>
      <c r="Q78" s="384"/>
    </row>
    <row r="79" spans="2:17" s="327" customFormat="1" ht="20.100000000000001" customHeight="1" x14ac:dyDescent="0.2">
      <c r="B79" s="1222"/>
      <c r="C79" s="633" t="s">
        <v>1031</v>
      </c>
      <c r="D79" s="629">
        <v>57.317346999999998</v>
      </c>
      <c r="E79" s="629">
        <v>0.39618700000000001</v>
      </c>
      <c r="F79" s="630">
        <v>1</v>
      </c>
      <c r="G79" s="629">
        <v>57.713534000000003</v>
      </c>
      <c r="H79" s="631">
        <v>0.12640000000000001</v>
      </c>
      <c r="I79" s="635"/>
      <c r="J79" s="631">
        <v>0.219</v>
      </c>
      <c r="K79" s="635"/>
      <c r="L79" s="629">
        <v>66.632491999999999</v>
      </c>
      <c r="M79" s="631">
        <v>1.1545384138146868</v>
      </c>
      <c r="N79" s="629">
        <v>1.6483479999999999</v>
      </c>
      <c r="O79" s="632"/>
      <c r="P79" s="385"/>
      <c r="Q79" s="384"/>
    </row>
    <row r="80" spans="2:17" s="327" customFormat="1" ht="20.100000000000001" customHeight="1" x14ac:dyDescent="0.2">
      <c r="B80" s="1222"/>
      <c r="C80" s="633" t="s">
        <v>1032</v>
      </c>
      <c r="D80" s="629">
        <v>13.133635999999999</v>
      </c>
      <c r="E80" s="629">
        <v>0</v>
      </c>
      <c r="F80" s="630">
        <v>0</v>
      </c>
      <c r="G80" s="629">
        <v>13.133635999999999</v>
      </c>
      <c r="H80" s="631">
        <v>0.2414</v>
      </c>
      <c r="I80" s="635"/>
      <c r="J80" s="631">
        <v>0.1525</v>
      </c>
      <c r="K80" s="635"/>
      <c r="L80" s="629">
        <v>12.256147</v>
      </c>
      <c r="M80" s="631">
        <v>0.93318765648751045</v>
      </c>
      <c r="N80" s="629">
        <v>0.49462800000000001</v>
      </c>
      <c r="O80" s="632"/>
      <c r="P80" s="385"/>
      <c r="Q80" s="384"/>
    </row>
    <row r="81" spans="2:17" s="327" customFormat="1" ht="20.100000000000001" customHeight="1" x14ac:dyDescent="0.2">
      <c r="B81" s="1222"/>
      <c r="C81" s="633" t="s">
        <v>1033</v>
      </c>
      <c r="D81" s="629">
        <v>31.003347000000002</v>
      </c>
      <c r="E81" s="629">
        <v>0.23219400000000001</v>
      </c>
      <c r="F81" s="630">
        <v>0.51549999999999996</v>
      </c>
      <c r="G81" s="629">
        <v>31.123041000000001</v>
      </c>
      <c r="H81" s="631">
        <v>0.3866</v>
      </c>
      <c r="I81" s="635"/>
      <c r="J81" s="631">
        <v>0.15479999999999999</v>
      </c>
      <c r="K81" s="635"/>
      <c r="L81" s="629">
        <v>28.771961000000001</v>
      </c>
      <c r="M81" s="631">
        <v>0.92445853861131377</v>
      </c>
      <c r="N81" s="629">
        <v>1.8458570000000001</v>
      </c>
      <c r="O81" s="632"/>
      <c r="P81" s="385"/>
      <c r="Q81" s="384"/>
    </row>
    <row r="82" spans="2:17" s="327" customFormat="1" ht="20.100000000000001" customHeight="1" x14ac:dyDescent="0.2">
      <c r="B82" s="1222"/>
      <c r="C82" s="628" t="s">
        <v>407</v>
      </c>
      <c r="D82" s="629">
        <v>23.134253999999999</v>
      </c>
      <c r="E82" s="629">
        <v>7.3025999999999994E-2</v>
      </c>
      <c r="F82" s="630">
        <v>1</v>
      </c>
      <c r="G82" s="629">
        <v>23.207280000000001</v>
      </c>
      <c r="H82" s="631">
        <v>1</v>
      </c>
      <c r="I82" s="635"/>
      <c r="J82" s="631">
        <v>0.20200000000000001</v>
      </c>
      <c r="K82" s="635"/>
      <c r="L82" s="629">
        <v>50.605626000000001</v>
      </c>
      <c r="M82" s="631">
        <v>2.1805927277992079</v>
      </c>
      <c r="N82" s="629">
        <v>4.6879949999999999</v>
      </c>
      <c r="O82" s="877">
        <v>-3.6279539999999999</v>
      </c>
      <c r="P82" s="385"/>
      <c r="Q82" s="384"/>
    </row>
    <row r="83" spans="2:17" s="387" customFormat="1" ht="20.100000000000001" customHeight="1" x14ac:dyDescent="0.25">
      <c r="B83" s="1224" t="s">
        <v>3614</v>
      </c>
      <c r="C83" s="1224"/>
      <c r="D83" s="624">
        <v>2634.7906169999997</v>
      </c>
      <c r="E83" s="624">
        <v>132.28774099999998</v>
      </c>
      <c r="F83" s="625">
        <v>0.96619873492283836</v>
      </c>
      <c r="G83" s="624">
        <v>2762.6068649999997</v>
      </c>
      <c r="H83" s="626">
        <v>2.5790930154298307E-2</v>
      </c>
      <c r="I83" s="636"/>
      <c r="J83" s="627">
        <v>0.2049</v>
      </c>
      <c r="K83" s="636"/>
      <c r="L83" s="624">
        <v>764.42973100000006</v>
      </c>
      <c r="M83" s="625">
        <v>0.27670594056820319</v>
      </c>
      <c r="N83" s="624">
        <v>13.870263000000001</v>
      </c>
      <c r="O83" s="878">
        <v>-3.6279539999999999</v>
      </c>
    </row>
    <row r="84" spans="2:17" s="387" customFormat="1" ht="20.100000000000001" customHeight="1" x14ac:dyDescent="0.25">
      <c r="B84" s="1223"/>
      <c r="C84" s="1223"/>
      <c r="D84" s="1223"/>
      <c r="E84" s="1223"/>
      <c r="F84" s="1223"/>
      <c r="G84" s="1223"/>
      <c r="H84" s="1223"/>
      <c r="I84" s="1223"/>
      <c r="J84" s="1223"/>
      <c r="K84" s="1223"/>
      <c r="L84" s="1223"/>
      <c r="M84" s="1223"/>
      <c r="N84" s="1223"/>
      <c r="O84" s="1223"/>
    </row>
    <row r="85" spans="2:17" s="327" customFormat="1" ht="20.100000000000001" customHeight="1" x14ac:dyDescent="0.2">
      <c r="B85" s="1222" t="s">
        <v>3606</v>
      </c>
      <c r="C85" s="628" t="s">
        <v>351</v>
      </c>
      <c r="D85" s="629">
        <v>39626.401747000004</v>
      </c>
      <c r="E85" s="629">
        <v>2234.212681</v>
      </c>
      <c r="F85" s="630">
        <v>1</v>
      </c>
      <c r="G85" s="629">
        <v>41860.614428000001</v>
      </c>
      <c r="H85" s="631">
        <v>6.4000000000000003E-3</v>
      </c>
      <c r="I85" s="635"/>
      <c r="J85" s="631">
        <v>0.1832</v>
      </c>
      <c r="K85" s="635"/>
      <c r="L85" s="629">
        <v>7056.9893519999996</v>
      </c>
      <c r="M85" s="631">
        <v>0.16858303320267737</v>
      </c>
      <c r="N85" s="629">
        <v>52.017560000000003</v>
      </c>
      <c r="O85" s="632"/>
      <c r="P85" s="385"/>
      <c r="Q85" s="384"/>
    </row>
    <row r="86" spans="2:17" s="327" customFormat="1" ht="20.100000000000001" customHeight="1" x14ac:dyDescent="0.2">
      <c r="B86" s="1222"/>
      <c r="C86" s="633" t="s">
        <v>1025</v>
      </c>
      <c r="D86" s="629">
        <v>39626.401747000004</v>
      </c>
      <c r="E86" s="629">
        <v>2234.212681</v>
      </c>
      <c r="F86" s="630">
        <v>1</v>
      </c>
      <c r="G86" s="629">
        <v>41860.614428000001</v>
      </c>
      <c r="H86" s="631">
        <v>6.4000000000000003E-3</v>
      </c>
      <c r="I86" s="635"/>
      <c r="J86" s="631">
        <v>0.1832</v>
      </c>
      <c r="K86" s="635"/>
      <c r="L86" s="629">
        <v>7056.9893519999996</v>
      </c>
      <c r="M86" s="631">
        <v>0.16858303320267737</v>
      </c>
      <c r="N86" s="629">
        <v>52.017560000000003</v>
      </c>
      <c r="O86" s="632"/>
      <c r="P86" s="385"/>
      <c r="Q86" s="384"/>
    </row>
    <row r="87" spans="2:17" s="327" customFormat="1" ht="20.100000000000001" customHeight="1" x14ac:dyDescent="0.2">
      <c r="B87" s="1222"/>
      <c r="C87" s="633" t="s">
        <v>1026</v>
      </c>
      <c r="D87" s="629"/>
      <c r="E87" s="629"/>
      <c r="F87" s="630"/>
      <c r="G87" s="629"/>
      <c r="H87" s="631"/>
      <c r="I87" s="635"/>
      <c r="J87" s="631"/>
      <c r="K87" s="635"/>
      <c r="L87" s="629"/>
      <c r="M87" s="631"/>
      <c r="N87" s="629"/>
      <c r="O87" s="632"/>
      <c r="P87" s="385"/>
      <c r="Q87" s="384"/>
    </row>
    <row r="88" spans="2:17" s="327" customFormat="1" ht="20.100000000000001" customHeight="1" x14ac:dyDescent="0.2">
      <c r="B88" s="1222"/>
      <c r="C88" s="628" t="s">
        <v>359</v>
      </c>
      <c r="D88" s="629">
        <v>7740.5252950000004</v>
      </c>
      <c r="E88" s="629">
        <v>1337.750483</v>
      </c>
      <c r="F88" s="630">
        <v>0.99930000000000008</v>
      </c>
      <c r="G88" s="629">
        <v>9077.3037359999998</v>
      </c>
      <c r="H88" s="631">
        <v>2.0999999999999999E-3</v>
      </c>
      <c r="I88" s="635"/>
      <c r="J88" s="631">
        <v>0.15110000000000001</v>
      </c>
      <c r="K88" s="635"/>
      <c r="L88" s="629">
        <v>603.54054599999995</v>
      </c>
      <c r="M88" s="631">
        <v>6.6488966718872389E-2</v>
      </c>
      <c r="N88" s="629">
        <v>2.8735010000000001</v>
      </c>
      <c r="O88" s="632"/>
      <c r="P88" s="385"/>
      <c r="Q88" s="384"/>
    </row>
    <row r="89" spans="2:17" s="327" customFormat="1" ht="20.100000000000001" customHeight="1" x14ac:dyDescent="0.2">
      <c r="B89" s="1222"/>
      <c r="C89" s="628" t="s">
        <v>367</v>
      </c>
      <c r="D89" s="629">
        <v>11968.481186000001</v>
      </c>
      <c r="E89" s="629">
        <v>263.02432700000003</v>
      </c>
      <c r="F89" s="630">
        <v>0.99719999999999998</v>
      </c>
      <c r="G89" s="629">
        <v>12230.775965999999</v>
      </c>
      <c r="H89" s="631">
        <v>3.7000000000000002E-3</v>
      </c>
      <c r="I89" s="635"/>
      <c r="J89" s="631">
        <v>0.19900000000000001</v>
      </c>
      <c r="K89" s="635"/>
      <c r="L89" s="629">
        <v>1628.618575</v>
      </c>
      <c r="M89" s="631">
        <v>0.13315742022643146</v>
      </c>
      <c r="N89" s="629">
        <v>9.1054670000000009</v>
      </c>
      <c r="O89" s="632"/>
      <c r="P89" s="385"/>
      <c r="Q89" s="384"/>
    </row>
    <row r="90" spans="2:17" s="327" customFormat="1" ht="20.100000000000001" customHeight="1" x14ac:dyDescent="0.2">
      <c r="B90" s="1222"/>
      <c r="C90" s="628" t="s">
        <v>375</v>
      </c>
      <c r="D90" s="629">
        <v>9705.1374759999999</v>
      </c>
      <c r="E90" s="629">
        <v>39.132579999999997</v>
      </c>
      <c r="F90" s="630">
        <v>0.997</v>
      </c>
      <c r="G90" s="629">
        <v>9744.1540559999994</v>
      </c>
      <c r="H90" s="631">
        <v>6.1999999999999998E-3</v>
      </c>
      <c r="I90" s="635"/>
      <c r="J90" s="631">
        <v>0.22470000000000001</v>
      </c>
      <c r="K90" s="635"/>
      <c r="L90" s="629">
        <v>2094.7626380000002</v>
      </c>
      <c r="M90" s="631">
        <v>0.21497634642897936</v>
      </c>
      <c r="N90" s="629">
        <v>13.540851</v>
      </c>
      <c r="O90" s="632"/>
      <c r="P90" s="385"/>
      <c r="Q90" s="384"/>
    </row>
    <row r="91" spans="2:17" s="327" customFormat="1" ht="20.100000000000001" customHeight="1" x14ac:dyDescent="0.2">
      <c r="B91" s="1222"/>
      <c r="C91" s="628" t="s">
        <v>383</v>
      </c>
      <c r="D91" s="629">
        <v>14860.913127</v>
      </c>
      <c r="E91" s="629">
        <v>16.195744000000001</v>
      </c>
      <c r="F91" s="630">
        <v>0.99639999999999995</v>
      </c>
      <c r="G91" s="629">
        <v>14877.050370999999</v>
      </c>
      <c r="H91" s="631">
        <v>1.15E-2</v>
      </c>
      <c r="I91" s="635"/>
      <c r="J91" s="631">
        <v>0.25690000000000002</v>
      </c>
      <c r="K91" s="635"/>
      <c r="L91" s="629">
        <v>5546.6741650000004</v>
      </c>
      <c r="M91" s="631">
        <v>0.37283426665088087</v>
      </c>
      <c r="N91" s="629">
        <v>44.580069999999999</v>
      </c>
      <c r="O91" s="632"/>
      <c r="P91" s="385"/>
      <c r="Q91" s="384"/>
    </row>
    <row r="92" spans="2:17" s="327" customFormat="1" ht="20.100000000000001" customHeight="1" x14ac:dyDescent="0.2">
      <c r="B92" s="1222"/>
      <c r="C92" s="633" t="s">
        <v>1027</v>
      </c>
      <c r="D92" s="629">
        <v>13647.722524999999</v>
      </c>
      <c r="E92" s="629">
        <v>14.911094</v>
      </c>
      <c r="F92" s="630">
        <v>0.99609999999999999</v>
      </c>
      <c r="G92" s="629">
        <v>13662.575118999999</v>
      </c>
      <c r="H92" s="631">
        <v>1.0800000000000001E-2</v>
      </c>
      <c r="I92" s="635"/>
      <c r="J92" s="631">
        <v>0.25629999999999997</v>
      </c>
      <c r="K92" s="635"/>
      <c r="L92" s="629">
        <v>4881.9468070000003</v>
      </c>
      <c r="M92" s="631">
        <v>0.35732259581218123</v>
      </c>
      <c r="N92" s="629">
        <v>38.125931999999999</v>
      </c>
      <c r="O92" s="632"/>
      <c r="P92" s="385"/>
      <c r="Q92" s="384"/>
    </row>
    <row r="93" spans="2:17" s="327" customFormat="1" ht="20.100000000000001" customHeight="1" x14ac:dyDescent="0.2">
      <c r="B93" s="1222"/>
      <c r="C93" s="633" t="s">
        <v>1028</v>
      </c>
      <c r="D93" s="629">
        <v>1213.1906019999999</v>
      </c>
      <c r="E93" s="629">
        <v>1.2846500000000001</v>
      </c>
      <c r="F93" s="630">
        <v>1</v>
      </c>
      <c r="G93" s="629">
        <v>1214.475252</v>
      </c>
      <c r="H93" s="631">
        <v>2.01E-2</v>
      </c>
      <c r="I93" s="635"/>
      <c r="J93" s="631">
        <v>0.26379999999999998</v>
      </c>
      <c r="K93" s="635"/>
      <c r="L93" s="629">
        <v>664.72735799999998</v>
      </c>
      <c r="M93" s="631">
        <v>0.54733709633467276</v>
      </c>
      <c r="N93" s="629">
        <v>6.4541380000000004</v>
      </c>
      <c r="O93" s="632"/>
      <c r="P93" s="385"/>
      <c r="Q93" s="384"/>
    </row>
    <row r="94" spans="2:17" s="327" customFormat="1" ht="20.100000000000001" customHeight="1" x14ac:dyDescent="0.2">
      <c r="B94" s="1222"/>
      <c r="C94" s="628" t="s">
        <v>391</v>
      </c>
      <c r="D94" s="629">
        <v>1174.9754370000001</v>
      </c>
      <c r="E94" s="629">
        <v>2.7940109999999998</v>
      </c>
      <c r="F94" s="630">
        <v>1</v>
      </c>
      <c r="G94" s="629">
        <v>1177.769448</v>
      </c>
      <c r="H94" s="631">
        <v>5.0200000000000002E-2</v>
      </c>
      <c r="I94" s="635"/>
      <c r="J94" s="631">
        <v>0.24690000000000001</v>
      </c>
      <c r="K94" s="635"/>
      <c r="L94" s="629">
        <v>983.318624</v>
      </c>
      <c r="M94" s="631">
        <v>0.8348990761050884</v>
      </c>
      <c r="N94" s="629">
        <v>14.602325</v>
      </c>
      <c r="O94" s="632"/>
      <c r="P94" s="385"/>
      <c r="Q94" s="384"/>
    </row>
    <row r="95" spans="2:17" s="327" customFormat="1" ht="20.100000000000001" customHeight="1" x14ac:dyDescent="0.2">
      <c r="B95" s="1222"/>
      <c r="C95" s="633" t="s">
        <v>1029</v>
      </c>
      <c r="D95" s="629">
        <v>635.98202100000003</v>
      </c>
      <c r="E95" s="629">
        <v>0.422292</v>
      </c>
      <c r="F95" s="630">
        <v>1</v>
      </c>
      <c r="G95" s="629">
        <v>636.404313</v>
      </c>
      <c r="H95" s="631">
        <v>3.4700000000000002E-2</v>
      </c>
      <c r="I95" s="635"/>
      <c r="J95" s="631">
        <v>0.25380000000000003</v>
      </c>
      <c r="K95" s="635"/>
      <c r="L95" s="629">
        <v>456.90263900000002</v>
      </c>
      <c r="M95" s="631">
        <v>0.71794396999946164</v>
      </c>
      <c r="N95" s="629">
        <v>5.6281619999999997</v>
      </c>
      <c r="O95" s="632"/>
      <c r="P95" s="385"/>
      <c r="Q95" s="384"/>
    </row>
    <row r="96" spans="2:17" s="327" customFormat="1" ht="20.100000000000001" customHeight="1" x14ac:dyDescent="0.2">
      <c r="B96" s="1222"/>
      <c r="C96" s="634" t="s">
        <v>1030</v>
      </c>
      <c r="D96" s="629">
        <v>538.99341600000002</v>
      </c>
      <c r="E96" s="629">
        <v>2.3717190000000001</v>
      </c>
      <c r="F96" s="630">
        <v>1</v>
      </c>
      <c r="G96" s="629">
        <v>541.36513500000001</v>
      </c>
      <c r="H96" s="631">
        <v>6.8500000000000005E-2</v>
      </c>
      <c r="I96" s="635"/>
      <c r="J96" s="631">
        <v>0.2387</v>
      </c>
      <c r="K96" s="635"/>
      <c r="L96" s="629">
        <v>526.41598499999998</v>
      </c>
      <c r="M96" s="631">
        <v>0.97238619734904053</v>
      </c>
      <c r="N96" s="629">
        <v>8.9741630000000008</v>
      </c>
      <c r="O96" s="632"/>
      <c r="P96" s="385"/>
      <c r="Q96" s="384"/>
    </row>
    <row r="97" spans="2:17" s="327" customFormat="1" ht="20.100000000000001" customHeight="1" x14ac:dyDescent="0.2">
      <c r="B97" s="1222"/>
      <c r="C97" s="628" t="s">
        <v>399</v>
      </c>
      <c r="D97" s="629">
        <v>974.42396699999995</v>
      </c>
      <c r="E97" s="629">
        <v>0.60146599999999995</v>
      </c>
      <c r="F97" s="630">
        <v>1</v>
      </c>
      <c r="G97" s="629">
        <v>975.02543300000002</v>
      </c>
      <c r="H97" s="631">
        <v>0.2303</v>
      </c>
      <c r="I97" s="635"/>
      <c r="J97" s="631">
        <v>0.20369999999999999</v>
      </c>
      <c r="K97" s="635"/>
      <c r="L97" s="629">
        <v>1135.28378</v>
      </c>
      <c r="M97" s="631">
        <v>1.1643632479482204</v>
      </c>
      <c r="N97" s="629">
        <v>44.387030000000003</v>
      </c>
      <c r="O97" s="632"/>
      <c r="P97" s="385"/>
      <c r="Q97" s="384"/>
    </row>
    <row r="98" spans="2:17" s="327" customFormat="1" ht="20.100000000000001" customHeight="1" x14ac:dyDescent="0.2">
      <c r="B98" s="1222"/>
      <c r="C98" s="633" t="s">
        <v>1031</v>
      </c>
      <c r="D98" s="629">
        <v>485.95877400000001</v>
      </c>
      <c r="E98" s="629">
        <v>0.58001499999999995</v>
      </c>
      <c r="F98" s="630">
        <v>1</v>
      </c>
      <c r="G98" s="629">
        <v>486.53878900000001</v>
      </c>
      <c r="H98" s="631">
        <v>0.14149999999999999</v>
      </c>
      <c r="I98" s="635"/>
      <c r="J98" s="631">
        <v>0.2099</v>
      </c>
      <c r="K98" s="635"/>
      <c r="L98" s="629">
        <v>551.23545799999999</v>
      </c>
      <c r="M98" s="631">
        <v>1.1329733013332262</v>
      </c>
      <c r="N98" s="629">
        <v>14.472789000000001</v>
      </c>
      <c r="O98" s="632"/>
      <c r="P98" s="385"/>
      <c r="Q98" s="384"/>
    </row>
    <row r="99" spans="2:17" s="327" customFormat="1" ht="20.100000000000001" customHeight="1" x14ac:dyDescent="0.2">
      <c r="B99" s="1222"/>
      <c r="C99" s="633" t="s">
        <v>1032</v>
      </c>
      <c r="D99" s="629">
        <v>212.90163100000001</v>
      </c>
      <c r="E99" s="629">
        <v>1.8322000000000001E-2</v>
      </c>
      <c r="F99" s="630">
        <v>1</v>
      </c>
      <c r="G99" s="629">
        <v>212.91995299999999</v>
      </c>
      <c r="H99" s="631">
        <v>0.24310000000000001</v>
      </c>
      <c r="I99" s="635"/>
      <c r="J99" s="631">
        <v>0.22770000000000001</v>
      </c>
      <c r="K99" s="635"/>
      <c r="L99" s="629">
        <v>296.19158800000002</v>
      </c>
      <c r="M99" s="631">
        <v>1.3910936191123433</v>
      </c>
      <c r="N99" s="629">
        <v>11.787642999999999</v>
      </c>
      <c r="O99" s="632"/>
      <c r="P99" s="385"/>
      <c r="Q99" s="384"/>
    </row>
    <row r="100" spans="2:17" s="327" customFormat="1" ht="20.100000000000001" customHeight="1" x14ac:dyDescent="0.2">
      <c r="B100" s="1222"/>
      <c r="C100" s="633" t="s">
        <v>1033</v>
      </c>
      <c r="D100" s="629">
        <v>275.56356199999999</v>
      </c>
      <c r="E100" s="629">
        <v>3.1289999999999998E-3</v>
      </c>
      <c r="F100" s="630">
        <v>1</v>
      </c>
      <c r="G100" s="629">
        <v>275.56669099999999</v>
      </c>
      <c r="H100" s="631">
        <v>0.37719999999999998</v>
      </c>
      <c r="I100" s="635"/>
      <c r="J100" s="631">
        <v>0.17430000000000001</v>
      </c>
      <c r="K100" s="635"/>
      <c r="L100" s="629">
        <v>287.85673400000002</v>
      </c>
      <c r="M100" s="631">
        <v>1.0445991602083724</v>
      </c>
      <c r="N100" s="629">
        <v>18.126598000000001</v>
      </c>
      <c r="O100" s="632"/>
      <c r="P100" s="385"/>
      <c r="Q100" s="384"/>
    </row>
    <row r="101" spans="2:17" s="327" customFormat="1" ht="20.100000000000001" customHeight="1" x14ac:dyDescent="0.2">
      <c r="B101" s="1222"/>
      <c r="C101" s="628" t="s">
        <v>407</v>
      </c>
      <c r="D101" s="629">
        <v>186.091972</v>
      </c>
      <c r="E101" s="629">
        <v>7.0530000000000002E-3</v>
      </c>
      <c r="F101" s="630">
        <v>1</v>
      </c>
      <c r="G101" s="629">
        <v>186.09902500000001</v>
      </c>
      <c r="H101" s="631">
        <v>1</v>
      </c>
      <c r="I101" s="635"/>
      <c r="J101" s="631">
        <v>0.2072</v>
      </c>
      <c r="K101" s="635"/>
      <c r="L101" s="629">
        <v>106.935687</v>
      </c>
      <c r="M101" s="631">
        <v>0.57461712655399455</v>
      </c>
      <c r="N101" s="629">
        <v>38.560099999999998</v>
      </c>
      <c r="O101" s="877">
        <v>-7.7321249999999999</v>
      </c>
      <c r="P101" s="385"/>
      <c r="Q101" s="384"/>
    </row>
    <row r="102" spans="2:17" s="387" customFormat="1" ht="20.100000000000001" customHeight="1" x14ac:dyDescent="0.25">
      <c r="B102" s="1224" t="s">
        <v>3613</v>
      </c>
      <c r="C102" s="1224"/>
      <c r="D102" s="624">
        <v>86236.950206999987</v>
      </c>
      <c r="E102" s="624">
        <v>3893.7183449999998</v>
      </c>
      <c r="F102" s="625">
        <v>0.99951817547297017</v>
      </c>
      <c r="G102" s="624">
        <v>90128.79246300002</v>
      </c>
      <c r="H102" s="626">
        <v>1.146687263791395E-2</v>
      </c>
      <c r="I102" s="636"/>
      <c r="J102" s="627">
        <v>0.2</v>
      </c>
      <c r="K102" s="636"/>
      <c r="L102" s="624">
        <v>19156.123367</v>
      </c>
      <c r="M102" s="625">
        <v>0.21254166225364704</v>
      </c>
      <c r="N102" s="624">
        <v>219.66690400000002</v>
      </c>
      <c r="O102" s="878">
        <v>-7.7321249999999999</v>
      </c>
    </row>
    <row r="103" spans="2:17" s="387" customFormat="1" ht="20.100000000000001" customHeight="1" x14ac:dyDescent="0.25">
      <c r="B103" s="1223"/>
      <c r="C103" s="1223"/>
      <c r="D103" s="1223"/>
      <c r="E103" s="1223"/>
      <c r="F103" s="1223"/>
      <c r="G103" s="1223"/>
      <c r="H103" s="1223"/>
      <c r="I103" s="1223"/>
      <c r="J103" s="1223"/>
      <c r="K103" s="1223"/>
      <c r="L103" s="1223"/>
      <c r="M103" s="1223"/>
      <c r="N103" s="1223"/>
      <c r="O103" s="1223"/>
    </row>
    <row r="104" spans="2:17" s="327" customFormat="1" ht="20.100000000000001" customHeight="1" x14ac:dyDescent="0.2">
      <c r="B104" s="1222" t="s">
        <v>3607</v>
      </c>
      <c r="C104" s="628" t="s">
        <v>351</v>
      </c>
      <c r="D104" s="629">
        <v>1.3189960000000001</v>
      </c>
      <c r="E104" s="629">
        <v>7.8141000000000002E-2</v>
      </c>
      <c r="F104" s="630">
        <v>1</v>
      </c>
      <c r="G104" s="629">
        <v>1.3971370000000001</v>
      </c>
      <c r="H104" s="631">
        <v>1.21E-2</v>
      </c>
      <c r="I104" s="635"/>
      <c r="J104" s="631">
        <v>0.54659999999999997</v>
      </c>
      <c r="K104" s="635"/>
      <c r="L104" s="629">
        <v>0.68687299999999996</v>
      </c>
      <c r="M104" s="631">
        <v>0.49162895263671347</v>
      </c>
      <c r="N104" s="629">
        <v>9.75E-3</v>
      </c>
      <c r="O104" s="632"/>
      <c r="P104" s="385"/>
      <c r="Q104" s="384"/>
    </row>
    <row r="105" spans="2:17" s="327" customFormat="1" ht="20.100000000000001" customHeight="1" x14ac:dyDescent="0.2">
      <c r="B105" s="1222"/>
      <c r="C105" s="633" t="s">
        <v>1025</v>
      </c>
      <c r="D105" s="629">
        <v>1.3189960000000001</v>
      </c>
      <c r="E105" s="629">
        <v>7.8141000000000002E-2</v>
      </c>
      <c r="F105" s="630">
        <v>1</v>
      </c>
      <c r="G105" s="629">
        <v>1.3971370000000001</v>
      </c>
      <c r="H105" s="631">
        <v>1.21E-2</v>
      </c>
      <c r="I105" s="635"/>
      <c r="J105" s="631">
        <v>0.54659999999999997</v>
      </c>
      <c r="K105" s="635"/>
      <c r="L105" s="629">
        <v>0.68687299999999996</v>
      </c>
      <c r="M105" s="631">
        <v>0.49162895263671347</v>
      </c>
      <c r="N105" s="629">
        <v>9.75E-3</v>
      </c>
      <c r="O105" s="632"/>
      <c r="P105" s="385"/>
      <c r="Q105" s="384"/>
    </row>
    <row r="106" spans="2:17" s="327" customFormat="1" ht="20.100000000000001" customHeight="1" x14ac:dyDescent="0.2">
      <c r="B106" s="1222"/>
      <c r="C106" s="633" t="s">
        <v>1026</v>
      </c>
      <c r="D106" s="629"/>
      <c r="E106" s="629"/>
      <c r="F106" s="630"/>
      <c r="G106" s="629"/>
      <c r="H106" s="631"/>
      <c r="I106" s="635"/>
      <c r="J106" s="631"/>
      <c r="K106" s="635"/>
      <c r="L106" s="629"/>
      <c r="M106" s="631"/>
      <c r="N106" s="629"/>
      <c r="O106" s="632"/>
      <c r="P106" s="385"/>
      <c r="Q106" s="384"/>
    </row>
    <row r="107" spans="2:17" s="327" customFormat="1" ht="20.100000000000001" customHeight="1" x14ac:dyDescent="0.2">
      <c r="B107" s="1222"/>
      <c r="C107" s="628" t="s">
        <v>359</v>
      </c>
      <c r="D107" s="629">
        <v>15.961822</v>
      </c>
      <c r="E107" s="629">
        <v>11.691877</v>
      </c>
      <c r="F107" s="630">
        <v>0.94209999999999994</v>
      </c>
      <c r="G107" s="629">
        <v>26.976524000000001</v>
      </c>
      <c r="H107" s="631">
        <v>2.0999999999999999E-3</v>
      </c>
      <c r="I107" s="635"/>
      <c r="J107" s="631">
        <v>0.38340000000000002</v>
      </c>
      <c r="K107" s="635"/>
      <c r="L107" s="629">
        <v>4.5317350000000003</v>
      </c>
      <c r="M107" s="631">
        <v>0.16798809957873001</v>
      </c>
      <c r="N107" s="629">
        <v>2.1728999999999998E-2</v>
      </c>
      <c r="O107" s="632"/>
      <c r="P107" s="385"/>
      <c r="Q107" s="384"/>
    </row>
    <row r="108" spans="2:17" s="327" customFormat="1" ht="20.100000000000001" customHeight="1" x14ac:dyDescent="0.2">
      <c r="B108" s="1222"/>
      <c r="C108" s="628" t="s">
        <v>367</v>
      </c>
      <c r="D108" s="629">
        <v>30.585404</v>
      </c>
      <c r="E108" s="629">
        <v>13.903188</v>
      </c>
      <c r="F108" s="630">
        <v>0.95400000000000007</v>
      </c>
      <c r="G108" s="629">
        <v>43.848529999999997</v>
      </c>
      <c r="H108" s="631">
        <v>3.3999999999999998E-3</v>
      </c>
      <c r="I108" s="635"/>
      <c r="J108" s="631">
        <v>0.36099999999999999</v>
      </c>
      <c r="K108" s="635"/>
      <c r="L108" s="629">
        <v>9.3822120000000009</v>
      </c>
      <c r="M108" s="631">
        <v>0.21396867808339304</v>
      </c>
      <c r="N108" s="629">
        <v>5.3214999999999998E-2</v>
      </c>
      <c r="O108" s="632"/>
      <c r="P108" s="385"/>
      <c r="Q108" s="384"/>
    </row>
    <row r="109" spans="2:17" s="327" customFormat="1" ht="20.100000000000001" customHeight="1" x14ac:dyDescent="0.2">
      <c r="B109" s="1222"/>
      <c r="C109" s="628" t="s">
        <v>375</v>
      </c>
      <c r="D109" s="629">
        <v>14.523448</v>
      </c>
      <c r="E109" s="629">
        <v>5.5381049999999998</v>
      </c>
      <c r="F109" s="630">
        <v>0.92290000000000005</v>
      </c>
      <c r="G109" s="629">
        <v>19.634841000000002</v>
      </c>
      <c r="H109" s="631">
        <v>6.3E-3</v>
      </c>
      <c r="I109" s="635"/>
      <c r="J109" s="631">
        <v>0.3261</v>
      </c>
      <c r="K109" s="635"/>
      <c r="L109" s="629">
        <v>5.3958599999999999</v>
      </c>
      <c r="M109" s="631">
        <v>0.27481047592898761</v>
      </c>
      <c r="N109" s="629">
        <v>4.0365999999999999E-2</v>
      </c>
      <c r="O109" s="632"/>
      <c r="P109" s="385"/>
      <c r="Q109" s="384"/>
    </row>
    <row r="110" spans="2:17" s="327" customFormat="1" ht="20.100000000000001" customHeight="1" x14ac:dyDescent="0.2">
      <c r="B110" s="1222"/>
      <c r="C110" s="628" t="s">
        <v>383</v>
      </c>
      <c r="D110" s="629">
        <v>44.866532999999997</v>
      </c>
      <c r="E110" s="629">
        <v>8.8922830000000008</v>
      </c>
      <c r="F110" s="630">
        <v>0.95590000000000008</v>
      </c>
      <c r="G110" s="629">
        <v>53.367016</v>
      </c>
      <c r="H110" s="631">
        <v>1.2500000000000001E-2</v>
      </c>
      <c r="I110" s="635"/>
      <c r="J110" s="631">
        <v>0.34960000000000002</v>
      </c>
      <c r="K110" s="635"/>
      <c r="L110" s="629">
        <v>20.915728999999999</v>
      </c>
      <c r="M110" s="631">
        <v>0.39192240015818008</v>
      </c>
      <c r="N110" s="629">
        <v>0.23169899999999999</v>
      </c>
      <c r="O110" s="632"/>
      <c r="P110" s="385"/>
      <c r="Q110" s="384"/>
    </row>
    <row r="111" spans="2:17" s="327" customFormat="1" ht="20.100000000000001" customHeight="1" x14ac:dyDescent="0.2">
      <c r="B111" s="1222"/>
      <c r="C111" s="633" t="s">
        <v>1027</v>
      </c>
      <c r="D111" s="629">
        <v>39.224342999999998</v>
      </c>
      <c r="E111" s="629">
        <v>7.6990160000000003</v>
      </c>
      <c r="F111" s="630">
        <v>0.96019999999999994</v>
      </c>
      <c r="G111" s="629">
        <v>46.616559000000002</v>
      </c>
      <c r="H111" s="631">
        <v>1.14E-2</v>
      </c>
      <c r="I111" s="635"/>
      <c r="J111" s="631">
        <v>0.3513</v>
      </c>
      <c r="K111" s="635"/>
      <c r="L111" s="629">
        <v>17.929489</v>
      </c>
      <c r="M111" s="631">
        <v>0.38461631198476059</v>
      </c>
      <c r="N111" s="629">
        <v>0.18565999999999999</v>
      </c>
      <c r="O111" s="632"/>
      <c r="P111" s="385"/>
      <c r="Q111" s="384"/>
    </row>
    <row r="112" spans="2:17" s="327" customFormat="1" ht="20.100000000000001" customHeight="1" x14ac:dyDescent="0.2">
      <c r="B112" s="1222"/>
      <c r="C112" s="633" t="s">
        <v>1028</v>
      </c>
      <c r="D112" s="629">
        <v>5.6421900000000003</v>
      </c>
      <c r="E112" s="629">
        <v>1.1932670000000001</v>
      </c>
      <c r="F112" s="630">
        <v>0.92879999999999996</v>
      </c>
      <c r="G112" s="629">
        <v>6.7504569999999999</v>
      </c>
      <c r="H112" s="631">
        <v>2.0199999999999999E-2</v>
      </c>
      <c r="I112" s="635"/>
      <c r="J112" s="631">
        <v>0.3377</v>
      </c>
      <c r="K112" s="635"/>
      <c r="L112" s="629">
        <v>2.98624</v>
      </c>
      <c r="M112" s="631">
        <v>0.44237597543395951</v>
      </c>
      <c r="N112" s="629">
        <v>4.6038999999999997E-2</v>
      </c>
      <c r="O112" s="632"/>
      <c r="P112" s="385"/>
      <c r="Q112" s="384"/>
    </row>
    <row r="113" spans="2:17" s="327" customFormat="1" ht="20.100000000000001" customHeight="1" x14ac:dyDescent="0.2">
      <c r="B113" s="1222"/>
      <c r="C113" s="628" t="s">
        <v>391</v>
      </c>
      <c r="D113" s="629">
        <v>12.848929</v>
      </c>
      <c r="E113" s="629">
        <v>3.2403409999999999</v>
      </c>
      <c r="F113" s="630">
        <v>0.99769999999999992</v>
      </c>
      <c r="G113" s="629">
        <v>16.081769999999999</v>
      </c>
      <c r="H113" s="631">
        <v>4.5900000000000003E-2</v>
      </c>
      <c r="I113" s="635"/>
      <c r="J113" s="631">
        <v>0.27160000000000001</v>
      </c>
      <c r="K113" s="635"/>
      <c r="L113" s="629">
        <v>6.3604469999999997</v>
      </c>
      <c r="M113" s="631">
        <v>0.39550665132009727</v>
      </c>
      <c r="N113" s="629">
        <v>0.19306100000000001</v>
      </c>
      <c r="O113" s="632"/>
      <c r="P113" s="385"/>
      <c r="Q113" s="384"/>
    </row>
    <row r="114" spans="2:17" s="327" customFormat="1" ht="20.100000000000001" customHeight="1" x14ac:dyDescent="0.2">
      <c r="B114" s="1222"/>
      <c r="C114" s="633" t="s">
        <v>1029</v>
      </c>
      <c r="D114" s="629">
        <v>7.3887150000000004</v>
      </c>
      <c r="E114" s="629">
        <v>2.7465809999999999</v>
      </c>
      <c r="F114" s="630">
        <v>0.99730000000000008</v>
      </c>
      <c r="G114" s="629">
        <v>10.127796</v>
      </c>
      <c r="H114" s="631">
        <v>3.3500000000000002E-2</v>
      </c>
      <c r="I114" s="635"/>
      <c r="J114" s="631">
        <v>0.30349999999999999</v>
      </c>
      <c r="K114" s="635"/>
      <c r="L114" s="629">
        <v>4.2509639999999997</v>
      </c>
      <c r="M114" s="631">
        <v>0.4197323879746393</v>
      </c>
      <c r="N114" s="629">
        <v>0.104353</v>
      </c>
      <c r="O114" s="632"/>
      <c r="P114" s="385"/>
      <c r="Q114" s="384"/>
    </row>
    <row r="115" spans="2:17" s="327" customFormat="1" ht="20.100000000000001" customHeight="1" x14ac:dyDescent="0.2">
      <c r="B115" s="1222"/>
      <c r="C115" s="634" t="s">
        <v>1030</v>
      </c>
      <c r="D115" s="629">
        <v>5.4602139999999997</v>
      </c>
      <c r="E115" s="629">
        <v>0.49375999999999998</v>
      </c>
      <c r="F115" s="630">
        <v>1</v>
      </c>
      <c r="G115" s="629">
        <v>5.9539739999999997</v>
      </c>
      <c r="H115" s="631">
        <v>6.7100000000000007E-2</v>
      </c>
      <c r="I115" s="635"/>
      <c r="J115" s="631">
        <v>0.2172</v>
      </c>
      <c r="K115" s="635"/>
      <c r="L115" s="629">
        <v>2.109483</v>
      </c>
      <c r="M115" s="631">
        <v>0.35429832243137105</v>
      </c>
      <c r="N115" s="629">
        <v>8.8707999999999995E-2</v>
      </c>
      <c r="O115" s="632"/>
      <c r="P115" s="385"/>
      <c r="Q115" s="384"/>
    </row>
    <row r="116" spans="2:17" s="327" customFormat="1" ht="20.100000000000001" customHeight="1" x14ac:dyDescent="0.2">
      <c r="B116" s="1222"/>
      <c r="C116" s="628" t="s">
        <v>399</v>
      </c>
      <c r="D116" s="629">
        <v>6.3392340000000003</v>
      </c>
      <c r="E116" s="629">
        <v>0.72562700000000002</v>
      </c>
      <c r="F116" s="630">
        <v>0.94689999999999996</v>
      </c>
      <c r="G116" s="629">
        <v>7.0263609999999996</v>
      </c>
      <c r="H116" s="631">
        <v>0.2283</v>
      </c>
      <c r="I116" s="635"/>
      <c r="J116" s="631">
        <v>0.28189999999999998</v>
      </c>
      <c r="K116" s="635"/>
      <c r="L116" s="629">
        <v>4.3199149999999999</v>
      </c>
      <c r="M116" s="631">
        <v>0.61481540729262274</v>
      </c>
      <c r="N116" s="629">
        <v>0.36491200000000001</v>
      </c>
      <c r="O116" s="632"/>
      <c r="P116" s="385"/>
      <c r="Q116" s="384"/>
    </row>
    <row r="117" spans="2:17" s="327" customFormat="1" ht="20.100000000000001" customHeight="1" x14ac:dyDescent="0.2">
      <c r="B117" s="1222"/>
      <c r="C117" s="633" t="s">
        <v>1031</v>
      </c>
      <c r="D117" s="629">
        <v>2.810997</v>
      </c>
      <c r="E117" s="629">
        <v>0.21563399999999999</v>
      </c>
      <c r="F117" s="630">
        <v>0.82150000000000001</v>
      </c>
      <c r="G117" s="629">
        <v>2.9881310000000001</v>
      </c>
      <c r="H117" s="631">
        <v>0.12189999999999999</v>
      </c>
      <c r="I117" s="635"/>
      <c r="J117" s="631">
        <v>0.4032</v>
      </c>
      <c r="K117" s="635"/>
      <c r="L117" s="629">
        <v>2.3059310000000002</v>
      </c>
      <c r="M117" s="631">
        <v>0.77169675626670986</v>
      </c>
      <c r="N117" s="629">
        <v>0.147235</v>
      </c>
      <c r="O117" s="632"/>
      <c r="P117" s="385"/>
      <c r="Q117" s="384"/>
    </row>
    <row r="118" spans="2:17" s="327" customFormat="1" ht="20.100000000000001" customHeight="1" x14ac:dyDescent="0.2">
      <c r="B118" s="1222"/>
      <c r="C118" s="633" t="s">
        <v>1032</v>
      </c>
      <c r="D118" s="629">
        <v>1.089653</v>
      </c>
      <c r="E118" s="629">
        <v>0.422016</v>
      </c>
      <c r="F118" s="630">
        <v>1</v>
      </c>
      <c r="G118" s="629">
        <v>1.5116689999999999</v>
      </c>
      <c r="H118" s="631">
        <v>0.22670000000000001</v>
      </c>
      <c r="I118" s="635"/>
      <c r="J118" s="631">
        <v>0.2908</v>
      </c>
      <c r="K118" s="635"/>
      <c r="L118" s="629">
        <v>1.078443</v>
      </c>
      <c r="M118" s="631">
        <v>0.71341212924257891</v>
      </c>
      <c r="N118" s="629">
        <v>9.6867999999999996E-2</v>
      </c>
      <c r="O118" s="632"/>
      <c r="P118" s="385"/>
      <c r="Q118" s="384"/>
    </row>
    <row r="119" spans="2:17" s="327" customFormat="1" ht="20.100000000000001" customHeight="1" x14ac:dyDescent="0.2">
      <c r="B119" s="1222"/>
      <c r="C119" s="633" t="s">
        <v>1033</v>
      </c>
      <c r="D119" s="629">
        <v>2.4385840000000001</v>
      </c>
      <c r="E119" s="629">
        <v>8.7977E-2</v>
      </c>
      <c r="F119" s="630">
        <v>1</v>
      </c>
      <c r="G119" s="629">
        <v>2.5265610000000001</v>
      </c>
      <c r="H119" s="631">
        <v>0.35510000000000003</v>
      </c>
      <c r="I119" s="635"/>
      <c r="J119" s="631">
        <v>0.13300000000000001</v>
      </c>
      <c r="K119" s="635"/>
      <c r="L119" s="629">
        <v>0.93554099999999996</v>
      </c>
      <c r="M119" s="631">
        <v>0.37028237196727087</v>
      </c>
      <c r="N119" s="629">
        <v>0.120809</v>
      </c>
      <c r="O119" s="632"/>
      <c r="P119" s="385"/>
      <c r="Q119" s="384"/>
    </row>
    <row r="120" spans="2:17" s="327" customFormat="1" ht="20.100000000000001" customHeight="1" x14ac:dyDescent="0.2">
      <c r="B120" s="1222"/>
      <c r="C120" s="628" t="s">
        <v>407</v>
      </c>
      <c r="D120" s="629">
        <v>1.2266550000000001</v>
      </c>
      <c r="E120" s="629">
        <v>0.28757199999999999</v>
      </c>
      <c r="F120" s="630">
        <v>1</v>
      </c>
      <c r="G120" s="629">
        <v>1.514227</v>
      </c>
      <c r="H120" s="631">
        <v>1</v>
      </c>
      <c r="I120" s="635"/>
      <c r="J120" s="631">
        <v>0.5091</v>
      </c>
      <c r="K120" s="635"/>
      <c r="L120" s="629">
        <v>1.4761E-2</v>
      </c>
      <c r="M120" s="631">
        <v>9.7482081616560787E-3</v>
      </c>
      <c r="N120" s="629">
        <v>0.77094099999999999</v>
      </c>
      <c r="O120" s="877">
        <v>-0.44815899999999997</v>
      </c>
      <c r="P120" s="385"/>
      <c r="Q120" s="384"/>
    </row>
    <row r="121" spans="2:17" s="387" customFormat="1" ht="20.100000000000001" customHeight="1" x14ac:dyDescent="0.25">
      <c r="B121" s="1224" t="s">
        <v>3611</v>
      </c>
      <c r="C121" s="1224"/>
      <c r="D121" s="624">
        <v>127.671021</v>
      </c>
      <c r="E121" s="624">
        <v>44.357134000000002</v>
      </c>
      <c r="F121" s="625">
        <v>0.95081402238476531</v>
      </c>
      <c r="G121" s="624">
        <v>169.84640600000003</v>
      </c>
      <c r="H121" s="626">
        <v>2.8672533216275411E-2</v>
      </c>
      <c r="I121" s="636"/>
      <c r="J121" s="627">
        <v>0.34799999999999998</v>
      </c>
      <c r="K121" s="636"/>
      <c r="L121" s="624">
        <v>51.607531999999999</v>
      </c>
      <c r="M121" s="625">
        <v>0.30384824274703809</v>
      </c>
      <c r="N121" s="624">
        <v>1.685673</v>
      </c>
      <c r="O121" s="878">
        <v>-0.44815899999999997</v>
      </c>
    </row>
    <row r="122" spans="2:17" s="387" customFormat="1" ht="20.100000000000001" customHeight="1" x14ac:dyDescent="0.25">
      <c r="B122" s="1223"/>
      <c r="C122" s="1223"/>
      <c r="D122" s="1223"/>
      <c r="E122" s="1223"/>
      <c r="F122" s="1223"/>
      <c r="G122" s="1223"/>
      <c r="H122" s="1223"/>
      <c r="I122" s="1223"/>
      <c r="J122" s="1223"/>
      <c r="K122" s="1223"/>
      <c r="L122" s="1223"/>
      <c r="M122" s="1223"/>
      <c r="N122" s="1223"/>
      <c r="O122" s="1223"/>
    </row>
    <row r="123" spans="2:17" s="327" customFormat="1" ht="20.100000000000001" customHeight="1" x14ac:dyDescent="0.2">
      <c r="B123" s="1222" t="s">
        <v>3608</v>
      </c>
      <c r="C123" s="628" t="s">
        <v>351</v>
      </c>
      <c r="D123" s="629">
        <v>38.994416999999999</v>
      </c>
      <c r="E123" s="629">
        <v>1.0780149999999999</v>
      </c>
      <c r="F123" s="630">
        <v>1</v>
      </c>
      <c r="G123" s="629">
        <v>40.072431999999999</v>
      </c>
      <c r="H123" s="631">
        <v>0.01</v>
      </c>
      <c r="I123" s="635"/>
      <c r="J123" s="631">
        <v>0.51060000000000005</v>
      </c>
      <c r="K123" s="635"/>
      <c r="L123" s="629">
        <v>17.548286000000001</v>
      </c>
      <c r="M123" s="631">
        <v>0.43791417501188851</v>
      </c>
      <c r="N123" s="629">
        <v>0.20455300000000001</v>
      </c>
      <c r="O123" s="632"/>
      <c r="P123" s="385"/>
      <c r="Q123" s="384"/>
    </row>
    <row r="124" spans="2:17" s="327" customFormat="1" ht="20.100000000000001" customHeight="1" x14ac:dyDescent="0.2">
      <c r="B124" s="1222"/>
      <c r="C124" s="633" t="s">
        <v>1025</v>
      </c>
      <c r="D124" s="629">
        <v>38.994416999999999</v>
      </c>
      <c r="E124" s="629">
        <v>1.0780149999999999</v>
      </c>
      <c r="F124" s="630">
        <v>1</v>
      </c>
      <c r="G124" s="629">
        <v>40.072431999999999</v>
      </c>
      <c r="H124" s="631">
        <v>0.01</v>
      </c>
      <c r="I124" s="635"/>
      <c r="J124" s="631">
        <v>0.51060000000000005</v>
      </c>
      <c r="K124" s="635"/>
      <c r="L124" s="629">
        <v>17.548286000000001</v>
      </c>
      <c r="M124" s="631">
        <v>0.43791417501188851</v>
      </c>
      <c r="N124" s="629">
        <v>0.20455300000000001</v>
      </c>
      <c r="O124" s="632"/>
      <c r="P124" s="385"/>
      <c r="Q124" s="384"/>
    </row>
    <row r="125" spans="2:17" s="327" customFormat="1" ht="20.100000000000001" customHeight="1" x14ac:dyDescent="0.2">
      <c r="B125" s="1222"/>
      <c r="C125" s="633" t="s">
        <v>1026</v>
      </c>
      <c r="D125" s="629"/>
      <c r="E125" s="629"/>
      <c r="F125" s="630"/>
      <c r="G125" s="629"/>
      <c r="H125" s="631"/>
      <c r="I125" s="635"/>
      <c r="J125" s="631"/>
      <c r="K125" s="635"/>
      <c r="L125" s="629"/>
      <c r="M125" s="631"/>
      <c r="N125" s="629"/>
      <c r="O125" s="632"/>
      <c r="P125" s="385"/>
      <c r="Q125" s="384"/>
    </row>
    <row r="126" spans="2:17" s="327" customFormat="1" ht="20.100000000000001" customHeight="1" x14ac:dyDescent="0.2">
      <c r="B126" s="1222"/>
      <c r="C126" s="628" t="s">
        <v>359</v>
      </c>
      <c r="D126" s="629">
        <v>162.94058200000001</v>
      </c>
      <c r="E126" s="629">
        <v>51.294997000000002</v>
      </c>
      <c r="F126" s="630">
        <v>0.99340000000000006</v>
      </c>
      <c r="G126" s="629">
        <v>213.89507900000001</v>
      </c>
      <c r="H126" s="631">
        <v>2.0999999999999999E-3</v>
      </c>
      <c r="I126" s="635"/>
      <c r="J126" s="631">
        <v>0.50700000000000001</v>
      </c>
      <c r="K126" s="635"/>
      <c r="L126" s="629">
        <v>48.207771000000001</v>
      </c>
      <c r="M126" s="631">
        <v>0.22538045861260791</v>
      </c>
      <c r="N126" s="629">
        <v>0.22853899999999999</v>
      </c>
      <c r="O126" s="632"/>
      <c r="P126" s="385"/>
      <c r="Q126" s="384"/>
    </row>
    <row r="127" spans="2:17" s="327" customFormat="1" ht="20.100000000000001" customHeight="1" x14ac:dyDescent="0.2">
      <c r="B127" s="1222"/>
      <c r="C127" s="628" t="s">
        <v>367</v>
      </c>
      <c r="D127" s="629">
        <v>332.92954400000002</v>
      </c>
      <c r="E127" s="629">
        <v>17.804594000000002</v>
      </c>
      <c r="F127" s="630">
        <v>0.99319999999999997</v>
      </c>
      <c r="G127" s="629">
        <v>350.61313799999999</v>
      </c>
      <c r="H127" s="631">
        <v>3.7000000000000002E-3</v>
      </c>
      <c r="I127" s="635"/>
      <c r="J127" s="631">
        <v>0.5071</v>
      </c>
      <c r="K127" s="635"/>
      <c r="L127" s="629">
        <v>113.53077500000001</v>
      </c>
      <c r="M127" s="631">
        <v>0.32380639141936551</v>
      </c>
      <c r="N127" s="629">
        <v>0.66506399999999999</v>
      </c>
      <c r="O127" s="632"/>
      <c r="P127" s="385"/>
      <c r="Q127" s="384"/>
    </row>
    <row r="128" spans="2:17" s="327" customFormat="1" ht="20.100000000000001" customHeight="1" x14ac:dyDescent="0.2">
      <c r="B128" s="1222"/>
      <c r="C128" s="628" t="s">
        <v>375</v>
      </c>
      <c r="D128" s="629">
        <v>320.262182</v>
      </c>
      <c r="E128" s="629">
        <v>12.540266000000001</v>
      </c>
      <c r="F128" s="630">
        <v>0.96930000000000005</v>
      </c>
      <c r="G128" s="629">
        <v>332.41694799999999</v>
      </c>
      <c r="H128" s="631">
        <v>6.1999999999999998E-3</v>
      </c>
      <c r="I128" s="635"/>
      <c r="J128" s="631">
        <v>0.50949999999999995</v>
      </c>
      <c r="K128" s="635"/>
      <c r="L128" s="629">
        <v>144.89498599999999</v>
      </c>
      <c r="M128" s="631">
        <v>0.43588326910455838</v>
      </c>
      <c r="N128" s="629">
        <v>1.0517829999999999</v>
      </c>
      <c r="O128" s="632"/>
      <c r="P128" s="385"/>
      <c r="Q128" s="384"/>
    </row>
    <row r="129" spans="2:17" s="327" customFormat="1" ht="20.100000000000001" customHeight="1" x14ac:dyDescent="0.2">
      <c r="B129" s="1222"/>
      <c r="C129" s="628" t="s">
        <v>383</v>
      </c>
      <c r="D129" s="629">
        <v>695.16027099999997</v>
      </c>
      <c r="E129" s="629">
        <v>4.7851119999999998</v>
      </c>
      <c r="F129" s="630">
        <v>0.99199999999999999</v>
      </c>
      <c r="G129" s="629">
        <v>699.90688299999999</v>
      </c>
      <c r="H129" s="631">
        <v>1.1599999999999999E-2</v>
      </c>
      <c r="I129" s="635"/>
      <c r="J129" s="631">
        <v>0.50970000000000004</v>
      </c>
      <c r="K129" s="635"/>
      <c r="L129" s="629">
        <v>401.13949000000002</v>
      </c>
      <c r="M129" s="631">
        <v>0.573132654847745</v>
      </c>
      <c r="N129" s="629">
        <v>4.1363789999999998</v>
      </c>
      <c r="O129" s="632"/>
      <c r="P129" s="385"/>
      <c r="Q129" s="384"/>
    </row>
    <row r="130" spans="2:17" s="327" customFormat="1" ht="20.100000000000001" customHeight="1" x14ac:dyDescent="0.2">
      <c r="B130" s="1222"/>
      <c r="C130" s="633" t="s">
        <v>1027</v>
      </c>
      <c r="D130" s="629">
        <v>646.37791100000004</v>
      </c>
      <c r="E130" s="629">
        <v>4.6018319999999999</v>
      </c>
      <c r="F130" s="630">
        <v>0.99159999999999993</v>
      </c>
      <c r="G130" s="629">
        <v>650.94124299999999</v>
      </c>
      <c r="H130" s="631">
        <v>1.09E-2</v>
      </c>
      <c r="I130" s="635"/>
      <c r="J130" s="631">
        <v>0.50970000000000004</v>
      </c>
      <c r="K130" s="635"/>
      <c r="L130" s="629">
        <v>366.96507000000003</v>
      </c>
      <c r="M130" s="631">
        <v>0.56374530565733416</v>
      </c>
      <c r="N130" s="629">
        <v>3.6298409999999999</v>
      </c>
      <c r="O130" s="632"/>
      <c r="P130" s="385"/>
      <c r="Q130" s="384"/>
    </row>
    <row r="131" spans="2:17" s="327" customFormat="1" ht="20.100000000000001" customHeight="1" x14ac:dyDescent="0.2">
      <c r="B131" s="1222"/>
      <c r="C131" s="633" t="s">
        <v>1028</v>
      </c>
      <c r="D131" s="629">
        <v>48.782359999999997</v>
      </c>
      <c r="E131" s="629">
        <v>0.18328</v>
      </c>
      <c r="F131" s="630">
        <v>1</v>
      </c>
      <c r="G131" s="629">
        <v>48.96564</v>
      </c>
      <c r="H131" s="631">
        <v>2.0299999999999999E-2</v>
      </c>
      <c r="I131" s="635"/>
      <c r="J131" s="631">
        <v>0.51029999999999998</v>
      </c>
      <c r="K131" s="635"/>
      <c r="L131" s="629">
        <v>34.174419999999998</v>
      </c>
      <c r="M131" s="631">
        <v>0.69792654604330706</v>
      </c>
      <c r="N131" s="629">
        <v>0.50653800000000004</v>
      </c>
      <c r="O131" s="632"/>
      <c r="P131" s="385"/>
      <c r="Q131" s="384"/>
    </row>
    <row r="132" spans="2:17" s="327" customFormat="1" ht="20.100000000000001" customHeight="1" x14ac:dyDescent="0.2">
      <c r="B132" s="1222"/>
      <c r="C132" s="628" t="s">
        <v>391</v>
      </c>
      <c r="D132" s="629">
        <v>64.047569999999993</v>
      </c>
      <c r="E132" s="629">
        <v>2.0933820000000001</v>
      </c>
      <c r="F132" s="630">
        <v>0.97989999999999999</v>
      </c>
      <c r="G132" s="629">
        <v>66.098951999999997</v>
      </c>
      <c r="H132" s="631">
        <v>5.3999999999999999E-2</v>
      </c>
      <c r="I132" s="635"/>
      <c r="J132" s="631">
        <v>0.5091</v>
      </c>
      <c r="K132" s="635"/>
      <c r="L132" s="629">
        <v>52.986584999999998</v>
      </c>
      <c r="M132" s="631">
        <v>0.8016251906686811</v>
      </c>
      <c r="N132" s="629">
        <v>1.819752</v>
      </c>
      <c r="O132" s="632"/>
      <c r="P132" s="385"/>
      <c r="Q132" s="384"/>
    </row>
    <row r="133" spans="2:17" s="327" customFormat="1" ht="20.100000000000001" customHeight="1" x14ac:dyDescent="0.2">
      <c r="B133" s="1222"/>
      <c r="C133" s="633" t="s">
        <v>1029</v>
      </c>
      <c r="D133" s="629">
        <v>28.755482000000001</v>
      </c>
      <c r="E133" s="629">
        <v>1.7650319999999999</v>
      </c>
      <c r="F133" s="630">
        <v>0.97620000000000007</v>
      </c>
      <c r="G133" s="629">
        <v>30.478514000000001</v>
      </c>
      <c r="H133" s="631">
        <v>3.4099999999999998E-2</v>
      </c>
      <c r="I133" s="635"/>
      <c r="J133" s="631">
        <v>0.50739999999999996</v>
      </c>
      <c r="K133" s="635"/>
      <c r="L133" s="629">
        <v>23.138998999999998</v>
      </c>
      <c r="M133" s="631">
        <v>0.75919052352749217</v>
      </c>
      <c r="N133" s="629">
        <v>0.52818699999999996</v>
      </c>
      <c r="O133" s="632"/>
      <c r="P133" s="385"/>
      <c r="Q133" s="384"/>
    </row>
    <row r="134" spans="2:17" s="327" customFormat="1" ht="20.100000000000001" customHeight="1" x14ac:dyDescent="0.2">
      <c r="B134" s="1222"/>
      <c r="C134" s="634" t="s">
        <v>1030</v>
      </c>
      <c r="D134" s="629">
        <v>35.292088</v>
      </c>
      <c r="E134" s="629">
        <v>0.32834999999999998</v>
      </c>
      <c r="F134" s="630">
        <v>1</v>
      </c>
      <c r="G134" s="629">
        <v>35.620438</v>
      </c>
      <c r="H134" s="631">
        <v>7.0999999999999994E-2</v>
      </c>
      <c r="I134" s="635"/>
      <c r="J134" s="631">
        <v>0.51060000000000005</v>
      </c>
      <c r="K134" s="635"/>
      <c r="L134" s="629">
        <v>29.847586</v>
      </c>
      <c r="M134" s="631">
        <v>0.8379342780681136</v>
      </c>
      <c r="N134" s="629">
        <v>1.2915650000000001</v>
      </c>
      <c r="O134" s="632"/>
      <c r="P134" s="385"/>
      <c r="Q134" s="384"/>
    </row>
    <row r="135" spans="2:17" s="327" customFormat="1" ht="20.100000000000001" customHeight="1" x14ac:dyDescent="0.2">
      <c r="B135" s="1222"/>
      <c r="C135" s="628" t="s">
        <v>399</v>
      </c>
      <c r="D135" s="629">
        <v>27.544944000000001</v>
      </c>
      <c r="E135" s="629">
        <v>0.19337299999999999</v>
      </c>
      <c r="F135" s="630">
        <v>1</v>
      </c>
      <c r="G135" s="629">
        <v>27.738316999999999</v>
      </c>
      <c r="H135" s="631">
        <v>0.26019999999999999</v>
      </c>
      <c r="I135" s="635"/>
      <c r="J135" s="631">
        <v>0.51060000000000005</v>
      </c>
      <c r="K135" s="635"/>
      <c r="L135" s="629">
        <v>34.293917</v>
      </c>
      <c r="M135" s="631">
        <v>1.2363373379862954</v>
      </c>
      <c r="N135" s="629">
        <v>3.685152</v>
      </c>
      <c r="O135" s="632"/>
      <c r="P135" s="385"/>
      <c r="Q135" s="384"/>
    </row>
    <row r="136" spans="2:17" s="327" customFormat="1" ht="20.100000000000001" customHeight="1" x14ac:dyDescent="0.2">
      <c r="B136" s="1222"/>
      <c r="C136" s="633" t="s">
        <v>1031</v>
      </c>
      <c r="D136" s="629">
        <v>11.623970999999999</v>
      </c>
      <c r="E136" s="629">
        <v>0.16728199999999999</v>
      </c>
      <c r="F136" s="630">
        <v>1</v>
      </c>
      <c r="G136" s="629">
        <v>11.791252999999999</v>
      </c>
      <c r="H136" s="631">
        <v>0.13239999999999999</v>
      </c>
      <c r="I136" s="635"/>
      <c r="J136" s="631">
        <v>0.51060000000000005</v>
      </c>
      <c r="K136" s="635"/>
      <c r="L136" s="629">
        <v>11.893815999999999</v>
      </c>
      <c r="M136" s="631">
        <v>1.0086982274063665</v>
      </c>
      <c r="N136" s="629">
        <v>0.79737599999999997</v>
      </c>
      <c r="O136" s="632"/>
      <c r="P136" s="385"/>
      <c r="Q136" s="384"/>
    </row>
    <row r="137" spans="2:17" s="327" customFormat="1" ht="20.100000000000001" customHeight="1" x14ac:dyDescent="0.2">
      <c r="B137" s="1222"/>
      <c r="C137" s="633" t="s">
        <v>1032</v>
      </c>
      <c r="D137" s="629">
        <v>4.2619550000000004</v>
      </c>
      <c r="E137" s="629">
        <v>2.2844E-2</v>
      </c>
      <c r="F137" s="630">
        <v>1</v>
      </c>
      <c r="G137" s="629">
        <v>4.2847989999999996</v>
      </c>
      <c r="H137" s="631">
        <v>0.26340000000000002</v>
      </c>
      <c r="I137" s="635"/>
      <c r="J137" s="631">
        <v>0.51060000000000005</v>
      </c>
      <c r="K137" s="635"/>
      <c r="L137" s="629">
        <v>5.6890999999999998</v>
      </c>
      <c r="M137" s="631">
        <v>1.3277402277213004</v>
      </c>
      <c r="N137" s="629">
        <v>0.576349</v>
      </c>
      <c r="O137" s="632"/>
      <c r="P137" s="385"/>
      <c r="Q137" s="384"/>
    </row>
    <row r="138" spans="2:17" s="327" customFormat="1" ht="20.100000000000001" customHeight="1" x14ac:dyDescent="0.2">
      <c r="B138" s="1222"/>
      <c r="C138" s="633" t="s">
        <v>1033</v>
      </c>
      <c r="D138" s="629">
        <v>11.659018</v>
      </c>
      <c r="E138" s="629">
        <v>3.2469999999999999E-3</v>
      </c>
      <c r="F138" s="630">
        <v>1</v>
      </c>
      <c r="G138" s="629">
        <v>11.662265</v>
      </c>
      <c r="H138" s="631">
        <v>0.38819999999999999</v>
      </c>
      <c r="I138" s="635"/>
      <c r="J138" s="631">
        <v>0.51060000000000005</v>
      </c>
      <c r="K138" s="635"/>
      <c r="L138" s="629">
        <v>16.711001</v>
      </c>
      <c r="M138" s="631">
        <v>1.4329121315627795</v>
      </c>
      <c r="N138" s="629">
        <v>2.3114270000000001</v>
      </c>
      <c r="O138" s="632"/>
      <c r="P138" s="385"/>
      <c r="Q138" s="384"/>
    </row>
    <row r="139" spans="2:17" s="327" customFormat="1" ht="20.100000000000001" customHeight="1" x14ac:dyDescent="0.2">
      <c r="B139" s="1222"/>
      <c r="C139" s="628" t="s">
        <v>407</v>
      </c>
      <c r="D139" s="629">
        <v>10.652615000000001</v>
      </c>
      <c r="E139" s="629">
        <v>0.13228699999999999</v>
      </c>
      <c r="F139" s="630">
        <v>0.71650000000000003</v>
      </c>
      <c r="G139" s="629">
        <v>10.747401999999999</v>
      </c>
      <c r="H139" s="631">
        <v>1</v>
      </c>
      <c r="I139" s="635"/>
      <c r="J139" s="631">
        <v>0.73750000000000004</v>
      </c>
      <c r="K139" s="635"/>
      <c r="L139" s="629">
        <v>0.50864600000000004</v>
      </c>
      <c r="M139" s="631">
        <v>4.7327344785279279E-2</v>
      </c>
      <c r="N139" s="629">
        <v>7.9264789999999996</v>
      </c>
      <c r="O139" s="877">
        <v>-5.8066259999999996</v>
      </c>
      <c r="P139" s="385"/>
      <c r="Q139" s="384"/>
    </row>
    <row r="140" spans="2:17" s="387" customFormat="1" ht="20.100000000000001" customHeight="1" x14ac:dyDescent="0.25">
      <c r="B140" s="1224" t="s">
        <v>3612</v>
      </c>
      <c r="C140" s="1224"/>
      <c r="D140" s="624">
        <v>1652.532125</v>
      </c>
      <c r="E140" s="624">
        <v>89.922026000000002</v>
      </c>
      <c r="F140" s="625">
        <v>0.98926848022752811</v>
      </c>
      <c r="G140" s="624">
        <v>1741.4891510000002</v>
      </c>
      <c r="H140" s="626">
        <v>1.9443895466621827E-2</v>
      </c>
      <c r="I140" s="636"/>
      <c r="J140" s="627">
        <v>0.51019999999999999</v>
      </c>
      <c r="K140" s="636"/>
      <c r="L140" s="624">
        <v>813.110456</v>
      </c>
      <c r="M140" s="625">
        <v>0.46690526641127489</v>
      </c>
      <c r="N140" s="624">
        <v>19.717700999999998</v>
      </c>
      <c r="O140" s="878">
        <v>-5.8066259999999996</v>
      </c>
    </row>
    <row r="141" spans="2:17" s="274" customFormat="1" ht="20.100000000000001" customHeight="1" x14ac:dyDescent="0.25">
      <c r="B141" s="1224" t="s">
        <v>1034</v>
      </c>
      <c r="C141" s="1224"/>
      <c r="D141" s="624">
        <v>126616.18112499999</v>
      </c>
      <c r="E141" s="624">
        <v>9637.231029999999</v>
      </c>
      <c r="F141" s="625">
        <v>0.83726763018153116</v>
      </c>
      <c r="G141" s="624">
        <v>134685.122711</v>
      </c>
      <c r="H141" s="626">
        <v>1.6541782987894476E-2</v>
      </c>
      <c r="I141" s="636"/>
      <c r="J141" s="627">
        <v>0.22750000000000001</v>
      </c>
      <c r="K141" s="636"/>
      <c r="L141" s="624">
        <v>41249.972912999998</v>
      </c>
      <c r="M141" s="625">
        <v>0.30626970583463731</v>
      </c>
      <c r="N141" s="624">
        <v>613.24375000000009</v>
      </c>
      <c r="O141" s="876">
        <v>-118.253918</v>
      </c>
    </row>
    <row r="142" spans="2:17" s="327" customFormat="1" ht="20.100000000000001" customHeight="1" x14ac:dyDescent="0.2">
      <c r="D142" s="382"/>
      <c r="E142" s="382"/>
      <c r="G142" s="382"/>
      <c r="H142" s="380"/>
      <c r="J142" s="380"/>
      <c r="K142" s="385"/>
      <c r="L142" s="382"/>
      <c r="M142" s="380"/>
      <c r="N142" s="382"/>
      <c r="O142" s="382"/>
    </row>
    <row r="143" spans="2:17" s="327" customFormat="1" ht="20.100000000000001" customHeight="1" x14ac:dyDescent="0.2">
      <c r="D143" s="382"/>
      <c r="E143" s="382"/>
      <c r="G143" s="382"/>
      <c r="H143" s="380"/>
      <c r="J143" s="380"/>
      <c r="K143" s="385"/>
      <c r="L143" s="382"/>
      <c r="M143" s="380"/>
      <c r="N143" s="382"/>
      <c r="O143" s="382"/>
    </row>
    <row r="144" spans="2:17" s="327" customFormat="1" ht="20.100000000000001" customHeight="1" x14ac:dyDescent="0.2">
      <c r="D144" s="382"/>
      <c r="E144" s="382"/>
      <c r="G144" s="382"/>
      <c r="H144" s="380"/>
      <c r="J144" s="380"/>
      <c r="K144" s="385"/>
      <c r="L144" s="382"/>
      <c r="M144" s="380"/>
      <c r="N144" s="382"/>
      <c r="O144" s="382"/>
    </row>
    <row r="145" spans="2:17" s="299" customFormat="1" ht="57.75" customHeight="1" x14ac:dyDescent="0.25">
      <c r="B145" s="1226" t="s">
        <v>1035</v>
      </c>
      <c r="C145" s="599" t="s">
        <v>3610</v>
      </c>
      <c r="D145" s="614" t="s">
        <v>1017</v>
      </c>
      <c r="E145" s="614" t="s">
        <v>1036</v>
      </c>
      <c r="F145" s="488" t="s">
        <v>1019</v>
      </c>
      <c r="G145" s="614" t="s">
        <v>1020</v>
      </c>
      <c r="H145" s="615" t="s">
        <v>344</v>
      </c>
      <c r="I145" s="488" t="s">
        <v>345</v>
      </c>
      <c r="J145" s="615" t="s">
        <v>346</v>
      </c>
      <c r="K145" s="616" t="s">
        <v>347</v>
      </c>
      <c r="L145" s="614" t="s">
        <v>3516</v>
      </c>
      <c r="M145" s="615" t="s">
        <v>348</v>
      </c>
      <c r="N145" s="614" t="s">
        <v>1023</v>
      </c>
      <c r="O145" s="614" t="s">
        <v>1024</v>
      </c>
    </row>
    <row r="146" spans="2:17" s="300" customFormat="1" ht="20.100000000000001" customHeight="1" x14ac:dyDescent="0.25">
      <c r="B146" s="1226"/>
      <c r="C146" s="530" t="s">
        <v>161</v>
      </c>
      <c r="D146" s="414" t="s">
        <v>162</v>
      </c>
      <c r="E146" s="414" t="s">
        <v>163</v>
      </c>
      <c r="F146" s="400" t="s">
        <v>200</v>
      </c>
      <c r="G146" s="414" t="s">
        <v>201</v>
      </c>
      <c r="H146" s="617" t="s">
        <v>266</v>
      </c>
      <c r="I146" s="400" t="s">
        <v>267</v>
      </c>
      <c r="J146" s="617" t="s">
        <v>268</v>
      </c>
      <c r="K146" s="618" t="s">
        <v>269</v>
      </c>
      <c r="L146" s="414" t="s">
        <v>270</v>
      </c>
      <c r="M146" s="617" t="s">
        <v>271</v>
      </c>
      <c r="N146" s="414" t="s">
        <v>272</v>
      </c>
      <c r="O146" s="414" t="s">
        <v>273</v>
      </c>
    </row>
    <row r="147" spans="2:17" s="387" customFormat="1" ht="20.100000000000001" customHeight="1" x14ac:dyDescent="0.25">
      <c r="B147" s="1223"/>
      <c r="C147" s="1223"/>
      <c r="D147" s="1223"/>
      <c r="E147" s="1223"/>
      <c r="F147" s="1223"/>
      <c r="G147" s="1223"/>
      <c r="H147" s="1223"/>
      <c r="I147" s="1223"/>
      <c r="J147" s="1223"/>
      <c r="K147" s="1223"/>
      <c r="L147" s="1223"/>
      <c r="M147" s="1223"/>
      <c r="N147" s="1223"/>
      <c r="O147" s="1223"/>
    </row>
    <row r="148" spans="2:17" s="327" customFormat="1" ht="20.100000000000001" customHeight="1" x14ac:dyDescent="0.2">
      <c r="B148" s="1222" t="s">
        <v>3603</v>
      </c>
      <c r="C148" s="628" t="s">
        <v>351</v>
      </c>
      <c r="D148" s="629">
        <v>11.282837000000001</v>
      </c>
      <c r="E148" s="629">
        <v>0.81187399999999998</v>
      </c>
      <c r="F148" s="630">
        <v>1</v>
      </c>
      <c r="G148" s="629">
        <v>12.094711</v>
      </c>
      <c r="H148" s="631">
        <v>1.0999999999999999E-2</v>
      </c>
      <c r="I148" s="635"/>
      <c r="J148" s="631">
        <v>0.45</v>
      </c>
      <c r="K148" s="635"/>
      <c r="L148" s="629">
        <v>8.0423019999999994</v>
      </c>
      <c r="M148" s="631">
        <v>0.66494370969260852</v>
      </c>
      <c r="N148" s="629">
        <v>6.0049999999999999E-2</v>
      </c>
      <c r="O148" s="632"/>
      <c r="P148" s="385"/>
      <c r="Q148" s="384"/>
    </row>
    <row r="149" spans="2:17" s="327" customFormat="1" ht="20.100000000000001" customHeight="1" x14ac:dyDescent="0.2">
      <c r="B149" s="1222"/>
      <c r="C149" s="633" t="s">
        <v>1025</v>
      </c>
      <c r="D149" s="629">
        <v>11.282837000000001</v>
      </c>
      <c r="E149" s="629">
        <v>0.81187399999999998</v>
      </c>
      <c r="F149" s="630">
        <v>1</v>
      </c>
      <c r="G149" s="629">
        <v>12.094711</v>
      </c>
      <c r="H149" s="631">
        <v>1.0999999999999999E-2</v>
      </c>
      <c r="I149" s="635"/>
      <c r="J149" s="631">
        <v>0.45</v>
      </c>
      <c r="K149" s="635"/>
      <c r="L149" s="629">
        <v>8.0423019999999994</v>
      </c>
      <c r="M149" s="631">
        <v>0.66494370969260852</v>
      </c>
      <c r="N149" s="629">
        <v>6.0049999999999999E-2</v>
      </c>
      <c r="O149" s="632"/>
      <c r="P149" s="385"/>
      <c r="Q149" s="384"/>
    </row>
    <row r="150" spans="2:17" s="327" customFormat="1" ht="20.100000000000001" customHeight="1" x14ac:dyDescent="0.2">
      <c r="B150" s="1222"/>
      <c r="C150" s="633" t="s">
        <v>1026</v>
      </c>
      <c r="D150" s="629"/>
      <c r="E150" s="629"/>
      <c r="F150" s="630"/>
      <c r="G150" s="629"/>
      <c r="H150" s="631"/>
      <c r="I150" s="635"/>
      <c r="J150" s="631"/>
      <c r="K150" s="635"/>
      <c r="L150" s="629"/>
      <c r="M150" s="631"/>
      <c r="N150" s="629"/>
      <c r="O150" s="632"/>
      <c r="P150" s="385"/>
      <c r="Q150" s="384"/>
    </row>
    <row r="151" spans="2:17" s="327" customFormat="1" ht="20.100000000000001" customHeight="1" x14ac:dyDescent="0.2">
      <c r="B151" s="1222"/>
      <c r="C151" s="628" t="s">
        <v>359</v>
      </c>
      <c r="D151" s="629"/>
      <c r="E151" s="629"/>
      <c r="F151" s="630"/>
      <c r="G151" s="629"/>
      <c r="H151" s="631"/>
      <c r="I151" s="635"/>
      <c r="J151" s="631"/>
      <c r="K151" s="635"/>
      <c r="L151" s="629"/>
      <c r="M151" s="631"/>
      <c r="N151" s="629"/>
      <c r="O151" s="632"/>
      <c r="P151" s="385"/>
      <c r="Q151" s="384"/>
    </row>
    <row r="152" spans="2:17" s="327" customFormat="1" ht="20.100000000000001" customHeight="1" x14ac:dyDescent="0.2">
      <c r="B152" s="1222"/>
      <c r="C152" s="628" t="s">
        <v>367</v>
      </c>
      <c r="D152" s="629"/>
      <c r="E152" s="629"/>
      <c r="F152" s="630"/>
      <c r="G152" s="629"/>
      <c r="H152" s="631"/>
      <c r="I152" s="635"/>
      <c r="J152" s="631"/>
      <c r="K152" s="635"/>
      <c r="L152" s="629"/>
      <c r="M152" s="631"/>
      <c r="N152" s="629"/>
      <c r="O152" s="632"/>
      <c r="P152" s="385"/>
      <c r="Q152" s="384"/>
    </row>
    <row r="153" spans="2:17" s="327" customFormat="1" ht="20.100000000000001" customHeight="1" x14ac:dyDescent="0.2">
      <c r="B153" s="1222"/>
      <c r="C153" s="628" t="s">
        <v>375</v>
      </c>
      <c r="D153" s="629"/>
      <c r="E153" s="629"/>
      <c r="F153" s="630"/>
      <c r="G153" s="629"/>
      <c r="H153" s="631"/>
      <c r="I153" s="635"/>
      <c r="J153" s="631"/>
      <c r="K153" s="635"/>
      <c r="L153" s="629"/>
      <c r="M153" s="631"/>
      <c r="N153" s="629"/>
      <c r="O153" s="632"/>
      <c r="P153" s="385"/>
      <c r="Q153" s="384"/>
    </row>
    <row r="154" spans="2:17" s="327" customFormat="1" ht="20.100000000000001" customHeight="1" x14ac:dyDescent="0.2">
      <c r="B154" s="1222"/>
      <c r="C154" s="628" t="s">
        <v>383</v>
      </c>
      <c r="D154" s="629"/>
      <c r="E154" s="629"/>
      <c r="F154" s="630"/>
      <c r="G154" s="629"/>
      <c r="H154" s="631"/>
      <c r="I154" s="635"/>
      <c r="J154" s="631"/>
      <c r="K154" s="635"/>
      <c r="L154" s="629"/>
      <c r="M154" s="631"/>
      <c r="N154" s="629"/>
      <c r="O154" s="632"/>
      <c r="P154" s="385"/>
      <c r="Q154" s="384"/>
    </row>
    <row r="155" spans="2:17" s="327" customFormat="1" ht="20.100000000000001" customHeight="1" x14ac:dyDescent="0.2">
      <c r="B155" s="1222"/>
      <c r="C155" s="633" t="s">
        <v>1027</v>
      </c>
      <c r="D155" s="629"/>
      <c r="E155" s="629"/>
      <c r="F155" s="630"/>
      <c r="G155" s="629"/>
      <c r="H155" s="631"/>
      <c r="I155" s="635"/>
      <c r="J155" s="631"/>
      <c r="K155" s="635"/>
      <c r="L155" s="629"/>
      <c r="M155" s="631"/>
      <c r="N155" s="629"/>
      <c r="O155" s="632"/>
      <c r="P155" s="385"/>
      <c r="Q155" s="384"/>
    </row>
    <row r="156" spans="2:17" s="327" customFormat="1" ht="20.100000000000001" customHeight="1" x14ac:dyDescent="0.2">
      <c r="B156" s="1222"/>
      <c r="C156" s="633" t="s">
        <v>1028</v>
      </c>
      <c r="D156" s="629"/>
      <c r="E156" s="629"/>
      <c r="F156" s="630"/>
      <c r="G156" s="629"/>
      <c r="H156" s="631"/>
      <c r="I156" s="635"/>
      <c r="J156" s="631"/>
      <c r="K156" s="635"/>
      <c r="L156" s="629"/>
      <c r="M156" s="631"/>
      <c r="N156" s="629"/>
      <c r="O156" s="632"/>
      <c r="P156" s="385"/>
      <c r="Q156" s="384"/>
    </row>
    <row r="157" spans="2:17" s="327" customFormat="1" ht="20.100000000000001" customHeight="1" x14ac:dyDescent="0.2">
      <c r="B157" s="1222"/>
      <c r="C157" s="628" t="s">
        <v>391</v>
      </c>
      <c r="D157" s="629"/>
      <c r="E157" s="629"/>
      <c r="F157" s="630"/>
      <c r="G157" s="629"/>
      <c r="H157" s="631"/>
      <c r="I157" s="635"/>
      <c r="J157" s="631"/>
      <c r="K157" s="635"/>
      <c r="L157" s="629"/>
      <c r="M157" s="631"/>
      <c r="N157" s="629"/>
      <c r="O157" s="632"/>
      <c r="P157" s="385"/>
      <c r="Q157" s="384"/>
    </row>
    <row r="158" spans="2:17" s="327" customFormat="1" ht="20.100000000000001" customHeight="1" x14ac:dyDescent="0.2">
      <c r="B158" s="1222"/>
      <c r="C158" s="633" t="s">
        <v>1029</v>
      </c>
      <c r="D158" s="629"/>
      <c r="E158" s="629"/>
      <c r="F158" s="630"/>
      <c r="G158" s="629"/>
      <c r="H158" s="631"/>
      <c r="I158" s="635"/>
      <c r="J158" s="631"/>
      <c r="K158" s="635"/>
      <c r="L158" s="629"/>
      <c r="M158" s="631"/>
      <c r="N158" s="629"/>
      <c r="O158" s="632"/>
      <c r="P158" s="385"/>
      <c r="Q158" s="384"/>
    </row>
    <row r="159" spans="2:17" s="327" customFormat="1" ht="20.100000000000001" customHeight="1" x14ac:dyDescent="0.2">
      <c r="B159" s="1222"/>
      <c r="C159" s="634" t="s">
        <v>1030</v>
      </c>
      <c r="D159" s="629"/>
      <c r="E159" s="629"/>
      <c r="F159" s="630"/>
      <c r="G159" s="629"/>
      <c r="H159" s="631"/>
      <c r="I159" s="635"/>
      <c r="J159" s="631"/>
      <c r="K159" s="635"/>
      <c r="L159" s="629"/>
      <c r="M159" s="631"/>
      <c r="N159" s="629"/>
      <c r="O159" s="632"/>
      <c r="P159" s="385"/>
      <c r="Q159" s="384"/>
    </row>
    <row r="160" spans="2:17" s="327" customFormat="1" ht="20.100000000000001" customHeight="1" x14ac:dyDescent="0.2">
      <c r="B160" s="1222"/>
      <c r="C160" s="628" t="s">
        <v>399</v>
      </c>
      <c r="D160" s="629"/>
      <c r="E160" s="629"/>
      <c r="F160" s="630"/>
      <c r="G160" s="629"/>
      <c r="H160" s="631"/>
      <c r="I160" s="635"/>
      <c r="J160" s="631"/>
      <c r="K160" s="635"/>
      <c r="L160" s="629"/>
      <c r="M160" s="631"/>
      <c r="N160" s="629"/>
      <c r="O160" s="632"/>
      <c r="P160" s="385"/>
      <c r="Q160" s="384"/>
    </row>
    <row r="161" spans="2:17" s="327" customFormat="1" ht="20.100000000000001" customHeight="1" x14ac:dyDescent="0.2">
      <c r="B161" s="1222"/>
      <c r="C161" s="633" t="s">
        <v>1031</v>
      </c>
      <c r="D161" s="629"/>
      <c r="E161" s="629"/>
      <c r="F161" s="630"/>
      <c r="G161" s="629"/>
      <c r="H161" s="631"/>
      <c r="I161" s="635"/>
      <c r="J161" s="631"/>
      <c r="K161" s="635"/>
      <c r="L161" s="629"/>
      <c r="M161" s="631"/>
      <c r="N161" s="629"/>
      <c r="O161" s="632"/>
      <c r="P161" s="385"/>
      <c r="Q161" s="384"/>
    </row>
    <row r="162" spans="2:17" s="327" customFormat="1" ht="20.100000000000001" customHeight="1" x14ac:dyDescent="0.2">
      <c r="B162" s="1222"/>
      <c r="C162" s="633" t="s">
        <v>1032</v>
      </c>
      <c r="D162" s="629"/>
      <c r="E162" s="629"/>
      <c r="F162" s="630"/>
      <c r="G162" s="629"/>
      <c r="H162" s="631"/>
      <c r="I162" s="635"/>
      <c r="J162" s="631"/>
      <c r="K162" s="635"/>
      <c r="L162" s="629"/>
      <c r="M162" s="631"/>
      <c r="N162" s="629"/>
      <c r="O162" s="632"/>
      <c r="P162" s="385"/>
      <c r="Q162" s="384"/>
    </row>
    <row r="163" spans="2:17" s="327" customFormat="1" ht="20.100000000000001" customHeight="1" x14ac:dyDescent="0.2">
      <c r="B163" s="1222"/>
      <c r="C163" s="633" t="s">
        <v>1033</v>
      </c>
      <c r="D163" s="629"/>
      <c r="E163" s="629"/>
      <c r="F163" s="630"/>
      <c r="G163" s="629"/>
      <c r="H163" s="631"/>
      <c r="I163" s="635"/>
      <c r="J163" s="631"/>
      <c r="K163" s="635"/>
      <c r="L163" s="629"/>
      <c r="M163" s="631"/>
      <c r="N163" s="629"/>
      <c r="O163" s="632"/>
      <c r="P163" s="385"/>
      <c r="Q163" s="384"/>
    </row>
    <row r="164" spans="2:17" s="327" customFormat="1" ht="20.100000000000001" customHeight="1" x14ac:dyDescent="0.2">
      <c r="B164" s="1222"/>
      <c r="C164" s="628" t="s">
        <v>407</v>
      </c>
      <c r="D164" s="629">
        <v>2.1457440000000001</v>
      </c>
      <c r="E164" s="629">
        <v>0</v>
      </c>
      <c r="F164" s="630"/>
      <c r="G164" s="629">
        <v>2.1457440000000001</v>
      </c>
      <c r="H164" s="631">
        <v>1</v>
      </c>
      <c r="I164" s="635"/>
      <c r="J164" s="631">
        <v>0.45</v>
      </c>
      <c r="K164" s="635"/>
      <c r="L164" s="629">
        <v>0</v>
      </c>
      <c r="M164" s="631">
        <v>0</v>
      </c>
      <c r="N164" s="629">
        <v>0.96558500000000003</v>
      </c>
      <c r="O164" s="632"/>
      <c r="P164" s="385"/>
      <c r="Q164" s="384"/>
    </row>
    <row r="165" spans="2:17" s="387" customFormat="1" ht="20.100000000000001" customHeight="1" x14ac:dyDescent="0.25">
      <c r="B165" s="1227" t="s">
        <v>3617</v>
      </c>
      <c r="C165" s="1224"/>
      <c r="D165" s="624">
        <v>13.428581000000001</v>
      </c>
      <c r="E165" s="624">
        <v>0.81187399999999998</v>
      </c>
      <c r="F165" s="625">
        <v>0.99999999999999944</v>
      </c>
      <c r="G165" s="624">
        <v>14.240455000000001</v>
      </c>
      <c r="H165" s="626">
        <v>0.16002198110945193</v>
      </c>
      <c r="I165" s="636"/>
      <c r="J165" s="627">
        <v>0.45</v>
      </c>
      <c r="K165" s="636"/>
      <c r="L165" s="624">
        <v>8.0423019999999994</v>
      </c>
      <c r="M165" s="625">
        <v>0.56475035383349748</v>
      </c>
      <c r="N165" s="624">
        <v>1.0256350000000001</v>
      </c>
      <c r="O165" s="624"/>
    </row>
    <row r="166" spans="2:17" s="387" customFormat="1" ht="20.100000000000001" customHeight="1" x14ac:dyDescent="0.25">
      <c r="B166" s="1224" t="s">
        <v>3618</v>
      </c>
      <c r="C166" s="1224"/>
      <c r="D166" s="624">
        <v>13.428581000000001</v>
      </c>
      <c r="E166" s="624">
        <v>0.81187399999999998</v>
      </c>
      <c r="F166" s="625">
        <v>0.99999999999999944</v>
      </c>
      <c r="G166" s="624">
        <v>14.240455000000001</v>
      </c>
      <c r="H166" s="626">
        <v>0.16002198110945193</v>
      </c>
      <c r="I166" s="636"/>
      <c r="J166" s="627">
        <v>0.45</v>
      </c>
      <c r="K166" s="636"/>
      <c r="L166" s="624">
        <v>8.0423019999999994</v>
      </c>
      <c r="M166" s="625">
        <v>0.56475035383349748</v>
      </c>
      <c r="N166" s="624">
        <v>1.0256350000000001</v>
      </c>
      <c r="O166" s="624"/>
    </row>
    <row r="167" spans="2:17" x14ac:dyDescent="0.2">
      <c r="B167" s="328"/>
      <c r="C167" s="328"/>
      <c r="K167" s="386"/>
      <c r="Q167" s="384"/>
    </row>
    <row r="168" spans="2:17" x14ac:dyDescent="0.2">
      <c r="K168" s="386"/>
      <c r="Q168" s="384"/>
    </row>
    <row r="169" spans="2:17" x14ac:dyDescent="0.2">
      <c r="K169" s="386"/>
      <c r="Q169" s="384"/>
    </row>
    <row r="170" spans="2:17" x14ac:dyDescent="0.2">
      <c r="K170" s="386"/>
      <c r="Q170" s="384"/>
    </row>
    <row r="171" spans="2:17" x14ac:dyDescent="0.2">
      <c r="K171" s="386"/>
      <c r="Q171" s="384"/>
    </row>
    <row r="172" spans="2:17" x14ac:dyDescent="0.2">
      <c r="K172" s="386"/>
      <c r="Q172" s="384"/>
    </row>
    <row r="173" spans="2:17" x14ac:dyDescent="0.2">
      <c r="K173" s="386"/>
      <c r="Q173" s="384"/>
    </row>
    <row r="174" spans="2:17" x14ac:dyDescent="0.2">
      <c r="K174" s="386"/>
      <c r="Q174" s="384"/>
    </row>
    <row r="175" spans="2:17" x14ac:dyDescent="0.2">
      <c r="K175" s="386"/>
      <c r="Q175" s="384"/>
    </row>
    <row r="176" spans="2:17" x14ac:dyDescent="0.2">
      <c r="K176" s="386"/>
      <c r="Q176" s="384"/>
    </row>
    <row r="177" spans="11:17" x14ac:dyDescent="0.2">
      <c r="K177" s="386"/>
      <c r="Q177" s="384"/>
    </row>
    <row r="178" spans="11:17" x14ac:dyDescent="0.2">
      <c r="K178" s="386"/>
      <c r="Q178" s="384"/>
    </row>
    <row r="179" spans="11:17" x14ac:dyDescent="0.2">
      <c r="K179" s="386"/>
      <c r="Q179" s="384"/>
    </row>
    <row r="180" spans="11:17" x14ac:dyDescent="0.2">
      <c r="K180" s="386"/>
      <c r="Q180" s="384"/>
    </row>
    <row r="181" spans="11:17" x14ac:dyDescent="0.2">
      <c r="K181" s="386"/>
      <c r="Q181" s="384"/>
    </row>
    <row r="182" spans="11:17" x14ac:dyDescent="0.2">
      <c r="K182" s="386"/>
      <c r="Q182" s="384"/>
    </row>
    <row r="183" spans="11:17" x14ac:dyDescent="0.2">
      <c r="K183" s="386"/>
      <c r="Q183" s="384"/>
    </row>
  </sheetData>
  <sheetProtection algorithmName="SHA-512" hashValue="UlsMydXCfjif9jdzvcYYgXV9lV/Wf4+/pcmozuPxJJMox3pqA+Y8vLQAINS99E6/kCDR2cCv49lvHNECuh8INg==" saltValue="MLWVHSMdW5qu8gUL0Webow==" spinCount="100000" sheet="1" objects="1" scenarios="1"/>
  <mergeCells count="28">
    <mergeCell ref="B8:O8"/>
    <mergeCell ref="B66:B82"/>
    <mergeCell ref="B166:C166"/>
    <mergeCell ref="B6:B7"/>
    <mergeCell ref="B26:C26"/>
    <mergeCell ref="B145:B146"/>
    <mergeCell ref="B165:C165"/>
    <mergeCell ref="B45:C45"/>
    <mergeCell ref="B64:C64"/>
    <mergeCell ref="B83:C83"/>
    <mergeCell ref="B102:C102"/>
    <mergeCell ref="B121:C121"/>
    <mergeCell ref="B140:C140"/>
    <mergeCell ref="B141:C141"/>
    <mergeCell ref="B122:O122"/>
    <mergeCell ref="B147:O147"/>
    <mergeCell ref="B65:O65"/>
    <mergeCell ref="B46:O46"/>
    <mergeCell ref="B27:O27"/>
    <mergeCell ref="B9:B25"/>
    <mergeCell ref="B47:B63"/>
    <mergeCell ref="B28:B44"/>
    <mergeCell ref="B104:B120"/>
    <mergeCell ref="B123:B139"/>
    <mergeCell ref="B148:B164"/>
    <mergeCell ref="B84:O84"/>
    <mergeCell ref="B103:O103"/>
    <mergeCell ref="B85:B101"/>
  </mergeCells>
  <hyperlinks>
    <hyperlink ref="B2" location="Contents!A1" display="Back to Contents page" xr:uid="{BAEB9B1A-8146-4A28-A8A9-411D10F1E5A2}"/>
  </hyperlinks>
  <pageMargins left="0.7" right="0.7" top="0.75" bottom="0.75" header="0.3" footer="0.3"/>
  <pageSetup paperSize="9" scale="30" orientation="portrait" horizontalDpi="144" verticalDpi="144" r:id="rId1"/>
  <colBreaks count="1" manualBreakCount="1">
    <brk id="19"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fitToPage="1"/>
  </sheetPr>
  <dimension ref="B2:J36"/>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271" customWidth="1"/>
    <col min="2" max="2" width="6.44140625" style="271" customWidth="1"/>
    <col min="3" max="3" width="49.6640625" style="271" customWidth="1"/>
    <col min="4" max="8" width="12" style="271" customWidth="1"/>
    <col min="9" max="16384" width="9.21875" style="271"/>
  </cols>
  <sheetData>
    <row r="2" spans="2:10" ht="15" x14ac:dyDescent="0.25">
      <c r="B2" s="940" t="s">
        <v>3521</v>
      </c>
    </row>
    <row r="3" spans="2:10" x14ac:dyDescent="0.2">
      <c r="B3" s="282"/>
      <c r="C3" s="317"/>
      <c r="D3" s="317"/>
      <c r="E3" s="282"/>
      <c r="F3" s="282"/>
      <c r="G3" s="282"/>
      <c r="H3" s="282"/>
      <c r="I3" s="282"/>
    </row>
    <row r="4" spans="2:10" ht="21" x14ac:dyDescent="0.35">
      <c r="B4" s="369" t="s">
        <v>1037</v>
      </c>
    </row>
    <row r="5" spans="2:10" x14ac:dyDescent="0.2">
      <c r="B5" s="272"/>
      <c r="C5" s="272"/>
      <c r="D5" s="272"/>
      <c r="E5" s="272"/>
      <c r="F5" s="272"/>
    </row>
    <row r="6" spans="2:10" x14ac:dyDescent="0.2">
      <c r="B6" s="282"/>
      <c r="C6" s="282"/>
      <c r="D6" s="282"/>
      <c r="E6" s="299"/>
      <c r="F6" s="299"/>
      <c r="J6" s="282"/>
    </row>
    <row r="7" spans="2:10" ht="98.25" customHeight="1" x14ac:dyDescent="0.2">
      <c r="B7" s="274"/>
      <c r="C7" s="274"/>
      <c r="D7" s="411" t="s">
        <v>1038</v>
      </c>
      <c r="E7" s="411" t="s">
        <v>1039</v>
      </c>
      <c r="F7" s="411" t="s">
        <v>1040</v>
      </c>
      <c r="G7" s="411" t="s">
        <v>1041</v>
      </c>
      <c r="H7" s="411" t="s">
        <v>1042</v>
      </c>
    </row>
    <row r="8" spans="2:10" ht="20.100000000000001" customHeight="1" x14ac:dyDescent="0.2">
      <c r="B8" s="274"/>
      <c r="C8" s="274"/>
      <c r="D8" s="411" t="s">
        <v>161</v>
      </c>
      <c r="E8" s="411" t="s">
        <v>162</v>
      </c>
      <c r="F8" s="411" t="s">
        <v>163</v>
      </c>
      <c r="G8" s="411" t="s">
        <v>201</v>
      </c>
      <c r="H8" s="411" t="s">
        <v>201</v>
      </c>
    </row>
    <row r="9" spans="2:10" ht="20.100000000000001" customHeight="1" x14ac:dyDescent="0.2">
      <c r="B9" s="638">
        <v>1</v>
      </c>
      <c r="C9" s="456" t="s">
        <v>330</v>
      </c>
      <c r="D9" s="621"/>
      <c r="E9" s="523">
        <v>8200.4319919999998</v>
      </c>
      <c r="F9" s="640">
        <v>1</v>
      </c>
      <c r="G9" s="640"/>
      <c r="H9" s="640"/>
    </row>
    <row r="10" spans="2:10" ht="20.100000000000001" customHeight="1" x14ac:dyDescent="0.2">
      <c r="B10" s="638" t="s">
        <v>3584</v>
      </c>
      <c r="C10" s="639" t="s">
        <v>1043</v>
      </c>
      <c r="D10" s="641"/>
      <c r="E10" s="523">
        <v>3906.643669</v>
      </c>
      <c r="F10" s="640">
        <v>1</v>
      </c>
      <c r="G10" s="640"/>
      <c r="H10" s="640"/>
    </row>
    <row r="11" spans="2:10" ht="20.100000000000001" customHeight="1" x14ac:dyDescent="0.2">
      <c r="B11" s="638" t="s">
        <v>3585</v>
      </c>
      <c r="C11" s="639" t="s">
        <v>1044</v>
      </c>
      <c r="D11" s="641"/>
      <c r="E11" s="523">
        <v>468.91081700000001</v>
      </c>
      <c r="F11" s="640">
        <v>1</v>
      </c>
      <c r="G11" s="640"/>
      <c r="H11" s="640"/>
    </row>
    <row r="12" spans="2:10" ht="20.100000000000001" customHeight="1" x14ac:dyDescent="0.2">
      <c r="B12" s="638">
        <v>2</v>
      </c>
      <c r="C12" s="456" t="s">
        <v>335</v>
      </c>
      <c r="D12" s="621"/>
      <c r="E12" s="523">
        <v>4677.0135039999996</v>
      </c>
      <c r="F12" s="640">
        <v>1</v>
      </c>
      <c r="G12" s="640"/>
      <c r="H12" s="640"/>
    </row>
    <row r="13" spans="2:10" ht="20.100000000000001" customHeight="1" x14ac:dyDescent="0.2">
      <c r="B13" s="638">
        <v>3</v>
      </c>
      <c r="C13" s="456" t="s">
        <v>336</v>
      </c>
      <c r="D13" s="523">
        <v>41455.423393999998</v>
      </c>
      <c r="E13" s="523">
        <v>52003.351922000002</v>
      </c>
      <c r="F13" s="640">
        <v>0.20280000000000001</v>
      </c>
      <c r="G13" s="640"/>
      <c r="H13" s="640">
        <v>0.79720000000000002</v>
      </c>
    </row>
    <row r="14" spans="2:10" ht="20.100000000000001" customHeight="1" x14ac:dyDescent="0.2">
      <c r="B14" s="638" t="s">
        <v>3586</v>
      </c>
      <c r="C14" s="639" t="s">
        <v>1045</v>
      </c>
      <c r="D14" s="641"/>
      <c r="E14" s="523">
        <v>29453.531255000002</v>
      </c>
      <c r="F14" s="640"/>
      <c r="G14" s="640"/>
      <c r="H14" s="640">
        <v>1</v>
      </c>
    </row>
    <row r="15" spans="2:10" ht="20.100000000000001" customHeight="1" x14ac:dyDescent="0.2">
      <c r="B15" s="638" t="s">
        <v>3587</v>
      </c>
      <c r="C15" s="639" t="s">
        <v>1046</v>
      </c>
      <c r="D15" s="641"/>
      <c r="E15" s="523">
        <v>29453.531255000002</v>
      </c>
      <c r="F15" s="640"/>
      <c r="G15" s="640"/>
      <c r="H15" s="640">
        <v>1</v>
      </c>
    </row>
    <row r="16" spans="2:10" ht="20.100000000000001" customHeight="1" x14ac:dyDescent="0.2">
      <c r="B16" s="638" t="s">
        <v>3583</v>
      </c>
      <c r="C16" s="639" t="s">
        <v>3593</v>
      </c>
      <c r="D16" s="641"/>
      <c r="E16" s="523">
        <v>9784.7116399999995</v>
      </c>
      <c r="F16" s="640"/>
      <c r="G16" s="640"/>
      <c r="H16" s="640">
        <v>1</v>
      </c>
    </row>
    <row r="17" spans="2:8" ht="20.100000000000001" customHeight="1" x14ac:dyDescent="0.2">
      <c r="B17" s="638">
        <v>4</v>
      </c>
      <c r="C17" s="456" t="s">
        <v>337</v>
      </c>
      <c r="D17" s="523">
        <v>94812.229216000007</v>
      </c>
      <c r="E17" s="523">
        <v>105725.437911</v>
      </c>
      <c r="F17" s="464">
        <v>0.1032</v>
      </c>
      <c r="G17" s="464"/>
      <c r="H17" s="464">
        <v>0.89680000000000004</v>
      </c>
    </row>
    <row r="18" spans="2:8" ht="20.100000000000001" customHeight="1" x14ac:dyDescent="0.2">
      <c r="B18" s="638" t="s">
        <v>3588</v>
      </c>
      <c r="C18" s="639" t="s">
        <v>1047</v>
      </c>
      <c r="D18" s="641"/>
      <c r="E18" s="523">
        <v>2767.0783580000002</v>
      </c>
      <c r="F18" s="464"/>
      <c r="G18" s="464"/>
      <c r="H18" s="464">
        <v>1</v>
      </c>
    </row>
    <row r="19" spans="2:8" ht="20.100000000000001" customHeight="1" x14ac:dyDescent="0.2">
      <c r="B19" s="638" t="s">
        <v>3589</v>
      </c>
      <c r="C19" s="639" t="s">
        <v>1048</v>
      </c>
      <c r="D19" s="641"/>
      <c r="E19" s="523">
        <v>90130.668552000003</v>
      </c>
      <c r="F19" s="464"/>
      <c r="G19" s="464"/>
      <c r="H19" s="464">
        <v>1</v>
      </c>
    </row>
    <row r="20" spans="2:8" ht="20.100000000000001" customHeight="1" x14ac:dyDescent="0.2">
      <c r="B20" s="638" t="s">
        <v>3590</v>
      </c>
      <c r="C20" s="639" t="s">
        <v>1049</v>
      </c>
      <c r="D20" s="641"/>
      <c r="E20" s="642"/>
      <c r="F20" s="464"/>
      <c r="G20" s="464"/>
      <c r="H20" s="464"/>
    </row>
    <row r="21" spans="2:8" ht="20.100000000000001" customHeight="1" x14ac:dyDescent="0.2">
      <c r="B21" s="638" t="s">
        <v>3591</v>
      </c>
      <c r="C21" s="639" t="s">
        <v>1050</v>
      </c>
      <c r="D21" s="641"/>
      <c r="E21" s="523">
        <v>172.028155</v>
      </c>
      <c r="F21" s="464"/>
      <c r="G21" s="464"/>
      <c r="H21" s="464">
        <v>1</v>
      </c>
    </row>
    <row r="22" spans="2:8" ht="20.100000000000001" customHeight="1" x14ac:dyDescent="0.2">
      <c r="B22" s="638" t="s">
        <v>3592</v>
      </c>
      <c r="C22" s="639" t="s">
        <v>1051</v>
      </c>
      <c r="D22" s="641"/>
      <c r="E22" s="523">
        <v>1742.4541509999999</v>
      </c>
      <c r="F22" s="464"/>
      <c r="G22" s="464"/>
      <c r="H22" s="464">
        <v>1</v>
      </c>
    </row>
    <row r="23" spans="2:8" ht="20.100000000000001" customHeight="1" x14ac:dyDescent="0.2">
      <c r="B23" s="638">
        <v>5</v>
      </c>
      <c r="C23" s="456" t="s">
        <v>1009</v>
      </c>
      <c r="D23" s="523">
        <v>457.01393999999999</v>
      </c>
      <c r="E23" s="523">
        <v>3152.415544</v>
      </c>
      <c r="F23" s="464">
        <v>0.85499999999999998</v>
      </c>
      <c r="G23" s="464"/>
      <c r="H23" s="464">
        <v>0.14499999999999999</v>
      </c>
    </row>
    <row r="24" spans="2:8" ht="20.100000000000001" customHeight="1" x14ac:dyDescent="0.2">
      <c r="B24" s="638">
        <v>6</v>
      </c>
      <c r="C24" s="456" t="s">
        <v>1052</v>
      </c>
      <c r="D24" s="642"/>
      <c r="E24" s="642"/>
      <c r="F24" s="464"/>
      <c r="G24" s="464"/>
      <c r="H24" s="464"/>
    </row>
    <row r="25" spans="2:8" ht="20.100000000000001" customHeight="1" x14ac:dyDescent="0.2">
      <c r="B25" s="491">
        <v>7</v>
      </c>
      <c r="C25" s="491" t="s">
        <v>1053</v>
      </c>
      <c r="D25" s="879">
        <v>136724.66654999999</v>
      </c>
      <c r="E25" s="879">
        <v>173758.65087300001</v>
      </c>
      <c r="F25" s="880">
        <v>0.21310000000000001</v>
      </c>
      <c r="G25" s="880"/>
      <c r="H25" s="880">
        <v>0.78690000000000004</v>
      </c>
    </row>
    <row r="36" spans="5:5" x14ac:dyDescent="0.2">
      <c r="E36" s="254"/>
    </row>
  </sheetData>
  <sheetProtection algorithmName="SHA-512" hashValue="Ln2iaGMWKowBTCnOF4MlQGcEVUHUxU3bE0eUsW0TD1p9CyKvUl3KAE/iQRWjeVZckIqMDBpNfLhTMD9CyvtJ7Q==" saltValue="fXoei+E2wVfg5hyE1gu47w==" spinCount="100000" sheet="1" objects="1" scenarios="1"/>
  <hyperlinks>
    <hyperlink ref="B2" location="Contents!A1" display="Back to Contents page" xr:uid="{7F8AA398-276C-4FBF-8BF4-62B48A30BA51}"/>
  </hyperlinks>
  <pageMargins left="0.7" right="0.7" top="0.75" bottom="0.75" header="0.3" footer="0.3"/>
  <pageSetup paperSize="9" orientation="portrait" horizontalDpi="144" verticalDpi="144"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B2:J26"/>
  <sheetViews>
    <sheetView workbookViewId="0"/>
  </sheetViews>
  <sheetFormatPr baseColWidth="10" defaultColWidth="9.21875" defaultRowHeight="15" x14ac:dyDescent="0.25"/>
  <cols>
    <col min="2" max="2" width="8.44140625" customWidth="1"/>
    <col min="3" max="3" width="51.6640625" customWidth="1"/>
    <col min="4" max="4" width="31.6640625" customWidth="1"/>
    <col min="5" max="5" width="30.44140625" customWidth="1"/>
  </cols>
  <sheetData>
    <row r="2" spans="2:10" ht="20.25" x14ac:dyDescent="0.3">
      <c r="B2" s="1" t="s">
        <v>1054</v>
      </c>
      <c r="C2" s="51"/>
      <c r="D2" s="51"/>
      <c r="E2" s="51"/>
      <c r="F2" s="50"/>
      <c r="G2" s="50"/>
      <c r="H2" s="50"/>
      <c r="I2" s="50"/>
      <c r="J2" s="50"/>
    </row>
    <row r="4" spans="2:10" x14ac:dyDescent="0.25">
      <c r="B4" s="52"/>
      <c r="C4" s="52"/>
      <c r="D4" s="52"/>
      <c r="E4" s="52"/>
    </row>
    <row r="5" spans="2:10" x14ac:dyDescent="0.25">
      <c r="B5" s="2"/>
      <c r="C5" s="2"/>
      <c r="D5" s="3"/>
      <c r="E5" s="3"/>
    </row>
    <row r="6" spans="2:10" ht="21" x14ac:dyDescent="0.25">
      <c r="B6" s="2"/>
      <c r="C6" s="2"/>
      <c r="D6" s="53" t="s">
        <v>1055</v>
      </c>
      <c r="E6" s="53" t="s">
        <v>1056</v>
      </c>
    </row>
    <row r="7" spans="2:10" x14ac:dyDescent="0.25">
      <c r="B7" s="1228"/>
      <c r="C7" s="1228"/>
      <c r="D7" s="168" t="s">
        <v>161</v>
      </c>
      <c r="E7" s="168" t="s">
        <v>162</v>
      </c>
    </row>
    <row r="8" spans="2:10" ht="30" x14ac:dyDescent="0.25">
      <c r="B8" s="55">
        <v>1</v>
      </c>
      <c r="C8" s="56" t="s">
        <v>1057</v>
      </c>
      <c r="D8" s="211" t="s">
        <v>1058</v>
      </c>
      <c r="E8" s="211" t="s">
        <v>1059</v>
      </c>
    </row>
    <row r="9" spans="2:10" ht="30" x14ac:dyDescent="0.25">
      <c r="B9" s="55">
        <v>2</v>
      </c>
      <c r="C9" s="55" t="s">
        <v>1060</v>
      </c>
      <c r="D9" s="211" t="s">
        <v>1061</v>
      </c>
      <c r="E9" s="211" t="s">
        <v>1062</v>
      </c>
    </row>
    <row r="10" spans="2:10" ht="30" x14ac:dyDescent="0.25">
      <c r="B10" s="55">
        <v>3</v>
      </c>
      <c r="C10" s="55" t="s">
        <v>335</v>
      </c>
      <c r="D10" s="211" t="s">
        <v>1063</v>
      </c>
      <c r="E10" s="211" t="s">
        <v>1064</v>
      </c>
    </row>
    <row r="11" spans="2:10" ht="30" x14ac:dyDescent="0.25">
      <c r="B11" s="55">
        <v>4</v>
      </c>
      <c r="C11" s="55" t="s">
        <v>1065</v>
      </c>
      <c r="D11" s="211" t="s">
        <v>1066</v>
      </c>
      <c r="E11" s="211" t="s">
        <v>1067</v>
      </c>
    </row>
    <row r="12" spans="2:10" ht="30" x14ac:dyDescent="0.25">
      <c r="B12" s="54">
        <v>4.0999999999999996</v>
      </c>
      <c r="C12" s="54" t="s">
        <v>1068</v>
      </c>
      <c r="D12" s="211" t="s">
        <v>1069</v>
      </c>
      <c r="E12" s="211" t="s">
        <v>1070</v>
      </c>
    </row>
    <row r="13" spans="2:10" ht="30" x14ac:dyDescent="0.25">
      <c r="B13" s="54">
        <v>4.2</v>
      </c>
      <c r="C13" s="54" t="s">
        <v>1071</v>
      </c>
      <c r="D13" s="211" t="s">
        <v>1072</v>
      </c>
      <c r="E13" s="211" t="s">
        <v>1073</v>
      </c>
    </row>
    <row r="14" spans="2:10" ht="30" x14ac:dyDescent="0.25">
      <c r="B14" s="55">
        <v>5</v>
      </c>
      <c r="C14" s="56" t="s">
        <v>1074</v>
      </c>
      <c r="D14" s="211" t="s">
        <v>1075</v>
      </c>
      <c r="E14" s="211" t="s">
        <v>1076</v>
      </c>
    </row>
    <row r="15" spans="2:10" ht="30" x14ac:dyDescent="0.25">
      <c r="B15" s="55">
        <v>6</v>
      </c>
      <c r="C15" s="55" t="s">
        <v>1060</v>
      </c>
      <c r="D15" s="211" t="s">
        <v>1077</v>
      </c>
      <c r="E15" s="211" t="s">
        <v>1078</v>
      </c>
    </row>
    <row r="16" spans="2:10" ht="30" x14ac:dyDescent="0.25">
      <c r="B16" s="55">
        <v>7</v>
      </c>
      <c r="C16" s="55" t="s">
        <v>335</v>
      </c>
      <c r="D16" s="211" t="s">
        <v>1079</v>
      </c>
      <c r="E16" s="211" t="s">
        <v>1080</v>
      </c>
    </row>
    <row r="17" spans="2:5" ht="30" x14ac:dyDescent="0.25">
      <c r="B17" s="55">
        <v>8</v>
      </c>
      <c r="C17" s="55" t="s">
        <v>1065</v>
      </c>
      <c r="D17" s="211" t="s">
        <v>1081</v>
      </c>
      <c r="E17" s="211" t="s">
        <v>1082</v>
      </c>
    </row>
    <row r="18" spans="2:5" ht="30" x14ac:dyDescent="0.25">
      <c r="B18" s="57">
        <v>8.1</v>
      </c>
      <c r="C18" s="57" t="s">
        <v>1068</v>
      </c>
      <c r="D18" s="211" t="s">
        <v>1083</v>
      </c>
      <c r="E18" s="211" t="s">
        <v>1084</v>
      </c>
    </row>
    <row r="19" spans="2:5" ht="30" x14ac:dyDescent="0.25">
      <c r="B19" s="57">
        <v>8.1999999999999993</v>
      </c>
      <c r="C19" s="57" t="s">
        <v>1071</v>
      </c>
      <c r="D19" s="211" t="s">
        <v>1085</v>
      </c>
      <c r="E19" s="211" t="s">
        <v>1086</v>
      </c>
    </row>
    <row r="20" spans="2:5" ht="30" x14ac:dyDescent="0.25">
      <c r="B20" s="57">
        <v>9</v>
      </c>
      <c r="C20" s="55" t="s">
        <v>337</v>
      </c>
      <c r="D20" s="211" t="s">
        <v>1087</v>
      </c>
      <c r="E20" s="211" t="s">
        <v>1088</v>
      </c>
    </row>
    <row r="21" spans="2:5" ht="30" x14ac:dyDescent="0.25">
      <c r="B21" s="57">
        <v>9.1</v>
      </c>
      <c r="C21" s="57" t="s">
        <v>1089</v>
      </c>
      <c r="D21" s="211" t="s">
        <v>1090</v>
      </c>
      <c r="E21" s="211" t="s">
        <v>1091</v>
      </c>
    </row>
    <row r="22" spans="2:5" ht="30" x14ac:dyDescent="0.25">
      <c r="B22" s="57">
        <v>9.1999999999999993</v>
      </c>
      <c r="C22" s="57" t="s">
        <v>1092</v>
      </c>
      <c r="D22" s="211" t="s">
        <v>1093</v>
      </c>
      <c r="E22" s="211" t="s">
        <v>1094</v>
      </c>
    </row>
    <row r="23" spans="2:5" ht="30" x14ac:dyDescent="0.25">
      <c r="B23" s="57">
        <v>9.3000000000000007</v>
      </c>
      <c r="C23" s="57" t="s">
        <v>1049</v>
      </c>
      <c r="D23" s="211" t="s">
        <v>1095</v>
      </c>
      <c r="E23" s="211" t="s">
        <v>1096</v>
      </c>
    </row>
    <row r="24" spans="2:5" ht="30" x14ac:dyDescent="0.25">
      <c r="B24" s="57">
        <v>9.4</v>
      </c>
      <c r="C24" s="57" t="s">
        <v>1097</v>
      </c>
      <c r="D24" s="211" t="s">
        <v>1098</v>
      </c>
      <c r="E24" s="211" t="s">
        <v>1099</v>
      </c>
    </row>
    <row r="25" spans="2:5" ht="30" x14ac:dyDescent="0.25">
      <c r="B25" s="57">
        <v>9.5</v>
      </c>
      <c r="C25" s="57" t="s">
        <v>1100</v>
      </c>
      <c r="D25" s="211" t="s">
        <v>1101</v>
      </c>
      <c r="E25" s="211" t="s">
        <v>1102</v>
      </c>
    </row>
    <row r="26" spans="2:5" s="29" customFormat="1" x14ac:dyDescent="0.25">
      <c r="B26" s="55">
        <v>10</v>
      </c>
      <c r="C26" s="56" t="s">
        <v>1103</v>
      </c>
      <c r="D26" s="135" t="s">
        <v>1104</v>
      </c>
      <c r="E26" s="135" t="s">
        <v>1104</v>
      </c>
    </row>
  </sheetData>
  <mergeCells count="1">
    <mergeCell ref="B7:C7"/>
  </mergeCells>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autoPageBreaks="0" fitToPage="1"/>
  </sheetPr>
  <dimension ref="A2:V38"/>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254" customWidth="1"/>
    <col min="2" max="2" width="6.33203125" style="254" customWidth="1"/>
    <col min="3" max="3" width="40.33203125" style="254" customWidth="1"/>
    <col min="4" max="4" width="12.44140625" style="254" customWidth="1"/>
    <col min="5" max="7" width="11.33203125" style="254" customWidth="1"/>
    <col min="8" max="13" width="11.5546875" style="254" customWidth="1"/>
    <col min="14" max="15" width="11.88671875" style="254" customWidth="1"/>
    <col min="16" max="17" width="12.44140625" style="254" customWidth="1"/>
    <col min="18" max="18" width="16.77734375" style="254" customWidth="1"/>
    <col min="19" max="16384" width="9.21875" style="254"/>
  </cols>
  <sheetData>
    <row r="2" spans="1:22" ht="15" x14ac:dyDescent="0.25">
      <c r="B2" s="940" t="s">
        <v>3521</v>
      </c>
    </row>
    <row r="3" spans="1:22" x14ac:dyDescent="0.2">
      <c r="V3" s="255"/>
    </row>
    <row r="4" spans="1:22" ht="21" x14ac:dyDescent="0.35">
      <c r="B4" s="369" t="s">
        <v>1105</v>
      </c>
    </row>
    <row r="6" spans="1:22" x14ac:dyDescent="0.2">
      <c r="C6" s="326"/>
    </row>
    <row r="7" spans="1:22" ht="24.95" customHeight="1" x14ac:dyDescent="0.2">
      <c r="B7" s="1234" t="s">
        <v>1016</v>
      </c>
      <c r="C7" s="1235"/>
      <c r="D7" s="1230" t="s">
        <v>1106</v>
      </c>
      <c r="E7" s="1229" t="s">
        <v>1107</v>
      </c>
      <c r="F7" s="1229"/>
      <c r="G7" s="1229"/>
      <c r="H7" s="1229"/>
      <c r="I7" s="1229"/>
      <c r="J7" s="1229"/>
      <c r="K7" s="1229"/>
      <c r="L7" s="1229"/>
      <c r="M7" s="1229"/>
      <c r="N7" s="1229"/>
      <c r="O7" s="1229"/>
      <c r="P7" s="1229" t="s">
        <v>1108</v>
      </c>
      <c r="Q7" s="1229"/>
    </row>
    <row r="8" spans="1:22" ht="24.95" customHeight="1" x14ac:dyDescent="0.2">
      <c r="B8" s="1234"/>
      <c r="C8" s="1235"/>
      <c r="D8" s="1237"/>
      <c r="E8" s="1229" t="s">
        <v>3648</v>
      </c>
      <c r="F8" s="1229"/>
      <c r="G8" s="1229"/>
      <c r="H8" s="1229"/>
      <c r="I8" s="1229"/>
      <c r="J8" s="1229"/>
      <c r="K8" s="1229"/>
      <c r="L8" s="1229"/>
      <c r="M8" s="1229"/>
      <c r="N8" s="1229" t="s">
        <v>3647</v>
      </c>
      <c r="O8" s="1229"/>
      <c r="P8" s="1229" t="s">
        <v>3639</v>
      </c>
      <c r="Q8" s="1229" t="s">
        <v>3640</v>
      </c>
    </row>
    <row r="9" spans="1:22" s="264" customFormat="1" x14ac:dyDescent="0.2">
      <c r="A9" s="254"/>
      <c r="B9" s="1234"/>
      <c r="C9" s="1235"/>
      <c r="D9" s="1237"/>
      <c r="E9" s="1229" t="s">
        <v>3651</v>
      </c>
      <c r="F9" s="1231" t="s">
        <v>3652</v>
      </c>
      <c r="G9" s="252"/>
      <c r="H9" s="252"/>
      <c r="I9" s="252"/>
      <c r="J9" s="1232" t="s">
        <v>3653</v>
      </c>
      <c r="K9" s="252"/>
      <c r="L9" s="252"/>
      <c r="M9" s="252"/>
      <c r="N9" s="1229" t="s">
        <v>3654</v>
      </c>
      <c r="O9" s="1229" t="s">
        <v>3655</v>
      </c>
      <c r="P9" s="1229"/>
      <c r="Q9" s="1229"/>
    </row>
    <row r="10" spans="1:22" s="264" customFormat="1" ht="66.75" customHeight="1" x14ac:dyDescent="0.2">
      <c r="A10" s="254"/>
      <c r="B10" s="1234"/>
      <c r="C10" s="1235"/>
      <c r="D10" s="1238"/>
      <c r="E10" s="1230"/>
      <c r="F10" s="1231"/>
      <c r="G10" s="731" t="s">
        <v>3641</v>
      </c>
      <c r="H10" s="731" t="s">
        <v>3642</v>
      </c>
      <c r="I10" s="732" t="s">
        <v>3643</v>
      </c>
      <c r="J10" s="1233"/>
      <c r="K10" s="731" t="s">
        <v>3644</v>
      </c>
      <c r="L10" s="731" t="s">
        <v>3645</v>
      </c>
      <c r="M10" s="731" t="s">
        <v>3646</v>
      </c>
      <c r="N10" s="1230"/>
      <c r="O10" s="1230"/>
      <c r="P10" s="1230"/>
      <c r="Q10" s="1230"/>
    </row>
    <row r="11" spans="1:22" s="264" customFormat="1" ht="20.100000000000001" customHeight="1" x14ac:dyDescent="0.2">
      <c r="A11" s="254"/>
      <c r="B11" s="1236"/>
      <c r="C11" s="1236"/>
      <c r="D11" s="613" t="s">
        <v>161</v>
      </c>
      <c r="E11" s="613" t="s">
        <v>162</v>
      </c>
      <c r="F11" s="613" t="s">
        <v>163</v>
      </c>
      <c r="G11" s="613" t="s">
        <v>200</v>
      </c>
      <c r="H11" s="613" t="s">
        <v>201</v>
      </c>
      <c r="I11" s="613" t="s">
        <v>266</v>
      </c>
      <c r="J11" s="613" t="s">
        <v>267</v>
      </c>
      <c r="K11" s="613" t="s">
        <v>268</v>
      </c>
      <c r="L11" s="613" t="s">
        <v>269</v>
      </c>
      <c r="M11" s="613" t="s">
        <v>270</v>
      </c>
      <c r="N11" s="613" t="s">
        <v>271</v>
      </c>
      <c r="O11" s="613" t="s">
        <v>272</v>
      </c>
      <c r="P11" s="482" t="s">
        <v>273</v>
      </c>
      <c r="Q11" s="482" t="s">
        <v>897</v>
      </c>
    </row>
    <row r="12" spans="1:22" ht="20.100000000000001" customHeight="1" x14ac:dyDescent="0.2">
      <c r="B12" s="653">
        <v>1</v>
      </c>
      <c r="C12" s="654" t="s">
        <v>1060</v>
      </c>
      <c r="D12" s="421"/>
      <c r="E12" s="421"/>
      <c r="F12" s="421"/>
      <c r="G12" s="421"/>
      <c r="H12" s="421"/>
      <c r="I12" s="421"/>
      <c r="J12" s="421"/>
      <c r="K12" s="421"/>
      <c r="L12" s="421"/>
      <c r="M12" s="421"/>
      <c r="N12" s="421"/>
      <c r="O12" s="421"/>
      <c r="P12" s="423"/>
      <c r="Q12" s="423"/>
    </row>
    <row r="13" spans="1:22" ht="20.100000000000001" customHeight="1" x14ac:dyDescent="0.2">
      <c r="B13" s="653">
        <v>2</v>
      </c>
      <c r="C13" s="654" t="s">
        <v>335</v>
      </c>
      <c r="D13" s="421"/>
      <c r="E13" s="421"/>
      <c r="F13" s="421"/>
      <c r="G13" s="421"/>
      <c r="H13" s="421"/>
      <c r="I13" s="421"/>
      <c r="J13" s="421"/>
      <c r="K13" s="421"/>
      <c r="L13" s="421"/>
      <c r="M13" s="421"/>
      <c r="N13" s="421"/>
      <c r="O13" s="421"/>
      <c r="P13" s="423"/>
      <c r="Q13" s="423"/>
    </row>
    <row r="14" spans="1:22" ht="20.100000000000001" customHeight="1" x14ac:dyDescent="0.2">
      <c r="B14" s="655">
        <v>3</v>
      </c>
      <c r="C14" s="654" t="s">
        <v>336</v>
      </c>
      <c r="D14" s="665">
        <v>39882.387825999998</v>
      </c>
      <c r="E14" s="657">
        <v>0</v>
      </c>
      <c r="F14" s="658">
        <v>0.45882880841629176</v>
      </c>
      <c r="G14" s="659">
        <v>0.45882880841629176</v>
      </c>
      <c r="H14" s="657">
        <v>0</v>
      </c>
      <c r="I14" s="657">
        <v>0</v>
      </c>
      <c r="J14" s="657">
        <v>0</v>
      </c>
      <c r="K14" s="657">
        <v>0</v>
      </c>
      <c r="L14" s="657">
        <v>0</v>
      </c>
      <c r="M14" s="657">
        <v>0</v>
      </c>
      <c r="N14" s="657">
        <v>0</v>
      </c>
      <c r="O14" s="657">
        <v>0</v>
      </c>
      <c r="P14" s="665">
        <v>20464.701827000001</v>
      </c>
      <c r="Q14" s="665">
        <v>20464.701827000001</v>
      </c>
    </row>
    <row r="15" spans="1:22" ht="20.100000000000001" customHeight="1" x14ac:dyDescent="0.2">
      <c r="B15" s="644" t="s">
        <v>3586</v>
      </c>
      <c r="C15" s="645" t="s">
        <v>1109</v>
      </c>
      <c r="D15" s="666">
        <v>9121.0788549999997</v>
      </c>
      <c r="E15" s="647">
        <v>0</v>
      </c>
      <c r="F15" s="648">
        <v>0.43845843771076576</v>
      </c>
      <c r="G15" s="649">
        <v>0.43845843771076576</v>
      </c>
      <c r="H15" s="647">
        <v>0</v>
      </c>
      <c r="I15" s="647">
        <v>0</v>
      </c>
      <c r="J15" s="647">
        <v>0</v>
      </c>
      <c r="K15" s="647">
        <v>0</v>
      </c>
      <c r="L15" s="647">
        <v>0</v>
      </c>
      <c r="M15" s="647">
        <v>0</v>
      </c>
      <c r="N15" s="647">
        <v>0</v>
      </c>
      <c r="O15" s="647">
        <v>0</v>
      </c>
      <c r="P15" s="666">
        <v>4887.8658130000003</v>
      </c>
      <c r="Q15" s="666">
        <v>4887.8658130000003</v>
      </c>
    </row>
    <row r="16" spans="1:22" ht="20.100000000000001" customHeight="1" x14ac:dyDescent="0.2">
      <c r="B16" s="644" t="s">
        <v>3587</v>
      </c>
      <c r="C16" s="645" t="s">
        <v>1110</v>
      </c>
      <c r="D16" s="666">
        <v>28798.569781999999</v>
      </c>
      <c r="E16" s="647">
        <v>0</v>
      </c>
      <c r="F16" s="648">
        <v>0.46442384567165657</v>
      </c>
      <c r="G16" s="649">
        <v>0.46442384567165657</v>
      </c>
      <c r="H16" s="647">
        <v>0</v>
      </c>
      <c r="I16" s="647">
        <v>0</v>
      </c>
      <c r="J16" s="647">
        <v>0</v>
      </c>
      <c r="K16" s="647">
        <v>0</v>
      </c>
      <c r="L16" s="647">
        <v>0</v>
      </c>
      <c r="M16" s="647">
        <v>0</v>
      </c>
      <c r="N16" s="647">
        <v>0</v>
      </c>
      <c r="O16" s="647">
        <v>0</v>
      </c>
      <c r="P16" s="666">
        <v>14811.600243000001</v>
      </c>
      <c r="Q16" s="666">
        <v>14811.600243000001</v>
      </c>
    </row>
    <row r="17" spans="1:17" ht="20.100000000000001" customHeight="1" x14ac:dyDescent="0.2">
      <c r="B17" s="644" t="s">
        <v>3583</v>
      </c>
      <c r="C17" s="645" t="s">
        <v>1111</v>
      </c>
      <c r="D17" s="666">
        <v>1962.7391889999999</v>
      </c>
      <c r="E17" s="647">
        <v>0</v>
      </c>
      <c r="F17" s="648">
        <v>0.47139832698372847</v>
      </c>
      <c r="G17" s="649">
        <v>0.47139832698372847</v>
      </c>
      <c r="H17" s="647">
        <v>0</v>
      </c>
      <c r="I17" s="647">
        <v>0</v>
      </c>
      <c r="J17" s="647">
        <v>0</v>
      </c>
      <c r="K17" s="647">
        <v>0</v>
      </c>
      <c r="L17" s="647">
        <v>0</v>
      </c>
      <c r="M17" s="647">
        <v>0</v>
      </c>
      <c r="N17" s="647">
        <v>0</v>
      </c>
      <c r="O17" s="647">
        <v>0</v>
      </c>
      <c r="P17" s="666">
        <v>765.235771</v>
      </c>
      <c r="Q17" s="666">
        <v>765.235771</v>
      </c>
    </row>
    <row r="18" spans="1:17" ht="20.100000000000001" customHeight="1" x14ac:dyDescent="0.2">
      <c r="B18" s="655">
        <v>4</v>
      </c>
      <c r="C18" s="654" t="s">
        <v>337</v>
      </c>
      <c r="D18" s="665">
        <v>94802.734884999998</v>
      </c>
      <c r="E18" s="657">
        <v>0</v>
      </c>
      <c r="F18" s="658">
        <v>0.87983628970389061</v>
      </c>
      <c r="G18" s="659">
        <v>0.87983628970389061</v>
      </c>
      <c r="H18" s="657">
        <v>0</v>
      </c>
      <c r="I18" s="657">
        <v>0</v>
      </c>
      <c r="J18" s="657">
        <v>0</v>
      </c>
      <c r="K18" s="657">
        <v>0</v>
      </c>
      <c r="L18" s="657">
        <v>0</v>
      </c>
      <c r="M18" s="657">
        <v>0</v>
      </c>
      <c r="N18" s="657">
        <v>0</v>
      </c>
      <c r="O18" s="657">
        <v>0</v>
      </c>
      <c r="P18" s="665">
        <v>20785.271086000001</v>
      </c>
      <c r="Q18" s="665">
        <v>20785.271086000001</v>
      </c>
    </row>
    <row r="19" spans="1:17" ht="20.100000000000001" customHeight="1" x14ac:dyDescent="0.2">
      <c r="B19" s="644" t="s">
        <v>3588</v>
      </c>
      <c r="C19" s="645" t="s">
        <v>1112</v>
      </c>
      <c r="D19" s="666">
        <v>2762.6068650000002</v>
      </c>
      <c r="E19" s="647">
        <v>0</v>
      </c>
      <c r="F19" s="648">
        <v>0.8708260337288346</v>
      </c>
      <c r="G19" s="649">
        <v>0.8708260337288346</v>
      </c>
      <c r="H19" s="647">
        <v>0</v>
      </c>
      <c r="I19" s="647">
        <v>0</v>
      </c>
      <c r="J19" s="647">
        <v>0</v>
      </c>
      <c r="K19" s="647">
        <v>0</v>
      </c>
      <c r="L19" s="647">
        <v>0</v>
      </c>
      <c r="M19" s="647">
        <v>0</v>
      </c>
      <c r="N19" s="647">
        <v>0</v>
      </c>
      <c r="O19" s="647">
        <v>0</v>
      </c>
      <c r="P19" s="666">
        <v>764.42973099999995</v>
      </c>
      <c r="Q19" s="666">
        <v>764.42973099999995</v>
      </c>
    </row>
    <row r="20" spans="1:17" ht="20.100000000000001" customHeight="1" x14ac:dyDescent="0.2">
      <c r="B20" s="644" t="s">
        <v>3589</v>
      </c>
      <c r="C20" s="645" t="s">
        <v>1113</v>
      </c>
      <c r="D20" s="666">
        <v>90128.792463000005</v>
      </c>
      <c r="E20" s="647">
        <v>0</v>
      </c>
      <c r="F20" s="648">
        <v>0.89796560804056846</v>
      </c>
      <c r="G20" s="649">
        <v>0.89796560804056846</v>
      </c>
      <c r="H20" s="647">
        <v>0</v>
      </c>
      <c r="I20" s="647">
        <v>0</v>
      </c>
      <c r="J20" s="647">
        <v>0</v>
      </c>
      <c r="K20" s="647">
        <v>0</v>
      </c>
      <c r="L20" s="647">
        <v>0</v>
      </c>
      <c r="M20" s="647">
        <v>0</v>
      </c>
      <c r="N20" s="647">
        <v>0</v>
      </c>
      <c r="O20" s="647">
        <v>0</v>
      </c>
      <c r="P20" s="666">
        <v>19156.123367</v>
      </c>
      <c r="Q20" s="666">
        <v>19156.123367</v>
      </c>
    </row>
    <row r="21" spans="1:17" ht="20.100000000000001" customHeight="1" x14ac:dyDescent="0.2">
      <c r="B21" s="644" t="s">
        <v>3590</v>
      </c>
      <c r="C21" s="645" t="s">
        <v>1114</v>
      </c>
      <c r="D21" s="666"/>
      <c r="E21" s="647"/>
      <c r="F21" s="600"/>
      <c r="G21" s="649"/>
      <c r="H21" s="600"/>
      <c r="I21" s="600"/>
      <c r="J21" s="600"/>
      <c r="K21" s="600"/>
      <c r="L21" s="600"/>
      <c r="M21" s="600"/>
      <c r="N21" s="600"/>
      <c r="O21" s="600"/>
      <c r="P21" s="666"/>
      <c r="Q21" s="666"/>
    </row>
    <row r="22" spans="1:17" ht="20.100000000000001" customHeight="1" x14ac:dyDescent="0.2">
      <c r="B22" s="644" t="s">
        <v>3591</v>
      </c>
      <c r="C22" s="645" t="s">
        <v>1115</v>
      </c>
      <c r="D22" s="666">
        <v>169.846406</v>
      </c>
      <c r="E22" s="647">
        <v>0</v>
      </c>
      <c r="F22" s="648">
        <v>3.1899944942020142E-2</v>
      </c>
      <c r="G22" s="649">
        <v>3.1899944942020142E-2</v>
      </c>
      <c r="H22" s="647">
        <v>0</v>
      </c>
      <c r="I22" s="647">
        <v>0</v>
      </c>
      <c r="J22" s="647">
        <v>0</v>
      </c>
      <c r="K22" s="647">
        <v>0</v>
      </c>
      <c r="L22" s="647">
        <v>0</v>
      </c>
      <c r="M22" s="647">
        <v>0</v>
      </c>
      <c r="N22" s="647">
        <v>0</v>
      </c>
      <c r="O22" s="647">
        <v>0</v>
      </c>
      <c r="P22" s="666">
        <v>51.607531999999999</v>
      </c>
      <c r="Q22" s="666">
        <v>51.607531999999999</v>
      </c>
    </row>
    <row r="23" spans="1:17" ht="20.100000000000001" customHeight="1" x14ac:dyDescent="0.2">
      <c r="B23" s="644" t="s">
        <v>3592</v>
      </c>
      <c r="C23" s="645" t="s">
        <v>1116</v>
      </c>
      <c r="D23" s="666">
        <v>1741.489151</v>
      </c>
      <c r="E23" s="647">
        <v>0</v>
      </c>
      <c r="F23" s="648">
        <v>3.8566142638002572E-2</v>
      </c>
      <c r="G23" s="649">
        <v>3.8566142638002572E-2</v>
      </c>
      <c r="H23" s="647">
        <v>0</v>
      </c>
      <c r="I23" s="647">
        <v>0</v>
      </c>
      <c r="J23" s="647">
        <v>0</v>
      </c>
      <c r="K23" s="647">
        <v>0</v>
      </c>
      <c r="L23" s="647">
        <v>0</v>
      </c>
      <c r="M23" s="647">
        <v>0</v>
      </c>
      <c r="N23" s="647">
        <v>0</v>
      </c>
      <c r="O23" s="647">
        <v>0</v>
      </c>
      <c r="P23" s="666">
        <v>813.110456</v>
      </c>
      <c r="Q23" s="666">
        <v>813.110456</v>
      </c>
    </row>
    <row r="24" spans="1:17" ht="20.100000000000001" customHeight="1" x14ac:dyDescent="0.2">
      <c r="B24" s="660">
        <v>5</v>
      </c>
      <c r="C24" s="491" t="s">
        <v>198</v>
      </c>
      <c r="D24" s="667">
        <v>134685.122711</v>
      </c>
      <c r="E24" s="662">
        <v>0</v>
      </c>
      <c r="F24" s="663">
        <v>0.75516933831098731</v>
      </c>
      <c r="G24" s="664">
        <v>0.75516933831098731</v>
      </c>
      <c r="H24" s="662">
        <v>0</v>
      </c>
      <c r="I24" s="662">
        <v>0</v>
      </c>
      <c r="J24" s="662">
        <v>0</v>
      </c>
      <c r="K24" s="662">
        <v>0</v>
      </c>
      <c r="L24" s="662">
        <v>0</v>
      </c>
      <c r="M24" s="662">
        <v>0</v>
      </c>
      <c r="N24" s="662">
        <v>0</v>
      </c>
      <c r="O24" s="662">
        <v>0</v>
      </c>
      <c r="P24" s="667">
        <v>41249.972912999998</v>
      </c>
      <c r="Q24" s="667">
        <v>41249.972912999998</v>
      </c>
    </row>
    <row r="27" spans="1:17" ht="24.95" customHeight="1" x14ac:dyDescent="0.2">
      <c r="B27" s="1234" t="s">
        <v>1035</v>
      </c>
      <c r="C27" s="1235"/>
      <c r="D27" s="1230" t="s">
        <v>1106</v>
      </c>
      <c r="E27" s="1229" t="s">
        <v>1107</v>
      </c>
      <c r="F27" s="1229"/>
      <c r="G27" s="1229"/>
      <c r="H27" s="1229"/>
      <c r="I27" s="1229"/>
      <c r="J27" s="1229"/>
      <c r="K27" s="1229"/>
      <c r="L27" s="1229"/>
      <c r="M27" s="1229"/>
      <c r="N27" s="1229"/>
      <c r="O27" s="1229"/>
      <c r="P27" s="1229" t="s">
        <v>1108</v>
      </c>
      <c r="Q27" s="1229"/>
    </row>
    <row r="28" spans="1:17" ht="24.95" customHeight="1" x14ac:dyDescent="0.2">
      <c r="B28" s="1234"/>
      <c r="C28" s="1235"/>
      <c r="D28" s="1237"/>
      <c r="E28" s="1229" t="s">
        <v>3648</v>
      </c>
      <c r="F28" s="1229"/>
      <c r="G28" s="1229"/>
      <c r="H28" s="1229"/>
      <c r="I28" s="1229"/>
      <c r="J28" s="1229"/>
      <c r="K28" s="1229"/>
      <c r="L28" s="1229"/>
      <c r="M28" s="1229"/>
      <c r="N28" s="1229" t="s">
        <v>3647</v>
      </c>
      <c r="O28" s="1229"/>
      <c r="P28" s="1229" t="s">
        <v>3639</v>
      </c>
      <c r="Q28" s="1229" t="s">
        <v>3640</v>
      </c>
    </row>
    <row r="29" spans="1:17" s="264" customFormat="1" ht="15" customHeight="1" x14ac:dyDescent="0.2">
      <c r="A29" s="254"/>
      <c r="B29" s="1234"/>
      <c r="C29" s="1235"/>
      <c r="D29" s="1237"/>
      <c r="E29" s="1229" t="s">
        <v>3651</v>
      </c>
      <c r="F29" s="1231" t="s">
        <v>3652</v>
      </c>
      <c r="G29" s="252"/>
      <c r="H29" s="252"/>
      <c r="I29" s="252"/>
      <c r="J29" s="1232" t="s">
        <v>3653</v>
      </c>
      <c r="K29" s="252"/>
      <c r="L29" s="252"/>
      <c r="M29" s="252"/>
      <c r="N29" s="1229" t="s">
        <v>3654</v>
      </c>
      <c r="O29" s="1229" t="s">
        <v>3655</v>
      </c>
      <c r="P29" s="1229"/>
      <c r="Q29" s="1229"/>
    </row>
    <row r="30" spans="1:17" s="264" customFormat="1" ht="75.75" customHeight="1" x14ac:dyDescent="0.2">
      <c r="A30" s="254"/>
      <c r="B30" s="1234"/>
      <c r="C30" s="1235"/>
      <c r="D30" s="1238"/>
      <c r="E30" s="1230"/>
      <c r="F30" s="1231"/>
      <c r="G30" s="731" t="s">
        <v>3641</v>
      </c>
      <c r="H30" s="731" t="s">
        <v>3642</v>
      </c>
      <c r="I30" s="732" t="s">
        <v>3643</v>
      </c>
      <c r="J30" s="1233"/>
      <c r="K30" s="731" t="s">
        <v>3644</v>
      </c>
      <c r="L30" s="731" t="s">
        <v>3645</v>
      </c>
      <c r="M30" s="731" t="s">
        <v>3646</v>
      </c>
      <c r="N30" s="1230"/>
      <c r="O30" s="1230"/>
      <c r="P30" s="1230"/>
      <c r="Q30" s="1230"/>
    </row>
    <row r="31" spans="1:17" s="264" customFormat="1" ht="20.100000000000001" customHeight="1" x14ac:dyDescent="0.2">
      <c r="A31" s="254"/>
      <c r="B31" s="1236"/>
      <c r="C31" s="1236"/>
      <c r="D31" s="613" t="s">
        <v>161</v>
      </c>
      <c r="E31" s="613" t="s">
        <v>162</v>
      </c>
      <c r="F31" s="613" t="s">
        <v>163</v>
      </c>
      <c r="G31" s="613" t="s">
        <v>200</v>
      </c>
      <c r="H31" s="613" t="s">
        <v>201</v>
      </c>
      <c r="I31" s="613" t="s">
        <v>266</v>
      </c>
      <c r="J31" s="613" t="s">
        <v>267</v>
      </c>
      <c r="K31" s="613" t="s">
        <v>268</v>
      </c>
      <c r="L31" s="613" t="s">
        <v>269</v>
      </c>
      <c r="M31" s="613" t="s">
        <v>270</v>
      </c>
      <c r="N31" s="613" t="s">
        <v>271</v>
      </c>
      <c r="O31" s="613" t="s">
        <v>272</v>
      </c>
      <c r="P31" s="482" t="s">
        <v>273</v>
      </c>
      <c r="Q31" s="482" t="s">
        <v>897</v>
      </c>
    </row>
    <row r="32" spans="1:17" ht="20.100000000000001" customHeight="1" x14ac:dyDescent="0.2">
      <c r="B32" s="668">
        <v>1</v>
      </c>
      <c r="C32" s="502" t="s">
        <v>1060</v>
      </c>
      <c r="D32" s="423"/>
      <c r="E32" s="421"/>
      <c r="F32" s="421"/>
      <c r="G32" s="421"/>
      <c r="H32" s="421"/>
      <c r="I32" s="421"/>
      <c r="J32" s="421"/>
      <c r="K32" s="421"/>
      <c r="L32" s="421"/>
      <c r="M32" s="421"/>
      <c r="N32" s="421"/>
      <c r="O32" s="421"/>
      <c r="P32" s="421"/>
      <c r="Q32" s="421"/>
    </row>
    <row r="33" spans="2:17" ht="20.100000000000001" customHeight="1" x14ac:dyDescent="0.2">
      <c r="B33" s="668">
        <v>2</v>
      </c>
      <c r="C33" s="502" t="s">
        <v>335</v>
      </c>
      <c r="D33" s="423"/>
      <c r="E33" s="421"/>
      <c r="F33" s="421"/>
      <c r="G33" s="421"/>
      <c r="H33" s="421"/>
      <c r="I33" s="421"/>
      <c r="J33" s="421"/>
      <c r="K33" s="421"/>
      <c r="L33" s="421"/>
      <c r="M33" s="421"/>
      <c r="N33" s="421"/>
      <c r="O33" s="421"/>
      <c r="P33" s="423"/>
      <c r="Q33" s="423"/>
    </row>
    <row r="34" spans="2:17" ht="20.100000000000001" customHeight="1" x14ac:dyDescent="0.2">
      <c r="B34" s="668">
        <v>3</v>
      </c>
      <c r="C34" s="502" t="s">
        <v>336</v>
      </c>
      <c r="D34" s="656">
        <v>14.240455000000001</v>
      </c>
      <c r="E34" s="657">
        <v>0</v>
      </c>
      <c r="F34" s="657">
        <v>0</v>
      </c>
      <c r="G34" s="657">
        <v>0</v>
      </c>
      <c r="H34" s="657">
        <v>0</v>
      </c>
      <c r="I34" s="657">
        <v>0</v>
      </c>
      <c r="J34" s="657">
        <v>0</v>
      </c>
      <c r="K34" s="657">
        <v>0</v>
      </c>
      <c r="L34" s="657">
        <v>0</v>
      </c>
      <c r="M34" s="657">
        <v>0</v>
      </c>
      <c r="N34" s="657">
        <v>0</v>
      </c>
      <c r="O34" s="657">
        <v>0</v>
      </c>
      <c r="P34" s="656">
        <v>8.0423019999999994</v>
      </c>
      <c r="Q34" s="656">
        <v>8.0423019999999994</v>
      </c>
    </row>
    <row r="35" spans="2:17" ht="20.100000000000001" customHeight="1" x14ac:dyDescent="0.2">
      <c r="B35" s="650" t="s">
        <v>3586</v>
      </c>
      <c r="C35" s="651" t="s">
        <v>1109</v>
      </c>
      <c r="D35" s="646">
        <v>14.240455000000001</v>
      </c>
      <c r="E35" s="652">
        <v>0</v>
      </c>
      <c r="F35" s="647">
        <v>0</v>
      </c>
      <c r="G35" s="647">
        <v>0</v>
      </c>
      <c r="H35" s="647">
        <v>0</v>
      </c>
      <c r="I35" s="647">
        <v>0</v>
      </c>
      <c r="J35" s="647">
        <v>0</v>
      </c>
      <c r="K35" s="647">
        <v>0</v>
      </c>
      <c r="L35" s="647">
        <v>0</v>
      </c>
      <c r="M35" s="647">
        <v>0</v>
      </c>
      <c r="N35" s="647">
        <v>0</v>
      </c>
      <c r="O35" s="647">
        <v>0</v>
      </c>
      <c r="P35" s="646">
        <v>8.0423019999999994</v>
      </c>
      <c r="Q35" s="646">
        <v>8.0423019999999994</v>
      </c>
    </row>
    <row r="36" spans="2:17" ht="20.100000000000001" customHeight="1" x14ac:dyDescent="0.2">
      <c r="B36" s="650" t="s">
        <v>3587</v>
      </c>
      <c r="C36" s="651" t="s">
        <v>1110</v>
      </c>
      <c r="D36" s="586"/>
      <c r="E36" s="600"/>
      <c r="F36" s="600"/>
      <c r="G36" s="600"/>
      <c r="H36" s="600"/>
      <c r="I36" s="600"/>
      <c r="J36" s="461"/>
      <c r="K36" s="461"/>
      <c r="L36" s="461"/>
      <c r="M36" s="461"/>
      <c r="N36" s="461"/>
      <c r="O36" s="461"/>
      <c r="P36" s="585"/>
      <c r="Q36" s="585"/>
    </row>
    <row r="37" spans="2:17" ht="20.100000000000001" customHeight="1" x14ac:dyDescent="0.2">
      <c r="B37" s="650" t="s">
        <v>3583</v>
      </c>
      <c r="C37" s="651" t="s">
        <v>1111</v>
      </c>
      <c r="D37" s="586"/>
      <c r="E37" s="600"/>
      <c r="F37" s="600"/>
      <c r="G37" s="600"/>
      <c r="H37" s="600"/>
      <c r="I37" s="600"/>
      <c r="J37" s="461"/>
      <c r="K37" s="461"/>
      <c r="L37" s="461"/>
      <c r="M37" s="461"/>
      <c r="N37" s="461"/>
      <c r="O37" s="461"/>
      <c r="P37" s="585"/>
      <c r="Q37" s="585"/>
    </row>
    <row r="38" spans="2:17" ht="20.100000000000001" customHeight="1" x14ac:dyDescent="0.2">
      <c r="B38" s="668">
        <v>4</v>
      </c>
      <c r="C38" s="498" t="s">
        <v>198</v>
      </c>
      <c r="D38" s="661">
        <v>14.240455000000001</v>
      </c>
      <c r="E38" s="662">
        <v>0</v>
      </c>
      <c r="F38" s="662">
        <v>0</v>
      </c>
      <c r="G38" s="662">
        <v>0</v>
      </c>
      <c r="H38" s="662">
        <v>0</v>
      </c>
      <c r="I38" s="662">
        <v>0</v>
      </c>
      <c r="J38" s="662">
        <v>0</v>
      </c>
      <c r="K38" s="662">
        <v>0</v>
      </c>
      <c r="L38" s="662">
        <v>0</v>
      </c>
      <c r="M38" s="662">
        <v>0</v>
      </c>
      <c r="N38" s="662">
        <v>0</v>
      </c>
      <c r="O38" s="662">
        <v>0</v>
      </c>
      <c r="P38" s="661">
        <v>8.0423019999999994</v>
      </c>
      <c r="Q38" s="661">
        <v>8.0423019999999994</v>
      </c>
    </row>
  </sheetData>
  <sheetProtection algorithmName="SHA-512" hashValue="QyrKNwHtcJ6ISpr1/bZRH08t/NFv2eoYwZgUe5JptOQ0os2V6Zzxer6Pw7QPYCgoI+c4LNx+oNY3SNfYS5lTqg==" saltValue="WEC8oH4P7ou16T9sHtEPPw==" spinCount="100000" sheet="1" objects="1" scenarios="1"/>
  <mergeCells count="26">
    <mergeCell ref="P27:Q27"/>
    <mergeCell ref="E28:M28"/>
    <mergeCell ref="N28:O28"/>
    <mergeCell ref="P28:P30"/>
    <mergeCell ref="Q28:Q30"/>
    <mergeCell ref="E29:E30"/>
    <mergeCell ref="F29:F30"/>
    <mergeCell ref="J29:J30"/>
    <mergeCell ref="N29:N30"/>
    <mergeCell ref="O29:O30"/>
    <mergeCell ref="B27:C31"/>
    <mergeCell ref="E27:O27"/>
    <mergeCell ref="B7:C11"/>
    <mergeCell ref="E7:O7"/>
    <mergeCell ref="D7:D10"/>
    <mergeCell ref="D27:D30"/>
    <mergeCell ref="P7:Q7"/>
    <mergeCell ref="E8:M8"/>
    <mergeCell ref="N8:O8"/>
    <mergeCell ref="P8:P10"/>
    <mergeCell ref="Q8:Q10"/>
    <mergeCell ref="E9:E10"/>
    <mergeCell ref="F9:F10"/>
    <mergeCell ref="J9:J10"/>
    <mergeCell ref="N9:N10"/>
    <mergeCell ref="O9:O10"/>
  </mergeCells>
  <hyperlinks>
    <hyperlink ref="B2" location="Contents!A1" display="Back to Contents page" xr:uid="{879EB040-93D3-4876-AA27-7233CB6AB5EB}"/>
  </hyperlinks>
  <pageMargins left="0.7" right="0.7" top="0.75" bottom="0.75" header="0.3" footer="0.3"/>
  <pageSetup paperSize="9" orientation="portrait" horizontalDpi="144" verticalDpi="144"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H18"/>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254" customWidth="1"/>
    <col min="2" max="2" width="4.88671875" style="254" customWidth="1"/>
    <col min="3" max="3" width="52" style="254" customWidth="1"/>
    <col min="4" max="4" width="13.6640625" style="254" customWidth="1"/>
    <col min="5" max="5" width="28.33203125" style="254" customWidth="1"/>
    <col min="6" max="6" width="16.33203125" style="254" customWidth="1"/>
    <col min="7" max="7" width="13" style="254" bestFit="1" customWidth="1"/>
    <col min="8" max="8" width="11.44140625" style="254" bestFit="1" customWidth="1"/>
    <col min="9" max="16384" width="9.21875" style="254"/>
  </cols>
  <sheetData>
    <row r="2" spans="2:8" ht="15" x14ac:dyDescent="0.25">
      <c r="B2" s="940" t="s">
        <v>3521</v>
      </c>
    </row>
    <row r="3" spans="2:8" x14ac:dyDescent="0.2">
      <c r="C3" s="324"/>
      <c r="D3" s="324"/>
      <c r="E3" s="324"/>
      <c r="F3" s="324"/>
    </row>
    <row r="4" spans="2:8" ht="21" x14ac:dyDescent="0.35">
      <c r="B4" s="369" t="s">
        <v>1117</v>
      </c>
    </row>
    <row r="7" spans="2:8" ht="24.95" customHeight="1" x14ac:dyDescent="0.2">
      <c r="B7" s="325"/>
      <c r="C7" s="325"/>
      <c r="D7" s="669" t="s">
        <v>1118</v>
      </c>
    </row>
    <row r="8" spans="2:8" ht="20.100000000000001" customHeight="1" x14ac:dyDescent="0.2">
      <c r="C8" s="325"/>
      <c r="D8" s="431" t="s">
        <v>161</v>
      </c>
      <c r="F8" s="911"/>
      <c r="G8" s="911"/>
    </row>
    <row r="9" spans="2:8" ht="20.100000000000001" customHeight="1" x14ac:dyDescent="0.2">
      <c r="B9" s="490">
        <v>1</v>
      </c>
      <c r="C9" s="670" t="s">
        <v>1119</v>
      </c>
      <c r="D9" s="881">
        <v>40190.754684</v>
      </c>
      <c r="F9" s="911"/>
      <c r="G9" s="911"/>
    </row>
    <row r="10" spans="2:8" ht="20.100000000000001" customHeight="1" x14ac:dyDescent="0.2">
      <c r="B10" s="431">
        <v>2</v>
      </c>
      <c r="C10" s="484" t="s">
        <v>1120</v>
      </c>
      <c r="D10" s="882">
        <v>3606.7698989999999</v>
      </c>
      <c r="F10" s="911"/>
      <c r="G10" s="911"/>
      <c r="H10" s="911"/>
    </row>
    <row r="11" spans="2:8" ht="20.100000000000001" customHeight="1" x14ac:dyDescent="0.2">
      <c r="B11" s="431">
        <v>3</v>
      </c>
      <c r="C11" s="484" t="s">
        <v>1121</v>
      </c>
      <c r="D11" s="882">
        <v>-1192.7623329999999</v>
      </c>
    </row>
    <row r="12" spans="2:8" ht="20.100000000000001" customHeight="1" x14ac:dyDescent="0.2">
      <c r="B12" s="431">
        <v>4</v>
      </c>
      <c r="C12" s="484" t="s">
        <v>1122</v>
      </c>
      <c r="D12" s="882">
        <v>0</v>
      </c>
    </row>
    <row r="13" spans="2:8" ht="20.100000000000001" customHeight="1" x14ac:dyDescent="0.2">
      <c r="B13" s="431">
        <v>5</v>
      </c>
      <c r="C13" s="484" t="s">
        <v>1123</v>
      </c>
      <c r="D13" s="882">
        <v>-1147.5621639999999</v>
      </c>
    </row>
    <row r="14" spans="2:8" ht="20.100000000000001" customHeight="1" x14ac:dyDescent="0.2">
      <c r="B14" s="431">
        <v>6</v>
      </c>
      <c r="C14" s="484" t="s">
        <v>1124</v>
      </c>
      <c r="D14" s="882">
        <v>0</v>
      </c>
    </row>
    <row r="15" spans="2:8" ht="20.100000000000001" customHeight="1" x14ac:dyDescent="0.2">
      <c r="B15" s="431">
        <v>7</v>
      </c>
      <c r="C15" s="484" t="s">
        <v>1125</v>
      </c>
      <c r="D15" s="882">
        <v>0</v>
      </c>
    </row>
    <row r="16" spans="2:8" ht="20.100000000000001" customHeight="1" x14ac:dyDescent="0.2">
      <c r="B16" s="431">
        <v>8</v>
      </c>
      <c r="C16" s="484" t="s">
        <v>1126</v>
      </c>
      <c r="D16" s="882">
        <v>-199.18487099999999</v>
      </c>
    </row>
    <row r="17" spans="2:4" ht="20.100000000000001" customHeight="1" x14ac:dyDescent="0.2">
      <c r="B17" s="490">
        <v>9</v>
      </c>
      <c r="C17" s="670" t="s">
        <v>1127</v>
      </c>
      <c r="D17" s="881">
        <v>41258.015214999999</v>
      </c>
    </row>
    <row r="18" spans="2:4" x14ac:dyDescent="0.2">
      <c r="B18" s="305"/>
      <c r="C18" s="305"/>
    </row>
  </sheetData>
  <sheetProtection algorithmName="SHA-512" hashValue="xhOR9q/0B9boiVlXeaGbF7hANmMRPJI1CYj2BEDD7+KC8yIUNVoUHFgBGrQadKU6TgFtQmEfNb/ZI0sT04SfRQ==" saltValue="NgFj4rTSWd8hNu60TjTcBQ==" spinCount="100000" sheet="1" objects="1" scenarios="1"/>
  <hyperlinks>
    <hyperlink ref="B2" location="Contents!A1" display="Back to Contents page" xr:uid="{A9A7C1B7-A180-4AB6-99CE-E9F4342AC916}"/>
  </hyperlinks>
  <pageMargins left="0.7" right="0.7" top="0.75" bottom="0.75" header="0.3" footer="0.3"/>
  <pageSetup paperSize="9" scale="60" orientation="portrait" horizontalDpi="144" verticalDpi="144"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K157"/>
  <sheetViews>
    <sheetView showGridLines="0" showRowColHeaders="0" zoomScale="80" zoomScaleNormal="80" workbookViewId="0">
      <selection activeCell="B2" sqref="B2"/>
    </sheetView>
  </sheetViews>
  <sheetFormatPr baseColWidth="10" defaultColWidth="11.6640625" defaultRowHeight="12.75" x14ac:dyDescent="0.2"/>
  <cols>
    <col min="1" max="1" width="3.88671875" style="271" customWidth="1"/>
    <col min="2" max="2" width="18" style="271" customWidth="1"/>
    <col min="3" max="3" width="17.5546875" style="271" customWidth="1"/>
    <col min="4" max="9" width="14.44140625" style="271" customWidth="1"/>
    <col min="10" max="16384" width="11.6640625" style="271"/>
  </cols>
  <sheetData>
    <row r="2" spans="2:9" ht="15" x14ac:dyDescent="0.25">
      <c r="B2" s="940" t="s">
        <v>3521</v>
      </c>
    </row>
    <row r="4" spans="2:9" ht="23.25" customHeight="1" x14ac:dyDescent="0.35">
      <c r="B4" s="1242" t="s">
        <v>1128</v>
      </c>
      <c r="C4" s="1243"/>
      <c r="D4" s="1243"/>
      <c r="E4" s="1243"/>
      <c r="F4" s="1243"/>
      <c r="G4" s="1243"/>
      <c r="H4" s="1243"/>
    </row>
    <row r="6" spans="2:9" x14ac:dyDescent="0.2">
      <c r="B6" s="317"/>
    </row>
    <row r="7" spans="2:9" ht="13.5" thickBot="1" x14ac:dyDescent="0.25">
      <c r="B7" s="317" t="s">
        <v>1016</v>
      </c>
    </row>
    <row r="8" spans="2:9" ht="24.95" customHeight="1" x14ac:dyDescent="0.2">
      <c r="B8" s="1244" t="s">
        <v>1129</v>
      </c>
      <c r="C8" s="1246" t="s">
        <v>1139</v>
      </c>
      <c r="D8" s="1248" t="s">
        <v>2975</v>
      </c>
      <c r="E8" s="1246"/>
      <c r="F8" s="1246" t="s">
        <v>1130</v>
      </c>
      <c r="G8" s="1246" t="s">
        <v>1131</v>
      </c>
      <c r="H8" s="1246" t="s">
        <v>1132</v>
      </c>
      <c r="I8" s="1256" t="s">
        <v>1133</v>
      </c>
    </row>
    <row r="9" spans="2:9" ht="54" customHeight="1" x14ac:dyDescent="0.2">
      <c r="B9" s="1245"/>
      <c r="C9" s="1247"/>
      <c r="D9" s="689"/>
      <c r="E9" s="421" t="s">
        <v>1134</v>
      </c>
      <c r="F9" s="1249"/>
      <c r="G9" s="1249"/>
      <c r="H9" s="1249"/>
      <c r="I9" s="1257"/>
    </row>
    <row r="10" spans="2:9" ht="20.100000000000001" customHeight="1" x14ac:dyDescent="0.2">
      <c r="B10" s="678" t="s">
        <v>161</v>
      </c>
      <c r="C10" s="411" t="s">
        <v>162</v>
      </c>
      <c r="D10" s="487" t="s">
        <v>163</v>
      </c>
      <c r="E10" s="487" t="s">
        <v>1135</v>
      </c>
      <c r="F10" s="487" t="s">
        <v>201</v>
      </c>
      <c r="G10" s="487" t="s">
        <v>1136</v>
      </c>
      <c r="H10" s="487" t="s">
        <v>267</v>
      </c>
      <c r="I10" s="679" t="s">
        <v>268</v>
      </c>
    </row>
    <row r="11" spans="2:9" ht="20.100000000000001" customHeight="1" x14ac:dyDescent="0.2">
      <c r="B11" s="1251" t="s">
        <v>3594</v>
      </c>
      <c r="C11" s="456" t="s">
        <v>351</v>
      </c>
      <c r="D11" s="411">
        <v>0</v>
      </c>
      <c r="E11" s="452">
        <v>0</v>
      </c>
      <c r="F11" s="452"/>
      <c r="G11" s="637"/>
      <c r="H11" s="643"/>
      <c r="I11" s="680"/>
    </row>
    <row r="12" spans="2:9" ht="20.100000000000001" customHeight="1" x14ac:dyDescent="0.2">
      <c r="B12" s="1251"/>
      <c r="C12" s="623" t="s">
        <v>1025</v>
      </c>
      <c r="D12" s="452"/>
      <c r="E12" s="452"/>
      <c r="F12" s="637"/>
      <c r="G12" s="637"/>
      <c r="H12" s="643"/>
      <c r="I12" s="680"/>
    </row>
    <row r="13" spans="2:9" ht="20.100000000000001" customHeight="1" x14ac:dyDescent="0.2">
      <c r="B13" s="1251"/>
      <c r="C13" s="623" t="s">
        <v>1026</v>
      </c>
      <c r="D13" s="452"/>
      <c r="E13" s="452"/>
      <c r="F13" s="637"/>
      <c r="G13" s="637"/>
      <c r="H13" s="637"/>
      <c r="I13" s="680"/>
    </row>
    <row r="14" spans="2:9" ht="20.100000000000001" customHeight="1" x14ac:dyDescent="0.2">
      <c r="B14" s="1251"/>
      <c r="C14" s="456" t="s">
        <v>359</v>
      </c>
      <c r="D14" s="452">
        <v>45</v>
      </c>
      <c r="E14" s="411"/>
      <c r="F14" s="637"/>
      <c r="G14" s="637">
        <v>2.5000000000000001E-3</v>
      </c>
      <c r="H14" s="637">
        <v>2.3999999999999998E-3</v>
      </c>
      <c r="I14" s="680"/>
    </row>
    <row r="15" spans="2:9" ht="20.100000000000001" customHeight="1" x14ac:dyDescent="0.2">
      <c r="B15" s="1251"/>
      <c r="C15" s="456" t="s">
        <v>367</v>
      </c>
      <c r="D15" s="452">
        <v>480</v>
      </c>
      <c r="E15" s="452">
        <v>3</v>
      </c>
      <c r="F15" s="637">
        <v>6.3E-3</v>
      </c>
      <c r="G15" s="637">
        <v>3.8999999999999998E-3</v>
      </c>
      <c r="H15" s="637">
        <v>3.5999999999999999E-3</v>
      </c>
      <c r="I15" s="680">
        <v>4.1000000000000003E-3</v>
      </c>
    </row>
    <row r="16" spans="2:9" ht="20.100000000000001" customHeight="1" x14ac:dyDescent="0.2">
      <c r="B16" s="1251"/>
      <c r="C16" s="456" t="s">
        <v>375</v>
      </c>
      <c r="D16" s="452">
        <v>214</v>
      </c>
      <c r="E16" s="452">
        <v>1</v>
      </c>
      <c r="F16" s="637">
        <v>4.7000000000000002E-3</v>
      </c>
      <c r="G16" s="637">
        <v>6.4000000000000003E-3</v>
      </c>
      <c r="H16" s="637">
        <v>6.1999999999999998E-3</v>
      </c>
      <c r="I16" s="680">
        <v>7.4999999999999997E-3</v>
      </c>
    </row>
    <row r="17" spans="2:9" ht="20.100000000000001" customHeight="1" x14ac:dyDescent="0.2">
      <c r="B17" s="1251"/>
      <c r="C17" s="456" t="s">
        <v>383</v>
      </c>
      <c r="D17" s="452">
        <v>473</v>
      </c>
      <c r="E17" s="452">
        <v>8</v>
      </c>
      <c r="F17" s="637">
        <v>1.6899999999999998E-2</v>
      </c>
      <c r="G17" s="637">
        <v>1.46E-2</v>
      </c>
      <c r="H17" s="637">
        <v>1.3599999999999999E-2</v>
      </c>
      <c r="I17" s="680">
        <v>1.38E-2</v>
      </c>
    </row>
    <row r="18" spans="2:9" ht="20.100000000000001" customHeight="1" x14ac:dyDescent="0.2">
      <c r="B18" s="1251"/>
      <c r="C18" s="623" t="s">
        <v>1027</v>
      </c>
      <c r="D18" s="452">
        <v>376</v>
      </c>
      <c r="E18" s="452">
        <v>6</v>
      </c>
      <c r="F18" s="637">
        <v>1.6E-2</v>
      </c>
      <c r="G18" s="637">
        <v>1.15E-2</v>
      </c>
      <c r="H18" s="637">
        <v>1.17E-2</v>
      </c>
      <c r="I18" s="680">
        <v>1.15E-2</v>
      </c>
    </row>
    <row r="19" spans="2:9" ht="20.100000000000001" customHeight="1" x14ac:dyDescent="0.2">
      <c r="B19" s="1251"/>
      <c r="C19" s="623" t="s">
        <v>1028</v>
      </c>
      <c r="D19" s="452">
        <v>97</v>
      </c>
      <c r="E19" s="452">
        <v>2</v>
      </c>
      <c r="F19" s="637">
        <v>2.06E-2</v>
      </c>
      <c r="G19" s="637">
        <v>0.02</v>
      </c>
      <c r="H19" s="637">
        <v>2.1100000000000001E-2</v>
      </c>
      <c r="I19" s="680">
        <v>2.1700000000000001E-2</v>
      </c>
    </row>
    <row r="20" spans="2:9" ht="20.100000000000001" customHeight="1" x14ac:dyDescent="0.2">
      <c r="B20" s="1251"/>
      <c r="C20" s="456" t="s">
        <v>391</v>
      </c>
      <c r="D20" s="452">
        <v>308</v>
      </c>
      <c r="E20" s="452">
        <v>2</v>
      </c>
      <c r="F20" s="637">
        <v>6.4999999999999997E-3</v>
      </c>
      <c r="G20" s="637">
        <v>0.04</v>
      </c>
      <c r="H20" s="637">
        <v>4.7199999999999999E-2</v>
      </c>
      <c r="I20" s="680">
        <v>2.8299999999999999E-2</v>
      </c>
    </row>
    <row r="21" spans="2:9" ht="20.100000000000001" customHeight="1" x14ac:dyDescent="0.2">
      <c r="B21" s="1251"/>
      <c r="C21" s="623" t="s">
        <v>1029</v>
      </c>
      <c r="D21" s="452">
        <v>185</v>
      </c>
      <c r="E21" s="452">
        <v>1</v>
      </c>
      <c r="F21" s="637">
        <v>5.4000000000000003E-3</v>
      </c>
      <c r="G21" s="637">
        <v>3.4099999999999998E-2</v>
      </c>
      <c r="H21" s="637">
        <v>3.6600000000000001E-2</v>
      </c>
      <c r="I21" s="680">
        <v>2.1299999999999999E-2</v>
      </c>
    </row>
    <row r="22" spans="2:9" ht="20.100000000000001" customHeight="1" x14ac:dyDescent="0.2">
      <c r="B22" s="1251"/>
      <c r="C22" s="623" t="s">
        <v>1030</v>
      </c>
      <c r="D22" s="452">
        <v>123</v>
      </c>
      <c r="E22" s="452">
        <v>1</v>
      </c>
      <c r="F22" s="637">
        <v>8.0999999999999996E-3</v>
      </c>
      <c r="G22" s="637">
        <v>5.8299999999999998E-2</v>
      </c>
      <c r="H22" s="637">
        <v>6.3100000000000003E-2</v>
      </c>
      <c r="I22" s="680">
        <v>3.95E-2</v>
      </c>
    </row>
    <row r="23" spans="2:9" ht="20.100000000000001" customHeight="1" x14ac:dyDescent="0.2">
      <c r="B23" s="1251"/>
      <c r="C23" s="456" t="s">
        <v>399</v>
      </c>
      <c r="D23" s="452">
        <v>66</v>
      </c>
      <c r="E23" s="452">
        <v>6</v>
      </c>
      <c r="F23" s="637">
        <v>9.0899999999999995E-2</v>
      </c>
      <c r="G23" s="637">
        <v>0.1578</v>
      </c>
      <c r="H23" s="637">
        <v>0.1759</v>
      </c>
      <c r="I23" s="680">
        <v>0.1003</v>
      </c>
    </row>
    <row r="24" spans="2:9" ht="20.100000000000001" customHeight="1" x14ac:dyDescent="0.2">
      <c r="B24" s="1251"/>
      <c r="C24" s="623" t="s">
        <v>1031</v>
      </c>
      <c r="D24" s="452">
        <v>45</v>
      </c>
      <c r="E24" s="452">
        <v>5</v>
      </c>
      <c r="F24" s="637">
        <v>0.1111</v>
      </c>
      <c r="G24" s="637">
        <v>0.15010000000000001</v>
      </c>
      <c r="H24" s="637">
        <v>0.1381</v>
      </c>
      <c r="I24" s="680">
        <v>7.2900000000000006E-2</v>
      </c>
    </row>
    <row r="25" spans="2:9" ht="20.100000000000001" customHeight="1" x14ac:dyDescent="0.2">
      <c r="B25" s="1251"/>
      <c r="C25" s="623" t="s">
        <v>1032</v>
      </c>
      <c r="D25" s="452">
        <v>21</v>
      </c>
      <c r="E25" s="452">
        <v>1</v>
      </c>
      <c r="F25" s="637">
        <v>4.7600000000000003E-2</v>
      </c>
      <c r="G25" s="637">
        <v>0.24310000000000001</v>
      </c>
      <c r="H25" s="637">
        <v>0.25690000000000002</v>
      </c>
      <c r="I25" s="680">
        <v>0.1782</v>
      </c>
    </row>
    <row r="26" spans="2:9" ht="20.100000000000001" customHeight="1" x14ac:dyDescent="0.2">
      <c r="B26" s="1251"/>
      <c r="C26" s="623" t="s">
        <v>1033</v>
      </c>
      <c r="D26" s="452"/>
      <c r="E26" s="452"/>
      <c r="F26" s="637"/>
      <c r="G26" s="637">
        <v>0.3</v>
      </c>
      <c r="H26" s="637"/>
      <c r="I26" s="680"/>
    </row>
    <row r="27" spans="2:9" ht="20.100000000000001" customHeight="1" thickBot="1" x14ac:dyDescent="0.25">
      <c r="B27" s="1252"/>
      <c r="C27" s="675" t="s">
        <v>407</v>
      </c>
      <c r="D27" s="676">
        <v>30</v>
      </c>
      <c r="E27" s="676">
        <v>30</v>
      </c>
      <c r="F27" s="677">
        <v>1</v>
      </c>
      <c r="G27" s="677">
        <v>1</v>
      </c>
      <c r="H27" s="677">
        <v>1</v>
      </c>
      <c r="I27" s="681">
        <v>1</v>
      </c>
    </row>
    <row r="28" spans="2:9" ht="20.100000000000001" customHeight="1" x14ac:dyDescent="0.2">
      <c r="B28" s="1251" t="s">
        <v>3595</v>
      </c>
      <c r="C28" s="456" t="s">
        <v>351</v>
      </c>
      <c r="D28" s="411">
        <v>3</v>
      </c>
      <c r="E28" s="452">
        <v>0</v>
      </c>
      <c r="F28" s="452"/>
      <c r="G28" s="637">
        <v>1.1000000000000001E-3</v>
      </c>
      <c r="H28" s="637">
        <v>8.9999999999999998E-4</v>
      </c>
      <c r="I28" s="680"/>
    </row>
    <row r="29" spans="2:9" ht="20.100000000000001" customHeight="1" x14ac:dyDescent="0.2">
      <c r="B29" s="1251"/>
      <c r="C29" s="623" t="s">
        <v>1025</v>
      </c>
      <c r="D29" s="452">
        <v>3</v>
      </c>
      <c r="E29" s="452"/>
      <c r="F29" s="452"/>
      <c r="G29" s="637">
        <v>8.9999999999999998E-4</v>
      </c>
      <c r="H29" s="637">
        <v>8.9999999999999998E-4</v>
      </c>
      <c r="I29" s="680"/>
    </row>
    <row r="30" spans="2:9" ht="20.100000000000001" customHeight="1" x14ac:dyDescent="0.2">
      <c r="B30" s="1251"/>
      <c r="C30" s="623" t="s">
        <v>1026</v>
      </c>
      <c r="D30" s="452"/>
      <c r="E30" s="452"/>
      <c r="F30" s="637"/>
      <c r="G30" s="637">
        <v>1.1000000000000001E-3</v>
      </c>
      <c r="H30" s="637"/>
      <c r="I30" s="680"/>
    </row>
    <row r="31" spans="2:9" ht="20.100000000000001" customHeight="1" x14ac:dyDescent="0.2">
      <c r="B31" s="1251"/>
      <c r="C31" s="456" t="s">
        <v>359</v>
      </c>
      <c r="D31" s="452">
        <v>186</v>
      </c>
      <c r="E31" s="411"/>
      <c r="F31" s="637"/>
      <c r="G31" s="637">
        <v>2.0999999999999999E-3</v>
      </c>
      <c r="H31" s="637">
        <v>2.2000000000000001E-3</v>
      </c>
      <c r="I31" s="680">
        <v>1.1000000000000001E-3</v>
      </c>
    </row>
    <row r="32" spans="2:9" ht="20.100000000000001" customHeight="1" x14ac:dyDescent="0.2">
      <c r="B32" s="1251"/>
      <c r="C32" s="456" t="s">
        <v>367</v>
      </c>
      <c r="D32" s="452">
        <v>433</v>
      </c>
      <c r="E32" s="452"/>
      <c r="F32" s="637"/>
      <c r="G32" s="637">
        <v>3.8999999999999998E-3</v>
      </c>
      <c r="H32" s="637">
        <v>3.5999999999999999E-3</v>
      </c>
      <c r="I32" s="680">
        <v>5.0000000000000001E-4</v>
      </c>
    </row>
    <row r="33" spans="2:9" ht="20.100000000000001" customHeight="1" x14ac:dyDescent="0.2">
      <c r="B33" s="1251"/>
      <c r="C33" s="456" t="s">
        <v>375</v>
      </c>
      <c r="D33" s="452">
        <v>228</v>
      </c>
      <c r="E33" s="452">
        <v>1</v>
      </c>
      <c r="F33" s="637">
        <v>4.4000000000000003E-3</v>
      </c>
      <c r="G33" s="637">
        <v>6.1999999999999998E-3</v>
      </c>
      <c r="H33" s="637">
        <v>6.1999999999999998E-3</v>
      </c>
      <c r="I33" s="680">
        <v>2.7000000000000001E-3</v>
      </c>
    </row>
    <row r="34" spans="2:9" ht="20.100000000000001" customHeight="1" x14ac:dyDescent="0.2">
      <c r="B34" s="1251"/>
      <c r="C34" s="456" t="s">
        <v>383</v>
      </c>
      <c r="D34" s="452">
        <v>529</v>
      </c>
      <c r="E34" s="452">
        <v>1</v>
      </c>
      <c r="F34" s="637">
        <v>1.9E-3</v>
      </c>
      <c r="G34" s="637">
        <v>1.38E-2</v>
      </c>
      <c r="H34" s="637">
        <v>1.3299999999999999E-2</v>
      </c>
      <c r="I34" s="680">
        <v>5.4000000000000003E-3</v>
      </c>
    </row>
    <row r="35" spans="2:9" ht="20.100000000000001" customHeight="1" x14ac:dyDescent="0.2">
      <c r="B35" s="1251"/>
      <c r="C35" s="623" t="s">
        <v>1027</v>
      </c>
      <c r="D35" s="452">
        <v>416</v>
      </c>
      <c r="E35" s="452">
        <v>1</v>
      </c>
      <c r="F35" s="637">
        <v>2.3999999999999998E-3</v>
      </c>
      <c r="G35" s="637">
        <v>1.14E-2</v>
      </c>
      <c r="H35" s="637">
        <v>1.1299999999999999E-2</v>
      </c>
      <c r="I35" s="680">
        <v>5.0000000000000001E-3</v>
      </c>
    </row>
    <row r="36" spans="2:9" ht="20.100000000000001" customHeight="1" x14ac:dyDescent="0.2">
      <c r="B36" s="1251"/>
      <c r="C36" s="623" t="s">
        <v>1028</v>
      </c>
      <c r="D36" s="452">
        <v>113</v>
      </c>
      <c r="E36" s="452"/>
      <c r="F36" s="637"/>
      <c r="G36" s="637">
        <v>2.07E-2</v>
      </c>
      <c r="H36" s="637">
        <v>2.07E-2</v>
      </c>
      <c r="I36" s="680">
        <v>7.0000000000000001E-3</v>
      </c>
    </row>
    <row r="37" spans="2:9" ht="20.100000000000001" customHeight="1" x14ac:dyDescent="0.2">
      <c r="B37" s="1251"/>
      <c r="C37" s="456" t="s">
        <v>391</v>
      </c>
      <c r="D37" s="452">
        <v>308</v>
      </c>
      <c r="E37" s="452">
        <v>6</v>
      </c>
      <c r="F37" s="637">
        <v>1.95E-2</v>
      </c>
      <c r="G37" s="637">
        <v>5.4600000000000003E-2</v>
      </c>
      <c r="H37" s="637">
        <v>4.5100000000000001E-2</v>
      </c>
      <c r="I37" s="680">
        <v>1.78E-2</v>
      </c>
    </row>
    <row r="38" spans="2:9" ht="20.100000000000001" customHeight="1" x14ac:dyDescent="0.2">
      <c r="B38" s="1251"/>
      <c r="C38" s="623" t="s">
        <v>1029</v>
      </c>
      <c r="D38" s="452">
        <v>189</v>
      </c>
      <c r="E38" s="452"/>
      <c r="F38" s="637"/>
      <c r="G38" s="637">
        <v>3.5200000000000002E-2</v>
      </c>
      <c r="H38" s="637">
        <v>3.5700000000000003E-2</v>
      </c>
      <c r="I38" s="680">
        <v>8.6E-3</v>
      </c>
    </row>
    <row r="39" spans="2:9" ht="20.100000000000001" customHeight="1" x14ac:dyDescent="0.2">
      <c r="B39" s="1251"/>
      <c r="C39" s="623" t="s">
        <v>1030</v>
      </c>
      <c r="D39" s="452">
        <v>119</v>
      </c>
      <c r="E39" s="452">
        <v>6</v>
      </c>
      <c r="F39" s="637">
        <v>5.04E-2</v>
      </c>
      <c r="G39" s="637">
        <v>6.6199999999999995E-2</v>
      </c>
      <c r="H39" s="637">
        <v>0.06</v>
      </c>
      <c r="I39" s="680">
        <v>3.1399999999999997E-2</v>
      </c>
    </row>
    <row r="40" spans="2:9" ht="20.100000000000001" customHeight="1" x14ac:dyDescent="0.2">
      <c r="B40" s="1251"/>
      <c r="C40" s="456" t="s">
        <v>399</v>
      </c>
      <c r="D40" s="452">
        <v>58</v>
      </c>
      <c r="E40" s="452">
        <v>3</v>
      </c>
      <c r="F40" s="637">
        <v>5.1700000000000003E-2</v>
      </c>
      <c r="G40" s="637">
        <v>0.19420000000000001</v>
      </c>
      <c r="H40" s="637">
        <v>0.20399999999999999</v>
      </c>
      <c r="I40" s="680">
        <v>0.1203</v>
      </c>
    </row>
    <row r="41" spans="2:9" ht="20.100000000000001" customHeight="1" x14ac:dyDescent="0.2">
      <c r="B41" s="1251"/>
      <c r="C41" s="623" t="s">
        <v>1031</v>
      </c>
      <c r="D41" s="452">
        <v>34</v>
      </c>
      <c r="E41" s="452">
        <v>2</v>
      </c>
      <c r="F41" s="637">
        <v>5.8799999999999998E-2</v>
      </c>
      <c r="G41" s="637">
        <v>0.1608</v>
      </c>
      <c r="H41" s="637">
        <v>0.12970000000000001</v>
      </c>
      <c r="I41" s="680">
        <v>5.2200000000000003E-2</v>
      </c>
    </row>
    <row r="42" spans="2:9" ht="20.100000000000001" customHeight="1" x14ac:dyDescent="0.2">
      <c r="B42" s="1251"/>
      <c r="C42" s="623" t="s">
        <v>1032</v>
      </c>
      <c r="D42" s="452">
        <v>13</v>
      </c>
      <c r="E42" s="452"/>
      <c r="F42" s="637"/>
      <c r="G42" s="637">
        <v>0.22239999999999999</v>
      </c>
      <c r="H42" s="637">
        <v>0.2447</v>
      </c>
      <c r="I42" s="680">
        <v>0.22389999999999999</v>
      </c>
    </row>
    <row r="43" spans="2:9" ht="20.100000000000001" customHeight="1" x14ac:dyDescent="0.2">
      <c r="B43" s="1251"/>
      <c r="C43" s="623" t="s">
        <v>1033</v>
      </c>
      <c r="D43" s="452">
        <v>11</v>
      </c>
      <c r="E43" s="452">
        <v>1</v>
      </c>
      <c r="F43" s="637">
        <v>9.0899999999999995E-2</v>
      </c>
      <c r="G43" s="637">
        <v>0.35830000000000001</v>
      </c>
      <c r="H43" s="637">
        <v>0.38550000000000001</v>
      </c>
      <c r="I43" s="680">
        <v>0.17499999999999999</v>
      </c>
    </row>
    <row r="44" spans="2:9" ht="20.100000000000001" customHeight="1" thickBot="1" x14ac:dyDescent="0.25">
      <c r="B44" s="1252"/>
      <c r="C44" s="675" t="s">
        <v>407</v>
      </c>
      <c r="D44" s="676">
        <v>20</v>
      </c>
      <c r="E44" s="676">
        <v>20</v>
      </c>
      <c r="F44" s="677">
        <v>1</v>
      </c>
      <c r="G44" s="677">
        <v>1</v>
      </c>
      <c r="H44" s="677">
        <v>1</v>
      </c>
      <c r="I44" s="681">
        <v>1</v>
      </c>
    </row>
    <row r="45" spans="2:9" ht="20.100000000000001" customHeight="1" x14ac:dyDescent="0.2">
      <c r="B45" s="1251" t="s">
        <v>3596</v>
      </c>
      <c r="C45" s="456" t="s">
        <v>351</v>
      </c>
      <c r="D45" s="411">
        <v>0</v>
      </c>
      <c r="E45" s="452">
        <v>0</v>
      </c>
      <c r="F45" s="452"/>
      <c r="G45" s="637"/>
      <c r="H45" s="637"/>
      <c r="I45" s="680"/>
    </row>
    <row r="46" spans="2:9" ht="20.100000000000001" customHeight="1" x14ac:dyDescent="0.2">
      <c r="B46" s="1251"/>
      <c r="C46" s="623" t="s">
        <v>1025</v>
      </c>
      <c r="D46" s="452"/>
      <c r="E46" s="452"/>
      <c r="F46" s="452"/>
      <c r="G46" s="637"/>
      <c r="H46" s="637"/>
      <c r="I46" s="680"/>
    </row>
    <row r="47" spans="2:9" ht="20.100000000000001" customHeight="1" x14ac:dyDescent="0.2">
      <c r="B47" s="1251"/>
      <c r="C47" s="623" t="s">
        <v>1026</v>
      </c>
      <c r="D47" s="452"/>
      <c r="E47" s="452"/>
      <c r="F47" s="637"/>
      <c r="G47" s="637"/>
      <c r="H47" s="637"/>
      <c r="I47" s="680"/>
    </row>
    <row r="48" spans="2:9" ht="20.100000000000001" customHeight="1" x14ac:dyDescent="0.2">
      <c r="B48" s="1251"/>
      <c r="C48" s="456" t="s">
        <v>359</v>
      </c>
      <c r="D48" s="452"/>
      <c r="E48" s="411"/>
      <c r="F48" s="637"/>
      <c r="G48" s="637"/>
      <c r="H48" s="637"/>
      <c r="I48" s="680"/>
    </row>
    <row r="49" spans="2:9" ht="20.100000000000001" customHeight="1" x14ac:dyDescent="0.2">
      <c r="B49" s="1251"/>
      <c r="C49" s="456" t="s">
        <v>367</v>
      </c>
      <c r="D49" s="452">
        <v>7</v>
      </c>
      <c r="E49" s="452"/>
      <c r="F49" s="637"/>
      <c r="G49" s="637">
        <v>4.7000000000000002E-3</v>
      </c>
      <c r="H49" s="637">
        <v>3.7000000000000002E-3</v>
      </c>
      <c r="I49" s="680"/>
    </row>
    <row r="50" spans="2:9" ht="20.100000000000001" customHeight="1" x14ac:dyDescent="0.2">
      <c r="B50" s="1251"/>
      <c r="C50" s="456" t="s">
        <v>375</v>
      </c>
      <c r="D50" s="452">
        <v>2</v>
      </c>
      <c r="E50" s="452"/>
      <c r="F50" s="637"/>
      <c r="G50" s="637">
        <v>5.4999999999999997E-3</v>
      </c>
      <c r="H50" s="637">
        <v>6.1999999999999998E-3</v>
      </c>
      <c r="I50" s="680"/>
    </row>
    <row r="51" spans="2:9" ht="20.100000000000001" customHeight="1" x14ac:dyDescent="0.2">
      <c r="B51" s="1251"/>
      <c r="C51" s="456" t="s">
        <v>383</v>
      </c>
      <c r="D51" s="452">
        <v>7</v>
      </c>
      <c r="E51" s="452">
        <v>0</v>
      </c>
      <c r="F51" s="637"/>
      <c r="G51" s="637">
        <v>1.3299999999999999E-2</v>
      </c>
      <c r="H51" s="637">
        <v>1.4200000000000001E-2</v>
      </c>
      <c r="I51" s="680"/>
    </row>
    <row r="52" spans="2:9" ht="20.100000000000001" customHeight="1" x14ac:dyDescent="0.2">
      <c r="B52" s="1251"/>
      <c r="C52" s="623" t="s">
        <v>1027</v>
      </c>
      <c r="D52" s="452">
        <v>5</v>
      </c>
      <c r="E52" s="452"/>
      <c r="F52" s="637"/>
      <c r="G52" s="637">
        <v>1.3100000000000001E-2</v>
      </c>
      <c r="H52" s="637">
        <v>1.21E-2</v>
      </c>
      <c r="I52" s="680"/>
    </row>
    <row r="53" spans="2:9" ht="20.100000000000001" customHeight="1" x14ac:dyDescent="0.2">
      <c r="B53" s="1251"/>
      <c r="C53" s="623" t="s">
        <v>1028</v>
      </c>
      <c r="D53" s="452">
        <v>2</v>
      </c>
      <c r="E53" s="452"/>
      <c r="F53" s="637"/>
      <c r="G53" s="637">
        <v>2.06E-2</v>
      </c>
      <c r="H53" s="637">
        <v>1.9300000000000001E-2</v>
      </c>
      <c r="I53" s="680"/>
    </row>
    <row r="54" spans="2:9" ht="20.100000000000001" customHeight="1" x14ac:dyDescent="0.2">
      <c r="B54" s="1251"/>
      <c r="C54" s="456" t="s">
        <v>391</v>
      </c>
      <c r="D54" s="452">
        <v>5</v>
      </c>
      <c r="E54" s="452">
        <v>0</v>
      </c>
      <c r="F54" s="637"/>
      <c r="G54" s="637"/>
      <c r="H54" s="637">
        <v>2.5899999999999999E-2</v>
      </c>
      <c r="I54" s="680"/>
    </row>
    <row r="55" spans="2:9" ht="20.100000000000001" customHeight="1" x14ac:dyDescent="0.2">
      <c r="B55" s="1251"/>
      <c r="C55" s="623" t="s">
        <v>1029</v>
      </c>
      <c r="D55" s="452">
        <v>5</v>
      </c>
      <c r="E55" s="452"/>
      <c r="F55" s="637"/>
      <c r="G55" s="637"/>
      <c r="H55" s="637">
        <v>2.5899999999999999E-2</v>
      </c>
      <c r="I55" s="680"/>
    </row>
    <row r="56" spans="2:9" ht="20.100000000000001" customHeight="1" x14ac:dyDescent="0.2">
      <c r="B56" s="1251"/>
      <c r="C56" s="623" t="s">
        <v>1030</v>
      </c>
      <c r="D56" s="452"/>
      <c r="E56" s="452"/>
      <c r="F56" s="637"/>
      <c r="G56" s="637"/>
      <c r="H56" s="637"/>
      <c r="I56" s="680"/>
    </row>
    <row r="57" spans="2:9" ht="20.100000000000001" customHeight="1" x14ac:dyDescent="0.2">
      <c r="B57" s="1251"/>
      <c r="C57" s="456" t="s">
        <v>399</v>
      </c>
      <c r="D57" s="452">
        <v>0</v>
      </c>
      <c r="E57" s="452">
        <v>0</v>
      </c>
      <c r="F57" s="637"/>
      <c r="G57" s="637"/>
      <c r="H57" s="637"/>
      <c r="I57" s="680"/>
    </row>
    <row r="58" spans="2:9" ht="20.100000000000001" customHeight="1" x14ac:dyDescent="0.2">
      <c r="B58" s="1251"/>
      <c r="C58" s="623" t="s">
        <v>1031</v>
      </c>
      <c r="D58" s="452"/>
      <c r="E58" s="452"/>
      <c r="F58" s="637"/>
      <c r="G58" s="637"/>
      <c r="H58" s="637"/>
      <c r="I58" s="680"/>
    </row>
    <row r="59" spans="2:9" ht="20.100000000000001" customHeight="1" x14ac:dyDescent="0.2">
      <c r="B59" s="1251"/>
      <c r="C59" s="623" t="s">
        <v>1032</v>
      </c>
      <c r="D59" s="452"/>
      <c r="E59" s="452"/>
      <c r="F59" s="637"/>
      <c r="G59" s="637"/>
      <c r="H59" s="637"/>
      <c r="I59" s="680"/>
    </row>
    <row r="60" spans="2:9" ht="20.100000000000001" customHeight="1" x14ac:dyDescent="0.2">
      <c r="B60" s="1251"/>
      <c r="C60" s="623" t="s">
        <v>1033</v>
      </c>
      <c r="D60" s="452"/>
      <c r="E60" s="452"/>
      <c r="F60" s="637"/>
      <c r="G60" s="637"/>
      <c r="H60" s="637"/>
      <c r="I60" s="680"/>
    </row>
    <row r="61" spans="2:9" ht="20.100000000000001" customHeight="1" thickBot="1" x14ac:dyDescent="0.25">
      <c r="B61" s="1252"/>
      <c r="C61" s="675" t="s">
        <v>407</v>
      </c>
      <c r="D61" s="676"/>
      <c r="E61" s="676"/>
      <c r="F61" s="677"/>
      <c r="G61" s="677"/>
      <c r="H61" s="676"/>
      <c r="I61" s="682"/>
    </row>
    <row r="62" spans="2:9" ht="20.100000000000001" customHeight="1" x14ac:dyDescent="0.2">
      <c r="B62" s="1250" t="s">
        <v>3597</v>
      </c>
      <c r="C62" s="671" t="s">
        <v>351</v>
      </c>
      <c r="D62" s="672">
        <v>0</v>
      </c>
      <c r="E62" s="673">
        <v>0</v>
      </c>
      <c r="F62" s="673"/>
      <c r="G62" s="674"/>
      <c r="H62" s="674"/>
      <c r="I62" s="683"/>
    </row>
    <row r="63" spans="2:9" ht="20.100000000000001" customHeight="1" x14ac:dyDescent="0.2">
      <c r="B63" s="1251"/>
      <c r="C63" s="623" t="s">
        <v>1025</v>
      </c>
      <c r="D63" s="452"/>
      <c r="E63" s="452"/>
      <c r="F63" s="452"/>
      <c r="G63" s="637"/>
      <c r="H63" s="637"/>
      <c r="I63" s="680"/>
    </row>
    <row r="64" spans="2:9" ht="20.100000000000001" customHeight="1" x14ac:dyDescent="0.2">
      <c r="B64" s="1251"/>
      <c r="C64" s="623" t="s">
        <v>1026</v>
      </c>
      <c r="D64" s="452"/>
      <c r="E64" s="452"/>
      <c r="F64" s="637"/>
      <c r="G64" s="637"/>
      <c r="H64" s="637"/>
      <c r="I64" s="680"/>
    </row>
    <row r="65" spans="2:9" ht="20.100000000000001" customHeight="1" x14ac:dyDescent="0.2">
      <c r="B65" s="1251"/>
      <c r="C65" s="456" t="s">
        <v>359</v>
      </c>
      <c r="D65" s="452">
        <v>467</v>
      </c>
      <c r="E65" s="411">
        <v>1</v>
      </c>
      <c r="F65" s="637">
        <v>2.0999999999999999E-3</v>
      </c>
      <c r="G65" s="637">
        <v>2.0999999999999999E-3</v>
      </c>
      <c r="H65" s="637">
        <v>2.0999999999999999E-3</v>
      </c>
      <c r="I65" s="680">
        <v>8.9999999999999998E-4</v>
      </c>
    </row>
    <row r="66" spans="2:9" ht="20.100000000000001" customHeight="1" x14ac:dyDescent="0.2">
      <c r="B66" s="1251"/>
      <c r="C66" s="456" t="s">
        <v>367</v>
      </c>
      <c r="D66" s="452">
        <v>304</v>
      </c>
      <c r="E66" s="452"/>
      <c r="F66" s="637"/>
      <c r="G66" s="637">
        <v>3.5999999999999999E-3</v>
      </c>
      <c r="H66" s="637">
        <v>3.5999999999999999E-3</v>
      </c>
      <c r="I66" s="680">
        <v>4.0000000000000001E-3</v>
      </c>
    </row>
    <row r="67" spans="2:9" ht="20.100000000000001" customHeight="1" x14ac:dyDescent="0.2">
      <c r="B67" s="1251"/>
      <c r="C67" s="456" t="s">
        <v>375</v>
      </c>
      <c r="D67" s="452">
        <v>164</v>
      </c>
      <c r="E67" s="452">
        <v>1</v>
      </c>
      <c r="F67" s="637">
        <v>6.1000000000000004E-3</v>
      </c>
      <c r="G67" s="637">
        <v>6.1999999999999998E-3</v>
      </c>
      <c r="H67" s="637">
        <v>6.1000000000000004E-3</v>
      </c>
      <c r="I67" s="680">
        <v>4.7000000000000002E-3</v>
      </c>
    </row>
    <row r="68" spans="2:9" ht="20.100000000000001" customHeight="1" x14ac:dyDescent="0.2">
      <c r="B68" s="1251"/>
      <c r="C68" s="456" t="s">
        <v>383</v>
      </c>
      <c r="D68" s="452">
        <v>275</v>
      </c>
      <c r="E68" s="452">
        <v>0</v>
      </c>
      <c r="F68" s="637"/>
      <c r="G68" s="637">
        <v>1.2699999999999999E-2</v>
      </c>
      <c r="H68" s="637">
        <v>1.26E-2</v>
      </c>
      <c r="I68" s="680">
        <v>4.1000000000000003E-3</v>
      </c>
    </row>
    <row r="69" spans="2:9" ht="20.100000000000001" customHeight="1" x14ac:dyDescent="0.2">
      <c r="B69" s="1251"/>
      <c r="C69" s="623" t="s">
        <v>1027</v>
      </c>
      <c r="D69" s="452">
        <v>230</v>
      </c>
      <c r="E69" s="452"/>
      <c r="F69" s="637"/>
      <c r="G69" s="637">
        <v>1.11E-2</v>
      </c>
      <c r="H69" s="637">
        <v>1.0999999999999999E-2</v>
      </c>
      <c r="I69" s="680">
        <v>3.0999999999999999E-3</v>
      </c>
    </row>
    <row r="70" spans="2:9" ht="20.100000000000001" customHeight="1" x14ac:dyDescent="0.2">
      <c r="B70" s="1251"/>
      <c r="C70" s="623" t="s">
        <v>1028</v>
      </c>
      <c r="D70" s="452">
        <v>45</v>
      </c>
      <c r="E70" s="452"/>
      <c r="F70" s="637"/>
      <c r="G70" s="637">
        <v>2.0400000000000001E-2</v>
      </c>
      <c r="H70" s="637">
        <v>2.0400000000000001E-2</v>
      </c>
      <c r="I70" s="680">
        <v>1.0200000000000001E-2</v>
      </c>
    </row>
    <row r="71" spans="2:9" ht="20.100000000000001" customHeight="1" x14ac:dyDescent="0.2">
      <c r="B71" s="1251"/>
      <c r="C71" s="456" t="s">
        <v>391</v>
      </c>
      <c r="D71" s="452">
        <v>70</v>
      </c>
      <c r="E71" s="452">
        <v>1</v>
      </c>
      <c r="F71" s="637">
        <v>1.43E-2</v>
      </c>
      <c r="G71" s="637">
        <v>4.6800000000000001E-2</v>
      </c>
      <c r="H71" s="637">
        <v>5.0900000000000001E-2</v>
      </c>
      <c r="I71" s="680">
        <v>2.5600000000000001E-2</v>
      </c>
    </row>
    <row r="72" spans="2:9" ht="20.100000000000001" customHeight="1" x14ac:dyDescent="0.2">
      <c r="B72" s="1251"/>
      <c r="C72" s="623" t="s">
        <v>1029</v>
      </c>
      <c r="D72" s="452">
        <v>39</v>
      </c>
      <c r="E72" s="452"/>
      <c r="F72" s="637"/>
      <c r="G72" s="637">
        <v>3.3500000000000002E-2</v>
      </c>
      <c r="H72" s="637">
        <v>3.49E-2</v>
      </c>
      <c r="I72" s="680">
        <v>2.1100000000000001E-2</v>
      </c>
    </row>
    <row r="73" spans="2:9" ht="20.100000000000001" customHeight="1" x14ac:dyDescent="0.2">
      <c r="B73" s="1251"/>
      <c r="C73" s="623" t="s">
        <v>1030</v>
      </c>
      <c r="D73" s="452">
        <v>31</v>
      </c>
      <c r="E73" s="452">
        <v>1</v>
      </c>
      <c r="F73" s="637">
        <v>3.2300000000000002E-2</v>
      </c>
      <c r="G73" s="637">
        <v>6.8099999999999994E-2</v>
      </c>
      <c r="H73" s="637">
        <v>7.1099999999999997E-2</v>
      </c>
      <c r="I73" s="680">
        <v>3.09E-2</v>
      </c>
    </row>
    <row r="74" spans="2:9" ht="20.100000000000001" customHeight="1" x14ac:dyDescent="0.2">
      <c r="B74" s="1251"/>
      <c r="C74" s="456" t="s">
        <v>399</v>
      </c>
      <c r="D74" s="452">
        <v>49</v>
      </c>
      <c r="E74" s="452">
        <v>6</v>
      </c>
      <c r="F74" s="637">
        <v>0.1225</v>
      </c>
      <c r="G74" s="637">
        <v>0.22459999999999999</v>
      </c>
      <c r="H74" s="637">
        <v>0.23180000000000001</v>
      </c>
      <c r="I74" s="680">
        <v>9.0899999999999995E-2</v>
      </c>
    </row>
    <row r="75" spans="2:9" ht="20.100000000000001" customHeight="1" x14ac:dyDescent="0.2">
      <c r="B75" s="1251"/>
      <c r="C75" s="623" t="s">
        <v>1031</v>
      </c>
      <c r="D75" s="452">
        <v>25</v>
      </c>
      <c r="E75" s="452">
        <v>2</v>
      </c>
      <c r="F75" s="637">
        <v>0.08</v>
      </c>
      <c r="G75" s="637">
        <v>0.1208</v>
      </c>
      <c r="H75" s="637">
        <v>0.1409</v>
      </c>
      <c r="I75" s="680">
        <v>6.6100000000000006E-2</v>
      </c>
    </row>
    <row r="76" spans="2:9" ht="20.100000000000001" customHeight="1" x14ac:dyDescent="0.2">
      <c r="B76" s="1251"/>
      <c r="C76" s="623" t="s">
        <v>1032</v>
      </c>
      <c r="D76" s="452">
        <v>10</v>
      </c>
      <c r="E76" s="452">
        <v>1</v>
      </c>
      <c r="F76" s="637">
        <v>0.1</v>
      </c>
      <c r="G76" s="637">
        <v>0.23749999999999999</v>
      </c>
      <c r="H76" s="637">
        <v>0.24079999999999999</v>
      </c>
      <c r="I76" s="680">
        <v>5.6599999999999998E-2</v>
      </c>
    </row>
    <row r="77" spans="2:9" ht="20.100000000000001" customHeight="1" x14ac:dyDescent="0.2">
      <c r="B77" s="1251"/>
      <c r="C77" s="623" t="s">
        <v>1033</v>
      </c>
      <c r="D77" s="452">
        <v>14</v>
      </c>
      <c r="E77" s="452">
        <v>3</v>
      </c>
      <c r="F77" s="637">
        <v>0.21429999999999999</v>
      </c>
      <c r="G77" s="637">
        <v>0.39029999999999998</v>
      </c>
      <c r="H77" s="637">
        <v>0.38750000000000001</v>
      </c>
      <c r="I77" s="680">
        <v>0.1618</v>
      </c>
    </row>
    <row r="78" spans="2:9" ht="20.100000000000001" customHeight="1" thickBot="1" x14ac:dyDescent="0.25">
      <c r="B78" s="1252"/>
      <c r="C78" s="675" t="s">
        <v>407</v>
      </c>
      <c r="D78" s="676">
        <v>14</v>
      </c>
      <c r="E78" s="676">
        <v>14</v>
      </c>
      <c r="F78" s="677">
        <v>1</v>
      </c>
      <c r="G78" s="677">
        <v>1</v>
      </c>
      <c r="H78" s="677">
        <v>1</v>
      </c>
      <c r="I78" s="681">
        <v>1</v>
      </c>
    </row>
    <row r="79" spans="2:9" ht="20.100000000000001" customHeight="1" x14ac:dyDescent="0.2">
      <c r="B79" s="1250" t="s">
        <v>3598</v>
      </c>
      <c r="C79" s="671" t="s">
        <v>351</v>
      </c>
      <c r="D79" s="672">
        <v>0</v>
      </c>
      <c r="E79" s="673">
        <v>0</v>
      </c>
      <c r="F79" s="673"/>
      <c r="G79" s="674"/>
      <c r="H79" s="674"/>
      <c r="I79" s="683"/>
    </row>
    <row r="80" spans="2:9" ht="20.100000000000001" customHeight="1" x14ac:dyDescent="0.2">
      <c r="B80" s="1251"/>
      <c r="C80" s="623" t="s">
        <v>1025</v>
      </c>
      <c r="D80" s="452"/>
      <c r="E80" s="452"/>
      <c r="F80" s="452"/>
      <c r="G80" s="637"/>
      <c r="H80" s="637"/>
      <c r="I80" s="680"/>
    </row>
    <row r="81" spans="2:9" ht="20.100000000000001" customHeight="1" x14ac:dyDescent="0.2">
      <c r="B81" s="1251"/>
      <c r="C81" s="623" t="s">
        <v>1026</v>
      </c>
      <c r="D81" s="452"/>
      <c r="E81" s="452"/>
      <c r="F81" s="637"/>
      <c r="G81" s="637"/>
      <c r="H81" s="637"/>
      <c r="I81" s="680"/>
    </row>
    <row r="82" spans="2:9" ht="20.100000000000001" customHeight="1" x14ac:dyDescent="0.2">
      <c r="B82" s="1251"/>
      <c r="C82" s="456" t="s">
        <v>359</v>
      </c>
      <c r="D82" s="452">
        <v>15393</v>
      </c>
      <c r="E82" s="411"/>
      <c r="F82" s="637"/>
      <c r="G82" s="637">
        <v>2.0999999999999999E-3</v>
      </c>
      <c r="H82" s="637">
        <v>2.0999999999999999E-3</v>
      </c>
      <c r="I82" s="680">
        <v>1E-4</v>
      </c>
    </row>
    <row r="83" spans="2:9" ht="20.100000000000001" customHeight="1" x14ac:dyDescent="0.2">
      <c r="B83" s="1251"/>
      <c r="C83" s="456" t="s">
        <v>367</v>
      </c>
      <c r="D83" s="452">
        <v>10667</v>
      </c>
      <c r="E83" s="452">
        <v>7</v>
      </c>
      <c r="F83" s="637">
        <v>6.9999999999999999E-4</v>
      </c>
      <c r="G83" s="637">
        <v>3.7000000000000002E-3</v>
      </c>
      <c r="H83" s="637">
        <v>3.5999999999999999E-3</v>
      </c>
      <c r="I83" s="680">
        <v>5.9999999999999995E-4</v>
      </c>
    </row>
    <row r="84" spans="2:9" ht="20.100000000000001" customHeight="1" x14ac:dyDescent="0.2">
      <c r="B84" s="1251"/>
      <c r="C84" s="456" t="s">
        <v>375</v>
      </c>
      <c r="D84" s="452">
        <v>6149</v>
      </c>
      <c r="E84" s="452">
        <v>3</v>
      </c>
      <c r="F84" s="637">
        <v>5.0000000000000001E-4</v>
      </c>
      <c r="G84" s="637">
        <v>6.1999999999999998E-3</v>
      </c>
      <c r="H84" s="637">
        <v>6.1999999999999998E-3</v>
      </c>
      <c r="I84" s="680">
        <v>6.9999999999999999E-4</v>
      </c>
    </row>
    <row r="85" spans="2:9" ht="20.100000000000001" customHeight="1" x14ac:dyDescent="0.2">
      <c r="B85" s="1251"/>
      <c r="C85" s="456" t="s">
        <v>383</v>
      </c>
      <c r="D85" s="452">
        <v>7925</v>
      </c>
      <c r="E85" s="452">
        <v>22</v>
      </c>
      <c r="F85" s="637">
        <v>2.8E-3</v>
      </c>
      <c r="G85" s="637">
        <v>1.15E-2</v>
      </c>
      <c r="H85" s="637">
        <v>1.14E-2</v>
      </c>
      <c r="I85" s="680">
        <v>2.0999999999999999E-3</v>
      </c>
    </row>
    <row r="86" spans="2:9" ht="20.100000000000001" customHeight="1" x14ac:dyDescent="0.2">
      <c r="B86" s="1251"/>
      <c r="C86" s="623" t="s">
        <v>1027</v>
      </c>
      <c r="D86" s="452">
        <v>7337</v>
      </c>
      <c r="E86" s="452">
        <v>18</v>
      </c>
      <c r="F86" s="637">
        <v>2.5000000000000001E-3</v>
      </c>
      <c r="G86" s="637">
        <v>1.0800000000000001E-2</v>
      </c>
      <c r="H86" s="637">
        <v>1.06E-2</v>
      </c>
      <c r="I86" s="680">
        <v>1.6999999999999999E-3</v>
      </c>
    </row>
    <row r="87" spans="2:9" ht="20.100000000000001" customHeight="1" x14ac:dyDescent="0.2">
      <c r="B87" s="1251"/>
      <c r="C87" s="623" t="s">
        <v>1028</v>
      </c>
      <c r="D87" s="452">
        <v>588</v>
      </c>
      <c r="E87" s="452">
        <v>4</v>
      </c>
      <c r="F87" s="637">
        <v>6.7999999999999996E-3</v>
      </c>
      <c r="G87" s="637">
        <v>2.01E-2</v>
      </c>
      <c r="H87" s="637">
        <v>2.0299999999999999E-2</v>
      </c>
      <c r="I87" s="680">
        <v>5.8999999999999999E-3</v>
      </c>
    </row>
    <row r="88" spans="2:9" ht="20.100000000000001" customHeight="1" x14ac:dyDescent="0.2">
      <c r="B88" s="1251"/>
      <c r="C88" s="456" t="s">
        <v>391</v>
      </c>
      <c r="D88" s="452">
        <v>859</v>
      </c>
      <c r="E88" s="452">
        <v>16</v>
      </c>
      <c r="F88" s="637">
        <v>1.8599999999999998E-2</v>
      </c>
      <c r="G88" s="637">
        <v>5.0099999999999999E-2</v>
      </c>
      <c r="H88" s="637">
        <v>5.0099999999999999E-2</v>
      </c>
      <c r="I88" s="680">
        <v>1.44E-2</v>
      </c>
    </row>
    <row r="89" spans="2:9" ht="20.100000000000001" customHeight="1" x14ac:dyDescent="0.2">
      <c r="B89" s="1251"/>
      <c r="C89" s="623" t="s">
        <v>1029</v>
      </c>
      <c r="D89" s="452">
        <v>479</v>
      </c>
      <c r="E89" s="452">
        <v>8</v>
      </c>
      <c r="F89" s="637">
        <v>1.67E-2</v>
      </c>
      <c r="G89" s="637">
        <v>3.4200000000000001E-2</v>
      </c>
      <c r="H89" s="637">
        <v>3.5200000000000002E-2</v>
      </c>
      <c r="I89" s="680">
        <v>8.6E-3</v>
      </c>
    </row>
    <row r="90" spans="2:9" ht="20.100000000000001" customHeight="1" x14ac:dyDescent="0.2">
      <c r="B90" s="1251"/>
      <c r="C90" s="623" t="s">
        <v>1030</v>
      </c>
      <c r="D90" s="452">
        <v>380</v>
      </c>
      <c r="E90" s="452">
        <v>8</v>
      </c>
      <c r="F90" s="637">
        <v>2.1100000000000001E-2</v>
      </c>
      <c r="G90" s="637">
        <v>6.8699999999999997E-2</v>
      </c>
      <c r="H90" s="637">
        <v>6.9000000000000006E-2</v>
      </c>
      <c r="I90" s="680">
        <v>2.1700000000000001E-2</v>
      </c>
    </row>
    <row r="91" spans="2:9" ht="20.100000000000001" customHeight="1" x14ac:dyDescent="0.2">
      <c r="B91" s="1251"/>
      <c r="C91" s="456" t="s">
        <v>399</v>
      </c>
      <c r="D91" s="452">
        <v>424</v>
      </c>
      <c r="E91" s="452">
        <v>33</v>
      </c>
      <c r="F91" s="637">
        <v>7.7799999999999994E-2</v>
      </c>
      <c r="G91" s="637">
        <v>0.24179999999999999</v>
      </c>
      <c r="H91" s="637">
        <v>0.22370000000000001</v>
      </c>
      <c r="I91" s="680">
        <v>7.2900000000000006E-2</v>
      </c>
    </row>
    <row r="92" spans="2:9" ht="20.100000000000001" customHeight="1" x14ac:dyDescent="0.2">
      <c r="B92" s="1251"/>
      <c r="C92" s="623" t="s">
        <v>1031</v>
      </c>
      <c r="D92" s="452">
        <v>217</v>
      </c>
      <c r="E92" s="452">
        <v>5</v>
      </c>
      <c r="F92" s="637">
        <v>2.3E-2</v>
      </c>
      <c r="G92" s="637">
        <v>0.14369999999999999</v>
      </c>
      <c r="H92" s="637">
        <v>0.1431</v>
      </c>
      <c r="I92" s="680">
        <v>3.6900000000000002E-2</v>
      </c>
    </row>
    <row r="93" spans="2:9" ht="20.100000000000001" customHeight="1" x14ac:dyDescent="0.2">
      <c r="B93" s="1251"/>
      <c r="C93" s="623" t="s">
        <v>1032</v>
      </c>
      <c r="D93" s="452">
        <v>97</v>
      </c>
      <c r="E93" s="452">
        <v>4</v>
      </c>
      <c r="F93" s="637">
        <v>4.1200000000000001E-2</v>
      </c>
      <c r="G93" s="637">
        <v>0.2414</v>
      </c>
      <c r="H93" s="637">
        <v>0.23949999999999999</v>
      </c>
      <c r="I93" s="680">
        <v>4.5400000000000003E-2</v>
      </c>
    </row>
    <row r="94" spans="2:9" ht="20.100000000000001" customHeight="1" x14ac:dyDescent="0.2">
      <c r="B94" s="1251"/>
      <c r="C94" s="623" t="s">
        <v>1033</v>
      </c>
      <c r="D94" s="452">
        <v>110</v>
      </c>
      <c r="E94" s="452">
        <v>24</v>
      </c>
      <c r="F94" s="637">
        <v>0.21820000000000001</v>
      </c>
      <c r="G94" s="637">
        <v>0.38019999999999998</v>
      </c>
      <c r="H94" s="637">
        <v>0.36890000000000001</v>
      </c>
      <c r="I94" s="680">
        <v>0.18140000000000001</v>
      </c>
    </row>
    <row r="95" spans="2:9" ht="20.100000000000001" customHeight="1" thickBot="1" x14ac:dyDescent="0.25">
      <c r="B95" s="1252"/>
      <c r="C95" s="675" t="s">
        <v>407</v>
      </c>
      <c r="D95" s="676">
        <v>125</v>
      </c>
      <c r="E95" s="676">
        <v>125</v>
      </c>
      <c r="F95" s="677">
        <v>1</v>
      </c>
      <c r="G95" s="677">
        <v>1</v>
      </c>
      <c r="H95" s="677">
        <v>1</v>
      </c>
      <c r="I95" s="681">
        <v>1</v>
      </c>
    </row>
    <row r="96" spans="2:9" ht="20.100000000000001" customHeight="1" x14ac:dyDescent="0.2">
      <c r="B96" s="1250" t="s">
        <v>3600</v>
      </c>
      <c r="C96" s="671" t="s">
        <v>351</v>
      </c>
      <c r="D96" s="672">
        <v>0</v>
      </c>
      <c r="E96" s="673">
        <v>0</v>
      </c>
      <c r="F96" s="673"/>
      <c r="G96" s="674"/>
      <c r="H96" s="674"/>
      <c r="I96" s="683"/>
    </row>
    <row r="97" spans="2:9" ht="20.100000000000001" customHeight="1" x14ac:dyDescent="0.2">
      <c r="B97" s="1251"/>
      <c r="C97" s="623" t="s">
        <v>1025</v>
      </c>
      <c r="D97" s="452"/>
      <c r="E97" s="452"/>
      <c r="F97" s="452"/>
      <c r="G97" s="637"/>
      <c r="H97" s="637"/>
      <c r="I97" s="680"/>
    </row>
    <row r="98" spans="2:9" ht="20.100000000000001" customHeight="1" x14ac:dyDescent="0.2">
      <c r="B98" s="1251"/>
      <c r="C98" s="623" t="s">
        <v>1026</v>
      </c>
      <c r="D98" s="452"/>
      <c r="E98" s="452"/>
      <c r="F98" s="637"/>
      <c r="G98" s="637"/>
      <c r="H98" s="637"/>
      <c r="I98" s="680"/>
    </row>
    <row r="99" spans="2:9" ht="20.100000000000001" customHeight="1" x14ac:dyDescent="0.2">
      <c r="B99" s="1251"/>
      <c r="C99" s="456" t="s">
        <v>359</v>
      </c>
      <c r="D99" s="452">
        <v>102</v>
      </c>
      <c r="E99" s="411">
        <v>1</v>
      </c>
      <c r="F99" s="637">
        <v>9.7999999999999997E-3</v>
      </c>
      <c r="G99" s="637">
        <v>2.0999999999999999E-3</v>
      </c>
      <c r="H99" s="637">
        <v>2.0999999999999999E-3</v>
      </c>
      <c r="I99" s="680">
        <v>4.1000000000000003E-3</v>
      </c>
    </row>
    <row r="100" spans="2:9" ht="20.100000000000001" customHeight="1" x14ac:dyDescent="0.2">
      <c r="B100" s="1251"/>
      <c r="C100" s="456" t="s">
        <v>367</v>
      </c>
      <c r="D100" s="452">
        <v>108</v>
      </c>
      <c r="E100" s="452"/>
      <c r="F100" s="637"/>
      <c r="G100" s="637">
        <v>3.3999999999999998E-3</v>
      </c>
      <c r="H100" s="637">
        <v>3.7000000000000002E-3</v>
      </c>
      <c r="I100" s="680">
        <v>5.0000000000000001E-3</v>
      </c>
    </row>
    <row r="101" spans="2:9" ht="20.100000000000001" customHeight="1" x14ac:dyDescent="0.2">
      <c r="B101" s="1251"/>
      <c r="C101" s="456" t="s">
        <v>375</v>
      </c>
      <c r="D101" s="452">
        <v>91</v>
      </c>
      <c r="E101" s="452"/>
      <c r="F101" s="637"/>
      <c r="G101" s="637">
        <v>6.3E-3</v>
      </c>
      <c r="H101" s="637">
        <v>6.1000000000000004E-3</v>
      </c>
      <c r="I101" s="680">
        <v>4.3E-3</v>
      </c>
    </row>
    <row r="102" spans="2:9" ht="20.100000000000001" customHeight="1" x14ac:dyDescent="0.2">
      <c r="B102" s="1251"/>
      <c r="C102" s="456" t="s">
        <v>383</v>
      </c>
      <c r="D102" s="452">
        <v>136</v>
      </c>
      <c r="E102" s="452">
        <v>1</v>
      </c>
      <c r="F102" s="637">
        <v>7.4000000000000003E-3</v>
      </c>
      <c r="G102" s="637">
        <v>1.2500000000000001E-2</v>
      </c>
      <c r="H102" s="637">
        <v>1.2699999999999999E-2</v>
      </c>
      <c r="I102" s="680">
        <v>7.4999999999999997E-3</v>
      </c>
    </row>
    <row r="103" spans="2:9" ht="20.100000000000001" customHeight="1" x14ac:dyDescent="0.2">
      <c r="B103" s="1251"/>
      <c r="C103" s="623" t="s">
        <v>1027</v>
      </c>
      <c r="D103" s="452">
        <v>116</v>
      </c>
      <c r="E103" s="452">
        <v>1</v>
      </c>
      <c r="F103" s="637">
        <v>8.6E-3</v>
      </c>
      <c r="G103" s="637">
        <v>1.14E-2</v>
      </c>
      <c r="H103" s="637">
        <v>1.14E-2</v>
      </c>
      <c r="I103" s="680">
        <v>5.8999999999999999E-3</v>
      </c>
    </row>
    <row r="104" spans="2:9" ht="20.100000000000001" customHeight="1" x14ac:dyDescent="0.2">
      <c r="B104" s="1251"/>
      <c r="C104" s="623" t="s">
        <v>1028</v>
      </c>
      <c r="D104" s="452">
        <v>20</v>
      </c>
      <c r="E104" s="452"/>
      <c r="F104" s="637"/>
      <c r="G104" s="637">
        <v>2.0199999999999999E-2</v>
      </c>
      <c r="H104" s="637">
        <v>0.02</v>
      </c>
      <c r="I104" s="680">
        <v>1.6799999999999999E-2</v>
      </c>
    </row>
    <row r="105" spans="2:9" ht="20.100000000000001" customHeight="1" x14ac:dyDescent="0.2">
      <c r="B105" s="1251"/>
      <c r="C105" s="456" t="s">
        <v>391</v>
      </c>
      <c r="D105" s="452">
        <v>50</v>
      </c>
      <c r="E105" s="452"/>
      <c r="F105" s="637"/>
      <c r="G105" s="637">
        <v>4.5900000000000003E-2</v>
      </c>
      <c r="H105" s="637">
        <v>4.7500000000000001E-2</v>
      </c>
      <c r="I105" s="680">
        <v>1.9599999999999999E-2</v>
      </c>
    </row>
    <row r="106" spans="2:9" ht="20.100000000000001" customHeight="1" x14ac:dyDescent="0.2">
      <c r="B106" s="1251"/>
      <c r="C106" s="623" t="s">
        <v>1029</v>
      </c>
      <c r="D106" s="452">
        <v>31</v>
      </c>
      <c r="E106" s="452"/>
      <c r="F106" s="637"/>
      <c r="G106" s="637">
        <v>3.3500000000000002E-2</v>
      </c>
      <c r="H106" s="637">
        <v>3.4599999999999999E-2</v>
      </c>
      <c r="I106" s="680">
        <v>1.43E-2</v>
      </c>
    </row>
    <row r="107" spans="2:9" ht="20.100000000000001" customHeight="1" x14ac:dyDescent="0.2">
      <c r="B107" s="1251"/>
      <c r="C107" s="623" t="s">
        <v>1030</v>
      </c>
      <c r="D107" s="452">
        <v>19</v>
      </c>
      <c r="E107" s="452"/>
      <c r="F107" s="637"/>
      <c r="G107" s="637">
        <v>6.7100000000000007E-2</v>
      </c>
      <c r="H107" s="637">
        <v>6.8400000000000002E-2</v>
      </c>
      <c r="I107" s="680">
        <v>2.6100000000000002E-2</v>
      </c>
    </row>
    <row r="108" spans="2:9" ht="20.100000000000001" customHeight="1" x14ac:dyDescent="0.2">
      <c r="B108" s="1251"/>
      <c r="C108" s="456" t="s">
        <v>399</v>
      </c>
      <c r="D108" s="452">
        <v>28</v>
      </c>
      <c r="E108" s="452">
        <v>3</v>
      </c>
      <c r="F108" s="637">
        <v>0.1071</v>
      </c>
      <c r="G108" s="637">
        <v>0.2283</v>
      </c>
      <c r="H108" s="637">
        <v>0.2248</v>
      </c>
      <c r="I108" s="680">
        <v>0.1212</v>
      </c>
    </row>
    <row r="109" spans="2:9" ht="20.100000000000001" customHeight="1" x14ac:dyDescent="0.2">
      <c r="B109" s="1251"/>
      <c r="C109" s="623" t="s">
        <v>1031</v>
      </c>
      <c r="D109" s="452">
        <v>15</v>
      </c>
      <c r="E109" s="452">
        <v>1</v>
      </c>
      <c r="F109" s="637">
        <v>6.6699999999999995E-2</v>
      </c>
      <c r="G109" s="637">
        <v>0.12189999999999999</v>
      </c>
      <c r="H109" s="637">
        <v>0.1482</v>
      </c>
      <c r="I109" s="680">
        <v>7.3499999999999996E-2</v>
      </c>
    </row>
    <row r="110" spans="2:9" ht="20.100000000000001" customHeight="1" x14ac:dyDescent="0.2">
      <c r="B110" s="1251"/>
      <c r="C110" s="623" t="s">
        <v>1032</v>
      </c>
      <c r="D110" s="452">
        <v>6</v>
      </c>
      <c r="E110" s="452"/>
      <c r="F110" s="637"/>
      <c r="G110" s="637">
        <v>0.22670000000000001</v>
      </c>
      <c r="H110" s="637">
        <v>0.2407</v>
      </c>
      <c r="I110" s="680"/>
    </row>
    <row r="111" spans="2:9" ht="20.100000000000001" customHeight="1" x14ac:dyDescent="0.2">
      <c r="B111" s="1251"/>
      <c r="C111" s="623" t="s">
        <v>1033</v>
      </c>
      <c r="D111" s="452">
        <v>7</v>
      </c>
      <c r="E111" s="452">
        <v>2</v>
      </c>
      <c r="F111" s="637">
        <v>0.28570000000000001</v>
      </c>
      <c r="G111" s="637">
        <v>0.35510000000000003</v>
      </c>
      <c r="H111" s="637">
        <v>0.37559999999999999</v>
      </c>
      <c r="I111" s="680">
        <v>0.31430000000000002</v>
      </c>
    </row>
    <row r="112" spans="2:9" ht="20.100000000000001" customHeight="1" thickBot="1" x14ac:dyDescent="0.25">
      <c r="B112" s="1252"/>
      <c r="C112" s="675" t="s">
        <v>407</v>
      </c>
      <c r="D112" s="676">
        <v>10</v>
      </c>
      <c r="E112" s="676">
        <v>10</v>
      </c>
      <c r="F112" s="677">
        <v>1</v>
      </c>
      <c r="G112" s="677">
        <v>1</v>
      </c>
      <c r="H112" s="677">
        <v>1</v>
      </c>
      <c r="I112" s="681">
        <v>1</v>
      </c>
    </row>
    <row r="113" spans="2:9" ht="20.100000000000001" customHeight="1" x14ac:dyDescent="0.2">
      <c r="B113" s="1253" t="s">
        <v>3599</v>
      </c>
      <c r="C113" s="671" t="s">
        <v>351</v>
      </c>
      <c r="D113" s="672">
        <v>0</v>
      </c>
      <c r="E113" s="673">
        <v>0</v>
      </c>
      <c r="F113" s="673"/>
      <c r="G113" s="674"/>
      <c r="H113" s="674"/>
      <c r="I113" s="683"/>
    </row>
    <row r="114" spans="2:9" ht="20.100000000000001" customHeight="1" x14ac:dyDescent="0.2">
      <c r="B114" s="1254"/>
      <c r="C114" s="623" t="s">
        <v>1025</v>
      </c>
      <c r="D114" s="452"/>
      <c r="E114" s="452"/>
      <c r="F114" s="452"/>
      <c r="G114" s="637"/>
      <c r="H114" s="637"/>
      <c r="I114" s="680"/>
    </row>
    <row r="115" spans="2:9" ht="20.100000000000001" customHeight="1" x14ac:dyDescent="0.2">
      <c r="B115" s="1254"/>
      <c r="C115" s="623" t="s">
        <v>1026</v>
      </c>
      <c r="D115" s="452"/>
      <c r="E115" s="452"/>
      <c r="F115" s="637"/>
      <c r="G115" s="637"/>
      <c r="H115" s="637"/>
      <c r="I115" s="680"/>
    </row>
    <row r="116" spans="2:9" ht="20.100000000000001" customHeight="1" x14ac:dyDescent="0.2">
      <c r="B116" s="1254"/>
      <c r="C116" s="456" t="s">
        <v>359</v>
      </c>
      <c r="D116" s="452">
        <v>1361</v>
      </c>
      <c r="E116" s="411"/>
      <c r="F116" s="637"/>
      <c r="G116" s="637">
        <v>2.0999999999999999E-3</v>
      </c>
      <c r="H116" s="637">
        <v>2.0999999999999999E-3</v>
      </c>
      <c r="I116" s="680">
        <v>2.9999999999999997E-4</v>
      </c>
    </row>
    <row r="117" spans="2:9" ht="20.100000000000001" customHeight="1" x14ac:dyDescent="0.2">
      <c r="B117" s="1254"/>
      <c r="C117" s="456" t="s">
        <v>367</v>
      </c>
      <c r="D117" s="452">
        <v>1735</v>
      </c>
      <c r="E117" s="452"/>
      <c r="F117" s="637"/>
      <c r="G117" s="637">
        <v>3.7000000000000002E-3</v>
      </c>
      <c r="H117" s="637">
        <v>3.8E-3</v>
      </c>
      <c r="I117" s="680">
        <v>2.9999999999999997E-4</v>
      </c>
    </row>
    <row r="118" spans="2:9" ht="20.100000000000001" customHeight="1" x14ac:dyDescent="0.2">
      <c r="B118" s="1254"/>
      <c r="C118" s="456" t="s">
        <v>375</v>
      </c>
      <c r="D118" s="452">
        <v>1596</v>
      </c>
      <c r="E118" s="452">
        <v>2</v>
      </c>
      <c r="F118" s="637">
        <v>1.2999999999999999E-3</v>
      </c>
      <c r="G118" s="637">
        <v>6.1999999999999998E-3</v>
      </c>
      <c r="H118" s="637">
        <v>6.1999999999999998E-3</v>
      </c>
      <c r="I118" s="680">
        <v>6.9999999999999999E-4</v>
      </c>
    </row>
    <row r="119" spans="2:9" ht="20.100000000000001" customHeight="1" x14ac:dyDescent="0.2">
      <c r="B119" s="1254"/>
      <c r="C119" s="456" t="s">
        <v>383</v>
      </c>
      <c r="D119" s="452">
        <v>2633</v>
      </c>
      <c r="E119" s="452">
        <v>8</v>
      </c>
      <c r="F119" s="637">
        <v>3.0000000000000001E-3</v>
      </c>
      <c r="G119" s="637">
        <v>1.1599999999999999E-2</v>
      </c>
      <c r="H119" s="637">
        <v>1.17E-2</v>
      </c>
      <c r="I119" s="680">
        <v>3.0000000000000001E-3</v>
      </c>
    </row>
    <row r="120" spans="2:9" ht="20.100000000000001" customHeight="1" x14ac:dyDescent="0.2">
      <c r="B120" s="1254"/>
      <c r="C120" s="623" t="s">
        <v>1027</v>
      </c>
      <c r="D120" s="452">
        <v>2415</v>
      </c>
      <c r="E120" s="452">
        <v>7</v>
      </c>
      <c r="F120" s="637">
        <v>2.8999999999999998E-3</v>
      </c>
      <c r="G120" s="637">
        <v>1.09E-2</v>
      </c>
      <c r="H120" s="637">
        <v>1.09E-2</v>
      </c>
      <c r="I120" s="680">
        <v>2.3999999999999998E-3</v>
      </c>
    </row>
    <row r="121" spans="2:9" ht="20.100000000000001" customHeight="1" x14ac:dyDescent="0.2">
      <c r="B121" s="1254"/>
      <c r="C121" s="623" t="s">
        <v>1028</v>
      </c>
      <c r="D121" s="452">
        <v>218</v>
      </c>
      <c r="E121" s="452">
        <v>1</v>
      </c>
      <c r="F121" s="637">
        <v>4.5999999999999999E-3</v>
      </c>
      <c r="G121" s="637">
        <v>2.0299999999999999E-2</v>
      </c>
      <c r="H121" s="637">
        <v>2.0199999999999999E-2</v>
      </c>
      <c r="I121" s="680">
        <v>8.2000000000000007E-3</v>
      </c>
    </row>
    <row r="122" spans="2:9" ht="20.100000000000001" customHeight="1" x14ac:dyDescent="0.2">
      <c r="B122" s="1254"/>
      <c r="C122" s="456" t="s">
        <v>391</v>
      </c>
      <c r="D122" s="452">
        <v>318</v>
      </c>
      <c r="E122" s="452">
        <v>14</v>
      </c>
      <c r="F122" s="637">
        <v>4.3999999999999997E-2</v>
      </c>
      <c r="G122" s="637">
        <v>5.3999999999999999E-2</v>
      </c>
      <c r="H122" s="637">
        <v>5.0999999999999997E-2</v>
      </c>
      <c r="I122" s="680">
        <v>2.06E-2</v>
      </c>
    </row>
    <row r="123" spans="2:9" ht="20.100000000000001" customHeight="1" x14ac:dyDescent="0.2">
      <c r="B123" s="1254"/>
      <c r="C123" s="623" t="s">
        <v>1029</v>
      </c>
      <c r="D123" s="452">
        <v>172</v>
      </c>
      <c r="E123" s="452">
        <v>7</v>
      </c>
      <c r="F123" s="637">
        <v>4.07E-2</v>
      </c>
      <c r="G123" s="637">
        <v>3.4099999999999998E-2</v>
      </c>
      <c r="H123" s="637">
        <v>3.49E-2</v>
      </c>
      <c r="I123" s="680">
        <v>1.54E-2</v>
      </c>
    </row>
    <row r="124" spans="2:9" ht="20.100000000000001" customHeight="1" x14ac:dyDescent="0.2">
      <c r="B124" s="1254"/>
      <c r="C124" s="623" t="s">
        <v>1030</v>
      </c>
      <c r="D124" s="452">
        <v>146</v>
      </c>
      <c r="E124" s="452">
        <v>7</v>
      </c>
      <c r="F124" s="637">
        <v>4.8000000000000001E-2</v>
      </c>
      <c r="G124" s="637">
        <v>7.0999999999999994E-2</v>
      </c>
      <c r="H124" s="637">
        <v>6.9900000000000004E-2</v>
      </c>
      <c r="I124" s="680">
        <v>2.76E-2</v>
      </c>
    </row>
    <row r="125" spans="2:9" ht="20.100000000000001" customHeight="1" x14ac:dyDescent="0.2">
      <c r="B125" s="1254"/>
      <c r="C125" s="456" t="s">
        <v>399</v>
      </c>
      <c r="D125" s="452">
        <v>199</v>
      </c>
      <c r="E125" s="452">
        <v>18</v>
      </c>
      <c r="F125" s="637">
        <v>9.0499999999999997E-2</v>
      </c>
      <c r="G125" s="637">
        <v>0.26279999999999998</v>
      </c>
      <c r="H125" s="637">
        <v>0.2296</v>
      </c>
      <c r="I125" s="680">
        <v>0.1084</v>
      </c>
    </row>
    <row r="126" spans="2:9" ht="20.100000000000001" customHeight="1" x14ac:dyDescent="0.2">
      <c r="B126" s="1254"/>
      <c r="C126" s="623" t="s">
        <v>1031</v>
      </c>
      <c r="D126" s="452">
        <v>93</v>
      </c>
      <c r="E126" s="452">
        <v>3</v>
      </c>
      <c r="F126" s="637">
        <v>3.2300000000000002E-2</v>
      </c>
      <c r="G126" s="637">
        <v>0.13120000000000001</v>
      </c>
      <c r="H126" s="637">
        <v>0.1424</v>
      </c>
      <c r="I126" s="680">
        <v>5.2699999999999997E-2</v>
      </c>
    </row>
    <row r="127" spans="2:9" ht="20.100000000000001" customHeight="1" x14ac:dyDescent="0.2">
      <c r="B127" s="1254"/>
      <c r="C127" s="623" t="s">
        <v>1032</v>
      </c>
      <c r="D127" s="452">
        <v>54</v>
      </c>
      <c r="E127" s="452">
        <v>5</v>
      </c>
      <c r="F127" s="637">
        <v>9.2600000000000002E-2</v>
      </c>
      <c r="G127" s="637">
        <v>0.26340000000000002</v>
      </c>
      <c r="H127" s="637">
        <v>0.24279999999999999</v>
      </c>
      <c r="I127" s="680">
        <v>7.7799999999999994E-2</v>
      </c>
    </row>
    <row r="128" spans="2:9" ht="20.100000000000001" customHeight="1" x14ac:dyDescent="0.2">
      <c r="B128" s="1254"/>
      <c r="C128" s="623" t="s">
        <v>1033</v>
      </c>
      <c r="D128" s="452">
        <v>52</v>
      </c>
      <c r="E128" s="452">
        <v>10</v>
      </c>
      <c r="F128" s="637">
        <v>0.1923</v>
      </c>
      <c r="G128" s="637">
        <v>0.38819999999999999</v>
      </c>
      <c r="H128" s="637">
        <v>0.37190000000000001</v>
      </c>
      <c r="I128" s="680">
        <v>0.23810000000000001</v>
      </c>
    </row>
    <row r="129" spans="2:9" ht="20.100000000000001" customHeight="1" thickBot="1" x14ac:dyDescent="0.25">
      <c r="B129" s="1255"/>
      <c r="C129" s="675" t="s">
        <v>407</v>
      </c>
      <c r="D129" s="676">
        <v>120</v>
      </c>
      <c r="E129" s="676">
        <v>120</v>
      </c>
      <c r="F129" s="677">
        <v>1</v>
      </c>
      <c r="G129" s="677">
        <v>1</v>
      </c>
      <c r="H129" s="677">
        <v>1</v>
      </c>
      <c r="I129" s="681">
        <v>1</v>
      </c>
    </row>
    <row r="130" spans="2:9" ht="20.100000000000001" customHeight="1" x14ac:dyDescent="0.2">
      <c r="B130" s="1239" t="s">
        <v>3601</v>
      </c>
      <c r="C130" s="671" t="s">
        <v>351</v>
      </c>
      <c r="D130" s="672">
        <v>3</v>
      </c>
      <c r="E130" s="673"/>
      <c r="F130" s="673"/>
      <c r="G130" s="674">
        <v>1.1000000000000001E-3</v>
      </c>
      <c r="H130" s="674">
        <v>8.9999999999999998E-4</v>
      </c>
      <c r="I130" s="683"/>
    </row>
    <row r="131" spans="2:9" ht="20.100000000000001" customHeight="1" x14ac:dyDescent="0.2">
      <c r="B131" s="1240"/>
      <c r="C131" s="623" t="s">
        <v>1025</v>
      </c>
      <c r="D131" s="452">
        <v>3</v>
      </c>
      <c r="E131" s="452"/>
      <c r="F131" s="452"/>
      <c r="G131" s="637">
        <v>8.9999999999999998E-4</v>
      </c>
      <c r="H131" s="637">
        <v>8.9999999999999998E-4</v>
      </c>
      <c r="I131" s="680"/>
    </row>
    <row r="132" spans="2:9" ht="20.100000000000001" customHeight="1" x14ac:dyDescent="0.2">
      <c r="B132" s="1240"/>
      <c r="C132" s="623" t="s">
        <v>1026</v>
      </c>
      <c r="D132" s="452"/>
      <c r="E132" s="452"/>
      <c r="F132" s="637"/>
      <c r="G132" s="637">
        <v>1.1000000000000001E-3</v>
      </c>
      <c r="H132" s="637"/>
      <c r="I132" s="680"/>
    </row>
    <row r="133" spans="2:9" ht="20.100000000000001" customHeight="1" x14ac:dyDescent="0.2">
      <c r="B133" s="1240"/>
      <c r="C133" s="456" t="s">
        <v>359</v>
      </c>
      <c r="D133" s="452">
        <v>17554</v>
      </c>
      <c r="E133" s="411">
        <v>2</v>
      </c>
      <c r="F133" s="637">
        <v>1E-4</v>
      </c>
      <c r="G133" s="637">
        <v>2.0999999999999999E-3</v>
      </c>
      <c r="H133" s="637">
        <v>2.0999999999999999E-3</v>
      </c>
      <c r="I133" s="680">
        <v>2.0000000000000001E-4</v>
      </c>
    </row>
    <row r="134" spans="2:9" ht="20.100000000000001" customHeight="1" x14ac:dyDescent="0.2">
      <c r="B134" s="1240"/>
      <c r="C134" s="456" t="s">
        <v>367</v>
      </c>
      <c r="D134" s="452">
        <v>13734</v>
      </c>
      <c r="E134" s="452">
        <v>10</v>
      </c>
      <c r="F134" s="637">
        <v>8.0000000000000004E-4</v>
      </c>
      <c r="G134" s="637">
        <v>3.8E-3</v>
      </c>
      <c r="H134" s="637">
        <v>3.5999999999999999E-3</v>
      </c>
      <c r="I134" s="680">
        <v>6.9999999999999999E-4</v>
      </c>
    </row>
    <row r="135" spans="2:9" ht="20.100000000000001" customHeight="1" x14ac:dyDescent="0.2">
      <c r="B135" s="1240"/>
      <c r="C135" s="456" t="s">
        <v>375</v>
      </c>
      <c r="D135" s="452">
        <v>8444</v>
      </c>
      <c r="E135" s="452">
        <v>8</v>
      </c>
      <c r="F135" s="637">
        <v>6.9999999999999999E-4</v>
      </c>
      <c r="G135" s="637">
        <v>6.1999999999999998E-3</v>
      </c>
      <c r="H135" s="637">
        <v>6.1000000000000004E-3</v>
      </c>
      <c r="I135" s="680">
        <v>1.1000000000000001E-3</v>
      </c>
    </row>
    <row r="136" spans="2:9" ht="20.100000000000001" customHeight="1" x14ac:dyDescent="0.2">
      <c r="B136" s="1240"/>
      <c r="C136" s="456" t="s">
        <v>383</v>
      </c>
      <c r="D136" s="452">
        <v>11978</v>
      </c>
      <c r="E136" s="452">
        <v>40</v>
      </c>
      <c r="F136" s="637">
        <v>3.5000000000000001E-3</v>
      </c>
      <c r="G136" s="637">
        <v>1.2800000000000001E-2</v>
      </c>
      <c r="H136" s="637">
        <v>1.1599999999999999E-2</v>
      </c>
      <c r="I136" s="680">
        <v>3.2000000000000002E-3</v>
      </c>
    </row>
    <row r="137" spans="2:9" ht="20.100000000000001" customHeight="1" x14ac:dyDescent="0.2">
      <c r="B137" s="1240"/>
      <c r="C137" s="623" t="s">
        <v>1027</v>
      </c>
      <c r="D137" s="452">
        <v>10895</v>
      </c>
      <c r="E137" s="452">
        <v>33</v>
      </c>
      <c r="F137" s="637">
        <v>3.2000000000000002E-3</v>
      </c>
      <c r="G137" s="637">
        <v>1.11E-2</v>
      </c>
      <c r="H137" s="637">
        <v>1.0699999999999999E-2</v>
      </c>
      <c r="I137" s="680">
        <v>4.8999999999999998E-3</v>
      </c>
    </row>
    <row r="138" spans="2:9" ht="20.100000000000001" customHeight="1" x14ac:dyDescent="0.2">
      <c r="B138" s="1240"/>
      <c r="C138" s="623" t="s">
        <v>1028</v>
      </c>
      <c r="D138" s="452">
        <v>1083</v>
      </c>
      <c r="E138" s="452">
        <v>7</v>
      </c>
      <c r="F138" s="637">
        <v>6.6E-3</v>
      </c>
      <c r="G138" s="637">
        <v>2.0400000000000001E-2</v>
      </c>
      <c r="H138" s="637">
        <v>2.0500000000000001E-2</v>
      </c>
      <c r="I138" s="680">
        <v>1.03E-2</v>
      </c>
    </row>
    <row r="139" spans="2:9" ht="20.100000000000001" customHeight="1" x14ac:dyDescent="0.2">
      <c r="B139" s="1240"/>
      <c r="C139" s="456" t="s">
        <v>391</v>
      </c>
      <c r="D139" s="452">
        <v>1918</v>
      </c>
      <c r="E139" s="452">
        <v>39</v>
      </c>
      <c r="F139" s="637">
        <v>1.9099999999999999E-2</v>
      </c>
      <c r="G139" s="637">
        <v>5.0599999999999999E-2</v>
      </c>
      <c r="H139" s="637">
        <v>4.8500000000000001E-2</v>
      </c>
      <c r="I139" s="680">
        <v>1.9099999999999999E-2</v>
      </c>
    </row>
    <row r="140" spans="2:9" ht="20.100000000000001" customHeight="1" x14ac:dyDescent="0.2">
      <c r="B140" s="1240"/>
      <c r="C140" s="623" t="s">
        <v>1029</v>
      </c>
      <c r="D140" s="452">
        <v>1100</v>
      </c>
      <c r="E140" s="452">
        <v>16</v>
      </c>
      <c r="F140" s="637">
        <v>1.23E-2</v>
      </c>
      <c r="G140" s="637">
        <v>3.4599999999999999E-2</v>
      </c>
      <c r="H140" s="637">
        <v>3.5499999999999997E-2</v>
      </c>
      <c r="I140" s="680">
        <v>1.7399999999999999E-2</v>
      </c>
    </row>
    <row r="141" spans="2:9" ht="20.100000000000001" customHeight="1" x14ac:dyDescent="0.2">
      <c r="B141" s="1240"/>
      <c r="C141" s="623" t="s">
        <v>1030</v>
      </c>
      <c r="D141" s="452">
        <v>818</v>
      </c>
      <c r="E141" s="452">
        <v>23</v>
      </c>
      <c r="F141" s="637">
        <v>2.8500000000000001E-2</v>
      </c>
      <c r="G141" s="637">
        <v>6.5699999999999995E-2</v>
      </c>
      <c r="H141" s="637">
        <v>6.6500000000000004E-2</v>
      </c>
      <c r="I141" s="680">
        <v>3.5200000000000002E-2</v>
      </c>
    </row>
    <row r="142" spans="2:9" ht="20.100000000000001" customHeight="1" x14ac:dyDescent="0.2">
      <c r="B142" s="1240"/>
      <c r="C142" s="456" t="s">
        <v>399</v>
      </c>
      <c r="D142" s="452">
        <v>824</v>
      </c>
      <c r="E142" s="452">
        <v>69</v>
      </c>
      <c r="F142" s="637">
        <v>8.0799999999999997E-2</v>
      </c>
      <c r="G142" s="637">
        <v>0.21529999999999999</v>
      </c>
      <c r="H142" s="637">
        <v>0.2177</v>
      </c>
      <c r="I142" s="680">
        <v>8.9800000000000005E-2</v>
      </c>
    </row>
    <row r="143" spans="2:9" ht="20.100000000000001" customHeight="1" x14ac:dyDescent="0.2">
      <c r="B143" s="1240"/>
      <c r="C143" s="623" t="s">
        <v>1031</v>
      </c>
      <c r="D143" s="452">
        <v>429</v>
      </c>
      <c r="E143" s="452">
        <v>18</v>
      </c>
      <c r="F143" s="637">
        <v>4.1099999999999998E-2</v>
      </c>
      <c r="G143" s="637">
        <v>0.1479</v>
      </c>
      <c r="H143" s="637">
        <v>0.14099999999999999</v>
      </c>
      <c r="I143" s="680">
        <v>6.0499999999999998E-2</v>
      </c>
    </row>
    <row r="144" spans="2:9" ht="20.100000000000001" customHeight="1" x14ac:dyDescent="0.2">
      <c r="B144" s="1240"/>
      <c r="C144" s="623" t="s">
        <v>1032</v>
      </c>
      <c r="D144" s="452">
        <v>201</v>
      </c>
      <c r="E144" s="452">
        <v>11</v>
      </c>
      <c r="F144" s="637">
        <v>4.9700000000000001E-2</v>
      </c>
      <c r="G144" s="637">
        <v>0.24079999999999999</v>
      </c>
      <c r="H144" s="637">
        <v>0.24310000000000001</v>
      </c>
      <c r="I144" s="680">
        <v>9.5899999999999999E-2</v>
      </c>
    </row>
    <row r="145" spans="2:11" ht="20.100000000000001" customHeight="1" x14ac:dyDescent="0.2">
      <c r="B145" s="1240"/>
      <c r="C145" s="623" t="s">
        <v>1033</v>
      </c>
      <c r="D145" s="452">
        <v>194</v>
      </c>
      <c r="E145" s="452">
        <v>40</v>
      </c>
      <c r="F145" s="637">
        <v>0.20649999999999999</v>
      </c>
      <c r="G145" s="637">
        <v>0.37819999999999998</v>
      </c>
      <c r="H145" s="637">
        <v>0.37190000000000001</v>
      </c>
      <c r="I145" s="680">
        <v>0.28760000000000002</v>
      </c>
    </row>
    <row r="146" spans="2:11" ht="20.100000000000001" customHeight="1" thickBot="1" x14ac:dyDescent="0.25">
      <c r="B146" s="1241"/>
      <c r="C146" s="675" t="s">
        <v>407</v>
      </c>
      <c r="D146" s="676">
        <v>319</v>
      </c>
      <c r="E146" s="676">
        <v>319</v>
      </c>
      <c r="F146" s="677">
        <v>1</v>
      </c>
      <c r="G146" s="677">
        <v>1</v>
      </c>
      <c r="H146" s="677">
        <v>1</v>
      </c>
      <c r="I146" s="681">
        <v>1</v>
      </c>
    </row>
    <row r="147" spans="2:11" x14ac:dyDescent="0.2">
      <c r="K147" s="301"/>
    </row>
    <row r="155" spans="2:11" x14ac:dyDescent="0.2">
      <c r="J155" s="353"/>
    </row>
    <row r="156" spans="2:11" x14ac:dyDescent="0.2">
      <c r="J156" s="353"/>
    </row>
    <row r="157" spans="2:11" x14ac:dyDescent="0.2">
      <c r="J157" s="379"/>
    </row>
  </sheetData>
  <sheetProtection algorithmName="SHA-512" hashValue="bJuiU1g0lRSnPF/DLmVbyUElhPh5X2zXHguwr6rnexQzYREyO6se/k4J88MqXM3VLsj7tg22NEKqjGBD9g7eKQ==" saltValue="tBcDvRiG27NKQ3E5uO2TBQ==" spinCount="100000" sheet="1" objects="1" scenarios="1"/>
  <mergeCells count="16">
    <mergeCell ref="I8:I9"/>
    <mergeCell ref="B11:B27"/>
    <mergeCell ref="B28:B44"/>
    <mergeCell ref="B45:B61"/>
    <mergeCell ref="B62:B78"/>
    <mergeCell ref="B130:B146"/>
    <mergeCell ref="B4:H4"/>
    <mergeCell ref="B8:B9"/>
    <mergeCell ref="C8:C9"/>
    <mergeCell ref="D8:E8"/>
    <mergeCell ref="F8:F9"/>
    <mergeCell ref="G8:G9"/>
    <mergeCell ref="H8:H9"/>
    <mergeCell ref="B79:B95"/>
    <mergeCell ref="B96:B112"/>
    <mergeCell ref="B113:B129"/>
  </mergeCells>
  <hyperlinks>
    <hyperlink ref="B2" location="Contents!A1" display="Back to Contents page" xr:uid="{81640F67-E627-4685-8404-1B71BA09D7B3}"/>
  </hyperlinks>
  <pageMargins left="0.7" right="0.7" top="0.75" bottom="0.75" header="0.3" footer="0.3"/>
  <pageSetup paperSize="9" scale="30" orientation="portrait" horizontalDpi="144" verticalDpi="144"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I37"/>
  <sheetViews>
    <sheetView workbookViewId="0"/>
  </sheetViews>
  <sheetFormatPr baseColWidth="10" defaultColWidth="11.6640625" defaultRowHeight="12.75" x14ac:dyDescent="0.2"/>
  <cols>
    <col min="1" max="1" width="11.6640625" style="271"/>
    <col min="2" max="2" width="25.77734375" style="271" customWidth="1"/>
    <col min="3" max="3" width="31.44140625" style="271" customWidth="1"/>
    <col min="4" max="4" width="20.6640625" style="271" customWidth="1"/>
    <col min="5" max="5" width="20.33203125" style="271" customWidth="1"/>
    <col min="6" max="6" width="26.44140625" style="271" customWidth="1"/>
    <col min="7" max="7" width="32.109375" style="271" customWidth="1"/>
    <col min="8" max="8" width="17.88671875" style="271" customWidth="1"/>
    <col min="9" max="9" width="18.6640625" style="271" customWidth="1"/>
    <col min="10" max="16384" width="11.6640625" style="271"/>
  </cols>
  <sheetData>
    <row r="2" spans="2:9" ht="15" x14ac:dyDescent="0.25">
      <c r="B2" s="365" t="s">
        <v>3521</v>
      </c>
    </row>
    <row r="3" spans="2:9" ht="15" x14ac:dyDescent="0.25">
      <c r="B3" s="365"/>
    </row>
    <row r="4" spans="2:9" ht="21" x14ac:dyDescent="0.35">
      <c r="B4" s="369" t="s">
        <v>1138</v>
      </c>
    </row>
    <row r="5" spans="2:9" ht="21" x14ac:dyDescent="0.35">
      <c r="B5" s="369"/>
    </row>
    <row r="6" spans="2:9" x14ac:dyDescent="0.2">
      <c r="B6" s="317" t="s">
        <v>1016</v>
      </c>
    </row>
    <row r="7" spans="2:9" ht="15" customHeight="1" x14ac:dyDescent="0.2">
      <c r="B7" s="1258" t="s">
        <v>1129</v>
      </c>
      <c r="C7" s="1258" t="s">
        <v>1139</v>
      </c>
      <c r="D7" s="1258" t="s">
        <v>1140</v>
      </c>
      <c r="E7" s="1263" t="s">
        <v>2975</v>
      </c>
      <c r="F7" s="1264"/>
      <c r="G7" s="1258" t="s">
        <v>1130</v>
      </c>
      <c r="H7" s="1258" t="s">
        <v>1141</v>
      </c>
      <c r="I7" s="1258" t="s">
        <v>1142</v>
      </c>
    </row>
    <row r="8" spans="2:9" ht="46.5" customHeight="1" x14ac:dyDescent="0.2">
      <c r="B8" s="1259"/>
      <c r="C8" s="1259"/>
      <c r="D8" s="1259"/>
      <c r="E8" s="276"/>
      <c r="F8" s="318" t="s">
        <v>1143</v>
      </c>
      <c r="G8" s="1259"/>
      <c r="H8" s="1259"/>
      <c r="I8" s="1259"/>
    </row>
    <row r="9" spans="2:9" x14ac:dyDescent="0.2">
      <c r="B9" s="277" t="s">
        <v>161</v>
      </c>
      <c r="C9" s="277" t="s">
        <v>162</v>
      </c>
      <c r="D9" s="277" t="s">
        <v>163</v>
      </c>
      <c r="E9" s="319" t="s">
        <v>200</v>
      </c>
      <c r="F9" s="319" t="s">
        <v>201</v>
      </c>
      <c r="G9" s="319" t="s">
        <v>266</v>
      </c>
      <c r="H9" s="319" t="s">
        <v>267</v>
      </c>
      <c r="I9" s="319" t="s">
        <v>268</v>
      </c>
    </row>
    <row r="10" spans="2:9" x14ac:dyDescent="0.2">
      <c r="B10" s="1260"/>
      <c r="C10" s="320" t="s">
        <v>3507</v>
      </c>
      <c r="D10" s="321" t="s">
        <v>2976</v>
      </c>
      <c r="E10" s="321" t="s">
        <v>3508</v>
      </c>
      <c r="F10" s="321" t="s">
        <v>3509</v>
      </c>
      <c r="G10" s="321" t="s">
        <v>3510</v>
      </c>
      <c r="H10" s="321" t="s">
        <v>3511</v>
      </c>
      <c r="I10" s="321" t="s">
        <v>3512</v>
      </c>
    </row>
    <row r="11" spans="2:9" x14ac:dyDescent="0.2">
      <c r="B11" s="1261"/>
      <c r="C11" s="263"/>
      <c r="D11" s="263"/>
      <c r="E11" s="322"/>
      <c r="F11" s="296"/>
      <c r="G11" s="296"/>
      <c r="H11" s="296"/>
      <c r="I11" s="296"/>
    </row>
    <row r="12" spans="2:9" x14ac:dyDescent="0.2">
      <c r="B12" s="1261"/>
      <c r="C12" s="263"/>
      <c r="D12" s="263"/>
      <c r="E12" s="322"/>
      <c r="F12" s="296"/>
      <c r="G12" s="296"/>
      <c r="H12" s="296"/>
      <c r="I12" s="296"/>
    </row>
    <row r="13" spans="2:9" x14ac:dyDescent="0.2">
      <c r="B13" s="1261"/>
      <c r="C13" s="323"/>
      <c r="D13" s="323"/>
      <c r="E13" s="322"/>
      <c r="F13" s="296"/>
      <c r="G13" s="296"/>
      <c r="H13" s="296"/>
      <c r="I13" s="296"/>
    </row>
    <row r="14" spans="2:9" x14ac:dyDescent="0.2">
      <c r="B14" s="1261"/>
      <c r="C14" s="323"/>
      <c r="D14" s="323"/>
      <c r="E14" s="322"/>
      <c r="F14" s="296"/>
      <c r="G14" s="296"/>
      <c r="H14" s="296"/>
      <c r="I14" s="296"/>
    </row>
    <row r="15" spans="2:9" x14ac:dyDescent="0.2">
      <c r="B15" s="1261"/>
      <c r="C15" s="323"/>
      <c r="D15" s="323"/>
      <c r="E15" s="296"/>
      <c r="F15" s="296"/>
      <c r="G15" s="296"/>
      <c r="H15" s="296"/>
      <c r="I15" s="296"/>
    </row>
    <row r="16" spans="2:9" x14ac:dyDescent="0.2">
      <c r="B16" s="1261"/>
      <c r="C16" s="323"/>
      <c r="D16" s="323"/>
      <c r="E16" s="296"/>
      <c r="F16" s="296"/>
      <c r="G16" s="296"/>
      <c r="H16" s="296"/>
      <c r="I16" s="296"/>
    </row>
    <row r="17" spans="2:9" x14ac:dyDescent="0.2">
      <c r="B17" s="1262"/>
      <c r="C17" s="263"/>
      <c r="D17" s="263"/>
      <c r="E17" s="296"/>
      <c r="F17" s="296"/>
      <c r="G17" s="296"/>
      <c r="H17" s="296"/>
      <c r="I17" s="296"/>
    </row>
    <row r="21" spans="2:9" x14ac:dyDescent="0.2">
      <c r="B21" s="317" t="s">
        <v>1035</v>
      </c>
    </row>
    <row r="22" spans="2:9" ht="15" customHeight="1" x14ac:dyDescent="0.2">
      <c r="B22" s="1258" t="s">
        <v>1129</v>
      </c>
      <c r="C22" s="1258" t="s">
        <v>1139</v>
      </c>
      <c r="D22" s="1258" t="s">
        <v>1140</v>
      </c>
      <c r="E22" s="1263" t="s">
        <v>1144</v>
      </c>
      <c r="F22" s="1264"/>
      <c r="G22" s="1258" t="s">
        <v>1130</v>
      </c>
      <c r="H22" s="1258" t="s">
        <v>1141</v>
      </c>
      <c r="I22" s="1258" t="s">
        <v>1142</v>
      </c>
    </row>
    <row r="23" spans="2:9" ht="25.5" x14ac:dyDescent="0.2">
      <c r="B23" s="1259"/>
      <c r="C23" s="1259"/>
      <c r="D23" s="1259"/>
      <c r="E23" s="276"/>
      <c r="F23" s="318" t="s">
        <v>1143</v>
      </c>
      <c r="G23" s="1259"/>
      <c r="H23" s="1259"/>
      <c r="I23" s="1259"/>
    </row>
    <row r="24" spans="2:9" x14ac:dyDescent="0.2">
      <c r="B24" s="277" t="s">
        <v>161</v>
      </c>
      <c r="C24" s="277" t="s">
        <v>162</v>
      </c>
      <c r="D24" s="277" t="s">
        <v>163</v>
      </c>
      <c r="E24" s="319" t="s">
        <v>200</v>
      </c>
      <c r="F24" s="319" t="s">
        <v>201</v>
      </c>
      <c r="G24" s="319" t="s">
        <v>266</v>
      </c>
      <c r="H24" s="319" t="s">
        <v>1137</v>
      </c>
      <c r="I24" s="319" t="s">
        <v>268</v>
      </c>
    </row>
    <row r="25" spans="2:9" x14ac:dyDescent="0.2">
      <c r="B25" s="1260"/>
      <c r="C25" s="321" t="s">
        <v>2977</v>
      </c>
      <c r="D25" s="321" t="s">
        <v>3513</v>
      </c>
      <c r="E25" s="321" t="s">
        <v>2978</v>
      </c>
      <c r="F25" s="321" t="s">
        <v>3514</v>
      </c>
      <c r="G25" s="321" t="s">
        <v>2979</v>
      </c>
      <c r="H25" s="321" t="s">
        <v>2980</v>
      </c>
      <c r="I25" s="321" t="s">
        <v>3515</v>
      </c>
    </row>
    <row r="26" spans="2:9" x14ac:dyDescent="0.2">
      <c r="B26" s="1261"/>
      <c r="C26" s="263"/>
      <c r="D26" s="263"/>
      <c r="E26" s="322"/>
      <c r="F26" s="296"/>
      <c r="G26" s="296"/>
      <c r="H26" s="296"/>
      <c r="I26" s="296"/>
    </row>
    <row r="27" spans="2:9" x14ac:dyDescent="0.2">
      <c r="B27" s="1261"/>
      <c r="C27" s="263"/>
      <c r="D27" s="263"/>
      <c r="E27" s="322"/>
      <c r="F27" s="296"/>
      <c r="G27" s="296"/>
      <c r="H27" s="296"/>
      <c r="I27" s="296"/>
    </row>
    <row r="28" spans="2:9" x14ac:dyDescent="0.2">
      <c r="B28" s="1261"/>
      <c r="C28" s="323"/>
      <c r="D28" s="323"/>
      <c r="E28" s="322"/>
      <c r="F28" s="296"/>
      <c r="G28" s="296"/>
      <c r="H28" s="296"/>
      <c r="I28" s="296"/>
    </row>
    <row r="29" spans="2:9" x14ac:dyDescent="0.2">
      <c r="B29" s="1261"/>
      <c r="C29" s="323"/>
      <c r="D29" s="323"/>
      <c r="E29" s="322"/>
      <c r="F29" s="296"/>
      <c r="G29" s="296"/>
      <c r="H29" s="296"/>
      <c r="I29" s="296"/>
    </row>
    <row r="30" spans="2:9" x14ac:dyDescent="0.2">
      <c r="B30" s="1261"/>
      <c r="C30" s="323"/>
      <c r="D30" s="323"/>
      <c r="E30" s="296"/>
      <c r="F30" s="296"/>
      <c r="G30" s="296"/>
      <c r="H30" s="296"/>
      <c r="I30" s="296"/>
    </row>
    <row r="31" spans="2:9" x14ac:dyDescent="0.2">
      <c r="B31" s="1261"/>
      <c r="C31" s="323"/>
      <c r="D31" s="323"/>
      <c r="E31" s="296"/>
      <c r="F31" s="296"/>
      <c r="G31" s="296"/>
      <c r="H31" s="296"/>
      <c r="I31" s="296"/>
    </row>
    <row r="32" spans="2:9" x14ac:dyDescent="0.2">
      <c r="B32" s="1262"/>
      <c r="C32" s="263"/>
      <c r="D32" s="263"/>
      <c r="E32" s="296"/>
      <c r="F32" s="296"/>
      <c r="G32" s="296"/>
      <c r="H32" s="296"/>
      <c r="I32" s="296"/>
    </row>
    <row r="37" spans="5:5" x14ac:dyDescent="0.2">
      <c r="E37" s="254"/>
    </row>
  </sheetData>
  <mergeCells count="16">
    <mergeCell ref="I22:I23"/>
    <mergeCell ref="B25:B32"/>
    <mergeCell ref="H7:H8"/>
    <mergeCell ref="I7:I8"/>
    <mergeCell ref="B10:B17"/>
    <mergeCell ref="B22:B23"/>
    <mergeCell ref="C22:C23"/>
    <mergeCell ref="D22:D23"/>
    <mergeCell ref="E22:F22"/>
    <mergeCell ref="G22:G23"/>
    <mergeCell ref="H22:H23"/>
    <mergeCell ref="B7:B8"/>
    <mergeCell ref="C7:C8"/>
    <mergeCell ref="D7:D8"/>
    <mergeCell ref="E7:F7"/>
    <mergeCell ref="G7:G8"/>
  </mergeCells>
  <hyperlinks>
    <hyperlink ref="B2" location="Contents!A1" display="Back to Contents page" xr:uid="{CBF1BC73-D776-42B3-BA23-1E0ABF8B3DCF}"/>
  </hyperlinks>
  <pageMargins left="0.7" right="0.7" top="0.75" bottom="0.75" header="0.3" footer="0.3"/>
  <pageSetup paperSize="9" scale="34" orientation="portrait" horizontalDpi="144" verticalDpi="144"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R70"/>
  <sheetViews>
    <sheetView workbookViewId="0"/>
  </sheetViews>
  <sheetFormatPr baseColWidth="10" defaultColWidth="9.21875" defaultRowHeight="15" x14ac:dyDescent="0.25"/>
  <cols>
    <col min="2" max="2" width="14.77734375" customWidth="1"/>
    <col min="3" max="3" width="16.6640625" customWidth="1"/>
    <col min="4" max="4" width="20.21875" customWidth="1"/>
    <col min="5" max="5" width="17.77734375" customWidth="1"/>
    <col min="6" max="6" width="16.21875" style="59" customWidth="1"/>
    <col min="7" max="7" width="23.77734375" customWidth="1"/>
    <col min="8" max="8" width="17.21875" customWidth="1"/>
    <col min="9" max="9" width="18.33203125" customWidth="1"/>
    <col min="12" max="12" width="16.44140625" customWidth="1"/>
    <col min="13" max="13" width="13.109375" customWidth="1"/>
    <col min="14" max="14" width="17.109375" customWidth="1"/>
    <col min="16" max="16" width="15.109375" customWidth="1"/>
    <col min="17" max="17" width="17.88671875" customWidth="1"/>
    <col min="18" max="18" width="11.77734375" customWidth="1"/>
  </cols>
  <sheetData>
    <row r="2" spans="2:18" ht="20.25" x14ac:dyDescent="0.3">
      <c r="B2" s="58" t="s">
        <v>1145</v>
      </c>
      <c r="C2" s="51"/>
      <c r="D2" s="51"/>
      <c r="E2" s="51"/>
      <c r="F2" s="49"/>
      <c r="G2" s="51"/>
      <c r="H2" s="50"/>
      <c r="I2" s="50"/>
      <c r="J2" s="50"/>
      <c r="K2" s="50"/>
      <c r="L2" s="50"/>
      <c r="M2" s="50"/>
      <c r="N2" s="50"/>
      <c r="O2" s="50"/>
      <c r="P2" s="50"/>
      <c r="Q2" s="50"/>
    </row>
    <row r="4" spans="2:18" x14ac:dyDescent="0.25">
      <c r="B4" s="29" t="s">
        <v>1146</v>
      </c>
      <c r="L4" s="29" t="s">
        <v>1147</v>
      </c>
    </row>
    <row r="5" spans="2:18" x14ac:dyDescent="0.25">
      <c r="B5" s="1266" t="s">
        <v>1148</v>
      </c>
      <c r="C5" s="1266"/>
      <c r="D5" s="1266"/>
      <c r="E5" s="1266"/>
      <c r="F5" s="1266"/>
      <c r="G5" s="1266"/>
      <c r="H5" s="1266"/>
      <c r="I5" s="1266"/>
      <c r="L5" s="1267" t="s">
        <v>1149</v>
      </c>
      <c r="M5" s="1267"/>
      <c r="N5" s="1267"/>
      <c r="O5" s="1267"/>
      <c r="P5" s="1267"/>
      <c r="Q5" s="1267"/>
      <c r="R5" s="1267"/>
    </row>
    <row r="6" spans="2:18" ht="45" x14ac:dyDescent="0.25">
      <c r="B6" s="1268" t="s">
        <v>1150</v>
      </c>
      <c r="C6" s="1268" t="s">
        <v>1151</v>
      </c>
      <c r="D6" s="37" t="s">
        <v>1152</v>
      </c>
      <c r="E6" s="37" t="s">
        <v>1153</v>
      </c>
      <c r="F6" s="62" t="s">
        <v>328</v>
      </c>
      <c r="G6" s="62" t="s">
        <v>259</v>
      </c>
      <c r="H6" s="62" t="s">
        <v>1118</v>
      </c>
      <c r="I6" s="62" t="s">
        <v>1023</v>
      </c>
      <c r="L6" s="1270" t="s">
        <v>1154</v>
      </c>
      <c r="M6" s="37" t="s">
        <v>1155</v>
      </c>
      <c r="N6" s="37" t="s">
        <v>1156</v>
      </c>
      <c r="O6" s="62" t="s">
        <v>328</v>
      </c>
      <c r="P6" s="62" t="s">
        <v>259</v>
      </c>
      <c r="Q6" s="62" t="s">
        <v>1118</v>
      </c>
      <c r="R6" s="62" t="s">
        <v>1023</v>
      </c>
    </row>
    <row r="7" spans="2:18" x14ac:dyDescent="0.25">
      <c r="B7" s="1269"/>
      <c r="C7" s="1269"/>
      <c r="D7" s="207" t="s">
        <v>161</v>
      </c>
      <c r="E7" s="207" t="s">
        <v>162</v>
      </c>
      <c r="F7" s="207" t="s">
        <v>163</v>
      </c>
      <c r="G7" s="207" t="s">
        <v>200</v>
      </c>
      <c r="H7" s="207" t="s">
        <v>201</v>
      </c>
      <c r="I7" s="207" t="s">
        <v>266</v>
      </c>
      <c r="L7" s="1271"/>
      <c r="M7" s="162" t="s">
        <v>161</v>
      </c>
      <c r="N7" s="162" t="s">
        <v>162</v>
      </c>
      <c r="O7" s="162" t="s">
        <v>163</v>
      </c>
      <c r="P7" s="162" t="s">
        <v>200</v>
      </c>
      <c r="Q7" s="162" t="s">
        <v>201</v>
      </c>
      <c r="R7" s="162" t="s">
        <v>266</v>
      </c>
    </row>
    <row r="8" spans="2:18" ht="45" customHeight="1" x14ac:dyDescent="0.25">
      <c r="B8" s="1265" t="s">
        <v>1157</v>
      </c>
      <c r="C8" s="11" t="s">
        <v>1158</v>
      </c>
      <c r="D8" s="190" t="s">
        <v>1159</v>
      </c>
      <c r="E8" s="190" t="s">
        <v>1160</v>
      </c>
      <c r="F8" s="227">
        <v>0.5</v>
      </c>
      <c r="G8" s="190" t="s">
        <v>1161</v>
      </c>
      <c r="H8" s="190" t="s">
        <v>1162</v>
      </c>
      <c r="I8" s="190" t="s">
        <v>1163</v>
      </c>
      <c r="L8" s="60" t="s">
        <v>1164</v>
      </c>
      <c r="M8" s="207" t="s">
        <v>1165</v>
      </c>
      <c r="N8" s="207" t="s">
        <v>1166</v>
      </c>
      <c r="O8" s="63">
        <v>1.9</v>
      </c>
      <c r="P8" s="207" t="s">
        <v>1167</v>
      </c>
      <c r="Q8" s="207" t="s">
        <v>1168</v>
      </c>
      <c r="R8" s="207" t="s">
        <v>1169</v>
      </c>
    </row>
    <row r="9" spans="2:18" ht="45" customHeight="1" x14ac:dyDescent="0.25">
      <c r="B9" s="1265"/>
      <c r="C9" s="11" t="s">
        <v>1170</v>
      </c>
      <c r="D9" s="190" t="s">
        <v>1171</v>
      </c>
      <c r="E9" s="190" t="s">
        <v>1172</v>
      </c>
      <c r="F9" s="227">
        <v>0.7</v>
      </c>
      <c r="G9" s="190" t="s">
        <v>1173</v>
      </c>
      <c r="H9" s="190" t="s">
        <v>1174</v>
      </c>
      <c r="I9" s="190" t="s">
        <v>1175</v>
      </c>
      <c r="L9" s="60" t="s">
        <v>1176</v>
      </c>
      <c r="M9" s="207" t="s">
        <v>1177</v>
      </c>
      <c r="N9" s="207" t="s">
        <v>1178</v>
      </c>
      <c r="O9" s="63">
        <v>2.9</v>
      </c>
      <c r="P9" s="207" t="s">
        <v>1179</v>
      </c>
      <c r="Q9" s="207" t="s">
        <v>1180</v>
      </c>
      <c r="R9" s="207" t="s">
        <v>1181</v>
      </c>
    </row>
    <row r="10" spans="2:18" ht="45" customHeight="1" x14ac:dyDescent="0.25">
      <c r="B10" s="1265" t="s">
        <v>1182</v>
      </c>
      <c r="C10" s="11" t="s">
        <v>1158</v>
      </c>
      <c r="D10" s="190" t="s">
        <v>1183</v>
      </c>
      <c r="E10" s="190" t="s">
        <v>1184</v>
      </c>
      <c r="F10" s="227">
        <v>0.7</v>
      </c>
      <c r="G10" s="190" t="s">
        <v>1185</v>
      </c>
      <c r="H10" s="190" t="s">
        <v>1186</v>
      </c>
      <c r="I10" s="190" t="s">
        <v>1187</v>
      </c>
      <c r="L10" s="60" t="s">
        <v>1188</v>
      </c>
      <c r="M10" s="207" t="s">
        <v>1189</v>
      </c>
      <c r="N10" s="207" t="s">
        <v>1190</v>
      </c>
      <c r="O10" s="63">
        <v>3.7</v>
      </c>
      <c r="P10" s="207" t="s">
        <v>1191</v>
      </c>
      <c r="Q10" s="207" t="s">
        <v>1192</v>
      </c>
      <c r="R10" s="207" t="s">
        <v>1193</v>
      </c>
    </row>
    <row r="11" spans="2:18" ht="45" customHeight="1" x14ac:dyDescent="0.25">
      <c r="B11" s="1265"/>
      <c r="C11" s="11" t="s">
        <v>1170</v>
      </c>
      <c r="D11" s="190" t="s">
        <v>1194</v>
      </c>
      <c r="E11" s="190" t="s">
        <v>1195</v>
      </c>
      <c r="F11" s="227">
        <v>0.9</v>
      </c>
      <c r="G11" s="190" t="s">
        <v>1196</v>
      </c>
      <c r="H11" s="190" t="s">
        <v>1197</v>
      </c>
      <c r="I11" s="190" t="s">
        <v>1198</v>
      </c>
      <c r="L11" s="60" t="s">
        <v>198</v>
      </c>
      <c r="M11" s="207" t="s">
        <v>1199</v>
      </c>
      <c r="N11" s="207" t="s">
        <v>1200</v>
      </c>
      <c r="O11" s="60"/>
      <c r="P11" s="207" t="s">
        <v>1201</v>
      </c>
      <c r="Q11" s="207" t="s">
        <v>172</v>
      </c>
      <c r="R11" s="207" t="s">
        <v>1202</v>
      </c>
    </row>
    <row r="12" spans="2:18" ht="45" customHeight="1" x14ac:dyDescent="0.25">
      <c r="B12" s="1265" t="s">
        <v>1203</v>
      </c>
      <c r="C12" s="11" t="s">
        <v>1158</v>
      </c>
      <c r="D12" s="190" t="s">
        <v>1204</v>
      </c>
      <c r="E12" s="190" t="s">
        <v>1205</v>
      </c>
      <c r="F12" s="227">
        <v>1.1499999999999999</v>
      </c>
      <c r="G12" s="190" t="s">
        <v>1206</v>
      </c>
      <c r="H12" s="190" t="s">
        <v>1207</v>
      </c>
      <c r="I12" s="190" t="s">
        <v>1208</v>
      </c>
    </row>
    <row r="13" spans="2:18" ht="45" customHeight="1" x14ac:dyDescent="0.25">
      <c r="B13" s="1265"/>
      <c r="C13" s="11" t="s">
        <v>1170</v>
      </c>
      <c r="D13" s="190" t="s">
        <v>1209</v>
      </c>
      <c r="E13" s="190" t="s">
        <v>1210</v>
      </c>
      <c r="F13" s="227">
        <v>1.1499999999999999</v>
      </c>
      <c r="G13" s="190" t="s">
        <v>1211</v>
      </c>
      <c r="H13" s="190" t="s">
        <v>1212</v>
      </c>
      <c r="I13" s="190" t="s">
        <v>1213</v>
      </c>
    </row>
    <row r="14" spans="2:18" ht="45" customHeight="1" x14ac:dyDescent="0.25">
      <c r="B14" s="1265" t="s">
        <v>1214</v>
      </c>
      <c r="C14" s="11" t="s">
        <v>1158</v>
      </c>
      <c r="D14" s="190" t="s">
        <v>1215</v>
      </c>
      <c r="E14" s="190" t="s">
        <v>1216</v>
      </c>
      <c r="F14" s="227">
        <v>2.5</v>
      </c>
      <c r="G14" s="190" t="s">
        <v>1217</v>
      </c>
      <c r="H14" s="190" t="s">
        <v>1218</v>
      </c>
      <c r="I14" s="190" t="s">
        <v>1219</v>
      </c>
    </row>
    <row r="15" spans="2:18" ht="45" customHeight="1" x14ac:dyDescent="0.25">
      <c r="B15" s="1265"/>
      <c r="C15" s="11" t="s">
        <v>1170</v>
      </c>
      <c r="D15" s="190" t="s">
        <v>1220</v>
      </c>
      <c r="E15" s="190" t="s">
        <v>1221</v>
      </c>
      <c r="F15" s="227">
        <v>2.5</v>
      </c>
      <c r="G15" s="190" t="s">
        <v>1222</v>
      </c>
      <c r="H15" s="190" t="s">
        <v>1223</v>
      </c>
      <c r="I15" s="190" t="s">
        <v>1224</v>
      </c>
    </row>
    <row r="16" spans="2:18" ht="45" customHeight="1" x14ac:dyDescent="0.25">
      <c r="B16" s="1265" t="s">
        <v>1225</v>
      </c>
      <c r="C16" s="11" t="s">
        <v>1158</v>
      </c>
      <c r="D16" s="190" t="s">
        <v>1226</v>
      </c>
      <c r="E16" s="190" t="s">
        <v>1227</v>
      </c>
      <c r="F16" s="190" t="s">
        <v>1228</v>
      </c>
      <c r="G16" s="190" t="s">
        <v>1229</v>
      </c>
      <c r="H16" s="190" t="s">
        <v>1230</v>
      </c>
      <c r="I16" s="190" t="s">
        <v>1231</v>
      </c>
    </row>
    <row r="17" spans="2:9" ht="45" customHeight="1" x14ac:dyDescent="0.25">
      <c r="B17" s="1265"/>
      <c r="C17" s="11" t="s">
        <v>1170</v>
      </c>
      <c r="D17" s="190" t="s">
        <v>1232</v>
      </c>
      <c r="E17" s="190" t="s">
        <v>1233</v>
      </c>
      <c r="F17" s="190" t="s">
        <v>1228</v>
      </c>
      <c r="G17" s="190" t="s">
        <v>1234</v>
      </c>
      <c r="H17" s="190" t="s">
        <v>1235</v>
      </c>
      <c r="I17" s="190" t="s">
        <v>1236</v>
      </c>
    </row>
    <row r="18" spans="2:9" ht="45" customHeight="1" x14ac:dyDescent="0.25">
      <c r="B18" s="1265" t="s">
        <v>198</v>
      </c>
      <c r="C18" s="11" t="s">
        <v>1158</v>
      </c>
      <c r="D18" s="190" t="s">
        <v>1237</v>
      </c>
      <c r="E18" s="190" t="s">
        <v>1238</v>
      </c>
      <c r="F18" s="169"/>
      <c r="G18" s="190" t="s">
        <v>1239</v>
      </c>
      <c r="H18" s="190" t="s">
        <v>1240</v>
      </c>
      <c r="I18" s="190" t="s">
        <v>1241</v>
      </c>
    </row>
    <row r="19" spans="2:9" ht="45" customHeight="1" x14ac:dyDescent="0.25">
      <c r="B19" s="1265"/>
      <c r="C19" s="11" t="s">
        <v>1170</v>
      </c>
      <c r="D19" s="190" t="s">
        <v>1242</v>
      </c>
      <c r="E19" s="190" t="s">
        <v>1243</v>
      </c>
      <c r="F19" s="169"/>
      <c r="G19" s="190" t="s">
        <v>1244</v>
      </c>
      <c r="H19" s="190" t="s">
        <v>1245</v>
      </c>
      <c r="I19" s="190" t="s">
        <v>1246</v>
      </c>
    </row>
    <row r="21" spans="2:9" x14ac:dyDescent="0.25">
      <c r="B21" s="29" t="s">
        <v>1247</v>
      </c>
    </row>
    <row r="22" spans="2:9" x14ac:dyDescent="0.25">
      <c r="B22" s="1266" t="s">
        <v>1248</v>
      </c>
      <c r="C22" s="1266"/>
      <c r="D22" s="1266"/>
      <c r="E22" s="1266"/>
      <c r="F22" s="1266"/>
      <c r="G22" s="1266"/>
      <c r="H22" s="1266"/>
      <c r="I22" s="1266"/>
    </row>
    <row r="23" spans="2:9" ht="30" x14ac:dyDescent="0.25">
      <c r="B23" s="1268" t="s">
        <v>1150</v>
      </c>
      <c r="C23" s="1268" t="s">
        <v>1151</v>
      </c>
      <c r="D23" s="37" t="s">
        <v>1155</v>
      </c>
      <c r="E23" s="37" t="s">
        <v>1156</v>
      </c>
      <c r="F23" s="62" t="s">
        <v>328</v>
      </c>
      <c r="G23" s="62" t="s">
        <v>259</v>
      </c>
      <c r="H23" s="62" t="s">
        <v>1118</v>
      </c>
      <c r="I23" s="62" t="s">
        <v>1023</v>
      </c>
    </row>
    <row r="24" spans="2:9" x14ac:dyDescent="0.25">
      <c r="B24" s="1269"/>
      <c r="C24" s="1269"/>
      <c r="D24" s="207" t="s">
        <v>161</v>
      </c>
      <c r="E24" s="207" t="s">
        <v>162</v>
      </c>
      <c r="F24" s="207" t="s">
        <v>163</v>
      </c>
      <c r="G24" s="207" t="s">
        <v>200</v>
      </c>
      <c r="H24" s="207" t="s">
        <v>201</v>
      </c>
      <c r="I24" s="207" t="s">
        <v>266</v>
      </c>
    </row>
    <row r="25" spans="2:9" ht="45" customHeight="1" x14ac:dyDescent="0.25">
      <c r="B25" s="1265" t="s">
        <v>1157</v>
      </c>
      <c r="C25" s="60" t="s">
        <v>1158</v>
      </c>
      <c r="D25" s="190" t="s">
        <v>1249</v>
      </c>
      <c r="E25" s="207" t="s">
        <v>1250</v>
      </c>
      <c r="F25" s="136">
        <v>0.5</v>
      </c>
      <c r="G25" s="207" t="s">
        <v>1251</v>
      </c>
      <c r="H25" s="207" t="s">
        <v>1252</v>
      </c>
      <c r="I25" s="207" t="s">
        <v>1253</v>
      </c>
    </row>
    <row r="26" spans="2:9" ht="45" customHeight="1" x14ac:dyDescent="0.25">
      <c r="B26" s="1265"/>
      <c r="C26" s="60" t="s">
        <v>1170</v>
      </c>
      <c r="D26" s="207" t="s">
        <v>1254</v>
      </c>
      <c r="E26" s="207" t="s">
        <v>1255</v>
      </c>
      <c r="F26" s="136">
        <v>0.7</v>
      </c>
      <c r="G26" s="207" t="s">
        <v>1256</v>
      </c>
      <c r="H26" s="207" t="s">
        <v>1257</v>
      </c>
      <c r="I26" s="207" t="s">
        <v>1258</v>
      </c>
    </row>
    <row r="27" spans="2:9" ht="45" customHeight="1" x14ac:dyDescent="0.25">
      <c r="B27" s="1265" t="s">
        <v>1182</v>
      </c>
      <c r="C27" s="60" t="s">
        <v>1158</v>
      </c>
      <c r="D27" s="207" t="s">
        <v>1259</v>
      </c>
      <c r="E27" s="207" t="s">
        <v>1260</v>
      </c>
      <c r="F27" s="136">
        <v>0.7</v>
      </c>
      <c r="G27" s="207" t="s">
        <v>1261</v>
      </c>
      <c r="H27" s="207" t="s">
        <v>1262</v>
      </c>
      <c r="I27" s="207" t="s">
        <v>1263</v>
      </c>
    </row>
    <row r="28" spans="2:9" ht="45" customHeight="1" x14ac:dyDescent="0.25">
      <c r="B28" s="1265"/>
      <c r="C28" s="60" t="s">
        <v>1170</v>
      </c>
      <c r="D28" s="207" t="s">
        <v>1264</v>
      </c>
      <c r="E28" s="207" t="s">
        <v>1265</v>
      </c>
      <c r="F28" s="136">
        <v>0.9</v>
      </c>
      <c r="G28" s="207" t="s">
        <v>1266</v>
      </c>
      <c r="H28" s="207" t="s">
        <v>1267</v>
      </c>
      <c r="I28" s="207" t="s">
        <v>1268</v>
      </c>
    </row>
    <row r="29" spans="2:9" ht="45" customHeight="1" x14ac:dyDescent="0.25">
      <c r="B29" s="1265" t="s">
        <v>1203</v>
      </c>
      <c r="C29" s="60" t="s">
        <v>1158</v>
      </c>
      <c r="D29" s="207" t="s">
        <v>1269</v>
      </c>
      <c r="E29" s="207" t="s">
        <v>1270</v>
      </c>
      <c r="F29" s="136">
        <v>1.1499999999999999</v>
      </c>
      <c r="G29" s="207" t="s">
        <v>1271</v>
      </c>
      <c r="H29" s="207" t="s">
        <v>1272</v>
      </c>
      <c r="I29" s="207" t="s">
        <v>1273</v>
      </c>
    </row>
    <row r="30" spans="2:9" ht="45" customHeight="1" x14ac:dyDescent="0.25">
      <c r="B30" s="1265"/>
      <c r="C30" s="60" t="s">
        <v>1170</v>
      </c>
      <c r="D30" s="207" t="s">
        <v>1274</v>
      </c>
      <c r="E30" s="207" t="s">
        <v>1275</v>
      </c>
      <c r="F30" s="136">
        <v>1.1499999999999999</v>
      </c>
      <c r="G30" s="207" t="s">
        <v>1276</v>
      </c>
      <c r="H30" s="207" t="s">
        <v>1277</v>
      </c>
      <c r="I30" s="207" t="s">
        <v>1278</v>
      </c>
    </row>
    <row r="31" spans="2:9" ht="45" customHeight="1" x14ac:dyDescent="0.25">
      <c r="B31" s="1265" t="s">
        <v>1214</v>
      </c>
      <c r="C31" s="60" t="s">
        <v>1158</v>
      </c>
      <c r="D31" s="207" t="s">
        <v>1279</v>
      </c>
      <c r="E31" s="207" t="s">
        <v>1280</v>
      </c>
      <c r="F31" s="136">
        <v>2.5</v>
      </c>
      <c r="G31" s="207" t="s">
        <v>1281</v>
      </c>
      <c r="H31" s="207" t="s">
        <v>1282</v>
      </c>
      <c r="I31" s="207" t="s">
        <v>1283</v>
      </c>
    </row>
    <row r="32" spans="2:9" ht="45" customHeight="1" x14ac:dyDescent="0.25">
      <c r="B32" s="1265"/>
      <c r="C32" s="60" t="s">
        <v>1170</v>
      </c>
      <c r="D32" s="207" t="s">
        <v>1284</v>
      </c>
      <c r="E32" s="207" t="s">
        <v>1285</v>
      </c>
      <c r="F32" s="136">
        <v>2.5</v>
      </c>
      <c r="G32" s="207" t="s">
        <v>1286</v>
      </c>
      <c r="H32" s="207" t="s">
        <v>1287</v>
      </c>
      <c r="I32" s="207" t="s">
        <v>1288</v>
      </c>
    </row>
    <row r="33" spans="2:9" ht="45" customHeight="1" x14ac:dyDescent="0.25">
      <c r="B33" s="1265" t="s">
        <v>1225</v>
      </c>
      <c r="C33" s="60" t="s">
        <v>1158</v>
      </c>
      <c r="D33" s="207" t="s">
        <v>1289</v>
      </c>
      <c r="E33" s="207" t="s">
        <v>1290</v>
      </c>
      <c r="F33" s="207" t="s">
        <v>1228</v>
      </c>
      <c r="G33" s="207" t="s">
        <v>1291</v>
      </c>
      <c r="H33" s="207" t="s">
        <v>1292</v>
      </c>
      <c r="I33" s="207" t="s">
        <v>1293</v>
      </c>
    </row>
    <row r="34" spans="2:9" ht="45" customHeight="1" x14ac:dyDescent="0.25">
      <c r="B34" s="1265"/>
      <c r="C34" s="60" t="s">
        <v>1170</v>
      </c>
      <c r="D34" s="207" t="s">
        <v>1294</v>
      </c>
      <c r="E34" s="207" t="s">
        <v>1295</v>
      </c>
      <c r="F34" s="207" t="s">
        <v>1228</v>
      </c>
      <c r="G34" s="207" t="s">
        <v>1296</v>
      </c>
      <c r="H34" s="207" t="s">
        <v>1297</v>
      </c>
      <c r="I34" s="207" t="s">
        <v>1298</v>
      </c>
    </row>
    <row r="35" spans="2:9" ht="45" customHeight="1" x14ac:dyDescent="0.25">
      <c r="B35" s="1265" t="s">
        <v>198</v>
      </c>
      <c r="C35" s="60" t="s">
        <v>1158</v>
      </c>
      <c r="D35" s="207" t="s">
        <v>1299</v>
      </c>
      <c r="E35" s="207" t="s">
        <v>1300</v>
      </c>
      <c r="F35" s="11"/>
      <c r="G35" s="207" t="s">
        <v>1301</v>
      </c>
      <c r="H35" s="207" t="s">
        <v>1302</v>
      </c>
      <c r="I35" s="207" t="s">
        <v>1303</v>
      </c>
    </row>
    <row r="36" spans="2:9" ht="45" customHeight="1" x14ac:dyDescent="0.25">
      <c r="B36" s="1265"/>
      <c r="C36" s="60" t="s">
        <v>1170</v>
      </c>
      <c r="D36" s="207" t="s">
        <v>1304</v>
      </c>
      <c r="E36" s="207" t="s">
        <v>1305</v>
      </c>
      <c r="F36" s="11"/>
      <c r="G36" s="207" t="s">
        <v>1306</v>
      </c>
      <c r="H36" s="207" t="s">
        <v>1307</v>
      </c>
      <c r="I36" s="207" t="s">
        <v>1308</v>
      </c>
    </row>
    <row r="38" spans="2:9" x14ac:dyDescent="0.25">
      <c r="B38" s="29" t="s">
        <v>1309</v>
      </c>
    </row>
    <row r="39" spans="2:9" x14ac:dyDescent="0.25">
      <c r="B39" s="1266" t="s">
        <v>1310</v>
      </c>
      <c r="C39" s="1266"/>
      <c r="D39" s="1266"/>
      <c r="E39" s="1266"/>
      <c r="F39" s="1266"/>
      <c r="G39" s="1266"/>
      <c r="H39" s="1266"/>
      <c r="I39" s="1266"/>
    </row>
    <row r="40" spans="2:9" ht="30" x14ac:dyDescent="0.25">
      <c r="B40" s="1270" t="s">
        <v>1150</v>
      </c>
      <c r="C40" s="1270" t="s">
        <v>1151</v>
      </c>
      <c r="D40" s="64" t="s">
        <v>1155</v>
      </c>
      <c r="E40" s="64" t="s">
        <v>1156</v>
      </c>
      <c r="F40" s="62" t="s">
        <v>328</v>
      </c>
      <c r="G40" s="65" t="s">
        <v>259</v>
      </c>
      <c r="H40" s="65" t="s">
        <v>1118</v>
      </c>
      <c r="I40" s="65" t="s">
        <v>1023</v>
      </c>
    </row>
    <row r="41" spans="2:9" x14ac:dyDescent="0.25">
      <c r="B41" s="1271"/>
      <c r="C41" s="1271"/>
      <c r="D41" s="162" t="s">
        <v>161</v>
      </c>
      <c r="E41" s="162" t="s">
        <v>162</v>
      </c>
      <c r="F41" s="207" t="s">
        <v>163</v>
      </c>
      <c r="G41" s="162" t="s">
        <v>200</v>
      </c>
      <c r="H41" s="162" t="s">
        <v>201</v>
      </c>
      <c r="I41" s="162" t="s">
        <v>266</v>
      </c>
    </row>
    <row r="42" spans="2:9" ht="45" customHeight="1" x14ac:dyDescent="0.25">
      <c r="B42" s="1265" t="s">
        <v>1157</v>
      </c>
      <c r="C42" s="60" t="s">
        <v>1158</v>
      </c>
      <c r="D42" s="190" t="s">
        <v>1311</v>
      </c>
      <c r="E42" s="207" t="s">
        <v>1312</v>
      </c>
      <c r="F42" s="136">
        <v>0.5</v>
      </c>
      <c r="G42" s="207" t="s">
        <v>1313</v>
      </c>
      <c r="H42" s="207" t="s">
        <v>1314</v>
      </c>
      <c r="I42" s="207" t="s">
        <v>1315</v>
      </c>
    </row>
    <row r="43" spans="2:9" ht="45" customHeight="1" x14ac:dyDescent="0.25">
      <c r="B43" s="1265"/>
      <c r="C43" s="60" t="s">
        <v>1170</v>
      </c>
      <c r="D43" s="207" t="s">
        <v>1316</v>
      </c>
      <c r="E43" s="207" t="s">
        <v>1317</v>
      </c>
      <c r="F43" s="136">
        <v>0.7</v>
      </c>
      <c r="G43" s="207" t="s">
        <v>1318</v>
      </c>
      <c r="H43" s="207" t="s">
        <v>1319</v>
      </c>
      <c r="I43" s="207" t="s">
        <v>1320</v>
      </c>
    </row>
    <row r="44" spans="2:9" ht="45" customHeight="1" x14ac:dyDescent="0.25">
      <c r="B44" s="1265" t="s">
        <v>1182</v>
      </c>
      <c r="C44" s="60" t="s">
        <v>1158</v>
      </c>
      <c r="D44" s="207" t="s">
        <v>1321</v>
      </c>
      <c r="E44" s="207" t="s">
        <v>1322</v>
      </c>
      <c r="F44" s="136">
        <v>0.7</v>
      </c>
      <c r="G44" s="207" t="s">
        <v>1323</v>
      </c>
      <c r="H44" s="207" t="s">
        <v>1324</v>
      </c>
      <c r="I44" s="207" t="s">
        <v>1325</v>
      </c>
    </row>
    <row r="45" spans="2:9" ht="45" customHeight="1" x14ac:dyDescent="0.25">
      <c r="B45" s="1265"/>
      <c r="C45" s="60" t="s">
        <v>1170</v>
      </c>
      <c r="D45" s="207" t="s">
        <v>1326</v>
      </c>
      <c r="E45" s="207" t="s">
        <v>1327</v>
      </c>
      <c r="F45" s="136">
        <v>0.9</v>
      </c>
      <c r="G45" s="207" t="s">
        <v>1328</v>
      </c>
      <c r="H45" s="207" t="s">
        <v>1329</v>
      </c>
      <c r="I45" s="207" t="s">
        <v>1330</v>
      </c>
    </row>
    <row r="46" spans="2:9" ht="45" customHeight="1" x14ac:dyDescent="0.25">
      <c r="B46" s="1265" t="s">
        <v>1203</v>
      </c>
      <c r="C46" s="60" t="s">
        <v>1158</v>
      </c>
      <c r="D46" s="207" t="s">
        <v>1331</v>
      </c>
      <c r="E46" s="207" t="s">
        <v>1332</v>
      </c>
      <c r="F46" s="136">
        <v>1.1499999999999999</v>
      </c>
      <c r="G46" s="207" t="s">
        <v>1333</v>
      </c>
      <c r="H46" s="207" t="s">
        <v>1334</v>
      </c>
      <c r="I46" s="207" t="s">
        <v>1335</v>
      </c>
    </row>
    <row r="47" spans="2:9" ht="45" customHeight="1" x14ac:dyDescent="0.25">
      <c r="B47" s="1265"/>
      <c r="C47" s="60" t="s">
        <v>1170</v>
      </c>
      <c r="D47" s="207" t="s">
        <v>1336</v>
      </c>
      <c r="E47" s="207" t="s">
        <v>1337</v>
      </c>
      <c r="F47" s="136">
        <v>1.1499999999999999</v>
      </c>
      <c r="G47" s="207" t="s">
        <v>1338</v>
      </c>
      <c r="H47" s="207" t="s">
        <v>1339</v>
      </c>
      <c r="I47" s="207" t="s">
        <v>1340</v>
      </c>
    </row>
    <row r="48" spans="2:9" ht="45" customHeight="1" x14ac:dyDescent="0.25">
      <c r="B48" s="1265" t="s">
        <v>1214</v>
      </c>
      <c r="C48" s="60" t="s">
        <v>1158</v>
      </c>
      <c r="D48" s="207" t="s">
        <v>1341</v>
      </c>
      <c r="E48" s="207" t="s">
        <v>1342</v>
      </c>
      <c r="F48" s="136">
        <v>2.5</v>
      </c>
      <c r="G48" s="207" t="s">
        <v>1343</v>
      </c>
      <c r="H48" s="207" t="s">
        <v>1344</v>
      </c>
      <c r="I48" s="207" t="s">
        <v>1345</v>
      </c>
    </row>
    <row r="49" spans="2:9" ht="45" customHeight="1" x14ac:dyDescent="0.25">
      <c r="B49" s="1265"/>
      <c r="C49" s="60" t="s">
        <v>1170</v>
      </c>
      <c r="D49" s="207" t="s">
        <v>1346</v>
      </c>
      <c r="E49" s="207" t="s">
        <v>1347</v>
      </c>
      <c r="F49" s="136">
        <v>2.5</v>
      </c>
      <c r="G49" s="207" t="s">
        <v>1348</v>
      </c>
      <c r="H49" s="207" t="s">
        <v>1349</v>
      </c>
      <c r="I49" s="207" t="s">
        <v>1350</v>
      </c>
    </row>
    <row r="50" spans="2:9" ht="45" customHeight="1" x14ac:dyDescent="0.25">
      <c r="B50" s="1265" t="s">
        <v>1225</v>
      </c>
      <c r="C50" s="60" t="s">
        <v>1158</v>
      </c>
      <c r="D50" s="207" t="s">
        <v>1351</v>
      </c>
      <c r="E50" s="207" t="s">
        <v>1352</v>
      </c>
      <c r="F50" s="207" t="s">
        <v>1228</v>
      </c>
      <c r="G50" s="207" t="s">
        <v>1353</v>
      </c>
      <c r="H50" s="207" t="s">
        <v>1354</v>
      </c>
      <c r="I50" s="207" t="s">
        <v>1355</v>
      </c>
    </row>
    <row r="51" spans="2:9" ht="45" customHeight="1" x14ac:dyDescent="0.25">
      <c r="B51" s="1265"/>
      <c r="C51" s="60" t="s">
        <v>1170</v>
      </c>
      <c r="D51" s="207" t="s">
        <v>1356</v>
      </c>
      <c r="E51" s="207" t="s">
        <v>1357</v>
      </c>
      <c r="F51" s="207" t="s">
        <v>1228</v>
      </c>
      <c r="G51" s="207" t="s">
        <v>1358</v>
      </c>
      <c r="H51" s="207" t="s">
        <v>1359</v>
      </c>
      <c r="I51" s="207" t="s">
        <v>1360</v>
      </c>
    </row>
    <row r="52" spans="2:9" ht="45" customHeight="1" x14ac:dyDescent="0.25">
      <c r="B52" s="1265" t="s">
        <v>198</v>
      </c>
      <c r="C52" s="60" t="s">
        <v>1158</v>
      </c>
      <c r="D52" s="207" t="s">
        <v>1361</v>
      </c>
      <c r="E52" s="207" t="s">
        <v>1362</v>
      </c>
      <c r="F52" s="11"/>
      <c r="G52" s="207" t="s">
        <v>1363</v>
      </c>
      <c r="H52" s="207" t="s">
        <v>1364</v>
      </c>
      <c r="I52" s="207" t="s">
        <v>1365</v>
      </c>
    </row>
    <row r="53" spans="2:9" ht="45" customHeight="1" x14ac:dyDescent="0.25">
      <c r="B53" s="1265"/>
      <c r="C53" s="60" t="s">
        <v>1170</v>
      </c>
      <c r="D53" s="207" t="s">
        <v>1366</v>
      </c>
      <c r="E53" s="207" t="s">
        <v>1367</v>
      </c>
      <c r="F53" s="11"/>
      <c r="G53" s="207" t="s">
        <v>1368</v>
      </c>
      <c r="H53" s="207" t="s">
        <v>1369</v>
      </c>
      <c r="I53" s="207" t="s">
        <v>1370</v>
      </c>
    </row>
    <row r="55" spans="2:9" x14ac:dyDescent="0.25">
      <c r="B55" s="29" t="s">
        <v>1371</v>
      </c>
    </row>
    <row r="56" spans="2:9" x14ac:dyDescent="0.25">
      <c r="B56" s="1266" t="s">
        <v>1372</v>
      </c>
      <c r="C56" s="1266"/>
      <c r="D56" s="1266"/>
      <c r="E56" s="1266"/>
      <c r="F56" s="1266"/>
      <c r="G56" s="1266"/>
      <c r="H56" s="1266"/>
      <c r="I56" s="1266"/>
    </row>
    <row r="57" spans="2:9" ht="30" x14ac:dyDescent="0.25">
      <c r="B57" s="1270" t="s">
        <v>1150</v>
      </c>
      <c r="C57" s="1270" t="s">
        <v>1151</v>
      </c>
      <c r="D57" s="64" t="s">
        <v>1155</v>
      </c>
      <c r="E57" s="64" t="s">
        <v>1156</v>
      </c>
      <c r="F57" s="62" t="s">
        <v>328</v>
      </c>
      <c r="G57" s="65" t="s">
        <v>259</v>
      </c>
      <c r="H57" s="65" t="s">
        <v>1118</v>
      </c>
      <c r="I57" s="65" t="s">
        <v>1023</v>
      </c>
    </row>
    <row r="58" spans="2:9" x14ac:dyDescent="0.25">
      <c r="B58" s="1271"/>
      <c r="C58" s="1271"/>
      <c r="D58" s="162" t="s">
        <v>161</v>
      </c>
      <c r="E58" s="162" t="s">
        <v>162</v>
      </c>
      <c r="F58" s="207" t="s">
        <v>163</v>
      </c>
      <c r="G58" s="162" t="s">
        <v>200</v>
      </c>
      <c r="H58" s="162" t="s">
        <v>201</v>
      </c>
      <c r="I58" s="162" t="s">
        <v>266</v>
      </c>
    </row>
    <row r="59" spans="2:9" ht="45" customHeight="1" x14ac:dyDescent="0.25">
      <c r="B59" s="1265" t="s">
        <v>1157</v>
      </c>
      <c r="C59" s="60" t="s">
        <v>1158</v>
      </c>
      <c r="D59" s="190" t="s">
        <v>1373</v>
      </c>
      <c r="E59" s="207" t="s">
        <v>1374</v>
      </c>
      <c r="F59" s="136">
        <v>0.5</v>
      </c>
      <c r="G59" s="207" t="s">
        <v>1375</v>
      </c>
      <c r="H59" s="207" t="s">
        <v>1376</v>
      </c>
      <c r="I59" s="207" t="s">
        <v>1377</v>
      </c>
    </row>
    <row r="60" spans="2:9" ht="45" customHeight="1" x14ac:dyDescent="0.25">
      <c r="B60" s="1265"/>
      <c r="C60" s="60" t="s">
        <v>1170</v>
      </c>
      <c r="D60" s="207" t="s">
        <v>1378</v>
      </c>
      <c r="E60" s="207" t="s">
        <v>1379</v>
      </c>
      <c r="F60" s="136">
        <v>0.7</v>
      </c>
      <c r="G60" s="207" t="s">
        <v>1380</v>
      </c>
      <c r="H60" s="207" t="s">
        <v>1381</v>
      </c>
      <c r="I60" s="207" t="s">
        <v>1382</v>
      </c>
    </row>
    <row r="61" spans="2:9" ht="45" customHeight="1" x14ac:dyDescent="0.25">
      <c r="B61" s="1265" t="s">
        <v>1182</v>
      </c>
      <c r="C61" s="60" t="s">
        <v>1158</v>
      </c>
      <c r="D61" s="207" t="s">
        <v>1383</v>
      </c>
      <c r="E61" s="207" t="s">
        <v>1384</v>
      </c>
      <c r="F61" s="136">
        <v>0.7</v>
      </c>
      <c r="G61" s="207" t="s">
        <v>1385</v>
      </c>
      <c r="H61" s="207" t="s">
        <v>1386</v>
      </c>
      <c r="I61" s="207" t="s">
        <v>1387</v>
      </c>
    </row>
    <row r="62" spans="2:9" ht="45" customHeight="1" x14ac:dyDescent="0.25">
      <c r="B62" s="1265"/>
      <c r="C62" s="60" t="s">
        <v>1170</v>
      </c>
      <c r="D62" s="207" t="s">
        <v>1388</v>
      </c>
      <c r="E62" s="207" t="s">
        <v>1389</v>
      </c>
      <c r="F62" s="136">
        <v>0.9</v>
      </c>
      <c r="G62" s="207" t="s">
        <v>1390</v>
      </c>
      <c r="H62" s="207" t="s">
        <v>1391</v>
      </c>
      <c r="I62" s="207" t="s">
        <v>1392</v>
      </c>
    </row>
    <row r="63" spans="2:9" ht="45" customHeight="1" x14ac:dyDescent="0.25">
      <c r="B63" s="1265" t="s">
        <v>1203</v>
      </c>
      <c r="C63" s="60" t="s">
        <v>1158</v>
      </c>
      <c r="D63" s="207" t="s">
        <v>1393</v>
      </c>
      <c r="E63" s="207" t="s">
        <v>1394</v>
      </c>
      <c r="F63" s="136">
        <v>1.1499999999999999</v>
      </c>
      <c r="G63" s="207" t="s">
        <v>1395</v>
      </c>
      <c r="H63" s="207" t="s">
        <v>1396</v>
      </c>
      <c r="I63" s="207" t="s">
        <v>1397</v>
      </c>
    </row>
    <row r="64" spans="2:9" ht="45" customHeight="1" x14ac:dyDescent="0.25">
      <c r="B64" s="1265"/>
      <c r="C64" s="60" t="s">
        <v>1170</v>
      </c>
      <c r="D64" s="207" t="s">
        <v>1398</v>
      </c>
      <c r="E64" s="207" t="s">
        <v>1399</v>
      </c>
      <c r="F64" s="136">
        <v>1.1499999999999999</v>
      </c>
      <c r="G64" s="207" t="s">
        <v>1400</v>
      </c>
      <c r="H64" s="207" t="s">
        <v>1401</v>
      </c>
      <c r="I64" s="207" t="s">
        <v>1402</v>
      </c>
    </row>
    <row r="65" spans="2:9" ht="45" customHeight="1" x14ac:dyDescent="0.25">
      <c r="B65" s="1265" t="s">
        <v>1214</v>
      </c>
      <c r="C65" s="60" t="s">
        <v>1158</v>
      </c>
      <c r="D65" s="207" t="s">
        <v>1403</v>
      </c>
      <c r="E65" s="207" t="s">
        <v>1404</v>
      </c>
      <c r="F65" s="136">
        <v>2.5</v>
      </c>
      <c r="G65" s="207" t="s">
        <v>1405</v>
      </c>
      <c r="H65" s="207" t="s">
        <v>1406</v>
      </c>
      <c r="I65" s="207" t="s">
        <v>1407</v>
      </c>
    </row>
    <row r="66" spans="2:9" ht="45" customHeight="1" x14ac:dyDescent="0.25">
      <c r="B66" s="1265"/>
      <c r="C66" s="60" t="s">
        <v>1170</v>
      </c>
      <c r="D66" s="207" t="s">
        <v>1408</v>
      </c>
      <c r="E66" s="207" t="s">
        <v>1409</v>
      </c>
      <c r="F66" s="136">
        <v>2.5</v>
      </c>
      <c r="G66" s="207" t="s">
        <v>1410</v>
      </c>
      <c r="H66" s="207" t="s">
        <v>1411</v>
      </c>
      <c r="I66" s="207" t="s">
        <v>1412</v>
      </c>
    </row>
    <row r="67" spans="2:9" ht="45" customHeight="1" x14ac:dyDescent="0.25">
      <c r="B67" s="1265" t="s">
        <v>1225</v>
      </c>
      <c r="C67" s="60" t="s">
        <v>1158</v>
      </c>
      <c r="D67" s="207" t="s">
        <v>1413</v>
      </c>
      <c r="E67" s="207" t="s">
        <v>1414</v>
      </c>
      <c r="F67" s="207" t="s">
        <v>1228</v>
      </c>
      <c r="G67" s="207" t="s">
        <v>1415</v>
      </c>
      <c r="H67" s="207" t="s">
        <v>1416</v>
      </c>
      <c r="I67" s="207" t="s">
        <v>1417</v>
      </c>
    </row>
    <row r="68" spans="2:9" ht="45" customHeight="1" x14ac:dyDescent="0.25">
      <c r="B68" s="1265"/>
      <c r="C68" s="60" t="s">
        <v>1170</v>
      </c>
      <c r="D68" s="207" t="s">
        <v>1418</v>
      </c>
      <c r="E68" s="207" t="s">
        <v>1419</v>
      </c>
      <c r="F68" s="207" t="s">
        <v>1228</v>
      </c>
      <c r="G68" s="207" t="s">
        <v>1420</v>
      </c>
      <c r="H68" s="207" t="s">
        <v>1421</v>
      </c>
      <c r="I68" s="207" t="s">
        <v>1422</v>
      </c>
    </row>
    <row r="69" spans="2:9" ht="45" customHeight="1" x14ac:dyDescent="0.25">
      <c r="B69" s="1265" t="s">
        <v>198</v>
      </c>
      <c r="C69" s="60" t="s">
        <v>1158</v>
      </c>
      <c r="D69" s="207" t="s">
        <v>1423</v>
      </c>
      <c r="E69" s="207" t="s">
        <v>1424</v>
      </c>
      <c r="F69" s="11"/>
      <c r="G69" s="207" t="s">
        <v>1425</v>
      </c>
      <c r="H69" s="207" t="s">
        <v>1426</v>
      </c>
      <c r="I69" s="207" t="s">
        <v>1427</v>
      </c>
    </row>
    <row r="70" spans="2:9" ht="45" customHeight="1" x14ac:dyDescent="0.25">
      <c r="B70" s="1265"/>
      <c r="C70" s="60" t="s">
        <v>1170</v>
      </c>
      <c r="D70" s="207" t="s">
        <v>1428</v>
      </c>
      <c r="E70" s="207" t="s">
        <v>1429</v>
      </c>
      <c r="F70" s="11"/>
      <c r="G70" s="207" t="s">
        <v>1430</v>
      </c>
      <c r="H70" s="207" t="s">
        <v>1431</v>
      </c>
      <c r="I70" s="207" t="s">
        <v>1432</v>
      </c>
    </row>
  </sheetData>
  <mergeCells count="38">
    <mergeCell ref="B67:B68"/>
    <mergeCell ref="B69:B70"/>
    <mergeCell ref="B57:B58"/>
    <mergeCell ref="C57:C58"/>
    <mergeCell ref="B59:B60"/>
    <mergeCell ref="B61:B62"/>
    <mergeCell ref="B63:B64"/>
    <mergeCell ref="B65:B66"/>
    <mergeCell ref="B56:I56"/>
    <mergeCell ref="B33:B34"/>
    <mergeCell ref="B35:B36"/>
    <mergeCell ref="B39:I39"/>
    <mergeCell ref="B40:B41"/>
    <mergeCell ref="C40:C41"/>
    <mergeCell ref="B42:B43"/>
    <mergeCell ref="B44:B45"/>
    <mergeCell ref="B46:B47"/>
    <mergeCell ref="B48:B49"/>
    <mergeCell ref="B50:B51"/>
    <mergeCell ref="B52:B53"/>
    <mergeCell ref="B31:B32"/>
    <mergeCell ref="B10:B11"/>
    <mergeCell ref="B12:B13"/>
    <mergeCell ref="B14:B15"/>
    <mergeCell ref="B16:B17"/>
    <mergeCell ref="B18:B19"/>
    <mergeCell ref="B22:I22"/>
    <mergeCell ref="B23:B24"/>
    <mergeCell ref="C23:C24"/>
    <mergeCell ref="B25:B26"/>
    <mergeCell ref="B27:B28"/>
    <mergeCell ref="B29:B30"/>
    <mergeCell ref="B8:B9"/>
    <mergeCell ref="B5:I5"/>
    <mergeCell ref="L5:R5"/>
    <mergeCell ref="B6:B7"/>
    <mergeCell ref="C6:C7"/>
    <mergeCell ref="L6:L7"/>
  </mergeCells>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N40"/>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254" customWidth="1"/>
    <col min="2" max="2" width="6.5546875" style="264" customWidth="1"/>
    <col min="3" max="3" width="64.44140625" style="254" customWidth="1"/>
    <col min="4" max="11" width="9.6640625" style="254" customWidth="1"/>
    <col min="12" max="16384" width="9.21875" style="254"/>
  </cols>
  <sheetData>
    <row r="2" spans="1:12" ht="15" x14ac:dyDescent="0.25">
      <c r="B2" s="940" t="s">
        <v>3521</v>
      </c>
    </row>
    <row r="3" spans="1:12" x14ac:dyDescent="0.2">
      <c r="C3" s="264"/>
    </row>
    <row r="4" spans="1:12" ht="21" x14ac:dyDescent="0.2">
      <c r="B4" s="370" t="s">
        <v>294</v>
      </c>
      <c r="C4" s="298"/>
      <c r="E4" s="967"/>
      <c r="F4" s="967"/>
      <c r="G4" s="967"/>
      <c r="H4" s="967"/>
    </row>
    <row r="5" spans="1:12" x14ac:dyDescent="0.2">
      <c r="A5" s="267"/>
      <c r="B5" s="302"/>
      <c r="C5" s="267"/>
      <c r="D5" s="302"/>
      <c r="E5" s="302"/>
      <c r="F5" s="302"/>
      <c r="G5" s="302"/>
      <c r="H5" s="302"/>
      <c r="I5" s="302"/>
      <c r="J5" s="302"/>
      <c r="K5" s="302"/>
      <c r="L5" s="267"/>
    </row>
    <row r="6" spans="1:12" ht="20.100000000000001" customHeight="1" x14ac:dyDescent="0.2">
      <c r="B6" s="302"/>
      <c r="C6" s="267"/>
      <c r="D6" s="504" t="s">
        <v>161</v>
      </c>
      <c r="E6" s="411" t="s">
        <v>162</v>
      </c>
      <c r="F6" s="411" t="s">
        <v>163</v>
      </c>
      <c r="G6" s="411" t="s">
        <v>200</v>
      </c>
      <c r="H6" s="411" t="s">
        <v>201</v>
      </c>
      <c r="I6" s="411" t="s">
        <v>266</v>
      </c>
      <c r="J6" s="411" t="s">
        <v>267</v>
      </c>
      <c r="K6" s="411" t="s">
        <v>268</v>
      </c>
      <c r="L6" s="267"/>
    </row>
    <row r="7" spans="1:12" s="255" customFormat="1" ht="66" customHeight="1" x14ac:dyDescent="0.2">
      <c r="B7" s="302"/>
      <c r="C7" s="267"/>
      <c r="D7" s="411" t="s">
        <v>296</v>
      </c>
      <c r="E7" s="411" t="s">
        <v>297</v>
      </c>
      <c r="F7" s="411" t="s">
        <v>298</v>
      </c>
      <c r="G7" s="411" t="s">
        <v>3499</v>
      </c>
      <c r="H7" s="411" t="s">
        <v>299</v>
      </c>
      <c r="I7" s="411" t="s">
        <v>300</v>
      </c>
      <c r="J7" s="411" t="s">
        <v>259</v>
      </c>
      <c r="K7" s="411" t="s">
        <v>301</v>
      </c>
      <c r="L7" s="267"/>
    </row>
    <row r="8" spans="1:12" ht="20.100000000000001" customHeight="1" x14ac:dyDescent="0.2">
      <c r="A8" s="267"/>
      <c r="B8" s="421" t="s">
        <v>302</v>
      </c>
      <c r="C8" s="398" t="s">
        <v>303</v>
      </c>
      <c r="D8" s="686">
        <v>1.24875</v>
      </c>
      <c r="E8" s="686">
        <v>7.2604870000000004</v>
      </c>
      <c r="F8" s="481"/>
      <c r="G8" s="423" t="s">
        <v>304</v>
      </c>
      <c r="H8" s="686">
        <v>11.912932</v>
      </c>
      <c r="I8" s="686">
        <v>11.912932</v>
      </c>
      <c r="J8" s="686">
        <v>11.912932</v>
      </c>
      <c r="K8" s="686">
        <v>3.0376259999999999</v>
      </c>
      <c r="L8" s="267"/>
    </row>
    <row r="9" spans="1:12" ht="20.100000000000001" customHeight="1" x14ac:dyDescent="0.2">
      <c r="A9" s="267"/>
      <c r="B9" s="421" t="s">
        <v>305</v>
      </c>
      <c r="C9" s="398" t="s">
        <v>306</v>
      </c>
      <c r="D9" s="472"/>
      <c r="E9" s="472"/>
      <c r="F9" s="685"/>
      <c r="G9" s="423"/>
      <c r="H9" s="499"/>
      <c r="I9" s="499"/>
      <c r="J9" s="499"/>
      <c r="K9" s="499"/>
      <c r="L9" s="267"/>
    </row>
    <row r="10" spans="1:12" ht="20.100000000000001" customHeight="1" x14ac:dyDescent="0.2">
      <c r="A10" s="267"/>
      <c r="B10" s="421">
        <v>1</v>
      </c>
      <c r="C10" s="398" t="s">
        <v>307</v>
      </c>
      <c r="D10" s="684">
        <v>769.99447499999997</v>
      </c>
      <c r="E10" s="684">
        <v>415.26629500000001</v>
      </c>
      <c r="F10" s="481"/>
      <c r="G10" s="423" t="s">
        <v>304</v>
      </c>
      <c r="H10" s="686">
        <v>2247.3826509999999</v>
      </c>
      <c r="I10" s="686">
        <v>1678.8594929999999</v>
      </c>
      <c r="J10" s="686">
        <f>+I10</f>
        <v>1678.8594929999999</v>
      </c>
      <c r="K10" s="686">
        <v>724.29188999999997</v>
      </c>
      <c r="L10" s="267"/>
    </row>
    <row r="11" spans="1:12" ht="20.100000000000001" customHeight="1" x14ac:dyDescent="0.2">
      <c r="A11" s="687"/>
      <c r="B11" s="421">
        <v>2</v>
      </c>
      <c r="C11" s="654" t="s">
        <v>308</v>
      </c>
      <c r="D11" s="481"/>
      <c r="E11" s="481"/>
      <c r="F11" s="472"/>
      <c r="G11" s="499"/>
      <c r="H11" s="499"/>
      <c r="I11" s="499"/>
      <c r="J11" s="499"/>
      <c r="K11" s="499"/>
      <c r="L11" s="267"/>
    </row>
    <row r="12" spans="1:12" ht="20.100000000000001" customHeight="1" x14ac:dyDescent="0.2">
      <c r="A12" s="267"/>
      <c r="B12" s="411" t="s">
        <v>309</v>
      </c>
      <c r="C12" s="639" t="s">
        <v>310</v>
      </c>
      <c r="D12" s="481"/>
      <c r="E12" s="481"/>
      <c r="F12" s="472"/>
      <c r="G12" s="481"/>
      <c r="H12" s="472"/>
      <c r="I12" s="472"/>
      <c r="J12" s="472"/>
      <c r="K12" s="472"/>
      <c r="L12" s="267"/>
    </row>
    <row r="13" spans="1:12" ht="20.100000000000001" customHeight="1" x14ac:dyDescent="0.2">
      <c r="A13" s="267"/>
      <c r="B13" s="411" t="s">
        <v>311</v>
      </c>
      <c r="C13" s="639" t="s">
        <v>312</v>
      </c>
      <c r="D13" s="481"/>
      <c r="E13" s="481"/>
      <c r="F13" s="472"/>
      <c r="G13" s="481"/>
      <c r="H13" s="472"/>
      <c r="I13" s="472"/>
      <c r="J13" s="472"/>
      <c r="K13" s="472"/>
      <c r="L13" s="267"/>
    </row>
    <row r="14" spans="1:12" ht="20.100000000000001" customHeight="1" x14ac:dyDescent="0.2">
      <c r="A14" s="267"/>
      <c r="B14" s="411" t="s">
        <v>313</v>
      </c>
      <c r="C14" s="639" t="s">
        <v>314</v>
      </c>
      <c r="D14" s="481"/>
      <c r="E14" s="481"/>
      <c r="F14" s="472"/>
      <c r="G14" s="481"/>
      <c r="H14" s="472"/>
      <c r="I14" s="472"/>
      <c r="J14" s="472"/>
      <c r="K14" s="472"/>
      <c r="L14" s="267"/>
    </row>
    <row r="15" spans="1:12" ht="20.100000000000001" customHeight="1" x14ac:dyDescent="0.2">
      <c r="A15" s="267"/>
      <c r="B15" s="421">
        <v>3</v>
      </c>
      <c r="C15" s="654" t="s">
        <v>315</v>
      </c>
      <c r="D15" s="481"/>
      <c r="E15" s="481"/>
      <c r="F15" s="481"/>
      <c r="G15" s="481"/>
      <c r="H15" s="499"/>
      <c r="I15" s="499"/>
      <c r="J15" s="499"/>
      <c r="K15" s="499"/>
      <c r="L15" s="267"/>
    </row>
    <row r="16" spans="1:12" ht="20.100000000000001" customHeight="1" x14ac:dyDescent="0.2">
      <c r="A16" s="267"/>
      <c r="B16" s="421">
        <v>4</v>
      </c>
      <c r="C16" s="654" t="s">
        <v>316</v>
      </c>
      <c r="D16" s="481"/>
      <c r="E16" s="481"/>
      <c r="F16" s="481"/>
      <c r="G16" s="481"/>
      <c r="H16" s="499"/>
      <c r="I16" s="499"/>
      <c r="J16" s="499"/>
      <c r="K16" s="499"/>
      <c r="L16" s="267"/>
    </row>
    <row r="17" spans="1:14" ht="20.100000000000001" customHeight="1" x14ac:dyDescent="0.2">
      <c r="A17" s="267"/>
      <c r="B17" s="421">
        <v>5</v>
      </c>
      <c r="C17" s="654" t="s">
        <v>317</v>
      </c>
      <c r="D17" s="481"/>
      <c r="E17" s="481"/>
      <c r="F17" s="481"/>
      <c r="G17" s="481"/>
      <c r="H17" s="499"/>
      <c r="I17" s="499"/>
      <c r="J17" s="499"/>
      <c r="K17" s="499"/>
      <c r="L17" s="267"/>
    </row>
    <row r="18" spans="1:14" ht="20.100000000000001" customHeight="1" x14ac:dyDescent="0.2">
      <c r="A18" s="267"/>
      <c r="B18" s="421">
        <v>6</v>
      </c>
      <c r="C18" s="491" t="s">
        <v>198</v>
      </c>
      <c r="D18" s="495"/>
      <c r="E18" s="495"/>
      <c r="F18" s="495"/>
      <c r="G18" s="495"/>
      <c r="H18" s="688">
        <v>2259.2955830000001</v>
      </c>
      <c r="I18" s="688">
        <v>1690.7724249999999</v>
      </c>
      <c r="J18" s="688">
        <v>1690.7724249999999</v>
      </c>
      <c r="K18" s="688">
        <v>727.32951600000001</v>
      </c>
      <c r="L18" s="267"/>
      <c r="N18" s="393"/>
    </row>
    <row r="19" spans="1:14" x14ac:dyDescent="0.2">
      <c r="A19" s="267"/>
    </row>
    <row r="20" spans="1:14" x14ac:dyDescent="0.2">
      <c r="A20" s="267"/>
    </row>
    <row r="22" spans="1:14" x14ac:dyDescent="0.2">
      <c r="H22" s="395"/>
      <c r="I22" s="395"/>
      <c r="J22" s="395"/>
      <c r="K22" s="395"/>
    </row>
    <row r="23" spans="1:14" x14ac:dyDescent="0.2">
      <c r="H23" s="395"/>
      <c r="I23" s="395"/>
      <c r="J23" s="395"/>
      <c r="K23" s="395"/>
    </row>
    <row r="24" spans="1:14" x14ac:dyDescent="0.2">
      <c r="H24" s="395"/>
      <c r="I24" s="388"/>
      <c r="J24" s="388"/>
      <c r="K24" s="388"/>
    </row>
    <row r="26" spans="1:14" x14ac:dyDescent="0.2">
      <c r="H26" s="395"/>
      <c r="I26" s="395"/>
      <c r="J26" s="395"/>
      <c r="K26" s="395"/>
    </row>
    <row r="27" spans="1:14" x14ac:dyDescent="0.2">
      <c r="H27" s="392"/>
      <c r="I27" s="394"/>
      <c r="J27" s="394"/>
      <c r="K27" s="394"/>
    </row>
    <row r="29" spans="1:14" x14ac:dyDescent="0.2">
      <c r="I29" s="395"/>
      <c r="J29" s="395"/>
      <c r="K29" s="395"/>
    </row>
    <row r="30" spans="1:14" x14ac:dyDescent="0.2">
      <c r="I30" s="395"/>
      <c r="J30" s="395"/>
      <c r="K30" s="395"/>
    </row>
    <row r="32" spans="1:14" x14ac:dyDescent="0.2">
      <c r="I32" s="392"/>
      <c r="J32" s="394"/>
      <c r="K32" s="394"/>
    </row>
    <row r="39" spans="12:12" x14ac:dyDescent="0.2">
      <c r="L39" s="304"/>
    </row>
    <row r="40" spans="12:12" x14ac:dyDescent="0.2">
      <c r="L40" s="304"/>
    </row>
  </sheetData>
  <sheetProtection algorithmName="SHA-512" hashValue="MeQnOknuIcGaMh5w/98uAWb02HKKB4Zx+J7GvZn1tCa27qUILwUCBpwM+svV2ciHmO3AqrXPUGeabDilNkWXIA==" saltValue="ncRD0ks2aySavaK/3onqbA==" spinCount="100000" sheet="1" objects="1" scenarios="1"/>
  <mergeCells count="1">
    <mergeCell ref="E4:H4"/>
  </mergeCells>
  <hyperlinks>
    <hyperlink ref="B2" location="Contents!A1" display="Back to Contents page" xr:uid="{2BBA2564-5153-4A38-8C08-64744E09B178}"/>
  </hyperlinks>
  <pageMargins left="0.7" right="0.7" top="0.75" bottom="0.75" header="0.3" footer="0.3"/>
  <pageSetup paperSize="9" scale="24" orientation="portrait" horizontalDpi="144" verticalDpi="144"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F15"/>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254" customWidth="1"/>
    <col min="2" max="2" width="6.5546875" style="254" customWidth="1"/>
    <col min="3" max="3" width="79.44140625" style="254" customWidth="1"/>
    <col min="4" max="5" width="8.21875" style="254" customWidth="1"/>
    <col min="6" max="16384" width="9.21875" style="254"/>
  </cols>
  <sheetData>
    <row r="2" spans="1:6" ht="15" x14ac:dyDescent="0.25">
      <c r="B2" s="940" t="s">
        <v>3521</v>
      </c>
    </row>
    <row r="3" spans="1:6" x14ac:dyDescent="0.2">
      <c r="A3" s="271"/>
    </row>
    <row r="4" spans="1:6" ht="21" x14ac:dyDescent="0.2">
      <c r="B4" s="368" t="s">
        <v>318</v>
      </c>
    </row>
    <row r="5" spans="1:6" ht="20.100000000000001" customHeight="1" x14ac:dyDescent="0.2">
      <c r="B5" s="267"/>
      <c r="C5" s="298"/>
      <c r="D5" s="482" t="s">
        <v>161</v>
      </c>
      <c r="E5" s="482" t="s">
        <v>162</v>
      </c>
    </row>
    <row r="6" spans="1:6" ht="24.95" customHeight="1" x14ac:dyDescent="0.2">
      <c r="B6" s="267"/>
      <c r="C6" s="267"/>
      <c r="D6" s="411" t="s">
        <v>319</v>
      </c>
      <c r="E6" s="482" t="s">
        <v>301</v>
      </c>
    </row>
    <row r="7" spans="1:6" ht="20.100000000000001" customHeight="1" x14ac:dyDescent="0.2">
      <c r="B7" s="482">
        <v>1</v>
      </c>
      <c r="C7" s="456" t="s">
        <v>320</v>
      </c>
      <c r="D7" s="473"/>
      <c r="E7" s="450"/>
      <c r="F7" s="301"/>
    </row>
    <row r="8" spans="1:6" ht="20.100000000000001" customHeight="1" x14ac:dyDescent="0.2">
      <c r="B8" s="482">
        <v>2</v>
      </c>
      <c r="C8" s="456" t="s">
        <v>321</v>
      </c>
      <c r="D8" s="694"/>
      <c r="E8" s="450"/>
      <c r="F8" s="301"/>
    </row>
    <row r="9" spans="1:6" ht="20.100000000000001" customHeight="1" x14ac:dyDescent="0.2">
      <c r="B9" s="482">
        <v>3</v>
      </c>
      <c r="C9" s="456" t="s">
        <v>322</v>
      </c>
      <c r="D9" s="694"/>
      <c r="E9" s="450"/>
      <c r="F9" s="301"/>
    </row>
    <row r="10" spans="1:6" ht="20.100000000000001" customHeight="1" x14ac:dyDescent="0.2">
      <c r="B10" s="482">
        <v>4</v>
      </c>
      <c r="C10" s="456" t="s">
        <v>323</v>
      </c>
      <c r="D10" s="471">
        <v>1397.3416999999999</v>
      </c>
      <c r="E10" s="417">
        <v>653.66591300000005</v>
      </c>
      <c r="F10" s="301"/>
    </row>
    <row r="11" spans="1:6" ht="20.100000000000001" customHeight="1" x14ac:dyDescent="0.2">
      <c r="B11" s="482" t="s">
        <v>324</v>
      </c>
      <c r="C11" s="691" t="s">
        <v>3506</v>
      </c>
      <c r="D11" s="473"/>
      <c r="E11" s="450"/>
      <c r="F11" s="301"/>
    </row>
    <row r="12" spans="1:6" ht="20.100000000000001" customHeight="1" x14ac:dyDescent="0.2">
      <c r="B12" s="501">
        <v>5</v>
      </c>
      <c r="C12" s="507" t="s">
        <v>325</v>
      </c>
      <c r="D12" s="499">
        <f>+D7+D10+D11</f>
        <v>1397.3416999999999</v>
      </c>
      <c r="E12" s="686">
        <f>+E7+E10+E11</f>
        <v>653.66591300000005</v>
      </c>
      <c r="F12" s="301"/>
    </row>
    <row r="13" spans="1:6" x14ac:dyDescent="0.2">
      <c r="C13" s="271"/>
    </row>
    <row r="14" spans="1:6" x14ac:dyDescent="0.2">
      <c r="B14" s="267"/>
    </row>
    <row r="15" spans="1:6" x14ac:dyDescent="0.2">
      <c r="B15" s="267"/>
    </row>
  </sheetData>
  <sheetProtection algorithmName="SHA-512" hashValue="jMx1/vvUghBDBNkc/i31ggSqazK0uc+fOkzDfs0+7wzIcXyCdsHSxKnKDEcVCNLsY1RpOsGiJF5KXslr+BU2xw==" saltValue="rgBRW+da+RiFSw6j81qvkA==" spinCount="100000" sheet="1" objects="1" scenarios="1"/>
  <hyperlinks>
    <hyperlink ref="B2" location="Contents!A1" display="Back to Contents page" xr:uid="{29EB0CA6-CEFE-4003-B028-15754CAA30F1}"/>
  </hyperlinks>
  <pageMargins left="0.7" right="0.7" top="0.75" bottom="0.75" header="0.3" footer="0.3"/>
  <pageSetup paperSize="9" scale="56" orientation="portrait" horizontalDpi="144" verticalDpi="14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13753-AA5D-4B43-887C-567479419BFB}">
  <sheetPr>
    <pageSetUpPr fitToPage="1"/>
  </sheetPr>
  <dimension ref="B2:H20"/>
  <sheetViews>
    <sheetView showGridLines="0" showRowColHeaders="0" zoomScale="85" zoomScaleNormal="85" workbookViewId="0">
      <selection activeCell="B2" sqref="B2"/>
    </sheetView>
  </sheetViews>
  <sheetFormatPr baseColWidth="10" defaultColWidth="9.21875" defaultRowHeight="12.75" x14ac:dyDescent="0.2"/>
  <cols>
    <col min="1" max="1" width="3.88671875" style="254" customWidth="1"/>
    <col min="2" max="2" width="8.5546875" style="264" customWidth="1"/>
    <col min="3" max="3" width="56.109375" style="254" customWidth="1"/>
    <col min="4" max="8" width="10.5546875" style="254" customWidth="1"/>
    <col min="9" max="9" width="25.44140625" style="254" customWidth="1"/>
    <col min="10" max="16384" width="9.21875" style="254"/>
  </cols>
  <sheetData>
    <row r="2" spans="2:8" ht="15" x14ac:dyDescent="0.25">
      <c r="B2" s="940" t="s">
        <v>3521</v>
      </c>
    </row>
    <row r="4" spans="2:8" ht="21" x14ac:dyDescent="0.2">
      <c r="B4" s="368" t="s">
        <v>3141</v>
      </c>
    </row>
    <row r="6" spans="2:8" x14ac:dyDescent="0.2">
      <c r="B6" s="254"/>
      <c r="D6" s="433" t="s">
        <v>161</v>
      </c>
      <c r="E6" s="433" t="s">
        <v>162</v>
      </c>
      <c r="F6" s="433" t="s">
        <v>163</v>
      </c>
      <c r="G6" s="433" t="s">
        <v>200</v>
      </c>
      <c r="H6" s="433" t="s">
        <v>201</v>
      </c>
    </row>
    <row r="7" spans="2:8" x14ac:dyDescent="0.2">
      <c r="B7" s="254"/>
      <c r="D7" s="956" t="s">
        <v>198</v>
      </c>
      <c r="E7" s="951" t="s">
        <v>3142</v>
      </c>
      <c r="F7" s="951"/>
      <c r="G7" s="951"/>
      <c r="H7" s="951"/>
    </row>
    <row r="8" spans="2:8" ht="33" customHeight="1" x14ac:dyDescent="0.2">
      <c r="B8" s="254"/>
      <c r="D8" s="956"/>
      <c r="E8" s="842" t="s">
        <v>3143</v>
      </c>
      <c r="F8" s="842" t="s">
        <v>3144</v>
      </c>
      <c r="G8" s="841" t="s">
        <v>3145</v>
      </c>
      <c r="H8" s="842" t="s">
        <v>3146</v>
      </c>
    </row>
    <row r="9" spans="2:8" ht="34.5" customHeight="1" x14ac:dyDescent="0.2">
      <c r="B9" s="501">
        <v>1</v>
      </c>
      <c r="C9" s="654" t="s">
        <v>3147</v>
      </c>
      <c r="D9" s="891">
        <v>169404.05929900004</v>
      </c>
      <c r="E9" s="891">
        <v>167310.22636100004</v>
      </c>
      <c r="F9" s="500"/>
      <c r="G9" s="500">
        <v>2093.832938</v>
      </c>
      <c r="H9" s="500"/>
    </row>
    <row r="10" spans="2:8" ht="34.5" customHeight="1" x14ac:dyDescent="0.2">
      <c r="B10" s="501">
        <v>2</v>
      </c>
      <c r="C10" s="654" t="s">
        <v>3148</v>
      </c>
      <c r="D10" s="891">
        <v>3156.9891149999999</v>
      </c>
      <c r="E10" s="891"/>
      <c r="F10" s="500"/>
      <c r="G10" s="500">
        <v>3156.9891149999999</v>
      </c>
      <c r="H10" s="500"/>
    </row>
    <row r="11" spans="2:8" ht="34.5" customHeight="1" x14ac:dyDescent="0.2">
      <c r="B11" s="494">
        <v>3</v>
      </c>
      <c r="C11" s="838" t="s">
        <v>3149</v>
      </c>
      <c r="D11" s="892">
        <v>166247.07018400004</v>
      </c>
      <c r="E11" s="892">
        <v>167310.22636100004</v>
      </c>
      <c r="F11" s="496"/>
      <c r="G11" s="864">
        <v>-1063.1561769999998</v>
      </c>
      <c r="H11" s="496"/>
    </row>
    <row r="12" spans="2:8" ht="34.5" customHeight="1" x14ac:dyDescent="0.2">
      <c r="B12" s="497">
        <v>4</v>
      </c>
      <c r="C12" s="491" t="s">
        <v>3150</v>
      </c>
      <c r="D12" s="893">
        <v>21444.468354000001</v>
      </c>
      <c r="E12" s="893">
        <v>21444.468354000001</v>
      </c>
      <c r="F12" s="500"/>
      <c r="G12" s="500"/>
      <c r="H12" s="496"/>
    </row>
    <row r="13" spans="2:8" ht="34.5" customHeight="1" x14ac:dyDescent="0.2">
      <c r="B13" s="433">
        <v>5</v>
      </c>
      <c r="C13" s="839" t="s">
        <v>3151</v>
      </c>
      <c r="D13" s="863"/>
      <c r="E13" s="863"/>
      <c r="F13" s="480"/>
      <c r="G13" s="480"/>
      <c r="H13" s="496"/>
    </row>
    <row r="14" spans="2:8" ht="34.5" customHeight="1" x14ac:dyDescent="0.2">
      <c r="B14" s="433">
        <v>6</v>
      </c>
      <c r="C14" s="839" t="s">
        <v>3152</v>
      </c>
      <c r="D14" s="863">
        <v>4345.1467689999999</v>
      </c>
      <c r="E14" s="863"/>
      <c r="F14" s="480"/>
      <c r="G14" s="480">
        <v>4345.1467689999999</v>
      </c>
      <c r="H14" s="496"/>
    </row>
    <row r="15" spans="2:8" ht="34.5" customHeight="1" x14ac:dyDescent="0.2">
      <c r="B15" s="433">
        <v>7</v>
      </c>
      <c r="C15" s="839" t="s">
        <v>3153</v>
      </c>
      <c r="D15" s="863">
        <v>806.56714799999997</v>
      </c>
      <c r="E15" s="863">
        <v>806.56714799999997</v>
      </c>
      <c r="F15" s="480"/>
      <c r="G15" s="480"/>
      <c r="H15" s="496"/>
    </row>
    <row r="16" spans="2:8" ht="34.5" customHeight="1" x14ac:dyDescent="0.2">
      <c r="B16" s="433">
        <v>8</v>
      </c>
      <c r="C16" s="839" t="s">
        <v>3154</v>
      </c>
      <c r="D16" s="890">
        <v>-1155.41383</v>
      </c>
      <c r="E16" s="890"/>
      <c r="F16" s="480"/>
      <c r="G16" s="863">
        <v>-1155.41383</v>
      </c>
      <c r="H16" s="496"/>
    </row>
    <row r="17" spans="2:8" ht="34.5" customHeight="1" x14ac:dyDescent="0.2">
      <c r="B17" s="433">
        <v>9</v>
      </c>
      <c r="C17" s="839" t="s">
        <v>3155</v>
      </c>
      <c r="D17" s="890">
        <v>-10867.532825</v>
      </c>
      <c r="E17" s="890">
        <v>-10867.532825</v>
      </c>
      <c r="F17" s="480"/>
      <c r="G17" s="480"/>
      <c r="H17" s="496"/>
    </row>
    <row r="18" spans="2:8" ht="34.5" customHeight="1" x14ac:dyDescent="0.2">
      <c r="B18" s="433">
        <v>10</v>
      </c>
      <c r="C18" s="839" t="s">
        <v>3156</v>
      </c>
      <c r="D18" s="863"/>
      <c r="E18" s="863"/>
      <c r="F18" s="480"/>
      <c r="G18" s="480"/>
      <c r="H18" s="496"/>
    </row>
    <row r="19" spans="2:8" ht="34.5" customHeight="1" x14ac:dyDescent="0.2">
      <c r="B19" s="433">
        <v>11</v>
      </c>
      <c r="C19" s="839" t="s">
        <v>3157</v>
      </c>
      <c r="D19" s="863">
        <v>1315</v>
      </c>
      <c r="E19" s="863">
        <v>1315</v>
      </c>
      <c r="F19" s="480"/>
      <c r="G19" s="480"/>
      <c r="H19" s="496"/>
    </row>
    <row r="20" spans="2:8" ht="34.5" customHeight="1" x14ac:dyDescent="0.2">
      <c r="B20" s="497">
        <v>12</v>
      </c>
      <c r="C20" s="491" t="s">
        <v>3158</v>
      </c>
      <c r="D20" s="893">
        <v>182135.30580000006</v>
      </c>
      <c r="E20" s="891">
        <v>180008.72903800005</v>
      </c>
      <c r="F20" s="500"/>
      <c r="G20" s="500">
        <v>2126.5767620000001</v>
      </c>
      <c r="H20" s="840"/>
    </row>
  </sheetData>
  <sheetProtection algorithmName="SHA-512" hashValue="N8XNF+MRuRWtiR1KT2NXlx7FDvxN+g+QjRIjzRMS/byD8NhmrNBorX4UKjvJ80SKCc2WMYAstupOuEgiPlmRnw==" saltValue="PQz7LH1G0gORSN2I55/epQ==" spinCount="100000" sheet="1" objects="1" scenarios="1"/>
  <mergeCells count="2">
    <mergeCell ref="D7:D8"/>
    <mergeCell ref="E7:H7"/>
  </mergeCells>
  <hyperlinks>
    <hyperlink ref="B2" location="Contents!A1" display="Back to Contents page" xr:uid="{7CA9ECB1-57DF-4E9E-885E-FB875263C8DB}"/>
  </hyperlinks>
  <pageMargins left="0.7" right="0.7" top="0.75" bottom="0.75" header="0.3" footer="0.3"/>
  <pageSetup paperSize="9" scale="44" orientation="portrait" horizontalDpi="144" verticalDpi="14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Q19"/>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254" customWidth="1"/>
    <col min="2" max="2" width="9.21875" style="316"/>
    <col min="3" max="3" width="45.109375" style="254" customWidth="1"/>
    <col min="4" max="14" width="8.77734375" style="254" customWidth="1"/>
    <col min="15" max="15" width="8.77734375" style="271" customWidth="1"/>
    <col min="16" max="16384" width="9.21875" style="254"/>
  </cols>
  <sheetData>
    <row r="2" spans="2:17" ht="15" x14ac:dyDescent="0.25">
      <c r="B2" s="940" t="s">
        <v>3521</v>
      </c>
    </row>
    <row r="4" spans="2:17" ht="21" x14ac:dyDescent="0.35">
      <c r="B4" s="369" t="s">
        <v>326</v>
      </c>
    </row>
    <row r="5" spans="2:17" x14ac:dyDescent="0.2">
      <c r="B5" s="298"/>
    </row>
    <row r="6" spans="2:17" ht="20.100000000000001" customHeight="1" x14ac:dyDescent="0.2">
      <c r="B6" s="302"/>
      <c r="C6" s="1272" t="s">
        <v>327</v>
      </c>
      <c r="D6" s="1234" t="s">
        <v>328</v>
      </c>
      <c r="E6" s="1234"/>
      <c r="F6" s="1234"/>
      <c r="G6" s="1234"/>
      <c r="H6" s="1234"/>
      <c r="I6" s="1234"/>
      <c r="J6" s="1234"/>
      <c r="K6" s="1234"/>
      <c r="L6" s="1234"/>
      <c r="M6" s="1234"/>
      <c r="N6" s="1234"/>
      <c r="O6" s="274"/>
    </row>
    <row r="7" spans="2:17" ht="20.100000000000001" customHeight="1" x14ac:dyDescent="0.2">
      <c r="B7" s="302"/>
      <c r="C7" s="1272"/>
      <c r="D7" s="482" t="s">
        <v>161</v>
      </c>
      <c r="E7" s="482" t="s">
        <v>162</v>
      </c>
      <c r="F7" s="482" t="s">
        <v>163</v>
      </c>
      <c r="G7" s="482" t="s">
        <v>200</v>
      </c>
      <c r="H7" s="482" t="s">
        <v>201</v>
      </c>
      <c r="I7" s="482" t="s">
        <v>266</v>
      </c>
      <c r="J7" s="482" t="s">
        <v>267</v>
      </c>
      <c r="K7" s="482" t="s">
        <v>268</v>
      </c>
      <c r="L7" s="482" t="s">
        <v>269</v>
      </c>
      <c r="M7" s="482" t="s">
        <v>270</v>
      </c>
      <c r="N7" s="482" t="s">
        <v>271</v>
      </c>
      <c r="O7" s="411" t="s">
        <v>272</v>
      </c>
    </row>
    <row r="8" spans="2:17" ht="42" customHeight="1" x14ac:dyDescent="0.2">
      <c r="B8" s="302"/>
      <c r="C8" s="1272"/>
      <c r="D8" s="693">
        <v>0</v>
      </c>
      <c r="E8" s="693">
        <v>0.02</v>
      </c>
      <c r="F8" s="693">
        <v>0.04</v>
      </c>
      <c r="G8" s="693">
        <v>0.1</v>
      </c>
      <c r="H8" s="693">
        <v>0.2</v>
      </c>
      <c r="I8" s="693">
        <v>0.5</v>
      </c>
      <c r="J8" s="693">
        <v>0.7</v>
      </c>
      <c r="K8" s="693">
        <v>0.75</v>
      </c>
      <c r="L8" s="693">
        <v>1</v>
      </c>
      <c r="M8" s="693">
        <v>1.5</v>
      </c>
      <c r="N8" s="669" t="s">
        <v>329</v>
      </c>
      <c r="O8" s="488" t="s">
        <v>3498</v>
      </c>
    </row>
    <row r="9" spans="2:17" ht="20.100000000000001" customHeight="1" x14ac:dyDescent="0.2">
      <c r="B9" s="482">
        <v>1</v>
      </c>
      <c r="C9" s="484" t="s">
        <v>330</v>
      </c>
      <c r="D9" s="694"/>
      <c r="E9" s="694"/>
      <c r="F9" s="694"/>
      <c r="G9" s="694"/>
      <c r="H9" s="694"/>
      <c r="I9" s="694"/>
      <c r="J9" s="694"/>
      <c r="K9" s="694"/>
      <c r="L9" s="694"/>
      <c r="M9" s="694"/>
      <c r="N9" s="695"/>
      <c r="O9" s="692"/>
    </row>
    <row r="10" spans="2:17" ht="20.100000000000001" customHeight="1" x14ac:dyDescent="0.2">
      <c r="B10" s="482">
        <v>2</v>
      </c>
      <c r="C10" s="484" t="s">
        <v>331</v>
      </c>
      <c r="D10" s="694"/>
      <c r="E10" s="694"/>
      <c r="F10" s="694"/>
      <c r="G10" s="694"/>
      <c r="H10" s="694"/>
      <c r="I10" s="694"/>
      <c r="J10" s="694"/>
      <c r="K10" s="694"/>
      <c r="L10" s="694"/>
      <c r="M10" s="694"/>
      <c r="N10" s="695"/>
      <c r="O10" s="692">
        <v>14.918340000000001</v>
      </c>
    </row>
    <row r="11" spans="2:17" ht="20.100000000000001" customHeight="1" x14ac:dyDescent="0.2">
      <c r="B11" s="482">
        <v>3</v>
      </c>
      <c r="C11" s="484" t="s">
        <v>332</v>
      </c>
      <c r="D11" s="694"/>
      <c r="E11" s="694"/>
      <c r="F11" s="694"/>
      <c r="G11" s="694"/>
      <c r="H11" s="694"/>
      <c r="I11" s="694"/>
      <c r="J11" s="694"/>
      <c r="K11" s="694"/>
      <c r="L11" s="694"/>
      <c r="M11" s="694"/>
      <c r="N11" s="695"/>
      <c r="O11" s="692"/>
    </row>
    <row r="12" spans="2:17" ht="20.100000000000001" customHeight="1" x14ac:dyDescent="0.2">
      <c r="B12" s="482">
        <v>4</v>
      </c>
      <c r="C12" s="484" t="s">
        <v>333</v>
      </c>
      <c r="D12" s="694"/>
      <c r="E12" s="694"/>
      <c r="F12" s="694"/>
      <c r="G12" s="694"/>
      <c r="H12" s="694"/>
      <c r="I12" s="694"/>
      <c r="J12" s="694"/>
      <c r="K12" s="694"/>
      <c r="L12" s="694"/>
      <c r="M12" s="694"/>
      <c r="N12" s="695"/>
      <c r="O12" s="692"/>
    </row>
    <row r="13" spans="2:17" ht="20.100000000000001" customHeight="1" x14ac:dyDescent="0.2">
      <c r="B13" s="482">
        <v>5</v>
      </c>
      <c r="C13" s="484" t="s">
        <v>334</v>
      </c>
      <c r="D13" s="694"/>
      <c r="E13" s="694"/>
      <c r="F13" s="694"/>
      <c r="G13" s="694"/>
      <c r="H13" s="694"/>
      <c r="I13" s="694"/>
      <c r="J13" s="694"/>
      <c r="K13" s="694"/>
      <c r="L13" s="694"/>
      <c r="M13" s="694"/>
      <c r="N13" s="695"/>
      <c r="O13" s="692"/>
    </row>
    <row r="14" spans="2:17" ht="20.100000000000001" customHeight="1" x14ac:dyDescent="0.2">
      <c r="B14" s="482">
        <v>6</v>
      </c>
      <c r="C14" s="484" t="s">
        <v>335</v>
      </c>
      <c r="D14" s="694"/>
      <c r="E14" s="694"/>
      <c r="F14" s="694"/>
      <c r="G14" s="694"/>
      <c r="H14" s="694"/>
      <c r="I14" s="694"/>
      <c r="J14" s="694"/>
      <c r="K14" s="694"/>
      <c r="L14" s="694"/>
      <c r="M14" s="694"/>
      <c r="N14" s="695"/>
      <c r="O14" s="692">
        <v>1859.8357040000001</v>
      </c>
      <c r="Q14" s="301"/>
    </row>
    <row r="15" spans="2:17" ht="20.100000000000001" customHeight="1" x14ac:dyDescent="0.2">
      <c r="B15" s="482">
        <v>7</v>
      </c>
      <c r="C15" s="484" t="s">
        <v>336</v>
      </c>
      <c r="D15" s="694"/>
      <c r="E15" s="694"/>
      <c r="F15" s="694"/>
      <c r="G15" s="694"/>
      <c r="H15" s="694"/>
      <c r="I15" s="694"/>
      <c r="J15" s="694"/>
      <c r="K15" s="694"/>
      <c r="L15" s="694"/>
      <c r="M15" s="694"/>
      <c r="N15" s="695"/>
      <c r="O15" s="692">
        <v>245.59509299999999</v>
      </c>
    </row>
    <row r="16" spans="2:17" ht="20.100000000000001" customHeight="1" x14ac:dyDescent="0.2">
      <c r="B16" s="482">
        <v>8</v>
      </c>
      <c r="C16" s="484" t="s">
        <v>337</v>
      </c>
      <c r="D16" s="694"/>
      <c r="E16" s="694"/>
      <c r="F16" s="694"/>
      <c r="G16" s="694"/>
      <c r="H16" s="694"/>
      <c r="I16" s="694"/>
      <c r="J16" s="694"/>
      <c r="K16" s="694"/>
      <c r="L16" s="694"/>
      <c r="M16" s="694"/>
      <c r="N16" s="695"/>
      <c r="O16" s="692">
        <v>6.2276249999999997</v>
      </c>
    </row>
    <row r="17" spans="2:17" ht="20.100000000000001" customHeight="1" x14ac:dyDescent="0.2">
      <c r="B17" s="482">
        <v>9</v>
      </c>
      <c r="C17" s="484" t="s">
        <v>338</v>
      </c>
      <c r="D17" s="694"/>
      <c r="E17" s="694"/>
      <c r="F17" s="694"/>
      <c r="G17" s="694"/>
      <c r="H17" s="694"/>
      <c r="I17" s="694"/>
      <c r="J17" s="694"/>
      <c r="K17" s="694"/>
      <c r="L17" s="694"/>
      <c r="M17" s="694"/>
      <c r="N17" s="695"/>
      <c r="O17" s="692"/>
    </row>
    <row r="18" spans="2:17" ht="20.100000000000001" customHeight="1" x14ac:dyDescent="0.2">
      <c r="B18" s="482">
        <v>10</v>
      </c>
      <c r="C18" s="484" t="s">
        <v>339</v>
      </c>
      <c r="D18" s="694"/>
      <c r="E18" s="694"/>
      <c r="F18" s="694"/>
      <c r="G18" s="694"/>
      <c r="H18" s="694"/>
      <c r="I18" s="694"/>
      <c r="J18" s="694"/>
      <c r="K18" s="694"/>
      <c r="L18" s="694"/>
      <c r="M18" s="694"/>
      <c r="N18" s="695"/>
      <c r="O18" s="692"/>
      <c r="Q18" s="301"/>
    </row>
    <row r="19" spans="2:17" ht="20.100000000000001" customHeight="1" x14ac:dyDescent="0.2">
      <c r="B19" s="501">
        <v>11</v>
      </c>
      <c r="C19" s="696" t="s">
        <v>277</v>
      </c>
      <c r="D19" s="694"/>
      <c r="E19" s="694"/>
      <c r="F19" s="694"/>
      <c r="G19" s="694"/>
      <c r="H19" s="694"/>
      <c r="I19" s="694"/>
      <c r="J19" s="694"/>
      <c r="K19" s="694"/>
      <c r="L19" s="694"/>
      <c r="M19" s="694"/>
      <c r="N19" s="695"/>
      <c r="O19" s="499">
        <f>SUM(O9:O18)</f>
        <v>2126.5767620000001</v>
      </c>
    </row>
  </sheetData>
  <sheetProtection algorithmName="SHA-512" hashValue="IdEWBohSz6Lv6V28ttUzALKxQuhx48G6Og/kCDpoa7Ut/wYDrrmNhh/BP/8BrbB8n5Eb52HQW8c9wOfMeZ4Vvg==" saltValue="LTo1+g7aLyV1DwsCwjWHXA==" spinCount="100000" sheet="1" objects="1" scenarios="1"/>
  <mergeCells count="2">
    <mergeCell ref="C6:C8"/>
    <mergeCell ref="D6:N6"/>
  </mergeCells>
  <hyperlinks>
    <hyperlink ref="B2" location="Contents!A1" display="Back to Contents page" xr:uid="{1437F95B-5602-4B48-B00E-565EFF6A69FF}"/>
  </hyperlinks>
  <pageMargins left="0.7" right="0.7" top="0.75" bottom="0.75" header="0.3" footer="0.3"/>
  <pageSetup paperSize="9" scale="15" orientation="portrait" horizontalDpi="144" verticalDpi="144"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K121"/>
  <sheetViews>
    <sheetView workbookViewId="0"/>
  </sheetViews>
  <sheetFormatPr baseColWidth="10" defaultColWidth="9.21875" defaultRowHeight="12.75" x14ac:dyDescent="0.2"/>
  <cols>
    <col min="1" max="1" width="9.21875" style="254"/>
    <col min="2" max="2" width="20.6640625" style="254" customWidth="1"/>
    <col min="3" max="3" width="29.33203125" style="254" customWidth="1"/>
    <col min="4" max="4" width="25.44140625" style="254" customWidth="1"/>
    <col min="5" max="5" width="25.33203125" style="254" customWidth="1"/>
    <col min="6" max="6" width="25.44140625" style="254" customWidth="1"/>
    <col min="7" max="7" width="25.109375" style="254" customWidth="1"/>
    <col min="8" max="8" width="24.88671875" style="254" customWidth="1"/>
    <col min="9" max="9" width="25.33203125" style="254" customWidth="1"/>
    <col min="10" max="10" width="25.109375" style="254" customWidth="1"/>
    <col min="11" max="16384" width="9.21875" style="254"/>
  </cols>
  <sheetData>
    <row r="2" spans="1:11" ht="15" x14ac:dyDescent="0.25">
      <c r="B2" s="365" t="s">
        <v>3521</v>
      </c>
    </row>
    <row r="4" spans="1:11" ht="21" x14ac:dyDescent="0.2">
      <c r="B4" s="368" t="s">
        <v>340</v>
      </c>
    </row>
    <row r="5" spans="1:11" x14ac:dyDescent="0.2">
      <c r="B5" s="266"/>
      <c r="C5" s="302"/>
      <c r="D5" s="303"/>
      <c r="E5" s="302"/>
      <c r="F5" s="302"/>
      <c r="G5" s="302"/>
      <c r="H5" s="302"/>
      <c r="I5" s="302"/>
      <c r="J5" s="302"/>
      <c r="K5" s="304"/>
    </row>
    <row r="6" spans="1:11" x14ac:dyDescent="0.2">
      <c r="B6" s="305"/>
    </row>
    <row r="7" spans="1:11" ht="15.75" customHeight="1" x14ac:dyDescent="0.2">
      <c r="B7" s="262" t="s">
        <v>341</v>
      </c>
      <c r="C7" s="282" t="s">
        <v>342</v>
      </c>
    </row>
    <row r="9" spans="1:11" ht="15" customHeight="1" x14ac:dyDescent="0.2">
      <c r="B9" s="306"/>
      <c r="C9" s="261"/>
      <c r="D9" s="277" t="s">
        <v>161</v>
      </c>
      <c r="E9" s="277" t="s">
        <v>162</v>
      </c>
      <c r="F9" s="277" t="s">
        <v>163</v>
      </c>
      <c r="G9" s="277" t="s">
        <v>200</v>
      </c>
      <c r="H9" s="277" t="s">
        <v>201</v>
      </c>
      <c r="I9" s="277" t="s">
        <v>266</v>
      </c>
      <c r="J9" s="277" t="s">
        <v>267</v>
      </c>
    </row>
    <row r="10" spans="1:11" x14ac:dyDescent="0.2">
      <c r="B10" s="1277"/>
      <c r="C10" s="1278" t="s">
        <v>343</v>
      </c>
      <c r="D10" s="1273" t="s">
        <v>259</v>
      </c>
      <c r="E10" s="1279" t="s">
        <v>344</v>
      </c>
      <c r="F10" s="1279" t="s">
        <v>345</v>
      </c>
      <c r="G10" s="1279" t="s">
        <v>346</v>
      </c>
      <c r="H10" s="1279" t="s">
        <v>347</v>
      </c>
      <c r="I10" s="1279" t="s">
        <v>301</v>
      </c>
      <c r="J10" s="1279" t="s">
        <v>348</v>
      </c>
    </row>
    <row r="11" spans="1:11" x14ac:dyDescent="0.2">
      <c r="A11" s="307"/>
      <c r="B11" s="1277"/>
      <c r="C11" s="1278"/>
      <c r="D11" s="1274"/>
      <c r="E11" s="1280"/>
      <c r="F11" s="1280"/>
      <c r="G11" s="1280"/>
      <c r="H11" s="1280"/>
      <c r="I11" s="1280"/>
      <c r="J11" s="1280"/>
    </row>
    <row r="12" spans="1:11" x14ac:dyDescent="0.2">
      <c r="A12" s="291" t="s">
        <v>349</v>
      </c>
      <c r="B12" s="262" t="s">
        <v>350</v>
      </c>
      <c r="C12" s="261"/>
      <c r="D12" s="262"/>
      <c r="E12" s="262"/>
      <c r="F12" s="262"/>
      <c r="G12" s="262"/>
      <c r="H12" s="262"/>
      <c r="I12" s="262"/>
      <c r="J12" s="262"/>
    </row>
    <row r="13" spans="1:11" ht="27" customHeight="1" x14ac:dyDescent="0.2">
      <c r="A13" s="291">
        <v>1</v>
      </c>
      <c r="B13" s="262"/>
      <c r="C13" s="261" t="s">
        <v>351</v>
      </c>
      <c r="D13" s="308" t="s">
        <v>352</v>
      </c>
      <c r="E13" s="309" t="s">
        <v>353</v>
      </c>
      <c r="F13" s="309" t="s">
        <v>354</v>
      </c>
      <c r="G13" s="309" t="s">
        <v>355</v>
      </c>
      <c r="H13" s="309" t="s">
        <v>356</v>
      </c>
      <c r="I13" s="309" t="s">
        <v>357</v>
      </c>
      <c r="J13" s="310" t="s">
        <v>358</v>
      </c>
    </row>
    <row r="14" spans="1:11" x14ac:dyDescent="0.2">
      <c r="A14" s="311">
        <v>2</v>
      </c>
      <c r="B14" s="262"/>
      <c r="C14" s="261" t="s">
        <v>359</v>
      </c>
      <c r="D14" s="309" t="s">
        <v>360</v>
      </c>
      <c r="E14" s="309" t="s">
        <v>361</v>
      </c>
      <c r="F14" s="309" t="s">
        <v>362</v>
      </c>
      <c r="G14" s="309" t="s">
        <v>363</v>
      </c>
      <c r="H14" s="309" t="s">
        <v>364</v>
      </c>
      <c r="I14" s="309" t="s">
        <v>365</v>
      </c>
      <c r="J14" s="310" t="s">
        <v>366</v>
      </c>
    </row>
    <row r="15" spans="1:11" x14ac:dyDescent="0.2">
      <c r="A15" s="311">
        <v>3</v>
      </c>
      <c r="B15" s="262"/>
      <c r="C15" s="261" t="s">
        <v>367</v>
      </c>
      <c r="D15" s="309" t="s">
        <v>368</v>
      </c>
      <c r="E15" s="309" t="s">
        <v>369</v>
      </c>
      <c r="F15" s="309" t="s">
        <v>370</v>
      </c>
      <c r="G15" s="309" t="s">
        <v>371</v>
      </c>
      <c r="H15" s="309" t="s">
        <v>372</v>
      </c>
      <c r="I15" s="309" t="s">
        <v>373</v>
      </c>
      <c r="J15" s="310" t="s">
        <v>374</v>
      </c>
    </row>
    <row r="16" spans="1:11" x14ac:dyDescent="0.2">
      <c r="A16" s="311">
        <v>4</v>
      </c>
      <c r="B16" s="262"/>
      <c r="C16" s="261" t="s">
        <v>375</v>
      </c>
      <c r="D16" s="309" t="s">
        <v>376</v>
      </c>
      <c r="E16" s="309" t="s">
        <v>377</v>
      </c>
      <c r="F16" s="309" t="s">
        <v>378</v>
      </c>
      <c r="G16" s="309" t="s">
        <v>379</v>
      </c>
      <c r="H16" s="309" t="s">
        <v>380</v>
      </c>
      <c r="I16" s="309" t="s">
        <v>381</v>
      </c>
      <c r="J16" s="310" t="s">
        <v>382</v>
      </c>
    </row>
    <row r="17" spans="1:10" x14ac:dyDescent="0.2">
      <c r="A17" s="311">
        <v>5</v>
      </c>
      <c r="B17" s="262"/>
      <c r="C17" s="261" t="s">
        <v>383</v>
      </c>
      <c r="D17" s="309" t="s">
        <v>384</v>
      </c>
      <c r="E17" s="309" t="s">
        <v>385</v>
      </c>
      <c r="F17" s="309" t="s">
        <v>386</v>
      </c>
      <c r="G17" s="309" t="s">
        <v>387</v>
      </c>
      <c r="H17" s="309" t="s">
        <v>388</v>
      </c>
      <c r="I17" s="309" t="s">
        <v>389</v>
      </c>
      <c r="J17" s="310" t="s">
        <v>390</v>
      </c>
    </row>
    <row r="18" spans="1:10" x14ac:dyDescent="0.2">
      <c r="A18" s="311">
        <v>6</v>
      </c>
      <c r="B18" s="262"/>
      <c r="C18" s="261" t="s">
        <v>391</v>
      </c>
      <c r="D18" s="309" t="s">
        <v>392</v>
      </c>
      <c r="E18" s="309" t="s">
        <v>393</v>
      </c>
      <c r="F18" s="309" t="s">
        <v>394</v>
      </c>
      <c r="G18" s="309" t="s">
        <v>395</v>
      </c>
      <c r="H18" s="309" t="s">
        <v>396</v>
      </c>
      <c r="I18" s="309" t="s">
        <v>397</v>
      </c>
      <c r="J18" s="310" t="s">
        <v>398</v>
      </c>
    </row>
    <row r="19" spans="1:10" x14ac:dyDescent="0.2">
      <c r="A19" s="311">
        <v>7</v>
      </c>
      <c r="B19" s="262"/>
      <c r="C19" s="261" t="s">
        <v>399</v>
      </c>
      <c r="D19" s="309" t="s">
        <v>400</v>
      </c>
      <c r="E19" s="309" t="s">
        <v>401</v>
      </c>
      <c r="F19" s="309" t="s">
        <v>402</v>
      </c>
      <c r="G19" s="309" t="s">
        <v>403</v>
      </c>
      <c r="H19" s="309" t="s">
        <v>404</v>
      </c>
      <c r="I19" s="309" t="s">
        <v>405</v>
      </c>
      <c r="J19" s="310" t="s">
        <v>406</v>
      </c>
    </row>
    <row r="20" spans="1:10" x14ac:dyDescent="0.2">
      <c r="A20" s="311">
        <v>8</v>
      </c>
      <c r="B20" s="262"/>
      <c r="C20" s="261" t="s">
        <v>407</v>
      </c>
      <c r="D20" s="309" t="s">
        <v>408</v>
      </c>
      <c r="E20" s="309" t="s">
        <v>409</v>
      </c>
      <c r="F20" s="309" t="s">
        <v>410</v>
      </c>
      <c r="G20" s="309" t="s">
        <v>411</v>
      </c>
      <c r="H20" s="309" t="s">
        <v>412</v>
      </c>
      <c r="I20" s="309" t="s">
        <v>413</v>
      </c>
      <c r="J20" s="310" t="s">
        <v>414</v>
      </c>
    </row>
    <row r="21" spans="1:10" x14ac:dyDescent="0.2">
      <c r="A21" s="311" t="s">
        <v>415</v>
      </c>
      <c r="B21" s="262"/>
      <c r="C21" s="277" t="s">
        <v>416</v>
      </c>
      <c r="D21" s="309" t="s">
        <v>417</v>
      </c>
      <c r="E21" s="309" t="s">
        <v>418</v>
      </c>
      <c r="F21" s="309" t="s">
        <v>419</v>
      </c>
      <c r="G21" s="309" t="s">
        <v>420</v>
      </c>
      <c r="H21" s="309" t="s">
        <v>421</v>
      </c>
      <c r="I21" s="309" t="s">
        <v>422</v>
      </c>
      <c r="J21" s="310" t="s">
        <v>423</v>
      </c>
    </row>
    <row r="23" spans="1:10" s="312" customFormat="1" ht="15.75" customHeight="1" x14ac:dyDescent="0.2">
      <c r="A23" s="271"/>
      <c r="B23" s="293" t="s">
        <v>341</v>
      </c>
      <c r="C23" s="282" t="s">
        <v>424</v>
      </c>
      <c r="D23" s="271"/>
      <c r="E23" s="271"/>
      <c r="F23" s="271"/>
      <c r="G23" s="271"/>
      <c r="H23" s="271"/>
      <c r="I23" s="271"/>
      <c r="J23" s="271"/>
    </row>
    <row r="24" spans="1:10" s="312" customFormat="1" x14ac:dyDescent="0.2">
      <c r="A24" s="271"/>
      <c r="B24" s="271"/>
      <c r="C24" s="271"/>
      <c r="D24" s="271"/>
      <c r="E24" s="271"/>
      <c r="F24" s="271"/>
      <c r="G24" s="271"/>
      <c r="H24" s="271"/>
      <c r="I24" s="271"/>
      <c r="J24" s="271"/>
    </row>
    <row r="25" spans="1:10" s="312" customFormat="1" ht="15" customHeight="1" x14ac:dyDescent="0.2">
      <c r="A25" s="271"/>
      <c r="B25" s="275"/>
      <c r="C25" s="277"/>
      <c r="D25" s="277" t="s">
        <v>161</v>
      </c>
      <c r="E25" s="277" t="s">
        <v>162</v>
      </c>
      <c r="F25" s="277" t="s">
        <v>163</v>
      </c>
      <c r="G25" s="277" t="s">
        <v>200</v>
      </c>
      <c r="H25" s="277" t="s">
        <v>201</v>
      </c>
      <c r="I25" s="277" t="s">
        <v>266</v>
      </c>
      <c r="J25" s="277" t="s">
        <v>267</v>
      </c>
    </row>
    <row r="26" spans="1:10" s="312" customFormat="1" x14ac:dyDescent="0.2">
      <c r="A26" s="271"/>
      <c r="B26" s="1275"/>
      <c r="C26" s="1276" t="s">
        <v>343</v>
      </c>
      <c r="D26" s="1273" t="s">
        <v>259</v>
      </c>
      <c r="E26" s="1273" t="s">
        <v>344</v>
      </c>
      <c r="F26" s="1273" t="s">
        <v>345</v>
      </c>
      <c r="G26" s="1273" t="s">
        <v>346</v>
      </c>
      <c r="H26" s="1273" t="s">
        <v>347</v>
      </c>
      <c r="I26" s="1273" t="s">
        <v>301</v>
      </c>
      <c r="J26" s="1273" t="s">
        <v>348</v>
      </c>
    </row>
    <row r="27" spans="1:10" s="312" customFormat="1" x14ac:dyDescent="0.2">
      <c r="A27" s="313"/>
      <c r="B27" s="1275"/>
      <c r="C27" s="1276"/>
      <c r="D27" s="1274"/>
      <c r="E27" s="1274"/>
      <c r="F27" s="1274"/>
      <c r="G27" s="1274"/>
      <c r="H27" s="1274"/>
      <c r="I27" s="1274"/>
      <c r="J27" s="1274"/>
    </row>
    <row r="28" spans="1:10" s="312" customFormat="1" x14ac:dyDescent="0.2">
      <c r="A28" s="291" t="s">
        <v>349</v>
      </c>
      <c r="B28" s="293" t="s">
        <v>350</v>
      </c>
      <c r="C28" s="277"/>
      <c r="D28" s="293"/>
      <c r="E28" s="293"/>
      <c r="F28" s="293"/>
      <c r="G28" s="293"/>
      <c r="H28" s="293"/>
      <c r="I28" s="293"/>
      <c r="J28" s="293"/>
    </row>
    <row r="29" spans="1:10" s="312" customFormat="1" ht="27" customHeight="1" x14ac:dyDescent="0.2">
      <c r="A29" s="291">
        <v>1</v>
      </c>
      <c r="B29" s="293"/>
      <c r="C29" s="277" t="s">
        <v>351</v>
      </c>
      <c r="D29" s="314" t="s">
        <v>425</v>
      </c>
      <c r="E29" s="314" t="s">
        <v>426</v>
      </c>
      <c r="F29" s="314" t="s">
        <v>427</v>
      </c>
      <c r="G29" s="314" t="s">
        <v>428</v>
      </c>
      <c r="H29" s="314" t="s">
        <v>429</v>
      </c>
      <c r="I29" s="314" t="s">
        <v>430</v>
      </c>
      <c r="J29" s="293" t="s">
        <v>431</v>
      </c>
    </row>
    <row r="30" spans="1:10" s="312" customFormat="1" x14ac:dyDescent="0.2">
      <c r="A30" s="311">
        <v>2</v>
      </c>
      <c r="B30" s="293"/>
      <c r="C30" s="277" t="s">
        <v>359</v>
      </c>
      <c r="D30" s="314" t="s">
        <v>432</v>
      </c>
      <c r="E30" s="314" t="s">
        <v>433</v>
      </c>
      <c r="F30" s="314" t="s">
        <v>434</v>
      </c>
      <c r="G30" s="314" t="s">
        <v>435</v>
      </c>
      <c r="H30" s="314" t="s">
        <v>436</v>
      </c>
      <c r="I30" s="314" t="s">
        <v>437</v>
      </c>
      <c r="J30" s="293" t="s">
        <v>438</v>
      </c>
    </row>
    <row r="31" spans="1:10" s="312" customFormat="1" x14ac:dyDescent="0.2">
      <c r="A31" s="311">
        <v>3</v>
      </c>
      <c r="B31" s="293"/>
      <c r="C31" s="277" t="s">
        <v>367</v>
      </c>
      <c r="D31" s="314" t="s">
        <v>439</v>
      </c>
      <c r="E31" s="314" t="s">
        <v>440</v>
      </c>
      <c r="F31" s="314" t="s">
        <v>441</v>
      </c>
      <c r="G31" s="314" t="s">
        <v>442</v>
      </c>
      <c r="H31" s="314" t="s">
        <v>443</v>
      </c>
      <c r="I31" s="314" t="s">
        <v>444</v>
      </c>
      <c r="J31" s="293" t="s">
        <v>445</v>
      </c>
    </row>
    <row r="32" spans="1:10" s="312" customFormat="1" x14ac:dyDescent="0.2">
      <c r="A32" s="311">
        <v>4</v>
      </c>
      <c r="B32" s="293"/>
      <c r="C32" s="277" t="s">
        <v>375</v>
      </c>
      <c r="D32" s="314" t="s">
        <v>446</v>
      </c>
      <c r="E32" s="314" t="s">
        <v>447</v>
      </c>
      <c r="F32" s="314" t="s">
        <v>448</v>
      </c>
      <c r="G32" s="314" t="s">
        <v>449</v>
      </c>
      <c r="H32" s="314" t="s">
        <v>450</v>
      </c>
      <c r="I32" s="314" t="s">
        <v>451</v>
      </c>
      <c r="J32" s="293" t="s">
        <v>452</v>
      </c>
    </row>
    <row r="33" spans="1:10" s="312" customFormat="1" x14ac:dyDescent="0.2">
      <c r="A33" s="311">
        <v>5</v>
      </c>
      <c r="B33" s="293"/>
      <c r="C33" s="277" t="s">
        <v>383</v>
      </c>
      <c r="D33" s="314" t="s">
        <v>453</v>
      </c>
      <c r="E33" s="314" t="s">
        <v>454</v>
      </c>
      <c r="F33" s="314" t="s">
        <v>455</v>
      </c>
      <c r="G33" s="314" t="s">
        <v>456</v>
      </c>
      <c r="H33" s="314" t="s">
        <v>457</v>
      </c>
      <c r="I33" s="314" t="s">
        <v>458</v>
      </c>
      <c r="J33" s="293" t="s">
        <v>459</v>
      </c>
    </row>
    <row r="34" spans="1:10" s="312" customFormat="1" x14ac:dyDescent="0.2">
      <c r="A34" s="311">
        <v>6</v>
      </c>
      <c r="B34" s="293"/>
      <c r="C34" s="277" t="s">
        <v>391</v>
      </c>
      <c r="D34" s="314" t="s">
        <v>460</v>
      </c>
      <c r="E34" s="314" t="s">
        <v>461</v>
      </c>
      <c r="F34" s="314" t="s">
        <v>462</v>
      </c>
      <c r="G34" s="314" t="s">
        <v>463</v>
      </c>
      <c r="H34" s="314" t="s">
        <v>464</v>
      </c>
      <c r="I34" s="314" t="s">
        <v>465</v>
      </c>
      <c r="J34" s="293" t="s">
        <v>466</v>
      </c>
    </row>
    <row r="35" spans="1:10" s="312" customFormat="1" x14ac:dyDescent="0.2">
      <c r="A35" s="311">
        <v>7</v>
      </c>
      <c r="B35" s="293"/>
      <c r="C35" s="277" t="s">
        <v>399</v>
      </c>
      <c r="D35" s="314" t="s">
        <v>467</v>
      </c>
      <c r="E35" s="260" t="s">
        <v>468</v>
      </c>
      <c r="F35" s="314" t="s">
        <v>469</v>
      </c>
      <c r="G35" s="314" t="s">
        <v>470</v>
      </c>
      <c r="H35" s="314" t="s">
        <v>471</v>
      </c>
      <c r="I35" s="314" t="s">
        <v>472</v>
      </c>
      <c r="J35" s="293" t="s">
        <v>473</v>
      </c>
    </row>
    <row r="36" spans="1:10" s="312" customFormat="1" x14ac:dyDescent="0.2">
      <c r="A36" s="311">
        <v>8</v>
      </c>
      <c r="B36" s="293"/>
      <c r="C36" s="277" t="s">
        <v>407</v>
      </c>
      <c r="D36" s="314" t="s">
        <v>474</v>
      </c>
      <c r="E36" s="314" t="s">
        <v>475</v>
      </c>
      <c r="F36" s="314" t="s">
        <v>476</v>
      </c>
      <c r="G36" s="314" t="s">
        <v>477</v>
      </c>
      <c r="H36" s="314" t="s">
        <v>478</v>
      </c>
      <c r="I36" s="314" t="s">
        <v>479</v>
      </c>
      <c r="J36" s="293" t="s">
        <v>480</v>
      </c>
    </row>
    <row r="37" spans="1:10" s="312" customFormat="1" x14ac:dyDescent="0.2">
      <c r="A37" s="311" t="s">
        <v>415</v>
      </c>
      <c r="B37" s="293"/>
      <c r="C37" s="277" t="s">
        <v>416</v>
      </c>
      <c r="D37" s="314" t="s">
        <v>481</v>
      </c>
      <c r="E37" s="314" t="s">
        <v>482</v>
      </c>
      <c r="F37" s="314" t="s">
        <v>483</v>
      </c>
      <c r="G37" s="314" t="s">
        <v>484</v>
      </c>
      <c r="H37" s="314" t="s">
        <v>485</v>
      </c>
      <c r="I37" s="314" t="s">
        <v>486</v>
      </c>
      <c r="J37" s="293" t="s">
        <v>487</v>
      </c>
    </row>
    <row r="38" spans="1:10" x14ac:dyDescent="0.2">
      <c r="A38" s="271"/>
      <c r="B38" s="271"/>
      <c r="C38" s="271"/>
      <c r="D38" s="271"/>
      <c r="E38" s="271"/>
      <c r="F38" s="271"/>
      <c r="G38" s="271"/>
      <c r="H38" s="271"/>
      <c r="I38" s="271"/>
      <c r="J38" s="271"/>
    </row>
    <row r="39" spans="1:10" x14ac:dyDescent="0.2">
      <c r="A39" s="271"/>
      <c r="B39" s="271"/>
      <c r="C39" s="271"/>
      <c r="D39" s="271"/>
      <c r="E39" s="271"/>
      <c r="F39" s="271"/>
      <c r="G39" s="271"/>
      <c r="H39" s="271"/>
      <c r="I39" s="271"/>
      <c r="J39" s="271"/>
    </row>
    <row r="40" spans="1:10" x14ac:dyDescent="0.2">
      <c r="A40" s="271"/>
      <c r="B40" s="293" t="s">
        <v>341</v>
      </c>
      <c r="C40" s="282" t="s">
        <v>488</v>
      </c>
      <c r="D40" s="271"/>
      <c r="E40" s="271"/>
      <c r="F40" s="271"/>
      <c r="G40" s="271"/>
      <c r="H40" s="271"/>
      <c r="I40" s="271"/>
      <c r="J40" s="271"/>
    </row>
    <row r="41" spans="1:10" x14ac:dyDescent="0.2">
      <c r="A41" s="271"/>
      <c r="B41" s="271"/>
      <c r="C41" s="271"/>
      <c r="D41" s="271"/>
      <c r="E41" s="271"/>
      <c r="F41" s="271"/>
      <c r="G41" s="271"/>
      <c r="H41" s="271"/>
      <c r="I41" s="271"/>
      <c r="J41" s="271"/>
    </row>
    <row r="42" spans="1:10" x14ac:dyDescent="0.2">
      <c r="B42" s="306"/>
      <c r="C42" s="261"/>
      <c r="D42" s="277" t="s">
        <v>161</v>
      </c>
      <c r="E42" s="277" t="s">
        <v>162</v>
      </c>
      <c r="F42" s="277" t="s">
        <v>163</v>
      </c>
      <c r="G42" s="277" t="s">
        <v>200</v>
      </c>
      <c r="H42" s="277" t="s">
        <v>201</v>
      </c>
      <c r="I42" s="277" t="s">
        <v>266</v>
      </c>
      <c r="J42" s="277" t="s">
        <v>267</v>
      </c>
    </row>
    <row r="43" spans="1:10" x14ac:dyDescent="0.2">
      <c r="B43" s="1277"/>
      <c r="C43" s="1278" t="s">
        <v>343</v>
      </c>
      <c r="D43" s="1273" t="s">
        <v>259</v>
      </c>
      <c r="E43" s="1279" t="s">
        <v>344</v>
      </c>
      <c r="F43" s="1279" t="s">
        <v>345</v>
      </c>
      <c r="G43" s="1279" t="s">
        <v>346</v>
      </c>
      <c r="H43" s="1279" t="s">
        <v>347</v>
      </c>
      <c r="I43" s="1279" t="s">
        <v>301</v>
      </c>
      <c r="J43" s="1279" t="s">
        <v>348</v>
      </c>
    </row>
    <row r="44" spans="1:10" x14ac:dyDescent="0.2">
      <c r="A44" s="307"/>
      <c r="B44" s="1277"/>
      <c r="C44" s="1278"/>
      <c r="D44" s="1274"/>
      <c r="E44" s="1280"/>
      <c r="F44" s="1280"/>
      <c r="G44" s="1280"/>
      <c r="H44" s="1280"/>
      <c r="I44" s="1280"/>
      <c r="J44" s="1280"/>
    </row>
    <row r="45" spans="1:10" x14ac:dyDescent="0.2">
      <c r="A45" s="291" t="s">
        <v>349</v>
      </c>
      <c r="B45" s="262" t="s">
        <v>350</v>
      </c>
      <c r="C45" s="261"/>
      <c r="D45" s="262"/>
      <c r="E45" s="262"/>
      <c r="F45" s="262"/>
      <c r="G45" s="262"/>
      <c r="H45" s="262"/>
      <c r="I45" s="262"/>
      <c r="J45" s="262"/>
    </row>
    <row r="46" spans="1:10" x14ac:dyDescent="0.2">
      <c r="A46" s="291">
        <v>1</v>
      </c>
      <c r="B46" s="262"/>
      <c r="C46" s="261" t="s">
        <v>351</v>
      </c>
      <c r="D46" s="260" t="s">
        <v>489</v>
      </c>
      <c r="E46" s="260" t="s">
        <v>490</v>
      </c>
      <c r="F46" s="260" t="s">
        <v>491</v>
      </c>
      <c r="G46" s="260" t="s">
        <v>492</v>
      </c>
      <c r="H46" s="260" t="s">
        <v>493</v>
      </c>
      <c r="I46" s="260" t="s">
        <v>494</v>
      </c>
      <c r="J46" s="262" t="s">
        <v>495</v>
      </c>
    </row>
    <row r="47" spans="1:10" x14ac:dyDescent="0.2">
      <c r="A47" s="311">
        <v>2</v>
      </c>
      <c r="B47" s="262"/>
      <c r="C47" s="261" t="s">
        <v>359</v>
      </c>
      <c r="D47" s="260" t="s">
        <v>496</v>
      </c>
      <c r="E47" s="260" t="s">
        <v>497</v>
      </c>
      <c r="F47" s="260" t="s">
        <v>498</v>
      </c>
      <c r="G47" s="260" t="s">
        <v>499</v>
      </c>
      <c r="H47" s="260" t="s">
        <v>500</v>
      </c>
      <c r="I47" s="260" t="s">
        <v>501</v>
      </c>
      <c r="J47" s="262" t="s">
        <v>502</v>
      </c>
    </row>
    <row r="48" spans="1:10" x14ac:dyDescent="0.2">
      <c r="A48" s="311">
        <v>3</v>
      </c>
      <c r="B48" s="262"/>
      <c r="C48" s="261" t="s">
        <v>367</v>
      </c>
      <c r="D48" s="260" t="s">
        <v>503</v>
      </c>
      <c r="E48" s="260" t="s">
        <v>504</v>
      </c>
      <c r="F48" s="260" t="s">
        <v>505</v>
      </c>
      <c r="G48" s="260" t="s">
        <v>506</v>
      </c>
      <c r="H48" s="260" t="s">
        <v>507</v>
      </c>
      <c r="I48" s="260" t="s">
        <v>508</v>
      </c>
      <c r="J48" s="262" t="s">
        <v>509</v>
      </c>
    </row>
    <row r="49" spans="1:11" x14ac:dyDescent="0.2">
      <c r="A49" s="311">
        <v>4</v>
      </c>
      <c r="B49" s="262"/>
      <c r="C49" s="261" t="s">
        <v>375</v>
      </c>
      <c r="D49" s="260" t="s">
        <v>510</v>
      </c>
      <c r="E49" s="260" t="s">
        <v>511</v>
      </c>
      <c r="F49" s="260" t="s">
        <v>512</v>
      </c>
      <c r="G49" s="260" t="s">
        <v>513</v>
      </c>
      <c r="H49" s="260" t="s">
        <v>514</v>
      </c>
      <c r="I49" s="260" t="s">
        <v>515</v>
      </c>
      <c r="J49" s="262" t="s">
        <v>516</v>
      </c>
    </row>
    <row r="50" spans="1:11" x14ac:dyDescent="0.2">
      <c r="A50" s="311">
        <v>5</v>
      </c>
      <c r="B50" s="262"/>
      <c r="C50" s="261" t="s">
        <v>383</v>
      </c>
      <c r="D50" s="260" t="s">
        <v>517</v>
      </c>
      <c r="E50" s="260" t="s">
        <v>518</v>
      </c>
      <c r="F50" s="260" t="s">
        <v>519</v>
      </c>
      <c r="G50" s="260" t="s">
        <v>520</v>
      </c>
      <c r="H50" s="260" t="s">
        <v>521</v>
      </c>
      <c r="I50" s="260" t="s">
        <v>522</v>
      </c>
      <c r="J50" s="262" t="s">
        <v>523</v>
      </c>
    </row>
    <row r="51" spans="1:11" x14ac:dyDescent="0.2">
      <c r="A51" s="311">
        <v>6</v>
      </c>
      <c r="B51" s="262"/>
      <c r="C51" s="261" t="s">
        <v>391</v>
      </c>
      <c r="D51" s="260" t="s">
        <v>524</v>
      </c>
      <c r="E51" s="260" t="s">
        <v>525</v>
      </c>
      <c r="F51" s="260" t="s">
        <v>526</v>
      </c>
      <c r="G51" s="260" t="s">
        <v>527</v>
      </c>
      <c r="H51" s="260" t="s">
        <v>528</v>
      </c>
      <c r="I51" s="260" t="s">
        <v>529</v>
      </c>
      <c r="J51" s="262" t="s">
        <v>530</v>
      </c>
    </row>
    <row r="52" spans="1:11" x14ac:dyDescent="0.2">
      <c r="A52" s="311">
        <v>7</v>
      </c>
      <c r="B52" s="262"/>
      <c r="C52" s="261" t="s">
        <v>399</v>
      </c>
      <c r="D52" s="260" t="s">
        <v>531</v>
      </c>
      <c r="E52" s="260" t="s">
        <v>532</v>
      </c>
      <c r="F52" s="260" t="s">
        <v>533</v>
      </c>
      <c r="G52" s="260" t="s">
        <v>534</v>
      </c>
      <c r="H52" s="260" t="s">
        <v>535</v>
      </c>
      <c r="I52" s="260" t="s">
        <v>536</v>
      </c>
      <c r="J52" s="262" t="s">
        <v>537</v>
      </c>
    </row>
    <row r="53" spans="1:11" x14ac:dyDescent="0.2">
      <c r="A53" s="311">
        <v>8</v>
      </c>
      <c r="B53" s="262"/>
      <c r="C53" s="261" t="s">
        <v>407</v>
      </c>
      <c r="D53" s="260" t="s">
        <v>538</v>
      </c>
      <c r="E53" s="260" t="s">
        <v>539</v>
      </c>
      <c r="F53" s="260" t="s">
        <v>540</v>
      </c>
      <c r="G53" s="260" t="s">
        <v>541</v>
      </c>
      <c r="H53" s="260" t="s">
        <v>542</v>
      </c>
      <c r="I53" s="260" t="s">
        <v>543</v>
      </c>
      <c r="J53" s="262" t="s">
        <v>544</v>
      </c>
    </row>
    <row r="54" spans="1:11" x14ac:dyDescent="0.2">
      <c r="A54" s="311" t="s">
        <v>415</v>
      </c>
      <c r="B54" s="262"/>
      <c r="C54" s="277" t="s">
        <v>416</v>
      </c>
      <c r="D54" s="260" t="s">
        <v>545</v>
      </c>
      <c r="E54" s="260" t="s">
        <v>546</v>
      </c>
      <c r="F54" s="260" t="s">
        <v>547</v>
      </c>
      <c r="G54" s="260" t="s">
        <v>548</v>
      </c>
      <c r="H54" s="260" t="s">
        <v>549</v>
      </c>
      <c r="I54" s="260" t="s">
        <v>550</v>
      </c>
      <c r="J54" s="262" t="s">
        <v>551</v>
      </c>
    </row>
    <row r="55" spans="1:11" x14ac:dyDescent="0.2">
      <c r="A55" s="271"/>
      <c r="B55" s="271"/>
      <c r="C55" s="271"/>
      <c r="D55" s="271"/>
      <c r="E55" s="271"/>
      <c r="F55" s="271"/>
      <c r="G55" s="271"/>
      <c r="H55" s="271"/>
      <c r="I55" s="271"/>
      <c r="J55" s="271"/>
      <c r="K55" s="271"/>
    </row>
    <row r="56" spans="1:11" s="312" customFormat="1" x14ac:dyDescent="0.2">
      <c r="A56" s="271"/>
      <c r="B56" s="293" t="s">
        <v>341</v>
      </c>
      <c r="C56" s="282" t="s">
        <v>552</v>
      </c>
      <c r="D56" s="271"/>
      <c r="E56" s="271"/>
      <c r="F56" s="271"/>
      <c r="G56" s="271"/>
      <c r="H56" s="271"/>
      <c r="I56" s="271"/>
      <c r="J56" s="271"/>
      <c r="K56" s="271"/>
    </row>
    <row r="57" spans="1:11" s="312" customFormat="1" x14ac:dyDescent="0.2">
      <c r="A57" s="271"/>
      <c r="B57" s="271"/>
      <c r="C57" s="271"/>
      <c r="D57" s="271"/>
      <c r="E57" s="271"/>
      <c r="F57" s="271"/>
      <c r="G57" s="271"/>
      <c r="H57" s="271"/>
      <c r="I57" s="271"/>
      <c r="J57" s="271"/>
      <c r="K57" s="271"/>
    </row>
    <row r="58" spans="1:11" s="312" customFormat="1" x14ac:dyDescent="0.2">
      <c r="A58" s="271"/>
      <c r="B58" s="275"/>
      <c r="C58" s="277"/>
      <c r="D58" s="277" t="s">
        <v>161</v>
      </c>
      <c r="E58" s="277" t="s">
        <v>162</v>
      </c>
      <c r="F58" s="277" t="s">
        <v>163</v>
      </c>
      <c r="G58" s="277" t="s">
        <v>200</v>
      </c>
      <c r="H58" s="277" t="s">
        <v>201</v>
      </c>
      <c r="I58" s="277" t="s">
        <v>266</v>
      </c>
      <c r="J58" s="277" t="s">
        <v>267</v>
      </c>
      <c r="K58" s="271"/>
    </row>
    <row r="59" spans="1:11" s="312" customFormat="1" x14ac:dyDescent="0.2">
      <c r="A59" s="271"/>
      <c r="B59" s="1275"/>
      <c r="C59" s="1276" t="s">
        <v>343</v>
      </c>
      <c r="D59" s="1273" t="s">
        <v>259</v>
      </c>
      <c r="E59" s="1273" t="s">
        <v>344</v>
      </c>
      <c r="F59" s="1273" t="s">
        <v>345</v>
      </c>
      <c r="G59" s="1273" t="s">
        <v>346</v>
      </c>
      <c r="H59" s="1273" t="s">
        <v>347</v>
      </c>
      <c r="I59" s="1273" t="s">
        <v>301</v>
      </c>
      <c r="J59" s="1273" t="s">
        <v>348</v>
      </c>
      <c r="K59" s="271"/>
    </row>
    <row r="60" spans="1:11" s="312" customFormat="1" x14ac:dyDescent="0.2">
      <c r="A60" s="313"/>
      <c r="B60" s="1275"/>
      <c r="C60" s="1276"/>
      <c r="D60" s="1274"/>
      <c r="E60" s="1274"/>
      <c r="F60" s="1274"/>
      <c r="G60" s="1274"/>
      <c r="H60" s="1274"/>
      <c r="I60" s="1274"/>
      <c r="J60" s="1274"/>
      <c r="K60" s="271"/>
    </row>
    <row r="61" spans="1:11" s="312" customFormat="1" x14ac:dyDescent="0.2">
      <c r="A61" s="291" t="s">
        <v>349</v>
      </c>
      <c r="B61" s="293" t="s">
        <v>350</v>
      </c>
      <c r="C61" s="277"/>
      <c r="D61" s="293"/>
      <c r="E61" s="293"/>
      <c r="F61" s="293"/>
      <c r="G61" s="293"/>
      <c r="H61" s="293"/>
      <c r="I61" s="293"/>
      <c r="J61" s="293"/>
      <c r="K61" s="271"/>
    </row>
    <row r="62" spans="1:11" s="312" customFormat="1" x14ac:dyDescent="0.2">
      <c r="A62" s="291">
        <v>1</v>
      </c>
      <c r="B62" s="293"/>
      <c r="C62" s="277" t="s">
        <v>351</v>
      </c>
      <c r="D62" s="314" t="s">
        <v>553</v>
      </c>
      <c r="E62" s="314" t="s">
        <v>554</v>
      </c>
      <c r="F62" s="314" t="s">
        <v>555</v>
      </c>
      <c r="G62" s="314" t="s">
        <v>556</v>
      </c>
      <c r="H62" s="314" t="s">
        <v>557</v>
      </c>
      <c r="I62" s="314" t="s">
        <v>558</v>
      </c>
      <c r="J62" s="293" t="s">
        <v>559</v>
      </c>
      <c r="K62" s="271"/>
    </row>
    <row r="63" spans="1:11" s="312" customFormat="1" x14ac:dyDescent="0.2">
      <c r="A63" s="311">
        <v>2</v>
      </c>
      <c r="B63" s="293"/>
      <c r="C63" s="277" t="s">
        <v>359</v>
      </c>
      <c r="D63" s="314" t="s">
        <v>560</v>
      </c>
      <c r="E63" s="314" t="s">
        <v>561</v>
      </c>
      <c r="F63" s="314" t="s">
        <v>562</v>
      </c>
      <c r="G63" s="314" t="s">
        <v>563</v>
      </c>
      <c r="H63" s="314" t="s">
        <v>564</v>
      </c>
      <c r="I63" s="314" t="s">
        <v>565</v>
      </c>
      <c r="J63" s="293" t="s">
        <v>566</v>
      </c>
      <c r="K63" s="271"/>
    </row>
    <row r="64" spans="1:11" s="312" customFormat="1" x14ac:dyDescent="0.2">
      <c r="A64" s="311">
        <v>3</v>
      </c>
      <c r="B64" s="293"/>
      <c r="C64" s="277" t="s">
        <v>367</v>
      </c>
      <c r="D64" s="314" t="s">
        <v>567</v>
      </c>
      <c r="E64" s="314" t="s">
        <v>568</v>
      </c>
      <c r="F64" s="314" t="s">
        <v>569</v>
      </c>
      <c r="G64" s="314" t="s">
        <v>570</v>
      </c>
      <c r="H64" s="314" t="s">
        <v>571</v>
      </c>
      <c r="I64" s="314" t="s">
        <v>572</v>
      </c>
      <c r="J64" s="293" t="s">
        <v>573</v>
      </c>
      <c r="K64" s="271"/>
    </row>
    <row r="65" spans="1:11" s="312" customFormat="1" x14ac:dyDescent="0.2">
      <c r="A65" s="311">
        <v>4</v>
      </c>
      <c r="B65" s="293"/>
      <c r="C65" s="277" t="s">
        <v>375</v>
      </c>
      <c r="D65" s="314" t="s">
        <v>574</v>
      </c>
      <c r="E65" s="314" t="s">
        <v>575</v>
      </c>
      <c r="F65" s="314" t="s">
        <v>576</v>
      </c>
      <c r="G65" s="314" t="s">
        <v>577</v>
      </c>
      <c r="H65" s="314" t="s">
        <v>578</v>
      </c>
      <c r="I65" s="314" t="s">
        <v>579</v>
      </c>
      <c r="J65" s="293" t="s">
        <v>580</v>
      </c>
      <c r="K65" s="271"/>
    </row>
    <row r="66" spans="1:11" s="312" customFormat="1" x14ac:dyDescent="0.2">
      <c r="A66" s="311">
        <v>5</v>
      </c>
      <c r="B66" s="293"/>
      <c r="C66" s="277" t="s">
        <v>383</v>
      </c>
      <c r="D66" s="314" t="s">
        <v>581</v>
      </c>
      <c r="E66" s="314" t="s">
        <v>582</v>
      </c>
      <c r="F66" s="314" t="s">
        <v>583</v>
      </c>
      <c r="G66" s="314" t="s">
        <v>584</v>
      </c>
      <c r="H66" s="314" t="s">
        <v>585</v>
      </c>
      <c r="I66" s="314" t="s">
        <v>586</v>
      </c>
      <c r="J66" s="293" t="s">
        <v>587</v>
      </c>
      <c r="K66" s="271"/>
    </row>
    <row r="67" spans="1:11" s="312" customFormat="1" x14ac:dyDescent="0.2">
      <c r="A67" s="311">
        <v>6</v>
      </c>
      <c r="B67" s="293"/>
      <c r="C67" s="277" t="s">
        <v>391</v>
      </c>
      <c r="D67" s="314" t="s">
        <v>588</v>
      </c>
      <c r="E67" s="314" t="s">
        <v>589</v>
      </c>
      <c r="F67" s="314" t="s">
        <v>590</v>
      </c>
      <c r="G67" s="314" t="s">
        <v>591</v>
      </c>
      <c r="H67" s="314" t="s">
        <v>592</v>
      </c>
      <c r="I67" s="314" t="s">
        <v>593</v>
      </c>
      <c r="J67" s="293" t="s">
        <v>594</v>
      </c>
      <c r="K67" s="271"/>
    </row>
    <row r="68" spans="1:11" s="312" customFormat="1" x14ac:dyDescent="0.2">
      <c r="A68" s="311">
        <v>7</v>
      </c>
      <c r="B68" s="293"/>
      <c r="C68" s="277" t="s">
        <v>399</v>
      </c>
      <c r="D68" s="314" t="s">
        <v>595</v>
      </c>
      <c r="E68" s="314" t="s">
        <v>596</v>
      </c>
      <c r="F68" s="314" t="s">
        <v>597</v>
      </c>
      <c r="G68" s="314" t="s">
        <v>598</v>
      </c>
      <c r="H68" s="314" t="s">
        <v>599</v>
      </c>
      <c r="I68" s="314" t="s">
        <v>600</v>
      </c>
      <c r="J68" s="293" t="s">
        <v>601</v>
      </c>
      <c r="K68" s="271"/>
    </row>
    <row r="69" spans="1:11" s="312" customFormat="1" x14ac:dyDescent="0.2">
      <c r="A69" s="311">
        <v>8</v>
      </c>
      <c r="B69" s="293"/>
      <c r="C69" s="277" t="s">
        <v>407</v>
      </c>
      <c r="D69" s="314" t="s">
        <v>602</v>
      </c>
      <c r="E69" s="314" t="s">
        <v>603</v>
      </c>
      <c r="F69" s="314" t="s">
        <v>604</v>
      </c>
      <c r="G69" s="314" t="s">
        <v>605</v>
      </c>
      <c r="H69" s="314" t="s">
        <v>606</v>
      </c>
      <c r="I69" s="314" t="s">
        <v>607</v>
      </c>
      <c r="J69" s="293" t="s">
        <v>608</v>
      </c>
      <c r="K69" s="271"/>
    </row>
    <row r="70" spans="1:11" s="312" customFormat="1" x14ac:dyDescent="0.2">
      <c r="A70" s="311" t="s">
        <v>415</v>
      </c>
      <c r="B70" s="293"/>
      <c r="C70" s="277" t="s">
        <v>416</v>
      </c>
      <c r="D70" s="314" t="s">
        <v>609</v>
      </c>
      <c r="E70" s="314" t="s">
        <v>610</v>
      </c>
      <c r="F70" s="314" t="s">
        <v>611</v>
      </c>
      <c r="G70" s="314" t="s">
        <v>612</v>
      </c>
      <c r="H70" s="314" t="s">
        <v>613</v>
      </c>
      <c r="I70" s="314" t="s">
        <v>614</v>
      </c>
      <c r="J70" s="293" t="s">
        <v>615</v>
      </c>
      <c r="K70" s="271"/>
    </row>
    <row r="71" spans="1:11" x14ac:dyDescent="0.2">
      <c r="A71" s="271"/>
      <c r="B71" s="271"/>
      <c r="C71" s="271"/>
      <c r="D71" s="271"/>
      <c r="E71" s="271"/>
      <c r="F71" s="271"/>
      <c r="G71" s="271"/>
      <c r="H71" s="271"/>
      <c r="I71" s="271"/>
      <c r="J71" s="271"/>
      <c r="K71" s="271"/>
    </row>
    <row r="72" spans="1:11" x14ac:dyDescent="0.2">
      <c r="A72" s="271"/>
      <c r="B72" s="271"/>
      <c r="C72" s="271"/>
      <c r="D72" s="271"/>
      <c r="E72" s="271"/>
      <c r="F72" s="271"/>
      <c r="G72" s="271"/>
      <c r="H72" s="271"/>
      <c r="I72" s="271"/>
      <c r="J72" s="271"/>
      <c r="K72" s="271"/>
    </row>
    <row r="73" spans="1:11" x14ac:dyDescent="0.2">
      <c r="A73" s="271"/>
      <c r="B73" s="293" t="s">
        <v>341</v>
      </c>
      <c r="C73" s="282" t="s">
        <v>616</v>
      </c>
      <c r="D73" s="271"/>
      <c r="E73" s="271"/>
      <c r="F73" s="271"/>
      <c r="G73" s="271"/>
      <c r="H73" s="271"/>
      <c r="I73" s="271"/>
      <c r="J73" s="271"/>
      <c r="K73" s="271"/>
    </row>
    <row r="75" spans="1:11" x14ac:dyDescent="0.2">
      <c r="B75" s="306"/>
      <c r="C75" s="261"/>
      <c r="D75" s="277" t="s">
        <v>161</v>
      </c>
      <c r="E75" s="277" t="s">
        <v>162</v>
      </c>
      <c r="F75" s="277" t="s">
        <v>163</v>
      </c>
      <c r="G75" s="277" t="s">
        <v>200</v>
      </c>
      <c r="H75" s="277" t="s">
        <v>201</v>
      </c>
      <c r="I75" s="277" t="s">
        <v>266</v>
      </c>
      <c r="J75" s="277" t="s">
        <v>267</v>
      </c>
    </row>
    <row r="76" spans="1:11" x14ac:dyDescent="0.2">
      <c r="B76" s="1277"/>
      <c r="C76" s="1278" t="s">
        <v>343</v>
      </c>
      <c r="D76" s="1273" t="s">
        <v>259</v>
      </c>
      <c r="E76" s="1279" t="s">
        <v>344</v>
      </c>
      <c r="F76" s="1279" t="s">
        <v>345</v>
      </c>
      <c r="G76" s="1279" t="s">
        <v>346</v>
      </c>
      <c r="H76" s="1279" t="s">
        <v>347</v>
      </c>
      <c r="I76" s="1279" t="s">
        <v>301</v>
      </c>
      <c r="J76" s="1279" t="s">
        <v>348</v>
      </c>
    </row>
    <row r="77" spans="1:11" x14ac:dyDescent="0.2">
      <c r="A77" s="307"/>
      <c r="B77" s="1277"/>
      <c r="C77" s="1278"/>
      <c r="D77" s="1274"/>
      <c r="E77" s="1280"/>
      <c r="F77" s="1280"/>
      <c r="G77" s="1280"/>
      <c r="H77" s="1280"/>
      <c r="I77" s="1280"/>
      <c r="J77" s="1280"/>
    </row>
    <row r="78" spans="1:11" x14ac:dyDescent="0.2">
      <c r="A78" s="291" t="s">
        <v>349</v>
      </c>
      <c r="B78" s="262" t="s">
        <v>350</v>
      </c>
      <c r="C78" s="261"/>
      <c r="D78" s="262"/>
      <c r="E78" s="262"/>
      <c r="F78" s="262"/>
      <c r="G78" s="262"/>
      <c r="H78" s="262"/>
      <c r="I78" s="262"/>
      <c r="J78" s="262"/>
    </row>
    <row r="79" spans="1:11" ht="25.5" x14ac:dyDescent="0.2">
      <c r="A79" s="291">
        <v>1</v>
      </c>
      <c r="B79" s="262"/>
      <c r="C79" s="261" t="s">
        <v>351</v>
      </c>
      <c r="D79" s="260" t="s">
        <v>617</v>
      </c>
      <c r="E79" s="260" t="s">
        <v>618</v>
      </c>
      <c r="F79" s="260" t="s">
        <v>619</v>
      </c>
      <c r="G79" s="260" t="s">
        <v>620</v>
      </c>
      <c r="H79" s="260" t="s">
        <v>621</v>
      </c>
      <c r="I79" s="260" t="s">
        <v>622</v>
      </c>
      <c r="J79" s="262" t="s">
        <v>623</v>
      </c>
    </row>
    <row r="80" spans="1:11" ht="25.5" x14ac:dyDescent="0.2">
      <c r="A80" s="311">
        <v>2</v>
      </c>
      <c r="B80" s="262"/>
      <c r="C80" s="261" t="s">
        <v>359</v>
      </c>
      <c r="D80" s="260" t="s">
        <v>624</v>
      </c>
      <c r="E80" s="260" t="s">
        <v>625</v>
      </c>
      <c r="F80" s="260" t="s">
        <v>626</v>
      </c>
      <c r="G80" s="260" t="s">
        <v>627</v>
      </c>
      <c r="H80" s="260" t="s">
        <v>628</v>
      </c>
      <c r="I80" s="260" t="s">
        <v>629</v>
      </c>
      <c r="J80" s="262" t="s">
        <v>630</v>
      </c>
    </row>
    <row r="81" spans="1:10" ht="25.5" x14ac:dyDescent="0.2">
      <c r="A81" s="311">
        <v>3</v>
      </c>
      <c r="B81" s="262"/>
      <c r="C81" s="261" t="s">
        <v>367</v>
      </c>
      <c r="D81" s="260" t="s">
        <v>631</v>
      </c>
      <c r="E81" s="260" t="s">
        <v>632</v>
      </c>
      <c r="F81" s="260" t="s">
        <v>633</v>
      </c>
      <c r="G81" s="260" t="s">
        <v>634</v>
      </c>
      <c r="H81" s="260" t="s">
        <v>635</v>
      </c>
      <c r="I81" s="260" t="s">
        <v>636</v>
      </c>
      <c r="J81" s="262" t="s">
        <v>637</v>
      </c>
    </row>
    <row r="82" spans="1:10" ht="25.5" x14ac:dyDescent="0.2">
      <c r="A82" s="311">
        <v>4</v>
      </c>
      <c r="B82" s="262"/>
      <c r="C82" s="261" t="s">
        <v>375</v>
      </c>
      <c r="D82" s="260" t="s">
        <v>638</v>
      </c>
      <c r="E82" s="260" t="s">
        <v>639</v>
      </c>
      <c r="F82" s="260" t="s">
        <v>640</v>
      </c>
      <c r="G82" s="260" t="s">
        <v>641</v>
      </c>
      <c r="H82" s="260" t="s">
        <v>642</v>
      </c>
      <c r="I82" s="260" t="s">
        <v>643</v>
      </c>
      <c r="J82" s="262" t="s">
        <v>644</v>
      </c>
    </row>
    <row r="83" spans="1:10" ht="25.5" x14ac:dyDescent="0.2">
      <c r="A83" s="311">
        <v>5</v>
      </c>
      <c r="B83" s="262"/>
      <c r="C83" s="261" t="s">
        <v>383</v>
      </c>
      <c r="D83" s="260" t="s">
        <v>645</v>
      </c>
      <c r="E83" s="260" t="s">
        <v>646</v>
      </c>
      <c r="F83" s="260" t="s">
        <v>647</v>
      </c>
      <c r="G83" s="260" t="s">
        <v>648</v>
      </c>
      <c r="H83" s="260" t="s">
        <v>649</v>
      </c>
      <c r="I83" s="260" t="s">
        <v>650</v>
      </c>
      <c r="J83" s="262" t="s">
        <v>651</v>
      </c>
    </row>
    <row r="84" spans="1:10" ht="25.5" x14ac:dyDescent="0.2">
      <c r="A84" s="311">
        <v>6</v>
      </c>
      <c r="B84" s="262"/>
      <c r="C84" s="261" t="s">
        <v>391</v>
      </c>
      <c r="D84" s="260" t="s">
        <v>652</v>
      </c>
      <c r="E84" s="260" t="s">
        <v>653</v>
      </c>
      <c r="F84" s="260" t="s">
        <v>654</v>
      </c>
      <c r="G84" s="260" t="s">
        <v>655</v>
      </c>
      <c r="H84" s="260" t="s">
        <v>656</v>
      </c>
      <c r="I84" s="260" t="s">
        <v>657</v>
      </c>
      <c r="J84" s="262" t="s">
        <v>658</v>
      </c>
    </row>
    <row r="85" spans="1:10" ht="25.5" x14ac:dyDescent="0.2">
      <c r="A85" s="311">
        <v>7</v>
      </c>
      <c r="B85" s="262"/>
      <c r="C85" s="261" t="s">
        <v>399</v>
      </c>
      <c r="D85" s="260" t="s">
        <v>659</v>
      </c>
      <c r="E85" s="260" t="s">
        <v>660</v>
      </c>
      <c r="F85" s="260" t="s">
        <v>661</v>
      </c>
      <c r="G85" s="260" t="s">
        <v>662</v>
      </c>
      <c r="H85" s="260" t="s">
        <v>663</v>
      </c>
      <c r="I85" s="260" t="s">
        <v>664</v>
      </c>
      <c r="J85" s="262" t="s">
        <v>665</v>
      </c>
    </row>
    <row r="86" spans="1:10" ht="25.5" x14ac:dyDescent="0.2">
      <c r="A86" s="311">
        <v>8</v>
      </c>
      <c r="B86" s="262"/>
      <c r="C86" s="261" t="s">
        <v>407</v>
      </c>
      <c r="D86" s="260" t="s">
        <v>666</v>
      </c>
      <c r="E86" s="260" t="s">
        <v>667</v>
      </c>
      <c r="F86" s="260" t="s">
        <v>668</v>
      </c>
      <c r="G86" s="260" t="s">
        <v>669</v>
      </c>
      <c r="H86" s="260" t="s">
        <v>670</v>
      </c>
      <c r="I86" s="260" t="s">
        <v>671</v>
      </c>
      <c r="J86" s="262" t="s">
        <v>672</v>
      </c>
    </row>
    <row r="87" spans="1:10" ht="25.5" x14ac:dyDescent="0.2">
      <c r="A87" s="311" t="s">
        <v>415</v>
      </c>
      <c r="B87" s="262"/>
      <c r="C87" s="277" t="s">
        <v>416</v>
      </c>
      <c r="D87" s="260" t="s">
        <v>673</v>
      </c>
      <c r="E87" s="260" t="s">
        <v>674</v>
      </c>
      <c r="F87" s="260" t="s">
        <v>675</v>
      </c>
      <c r="G87" s="260" t="s">
        <v>676</v>
      </c>
      <c r="H87" s="260" t="s">
        <v>677</v>
      </c>
      <c r="I87" s="260" t="s">
        <v>678</v>
      </c>
      <c r="J87" s="262" t="s">
        <v>679</v>
      </c>
    </row>
    <row r="88" spans="1:10" x14ac:dyDescent="0.2">
      <c r="A88" s="271"/>
      <c r="B88" s="271"/>
      <c r="C88" s="271"/>
      <c r="D88" s="271"/>
      <c r="E88" s="271"/>
      <c r="F88" s="271"/>
      <c r="G88" s="271"/>
      <c r="H88" s="271"/>
      <c r="I88" s="271"/>
      <c r="J88" s="271"/>
    </row>
    <row r="89" spans="1:10" s="312" customFormat="1" x14ac:dyDescent="0.2">
      <c r="A89" s="271"/>
      <c r="B89" s="293" t="s">
        <v>341</v>
      </c>
      <c r="C89" s="282" t="s">
        <v>680</v>
      </c>
      <c r="D89" s="271"/>
      <c r="E89" s="271"/>
      <c r="F89" s="271"/>
      <c r="G89" s="271"/>
      <c r="H89" s="271"/>
      <c r="I89" s="271"/>
      <c r="J89" s="271"/>
    </row>
    <row r="90" spans="1:10" s="312" customFormat="1" x14ac:dyDescent="0.2">
      <c r="A90" s="271"/>
      <c r="B90" s="271"/>
      <c r="C90" s="271"/>
      <c r="D90" s="271"/>
      <c r="E90" s="271"/>
      <c r="F90" s="271"/>
      <c r="G90" s="271"/>
      <c r="H90" s="271"/>
      <c r="I90" s="271"/>
      <c r="J90" s="271"/>
    </row>
    <row r="91" spans="1:10" s="312" customFormat="1" x14ac:dyDescent="0.2">
      <c r="A91" s="271"/>
      <c r="B91" s="275"/>
      <c r="C91" s="277"/>
      <c r="D91" s="277" t="s">
        <v>161</v>
      </c>
      <c r="E91" s="277" t="s">
        <v>162</v>
      </c>
      <c r="F91" s="277" t="s">
        <v>163</v>
      </c>
      <c r="G91" s="277" t="s">
        <v>200</v>
      </c>
      <c r="H91" s="277" t="s">
        <v>201</v>
      </c>
      <c r="I91" s="277" t="s">
        <v>266</v>
      </c>
      <c r="J91" s="277" t="s">
        <v>267</v>
      </c>
    </row>
    <row r="92" spans="1:10" s="312" customFormat="1" x14ac:dyDescent="0.2">
      <c r="A92" s="271"/>
      <c r="B92" s="1275"/>
      <c r="C92" s="1276" t="s">
        <v>343</v>
      </c>
      <c r="D92" s="1273" t="s">
        <v>259</v>
      </c>
      <c r="E92" s="1273" t="s">
        <v>344</v>
      </c>
      <c r="F92" s="1273" t="s">
        <v>345</v>
      </c>
      <c r="G92" s="1273" t="s">
        <v>346</v>
      </c>
      <c r="H92" s="1273" t="s">
        <v>347</v>
      </c>
      <c r="I92" s="1273" t="s">
        <v>301</v>
      </c>
      <c r="J92" s="1273" t="s">
        <v>348</v>
      </c>
    </row>
    <row r="93" spans="1:10" s="312" customFormat="1" x14ac:dyDescent="0.2">
      <c r="A93" s="313"/>
      <c r="B93" s="1275"/>
      <c r="C93" s="1276"/>
      <c r="D93" s="1274"/>
      <c r="E93" s="1274"/>
      <c r="F93" s="1274"/>
      <c r="G93" s="1274"/>
      <c r="H93" s="1274"/>
      <c r="I93" s="1274"/>
      <c r="J93" s="1274"/>
    </row>
    <row r="94" spans="1:10" s="312" customFormat="1" x14ac:dyDescent="0.2">
      <c r="A94" s="291" t="s">
        <v>349</v>
      </c>
      <c r="B94" s="293" t="s">
        <v>350</v>
      </c>
      <c r="C94" s="277"/>
      <c r="D94" s="293"/>
      <c r="E94" s="293"/>
      <c r="F94" s="293"/>
      <c r="G94" s="293"/>
      <c r="H94" s="293"/>
      <c r="I94" s="293"/>
      <c r="J94" s="293"/>
    </row>
    <row r="95" spans="1:10" s="312" customFormat="1" ht="25.5" x14ac:dyDescent="0.2">
      <c r="A95" s="291">
        <v>1</v>
      </c>
      <c r="B95" s="293"/>
      <c r="C95" s="277" t="s">
        <v>351</v>
      </c>
      <c r="D95" s="314" t="s">
        <v>681</v>
      </c>
      <c r="E95" s="314" t="s">
        <v>682</v>
      </c>
      <c r="F95" s="314" t="s">
        <v>683</v>
      </c>
      <c r="G95" s="314" t="s">
        <v>684</v>
      </c>
      <c r="H95" s="314" t="s">
        <v>685</v>
      </c>
      <c r="I95" s="314" t="s">
        <v>686</v>
      </c>
      <c r="J95" s="293" t="s">
        <v>687</v>
      </c>
    </row>
    <row r="96" spans="1:10" s="312" customFormat="1" ht="25.5" x14ac:dyDescent="0.2">
      <c r="A96" s="311">
        <v>2</v>
      </c>
      <c r="B96" s="293"/>
      <c r="C96" s="277" t="s">
        <v>359</v>
      </c>
      <c r="D96" s="314" t="s">
        <v>688</v>
      </c>
      <c r="E96" s="314" t="s">
        <v>689</v>
      </c>
      <c r="F96" s="314" t="s">
        <v>690</v>
      </c>
      <c r="G96" s="314" t="s">
        <v>691</v>
      </c>
      <c r="H96" s="314" t="s">
        <v>692</v>
      </c>
      <c r="I96" s="314" t="s">
        <v>693</v>
      </c>
      <c r="J96" s="293" t="s">
        <v>694</v>
      </c>
    </row>
    <row r="97" spans="1:10" s="312" customFormat="1" ht="25.5" x14ac:dyDescent="0.2">
      <c r="A97" s="311">
        <v>3</v>
      </c>
      <c r="B97" s="293"/>
      <c r="C97" s="277" t="s">
        <v>367</v>
      </c>
      <c r="D97" s="314" t="s">
        <v>695</v>
      </c>
      <c r="E97" s="314" t="s">
        <v>696</v>
      </c>
      <c r="F97" s="314" t="s">
        <v>697</v>
      </c>
      <c r="G97" s="314" t="s">
        <v>698</v>
      </c>
      <c r="H97" s="314" t="s">
        <v>699</v>
      </c>
      <c r="I97" s="314" t="s">
        <v>700</v>
      </c>
      <c r="J97" s="293" t="s">
        <v>701</v>
      </c>
    </row>
    <row r="98" spans="1:10" s="312" customFormat="1" ht="25.5" x14ac:dyDescent="0.2">
      <c r="A98" s="311">
        <v>4</v>
      </c>
      <c r="B98" s="293"/>
      <c r="C98" s="277" t="s">
        <v>375</v>
      </c>
      <c r="D98" s="314" t="s">
        <v>702</v>
      </c>
      <c r="E98" s="314" t="s">
        <v>703</v>
      </c>
      <c r="F98" s="314" t="s">
        <v>704</v>
      </c>
      <c r="G98" s="314" t="s">
        <v>705</v>
      </c>
      <c r="H98" s="314" t="s">
        <v>706</v>
      </c>
      <c r="I98" s="314" t="s">
        <v>707</v>
      </c>
      <c r="J98" s="293" t="s">
        <v>708</v>
      </c>
    </row>
    <row r="99" spans="1:10" s="312" customFormat="1" ht="25.5" x14ac:dyDescent="0.2">
      <c r="A99" s="311">
        <v>5</v>
      </c>
      <c r="B99" s="293"/>
      <c r="C99" s="277" t="s">
        <v>383</v>
      </c>
      <c r="D99" s="314" t="s">
        <v>709</v>
      </c>
      <c r="E99" s="314" t="s">
        <v>710</v>
      </c>
      <c r="F99" s="314" t="s">
        <v>711</v>
      </c>
      <c r="G99" s="314" t="s">
        <v>712</v>
      </c>
      <c r="H99" s="314" t="s">
        <v>713</v>
      </c>
      <c r="I99" s="314" t="s">
        <v>714</v>
      </c>
      <c r="J99" s="293" t="s">
        <v>715</v>
      </c>
    </row>
    <row r="100" spans="1:10" s="312" customFormat="1" ht="25.5" x14ac:dyDescent="0.2">
      <c r="A100" s="311">
        <v>6</v>
      </c>
      <c r="B100" s="293"/>
      <c r="C100" s="277" t="s">
        <v>391</v>
      </c>
      <c r="D100" s="314" t="s">
        <v>716</v>
      </c>
      <c r="E100" s="314" t="s">
        <v>717</v>
      </c>
      <c r="F100" s="314" t="s">
        <v>718</v>
      </c>
      <c r="G100" s="314" t="s">
        <v>719</v>
      </c>
      <c r="H100" s="314" t="s">
        <v>720</v>
      </c>
      <c r="I100" s="314" t="s">
        <v>721</v>
      </c>
      <c r="J100" s="293" t="s">
        <v>722</v>
      </c>
    </row>
    <row r="101" spans="1:10" s="312" customFormat="1" ht="25.5" x14ac:dyDescent="0.2">
      <c r="A101" s="311">
        <v>7</v>
      </c>
      <c r="B101" s="293"/>
      <c r="C101" s="277" t="s">
        <v>399</v>
      </c>
      <c r="D101" s="314" t="s">
        <v>723</v>
      </c>
      <c r="E101" s="314" t="s">
        <v>724</v>
      </c>
      <c r="F101" s="314" t="s">
        <v>725</v>
      </c>
      <c r="G101" s="314" t="s">
        <v>726</v>
      </c>
      <c r="H101" s="314" t="s">
        <v>727</v>
      </c>
      <c r="I101" s="314" t="s">
        <v>728</v>
      </c>
      <c r="J101" s="293" t="s">
        <v>729</v>
      </c>
    </row>
    <row r="102" spans="1:10" s="312" customFormat="1" ht="25.5" x14ac:dyDescent="0.2">
      <c r="A102" s="311">
        <v>8</v>
      </c>
      <c r="B102" s="293"/>
      <c r="C102" s="277" t="s">
        <v>407</v>
      </c>
      <c r="D102" s="314" t="s">
        <v>730</v>
      </c>
      <c r="E102" s="314" t="s">
        <v>731</v>
      </c>
      <c r="F102" s="314" t="s">
        <v>732</v>
      </c>
      <c r="G102" s="314" t="s">
        <v>733</v>
      </c>
      <c r="H102" s="314" t="s">
        <v>734</v>
      </c>
      <c r="I102" s="314" t="s">
        <v>735</v>
      </c>
      <c r="J102" s="293" t="s">
        <v>736</v>
      </c>
    </row>
    <row r="103" spans="1:10" s="312" customFormat="1" ht="25.5" x14ac:dyDescent="0.2">
      <c r="A103" s="311" t="s">
        <v>415</v>
      </c>
      <c r="B103" s="293"/>
      <c r="C103" s="277" t="s">
        <v>416</v>
      </c>
      <c r="D103" s="314" t="s">
        <v>737</v>
      </c>
      <c r="E103" s="314" t="s">
        <v>738</v>
      </c>
      <c r="F103" s="314" t="s">
        <v>739</v>
      </c>
      <c r="G103" s="314" t="s">
        <v>740</v>
      </c>
      <c r="H103" s="314" t="s">
        <v>741</v>
      </c>
      <c r="I103" s="314" t="s">
        <v>742</v>
      </c>
      <c r="J103" s="293" t="s">
        <v>743</v>
      </c>
    </row>
    <row r="104" spans="1:10" x14ac:dyDescent="0.2">
      <c r="A104" s="271"/>
      <c r="B104" s="271"/>
      <c r="C104" s="271"/>
      <c r="D104" s="271"/>
      <c r="E104" s="271"/>
      <c r="F104" s="271"/>
      <c r="G104" s="271"/>
      <c r="H104" s="271"/>
      <c r="I104" s="271"/>
      <c r="J104" s="271"/>
    </row>
    <row r="106" spans="1:10" x14ac:dyDescent="0.2">
      <c r="B106" s="262" t="s">
        <v>341</v>
      </c>
      <c r="C106" s="298" t="s">
        <v>744</v>
      </c>
    </row>
    <row r="108" spans="1:10" x14ac:dyDescent="0.2">
      <c r="B108" s="306"/>
      <c r="C108" s="261"/>
      <c r="D108" s="277" t="s">
        <v>161</v>
      </c>
      <c r="E108" s="277" t="s">
        <v>162</v>
      </c>
      <c r="F108" s="277" t="s">
        <v>163</v>
      </c>
      <c r="G108" s="277" t="s">
        <v>200</v>
      </c>
      <c r="H108" s="277" t="s">
        <v>201</v>
      </c>
      <c r="I108" s="277" t="s">
        <v>266</v>
      </c>
      <c r="J108" s="277" t="s">
        <v>267</v>
      </c>
    </row>
    <row r="109" spans="1:10" ht="15" customHeight="1" x14ac:dyDescent="0.2">
      <c r="B109" s="1277"/>
      <c r="C109" s="1278" t="s">
        <v>343</v>
      </c>
      <c r="D109" s="1273" t="s">
        <v>259</v>
      </c>
      <c r="E109" s="1279" t="s">
        <v>344</v>
      </c>
      <c r="F109" s="1279" t="s">
        <v>345</v>
      </c>
      <c r="G109" s="1279" t="s">
        <v>346</v>
      </c>
      <c r="H109" s="1279" t="s">
        <v>347</v>
      </c>
      <c r="I109" s="1279" t="s">
        <v>301</v>
      </c>
      <c r="J109" s="1279" t="s">
        <v>348</v>
      </c>
    </row>
    <row r="110" spans="1:10" x14ac:dyDescent="0.2">
      <c r="A110" s="307"/>
      <c r="B110" s="1277"/>
      <c r="C110" s="1278"/>
      <c r="D110" s="1274"/>
      <c r="E110" s="1280"/>
      <c r="F110" s="1280"/>
      <c r="G110" s="1280"/>
      <c r="H110" s="1280"/>
      <c r="I110" s="1280"/>
      <c r="J110" s="1280"/>
    </row>
    <row r="111" spans="1:10" x14ac:dyDescent="0.2">
      <c r="A111" s="291" t="s">
        <v>349</v>
      </c>
      <c r="B111" s="262" t="s">
        <v>350</v>
      </c>
      <c r="C111" s="261"/>
      <c r="D111" s="262"/>
      <c r="E111" s="262"/>
      <c r="F111" s="262"/>
      <c r="G111" s="262"/>
      <c r="H111" s="262"/>
      <c r="I111" s="262"/>
      <c r="J111" s="262"/>
    </row>
    <row r="112" spans="1:10" ht="25.5" x14ac:dyDescent="0.2">
      <c r="A112" s="291">
        <v>1</v>
      </c>
      <c r="B112" s="262"/>
      <c r="C112" s="261" t="s">
        <v>351</v>
      </c>
      <c r="D112" s="260" t="s">
        <v>745</v>
      </c>
      <c r="E112" s="260" t="s">
        <v>746</v>
      </c>
      <c r="F112" s="260" t="s">
        <v>747</v>
      </c>
      <c r="G112" s="260" t="s">
        <v>748</v>
      </c>
      <c r="H112" s="260" t="s">
        <v>749</v>
      </c>
      <c r="I112" s="260" t="s">
        <v>750</v>
      </c>
      <c r="J112" s="262" t="s">
        <v>751</v>
      </c>
    </row>
    <row r="113" spans="1:10" ht="25.5" x14ac:dyDescent="0.2">
      <c r="A113" s="311">
        <v>2</v>
      </c>
      <c r="B113" s="262"/>
      <c r="C113" s="261" t="s">
        <v>359</v>
      </c>
      <c r="D113" s="260" t="s">
        <v>752</v>
      </c>
      <c r="E113" s="260" t="s">
        <v>753</v>
      </c>
      <c r="F113" s="260" t="s">
        <v>754</v>
      </c>
      <c r="G113" s="260" t="s">
        <v>755</v>
      </c>
      <c r="H113" s="260" t="s">
        <v>756</v>
      </c>
      <c r="I113" s="260" t="s">
        <v>757</v>
      </c>
      <c r="J113" s="262" t="s">
        <v>758</v>
      </c>
    </row>
    <row r="114" spans="1:10" ht="25.5" x14ac:dyDescent="0.2">
      <c r="A114" s="311">
        <v>3</v>
      </c>
      <c r="B114" s="262"/>
      <c r="C114" s="261" t="s">
        <v>367</v>
      </c>
      <c r="D114" s="260" t="s">
        <v>759</v>
      </c>
      <c r="E114" s="260" t="s">
        <v>760</v>
      </c>
      <c r="F114" s="260" t="s">
        <v>761</v>
      </c>
      <c r="G114" s="260" t="s">
        <v>762</v>
      </c>
      <c r="H114" s="260" t="s">
        <v>763</v>
      </c>
      <c r="I114" s="260" t="s">
        <v>764</v>
      </c>
      <c r="J114" s="262" t="s">
        <v>765</v>
      </c>
    </row>
    <row r="115" spans="1:10" ht="25.5" x14ac:dyDescent="0.2">
      <c r="A115" s="311">
        <v>4</v>
      </c>
      <c r="B115" s="262"/>
      <c r="C115" s="261" t="s">
        <v>375</v>
      </c>
      <c r="D115" s="260" t="s">
        <v>766</v>
      </c>
      <c r="E115" s="260" t="s">
        <v>767</v>
      </c>
      <c r="F115" s="260" t="s">
        <v>768</v>
      </c>
      <c r="G115" s="260" t="s">
        <v>769</v>
      </c>
      <c r="H115" s="260" t="s">
        <v>770</v>
      </c>
      <c r="I115" s="260" t="s">
        <v>771</v>
      </c>
      <c r="J115" s="262" t="s">
        <v>772</v>
      </c>
    </row>
    <row r="116" spans="1:10" ht="25.5" x14ac:dyDescent="0.2">
      <c r="A116" s="311">
        <v>5</v>
      </c>
      <c r="B116" s="262"/>
      <c r="C116" s="261" t="s">
        <v>383</v>
      </c>
      <c r="D116" s="260" t="s">
        <v>773</v>
      </c>
      <c r="E116" s="260" t="s">
        <v>774</v>
      </c>
      <c r="F116" s="260" t="s">
        <v>775</v>
      </c>
      <c r="G116" s="260" t="s">
        <v>776</v>
      </c>
      <c r="H116" s="260" t="s">
        <v>777</v>
      </c>
      <c r="I116" s="260" t="s">
        <v>778</v>
      </c>
      <c r="J116" s="262" t="s">
        <v>779</v>
      </c>
    </row>
    <row r="117" spans="1:10" ht="25.5" x14ac:dyDescent="0.2">
      <c r="A117" s="311">
        <v>6</v>
      </c>
      <c r="B117" s="262"/>
      <c r="C117" s="261" t="s">
        <v>391</v>
      </c>
      <c r="D117" s="260" t="s">
        <v>780</v>
      </c>
      <c r="E117" s="260" t="s">
        <v>781</v>
      </c>
      <c r="F117" s="260" t="s">
        <v>782</v>
      </c>
      <c r="G117" s="260" t="s">
        <v>783</v>
      </c>
      <c r="H117" s="260" t="s">
        <v>784</v>
      </c>
      <c r="I117" s="260" t="s">
        <v>785</v>
      </c>
      <c r="J117" s="262" t="s">
        <v>786</v>
      </c>
    </row>
    <row r="118" spans="1:10" ht="25.5" x14ac:dyDescent="0.2">
      <c r="A118" s="311">
        <v>7</v>
      </c>
      <c r="B118" s="262"/>
      <c r="C118" s="261" t="s">
        <v>399</v>
      </c>
      <c r="D118" s="260" t="s">
        <v>787</v>
      </c>
      <c r="E118" s="260" t="s">
        <v>788</v>
      </c>
      <c r="F118" s="260" t="s">
        <v>789</v>
      </c>
      <c r="G118" s="260" t="s">
        <v>790</v>
      </c>
      <c r="H118" s="260" t="s">
        <v>791</v>
      </c>
      <c r="I118" s="260" t="s">
        <v>792</v>
      </c>
      <c r="J118" s="262" t="s">
        <v>793</v>
      </c>
    </row>
    <row r="119" spans="1:10" ht="25.5" x14ac:dyDescent="0.2">
      <c r="A119" s="311">
        <v>8</v>
      </c>
      <c r="B119" s="262"/>
      <c r="C119" s="261" t="s">
        <v>407</v>
      </c>
      <c r="D119" s="260" t="s">
        <v>794</v>
      </c>
      <c r="E119" s="260" t="s">
        <v>795</v>
      </c>
      <c r="F119" s="260" t="s">
        <v>796</v>
      </c>
      <c r="G119" s="260" t="s">
        <v>797</v>
      </c>
      <c r="H119" s="260" t="s">
        <v>798</v>
      </c>
      <c r="I119" s="260" t="s">
        <v>799</v>
      </c>
      <c r="J119" s="262" t="s">
        <v>800</v>
      </c>
    </row>
    <row r="120" spans="1:10" ht="25.5" x14ac:dyDescent="0.2">
      <c r="A120" s="311" t="s">
        <v>415</v>
      </c>
      <c r="B120" s="262"/>
      <c r="C120" s="277" t="s">
        <v>416</v>
      </c>
      <c r="D120" s="260" t="s">
        <v>801</v>
      </c>
      <c r="E120" s="260" t="s">
        <v>802</v>
      </c>
      <c r="F120" s="260" t="s">
        <v>803</v>
      </c>
      <c r="G120" s="260" t="s">
        <v>804</v>
      </c>
      <c r="H120" s="260" t="s">
        <v>805</v>
      </c>
      <c r="I120" s="260" t="s">
        <v>806</v>
      </c>
      <c r="J120" s="262" t="s">
        <v>807</v>
      </c>
    </row>
    <row r="121" spans="1:10" ht="30" customHeight="1" x14ac:dyDescent="0.2">
      <c r="A121" s="315" t="s">
        <v>808</v>
      </c>
      <c r="B121" s="1281" t="s">
        <v>809</v>
      </c>
      <c r="C121" s="1264"/>
      <c r="D121" s="260" t="s">
        <v>810</v>
      </c>
      <c r="E121" s="260" t="s">
        <v>811</v>
      </c>
      <c r="F121" s="260" t="s">
        <v>812</v>
      </c>
      <c r="G121" s="260" t="s">
        <v>813</v>
      </c>
      <c r="H121" s="260" t="s">
        <v>814</v>
      </c>
      <c r="I121" s="260" t="s">
        <v>815</v>
      </c>
      <c r="J121" s="262" t="s">
        <v>816</v>
      </c>
    </row>
  </sheetData>
  <mergeCells count="64">
    <mergeCell ref="B10:B11"/>
    <mergeCell ref="C10:C11"/>
    <mergeCell ref="D10:D11"/>
    <mergeCell ref="E10:E11"/>
    <mergeCell ref="F10:F11"/>
    <mergeCell ref="G76:G77"/>
    <mergeCell ref="H76:H77"/>
    <mergeCell ref="I76:I77"/>
    <mergeCell ref="J76:J77"/>
    <mergeCell ref="I10:I11"/>
    <mergeCell ref="J10:J11"/>
    <mergeCell ref="G43:G44"/>
    <mergeCell ref="H43:H44"/>
    <mergeCell ref="I43:I44"/>
    <mergeCell ref="J43:J44"/>
    <mergeCell ref="G10:G11"/>
    <mergeCell ref="H10:H11"/>
    <mergeCell ref="G26:G27"/>
    <mergeCell ref="H26:H27"/>
    <mergeCell ref="I26:I27"/>
    <mergeCell ref="J26:J27"/>
    <mergeCell ref="B76:B77"/>
    <mergeCell ref="C76:C77"/>
    <mergeCell ref="D76:D77"/>
    <mergeCell ref="E76:E77"/>
    <mergeCell ref="F76:F77"/>
    <mergeCell ref="B121:C121"/>
    <mergeCell ref="G109:G110"/>
    <mergeCell ref="H109:H110"/>
    <mergeCell ref="I109:I110"/>
    <mergeCell ref="J109:J110"/>
    <mergeCell ref="B109:B110"/>
    <mergeCell ref="C109:C110"/>
    <mergeCell ref="D109:D110"/>
    <mergeCell ref="E109:E110"/>
    <mergeCell ref="F109:F110"/>
    <mergeCell ref="E59:E60"/>
    <mergeCell ref="F59:F60"/>
    <mergeCell ref="B26:B27"/>
    <mergeCell ref="C26:C27"/>
    <mergeCell ref="D26:D27"/>
    <mergeCell ref="E26:E27"/>
    <mergeCell ref="F26:F27"/>
    <mergeCell ref="B43:B44"/>
    <mergeCell ref="C43:C44"/>
    <mergeCell ref="D43:D44"/>
    <mergeCell ref="E43:E44"/>
    <mergeCell ref="F43:F44"/>
    <mergeCell ref="G59:G60"/>
    <mergeCell ref="H59:H60"/>
    <mergeCell ref="I59:I60"/>
    <mergeCell ref="J59:J60"/>
    <mergeCell ref="B92:B93"/>
    <mergeCell ref="C92:C93"/>
    <mergeCell ref="D92:D93"/>
    <mergeCell ref="E92:E93"/>
    <mergeCell ref="F92:F93"/>
    <mergeCell ref="G92:G93"/>
    <mergeCell ref="H92:H93"/>
    <mergeCell ref="I92:I93"/>
    <mergeCell ref="J92:J93"/>
    <mergeCell ref="B59:B60"/>
    <mergeCell ref="C59:C60"/>
    <mergeCell ref="D59:D60"/>
  </mergeCells>
  <hyperlinks>
    <hyperlink ref="B2" location="Contents!A1" display="Back to Contents page" xr:uid="{5B4DED89-59F3-4891-BDD0-3A95FA2C02DC}"/>
  </hyperlinks>
  <pageMargins left="0.7" right="0.7" top="0.75" bottom="0.75" header="0.3" footer="0.3"/>
  <pageSetup paperSize="9" scale="30" orientation="portrait" horizontalDpi="144" verticalDpi="14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N24"/>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254" customWidth="1"/>
    <col min="2" max="2" width="6.33203125" style="254" customWidth="1"/>
    <col min="3" max="3" width="23.88671875" style="254" customWidth="1"/>
    <col min="4" max="11" width="9.88671875" style="254" customWidth="1"/>
    <col min="12" max="16384" width="9.21875" style="254"/>
  </cols>
  <sheetData>
    <row r="2" spans="2:11" ht="15" x14ac:dyDescent="0.25">
      <c r="B2" s="940" t="s">
        <v>3521</v>
      </c>
    </row>
    <row r="4" spans="2:11" ht="21" x14ac:dyDescent="0.35">
      <c r="B4" s="369" t="s">
        <v>3619</v>
      </c>
    </row>
    <row r="5" spans="2:11" x14ac:dyDescent="0.2">
      <c r="B5" s="298"/>
    </row>
    <row r="6" spans="2:11" ht="20.100000000000001" customHeight="1" x14ac:dyDescent="0.2">
      <c r="C6" s="267"/>
      <c r="D6" s="482" t="s">
        <v>161</v>
      </c>
      <c r="E6" s="482" t="s">
        <v>162</v>
      </c>
      <c r="F6" s="482" t="s">
        <v>163</v>
      </c>
      <c r="G6" s="482" t="s">
        <v>200</v>
      </c>
      <c r="H6" s="482" t="s">
        <v>201</v>
      </c>
      <c r="I6" s="482" t="s">
        <v>266</v>
      </c>
      <c r="J6" s="482" t="s">
        <v>267</v>
      </c>
      <c r="K6" s="482" t="s">
        <v>268</v>
      </c>
    </row>
    <row r="7" spans="2:11" ht="20.100000000000001" customHeight="1" x14ac:dyDescent="0.2">
      <c r="C7" s="267"/>
      <c r="D7" s="1234" t="s">
        <v>817</v>
      </c>
      <c r="E7" s="1234"/>
      <c r="F7" s="1234"/>
      <c r="G7" s="1234"/>
      <c r="H7" s="1234" t="s">
        <v>818</v>
      </c>
      <c r="I7" s="1234"/>
      <c r="J7" s="1234"/>
      <c r="K7" s="1234"/>
    </row>
    <row r="8" spans="2:11" ht="24.95" customHeight="1" x14ac:dyDescent="0.2">
      <c r="B8" s="271"/>
      <c r="C8" s="965" t="s">
        <v>819</v>
      </c>
      <c r="D8" s="1234" t="s">
        <v>820</v>
      </c>
      <c r="E8" s="1234"/>
      <c r="F8" s="1234" t="s">
        <v>821</v>
      </c>
      <c r="G8" s="1234"/>
      <c r="H8" s="1234" t="s">
        <v>820</v>
      </c>
      <c r="I8" s="1234"/>
      <c r="J8" s="1234" t="s">
        <v>821</v>
      </c>
      <c r="K8" s="1234"/>
    </row>
    <row r="9" spans="2:11" ht="20.100000000000001" customHeight="1" x14ac:dyDescent="0.2">
      <c r="B9" s="271"/>
      <c r="C9" s="965"/>
      <c r="D9" s="482" t="s">
        <v>822</v>
      </c>
      <c r="E9" s="482" t="s">
        <v>823</v>
      </c>
      <c r="F9" s="482" t="s">
        <v>822</v>
      </c>
      <c r="G9" s="482" t="s">
        <v>823</v>
      </c>
      <c r="H9" s="411" t="s">
        <v>822</v>
      </c>
      <c r="I9" s="411" t="s">
        <v>823</v>
      </c>
      <c r="J9" s="411" t="s">
        <v>822</v>
      </c>
      <c r="K9" s="411" t="s">
        <v>823</v>
      </c>
    </row>
    <row r="10" spans="2:11" ht="20.100000000000001" customHeight="1" x14ac:dyDescent="0.2">
      <c r="B10" s="400">
        <v>1</v>
      </c>
      <c r="C10" s="456" t="s">
        <v>824</v>
      </c>
      <c r="D10" s="697">
        <v>536.08118200000001</v>
      </c>
      <c r="E10" s="698"/>
      <c r="F10" s="698">
        <f>234.633197+15.78</f>
        <v>250.413197</v>
      </c>
      <c r="G10" s="698"/>
      <c r="H10" s="474"/>
      <c r="I10" s="474"/>
      <c r="J10" s="474"/>
      <c r="K10" s="474"/>
    </row>
    <row r="11" spans="2:11" ht="20.100000000000001" customHeight="1" x14ac:dyDescent="0.2">
      <c r="B11" s="400">
        <v>2</v>
      </c>
      <c r="C11" s="456" t="s">
        <v>825</v>
      </c>
      <c r="D11" s="697">
        <v>203.028704</v>
      </c>
      <c r="E11" s="698">
        <v>114.493543</v>
      </c>
      <c r="F11" s="698">
        <v>154.36362</v>
      </c>
      <c r="G11" s="698"/>
      <c r="H11" s="474"/>
      <c r="I11" s="474"/>
      <c r="J11" s="474"/>
      <c r="K11" s="474"/>
    </row>
    <row r="12" spans="2:11" ht="20.100000000000001" customHeight="1" x14ac:dyDescent="0.2">
      <c r="B12" s="400">
        <v>3</v>
      </c>
      <c r="C12" s="456" t="s">
        <v>826</v>
      </c>
      <c r="D12" s="474"/>
      <c r="E12" s="474"/>
      <c r="F12" s="474"/>
      <c r="G12" s="474"/>
      <c r="H12" s="474"/>
      <c r="I12" s="474"/>
      <c r="J12" s="474"/>
      <c r="K12" s="474"/>
    </row>
    <row r="13" spans="2:11" ht="20.100000000000001" customHeight="1" x14ac:dyDescent="0.2">
      <c r="B13" s="400">
        <v>4</v>
      </c>
      <c r="C13" s="456" t="s">
        <v>827</v>
      </c>
      <c r="D13" s="474"/>
      <c r="E13" s="474"/>
      <c r="F13" s="474"/>
      <c r="G13" s="474"/>
      <c r="H13" s="474"/>
      <c r="I13" s="474"/>
      <c r="J13" s="474"/>
      <c r="K13" s="474"/>
    </row>
    <row r="14" spans="2:11" ht="20.100000000000001" customHeight="1" x14ac:dyDescent="0.2">
      <c r="B14" s="400">
        <v>5</v>
      </c>
      <c r="C14" s="456" t="s">
        <v>828</v>
      </c>
      <c r="D14" s="474"/>
      <c r="E14" s="474"/>
      <c r="F14" s="474"/>
      <c r="G14" s="474"/>
      <c r="H14" s="474"/>
      <c r="I14" s="474"/>
      <c r="J14" s="474"/>
      <c r="K14" s="474"/>
    </row>
    <row r="15" spans="2:11" ht="20.100000000000001" customHeight="1" x14ac:dyDescent="0.2">
      <c r="B15" s="400">
        <v>6</v>
      </c>
      <c r="C15" s="456" t="s">
        <v>829</v>
      </c>
      <c r="D15" s="474"/>
      <c r="E15" s="474"/>
      <c r="F15" s="474"/>
      <c r="G15" s="474"/>
      <c r="H15" s="474"/>
      <c r="I15" s="474"/>
      <c r="J15" s="474"/>
      <c r="K15" s="474"/>
    </row>
    <row r="16" spans="2:11" ht="20.100000000000001" customHeight="1" x14ac:dyDescent="0.2">
      <c r="B16" s="400">
        <v>7</v>
      </c>
      <c r="C16" s="456" t="s">
        <v>830</v>
      </c>
      <c r="D16" s="474"/>
      <c r="E16" s="474"/>
      <c r="F16" s="474"/>
      <c r="G16" s="474"/>
      <c r="H16" s="474"/>
      <c r="I16" s="474"/>
      <c r="J16" s="474"/>
      <c r="K16" s="474"/>
    </row>
    <row r="17" spans="2:14" ht="20.100000000000001" customHeight="1" x14ac:dyDescent="0.2">
      <c r="B17" s="400">
        <v>8</v>
      </c>
      <c r="C17" s="456" t="s">
        <v>831</v>
      </c>
      <c r="D17" s="474"/>
      <c r="E17" s="474"/>
      <c r="F17" s="474"/>
      <c r="G17" s="474"/>
      <c r="H17" s="474"/>
      <c r="I17" s="474"/>
      <c r="J17" s="474"/>
      <c r="K17" s="474"/>
      <c r="N17" s="301"/>
    </row>
    <row r="18" spans="2:14" ht="20.100000000000001" customHeight="1" x14ac:dyDescent="0.2">
      <c r="B18" s="699">
        <v>9</v>
      </c>
      <c r="C18" s="491" t="s">
        <v>198</v>
      </c>
      <c r="D18" s="700">
        <f>+D11+D10</f>
        <v>739.10988599999996</v>
      </c>
      <c r="E18" s="701">
        <f>+E11+E10</f>
        <v>114.493543</v>
      </c>
      <c r="F18" s="701">
        <f>+F11+F10</f>
        <v>404.77681699999999</v>
      </c>
      <c r="G18" s="701"/>
      <c r="H18" s="498"/>
      <c r="I18" s="498"/>
      <c r="J18" s="498"/>
      <c r="K18" s="498"/>
    </row>
    <row r="20" spans="2:14" x14ac:dyDescent="0.2">
      <c r="D20" s="392"/>
      <c r="E20" s="392"/>
      <c r="N20" s="301"/>
    </row>
    <row r="21" spans="2:14" x14ac:dyDescent="0.2">
      <c r="E21" s="392"/>
    </row>
    <row r="22" spans="2:14" x14ac:dyDescent="0.2">
      <c r="D22" s="392"/>
    </row>
    <row r="24" spans="2:14" x14ac:dyDescent="0.2">
      <c r="E24" s="392"/>
    </row>
  </sheetData>
  <sheetProtection algorithmName="SHA-512" hashValue="tZvTwLWWnQ9Ie/YEeuAnVKgOrmsePzgweG01t+EhEVDjs41Qxr12qHZm/UMcVBWQvInq91j2yh3KKZTjsuhFjg==" saltValue="V9WqauXBCbc2SEvGL4fINQ==" spinCount="100000" sheet="1" objects="1" scenarios="1"/>
  <mergeCells count="7">
    <mergeCell ref="D7:G7"/>
    <mergeCell ref="C8:C9"/>
    <mergeCell ref="D8:E8"/>
    <mergeCell ref="F8:G8"/>
    <mergeCell ref="J8:K8"/>
    <mergeCell ref="H8:I8"/>
    <mergeCell ref="H7:K7"/>
  </mergeCells>
  <hyperlinks>
    <hyperlink ref="B2" location="Contents!A1" display="Back to Contents page" xr:uid="{D994D742-0C5E-4F3B-83B7-043FFDD471BC}"/>
  </hyperlinks>
  <pageMargins left="0.7" right="0.7" top="0.75" bottom="0.75" header="0.3" footer="0.3"/>
  <pageSetup paperSize="9" scale="36" orientation="portrait" horizontalDpi="144" verticalDpi="144"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E35"/>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271" customWidth="1"/>
    <col min="2" max="2" width="7" style="271" customWidth="1"/>
    <col min="3" max="3" width="68.88671875" style="271" customWidth="1"/>
    <col min="4" max="5" width="9.6640625" style="271" customWidth="1"/>
    <col min="6" max="16384" width="9.21875" style="271"/>
  </cols>
  <sheetData>
    <row r="2" spans="2:5" ht="15" x14ac:dyDescent="0.25">
      <c r="B2" s="940" t="s">
        <v>3521</v>
      </c>
    </row>
    <row r="4" spans="2:5" ht="21" x14ac:dyDescent="0.35">
      <c r="B4" s="369" t="s">
        <v>882</v>
      </c>
      <c r="C4" s="282"/>
    </row>
    <row r="5" spans="2:5" ht="20.100000000000001" customHeight="1" x14ac:dyDescent="0.2">
      <c r="B5" s="299"/>
      <c r="C5" s="300"/>
      <c r="D5" s="299"/>
      <c r="E5" s="299"/>
    </row>
    <row r="6" spans="2:5" ht="20.100000000000001" customHeight="1" x14ac:dyDescent="0.2">
      <c r="B6" s="299"/>
      <c r="C6" s="300"/>
      <c r="D6" s="411" t="s">
        <v>161</v>
      </c>
      <c r="E6" s="411" t="s">
        <v>162</v>
      </c>
    </row>
    <row r="7" spans="2:5" ht="30" customHeight="1" x14ac:dyDescent="0.2">
      <c r="B7" s="299"/>
      <c r="C7" s="300"/>
      <c r="D7" s="411" t="s">
        <v>883</v>
      </c>
      <c r="E7" s="411" t="s">
        <v>301</v>
      </c>
    </row>
    <row r="8" spans="2:5" ht="20.100000000000001" customHeight="1" x14ac:dyDescent="0.2">
      <c r="B8" s="883">
        <v>1</v>
      </c>
      <c r="C8" s="454" t="s">
        <v>884</v>
      </c>
      <c r="D8" s="884"/>
      <c r="E8" s="885">
        <v>17.432172999999999</v>
      </c>
    </row>
    <row r="9" spans="2:5" ht="20.100000000000001" customHeight="1" x14ac:dyDescent="0.2">
      <c r="B9" s="421">
        <v>2</v>
      </c>
      <c r="C9" s="398" t="s">
        <v>885</v>
      </c>
      <c r="D9" s="703">
        <v>435.80433699999998</v>
      </c>
      <c r="E9" s="703">
        <v>17.432172999999999</v>
      </c>
    </row>
    <row r="10" spans="2:5" ht="20.100000000000001" customHeight="1" x14ac:dyDescent="0.2">
      <c r="B10" s="411">
        <v>3</v>
      </c>
      <c r="C10" s="527" t="s">
        <v>886</v>
      </c>
      <c r="D10" s="702">
        <v>435.80433699999998</v>
      </c>
      <c r="E10" s="702">
        <v>17.432172999999999</v>
      </c>
    </row>
    <row r="11" spans="2:5" ht="20.100000000000001" customHeight="1" x14ac:dyDescent="0.2">
      <c r="B11" s="411">
        <v>4</v>
      </c>
      <c r="C11" s="527" t="s">
        <v>887</v>
      </c>
      <c r="D11" s="402"/>
      <c r="E11" s="402"/>
    </row>
    <row r="12" spans="2:5" ht="20.100000000000001" customHeight="1" x14ac:dyDescent="0.2">
      <c r="B12" s="411">
        <v>5</v>
      </c>
      <c r="C12" s="527" t="s">
        <v>888</v>
      </c>
      <c r="D12" s="402"/>
      <c r="E12" s="402"/>
    </row>
    <row r="13" spans="2:5" ht="20.100000000000001" customHeight="1" x14ac:dyDescent="0.2">
      <c r="B13" s="411">
        <v>6</v>
      </c>
      <c r="C13" s="527" t="s">
        <v>889</v>
      </c>
      <c r="D13" s="402"/>
      <c r="E13" s="402"/>
    </row>
    <row r="14" spans="2:5" ht="20.100000000000001" customHeight="1" x14ac:dyDescent="0.2">
      <c r="B14" s="421">
        <v>7</v>
      </c>
      <c r="C14" s="398" t="s">
        <v>890</v>
      </c>
      <c r="D14" s="703">
        <v>234.633197</v>
      </c>
      <c r="E14" s="399"/>
    </row>
    <row r="15" spans="2:5" ht="20.100000000000001" customHeight="1" x14ac:dyDescent="0.2">
      <c r="B15" s="421">
        <v>8</v>
      </c>
      <c r="C15" s="398" t="s">
        <v>891</v>
      </c>
      <c r="D15" s="399"/>
      <c r="E15" s="399"/>
    </row>
    <row r="16" spans="2:5" ht="20.100000000000001" customHeight="1" x14ac:dyDescent="0.2">
      <c r="B16" s="421">
        <v>9</v>
      </c>
      <c r="C16" s="398" t="s">
        <v>892</v>
      </c>
      <c r="D16" s="399"/>
      <c r="E16" s="399"/>
    </row>
    <row r="17" spans="2:5" ht="20.100000000000001" customHeight="1" x14ac:dyDescent="0.2">
      <c r="B17" s="421">
        <v>10</v>
      </c>
      <c r="C17" s="398" t="s">
        <v>893</v>
      </c>
      <c r="D17" s="399"/>
      <c r="E17" s="399"/>
    </row>
    <row r="18" spans="2:5" ht="20.100000000000001" customHeight="1" x14ac:dyDescent="0.2">
      <c r="B18" s="883">
        <v>11</v>
      </c>
      <c r="C18" s="886" t="s">
        <v>894</v>
      </c>
      <c r="D18" s="884"/>
      <c r="E18" s="884"/>
    </row>
    <row r="19" spans="2:5" ht="20.100000000000001" customHeight="1" x14ac:dyDescent="0.2">
      <c r="B19" s="421">
        <v>12</v>
      </c>
      <c r="C19" s="398" t="s">
        <v>895</v>
      </c>
      <c r="D19" s="399"/>
      <c r="E19" s="399"/>
    </row>
    <row r="20" spans="2:5" ht="20.100000000000001" customHeight="1" x14ac:dyDescent="0.2">
      <c r="B20" s="411">
        <v>13</v>
      </c>
      <c r="C20" s="527" t="s">
        <v>886</v>
      </c>
      <c r="D20" s="402"/>
      <c r="E20" s="402"/>
    </row>
    <row r="21" spans="2:5" ht="20.100000000000001" customHeight="1" x14ac:dyDescent="0.2">
      <c r="B21" s="411">
        <v>14</v>
      </c>
      <c r="C21" s="527" t="s">
        <v>887</v>
      </c>
      <c r="D21" s="402"/>
      <c r="E21" s="402"/>
    </row>
    <row r="22" spans="2:5" ht="20.100000000000001" customHeight="1" x14ac:dyDescent="0.2">
      <c r="B22" s="411">
        <v>15</v>
      </c>
      <c r="C22" s="527" t="s">
        <v>888</v>
      </c>
      <c r="D22" s="402"/>
      <c r="E22" s="402"/>
    </row>
    <row r="23" spans="2:5" ht="20.100000000000001" customHeight="1" x14ac:dyDescent="0.2">
      <c r="B23" s="411">
        <v>16</v>
      </c>
      <c r="C23" s="527" t="s">
        <v>889</v>
      </c>
      <c r="D23" s="402"/>
      <c r="E23" s="402"/>
    </row>
    <row r="24" spans="2:5" ht="20.100000000000001" customHeight="1" x14ac:dyDescent="0.2">
      <c r="B24" s="421">
        <v>17</v>
      </c>
      <c r="C24" s="398" t="s">
        <v>890</v>
      </c>
      <c r="D24" s="399"/>
      <c r="E24" s="399"/>
    </row>
    <row r="25" spans="2:5" ht="20.100000000000001" customHeight="1" x14ac:dyDescent="0.2">
      <c r="B25" s="421">
        <v>18</v>
      </c>
      <c r="C25" s="398" t="s">
        <v>891</v>
      </c>
      <c r="D25" s="399"/>
      <c r="E25" s="399"/>
    </row>
    <row r="26" spans="2:5" ht="20.100000000000001" customHeight="1" x14ac:dyDescent="0.2">
      <c r="B26" s="421">
        <v>19</v>
      </c>
      <c r="C26" s="398" t="s">
        <v>892</v>
      </c>
      <c r="D26" s="399"/>
      <c r="E26" s="399"/>
    </row>
    <row r="27" spans="2:5" ht="20.100000000000001" customHeight="1" x14ac:dyDescent="0.2">
      <c r="B27" s="421">
        <v>20</v>
      </c>
      <c r="C27" s="398" t="s">
        <v>893</v>
      </c>
      <c r="D27" s="704"/>
      <c r="E27" s="704"/>
    </row>
    <row r="35" spans="5:5" x14ac:dyDescent="0.2">
      <c r="E35" s="254"/>
    </row>
  </sheetData>
  <sheetProtection algorithmName="SHA-512" hashValue="kkSkKfJQpMhIbtdjHq7BdGTGWOGurH0KDuBiyvvk8685TPnHUJrpQC/7ZuAcd1dwTg6BvJDEREdHfhL48ZdrPw==" saltValue="vb+8jXs8JCEmZBbldSaiCg==" spinCount="100000" sheet="1" objects="1" scenarios="1"/>
  <hyperlinks>
    <hyperlink ref="B2" location="Contents!A1" display="Back to Contents page" xr:uid="{71C9FDD1-CA30-4B96-99B0-363EDBB9CCA0}"/>
  </hyperlinks>
  <pageMargins left="0.7" right="0.7" top="0.75" bottom="0.75" header="0.3" footer="0.3"/>
  <pageSetup paperSize="9" scale="51" orientation="portrait" horizontalDpi="144" verticalDpi="144"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P32"/>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271" customWidth="1"/>
    <col min="2" max="2" width="4.6640625" style="271" customWidth="1"/>
    <col min="3" max="3" width="18.33203125" style="271" customWidth="1"/>
    <col min="4" max="7" width="9.44140625" style="271" customWidth="1"/>
    <col min="8" max="9" width="9.88671875" style="271" customWidth="1"/>
    <col min="10" max="13" width="10.109375" style="271" customWidth="1"/>
    <col min="14" max="15" width="7.44140625" style="271" customWidth="1"/>
    <col min="16" max="16" width="11.21875" style="271" customWidth="1"/>
    <col min="17" max="16384" width="9.21875" style="271"/>
  </cols>
  <sheetData>
    <row r="2" spans="2:16" ht="15" x14ac:dyDescent="0.25">
      <c r="B2" s="940" t="s">
        <v>3521</v>
      </c>
    </row>
    <row r="4" spans="2:16" ht="21" x14ac:dyDescent="0.2">
      <c r="B4" s="368" t="s">
        <v>2</v>
      </c>
    </row>
    <row r="5" spans="2:16" x14ac:dyDescent="0.2">
      <c r="C5" s="280"/>
    </row>
    <row r="7" spans="2:16" ht="20.100000000000001" customHeight="1" x14ac:dyDescent="0.2">
      <c r="D7" s="436" t="s">
        <v>161</v>
      </c>
      <c r="E7" s="436" t="s">
        <v>162</v>
      </c>
      <c r="F7" s="436" t="s">
        <v>163</v>
      </c>
      <c r="G7" s="436" t="s">
        <v>200</v>
      </c>
      <c r="H7" s="436" t="s">
        <v>201</v>
      </c>
      <c r="I7" s="436" t="s">
        <v>266</v>
      </c>
      <c r="J7" s="436" t="s">
        <v>267</v>
      </c>
      <c r="K7" s="436" t="s">
        <v>268</v>
      </c>
      <c r="L7" s="436" t="s">
        <v>269</v>
      </c>
      <c r="M7" s="436" t="s">
        <v>270</v>
      </c>
      <c r="N7" s="436" t="s">
        <v>271</v>
      </c>
      <c r="O7" s="436" t="s">
        <v>272</v>
      </c>
      <c r="P7" s="436" t="s">
        <v>273</v>
      </c>
    </row>
    <row r="8" spans="2:16" ht="15.75" customHeight="1" x14ac:dyDescent="0.2">
      <c r="D8" s="964" t="s">
        <v>274</v>
      </c>
      <c r="E8" s="964"/>
      <c r="F8" s="1282" t="s">
        <v>275</v>
      </c>
      <c r="G8" s="1282"/>
      <c r="H8" s="964" t="s">
        <v>276</v>
      </c>
      <c r="I8" s="1282" t="s">
        <v>277</v>
      </c>
      <c r="J8" s="1283" t="s">
        <v>278</v>
      </c>
      <c r="K8" s="1283"/>
      <c r="L8" s="1283"/>
      <c r="M8" s="1283"/>
      <c r="N8" s="1282" t="s">
        <v>279</v>
      </c>
      <c r="O8" s="1282" t="s">
        <v>280</v>
      </c>
      <c r="P8" s="1282" t="s">
        <v>281</v>
      </c>
    </row>
    <row r="9" spans="2:16" ht="12.75" customHeight="1" x14ac:dyDescent="0.2">
      <c r="D9" s="964"/>
      <c r="E9" s="964"/>
      <c r="F9" s="1282"/>
      <c r="G9" s="1282"/>
      <c r="H9" s="964"/>
      <c r="I9" s="1282"/>
      <c r="J9" s="1283"/>
      <c r="K9" s="1283"/>
      <c r="L9" s="1283"/>
      <c r="M9" s="1283"/>
      <c r="N9" s="1282"/>
      <c r="O9" s="1282"/>
      <c r="P9" s="1282"/>
    </row>
    <row r="10" spans="2:16" ht="89.25" customHeight="1" x14ac:dyDescent="0.2">
      <c r="D10" s="436" t="s">
        <v>282</v>
      </c>
      <c r="E10" s="436" t="s">
        <v>283</v>
      </c>
      <c r="F10" s="436" t="s">
        <v>284</v>
      </c>
      <c r="G10" s="436" t="s">
        <v>285</v>
      </c>
      <c r="H10" s="964"/>
      <c r="I10" s="1282"/>
      <c r="J10" s="436" t="s">
        <v>286</v>
      </c>
      <c r="K10" s="436" t="s">
        <v>275</v>
      </c>
      <c r="L10" s="436" t="s">
        <v>287</v>
      </c>
      <c r="M10" s="707" t="s">
        <v>288</v>
      </c>
      <c r="N10" s="1282"/>
      <c r="O10" s="1282"/>
      <c r="P10" s="1282"/>
    </row>
    <row r="11" spans="2:16" ht="20.100000000000001" customHeight="1" x14ac:dyDescent="0.2">
      <c r="B11" s="720" t="s">
        <v>289</v>
      </c>
      <c r="C11" s="708" t="s">
        <v>290</v>
      </c>
      <c r="D11" s="705"/>
      <c r="E11" s="705"/>
      <c r="F11" s="705"/>
      <c r="G11" s="705"/>
      <c r="H11" s="705"/>
      <c r="I11" s="705"/>
      <c r="J11" s="705"/>
      <c r="K11" s="705"/>
      <c r="L11" s="705"/>
      <c r="M11" s="705"/>
      <c r="N11" s="705"/>
      <c r="O11" s="706"/>
      <c r="P11" s="706"/>
    </row>
    <row r="12" spans="2:16" ht="20.100000000000001" customHeight="1" x14ac:dyDescent="0.2">
      <c r="B12" s="556"/>
      <c r="C12" s="709" t="s">
        <v>3609</v>
      </c>
      <c r="D12" s="711">
        <f>72134754827/1000000</f>
        <v>72134.754826999997</v>
      </c>
      <c r="E12" s="711">
        <f>137594798122/1000000</f>
        <v>137594.79812200001</v>
      </c>
      <c r="F12" s="711"/>
      <c r="G12" s="711"/>
      <c r="H12" s="711"/>
      <c r="I12" s="712">
        <f>D12+E12+F12+G12+H12</f>
        <v>209729.552949</v>
      </c>
      <c r="J12" s="711">
        <f>6805039874/1000000</f>
        <v>6805.0398740000001</v>
      </c>
      <c r="K12" s="711"/>
      <c r="L12" s="711"/>
      <c r="M12" s="711">
        <f>J12+K12+L12</f>
        <v>6805.0398740000001</v>
      </c>
      <c r="N12" s="711">
        <f>M12*12.5</f>
        <v>85062.998424999998</v>
      </c>
      <c r="O12" s="713">
        <v>1</v>
      </c>
      <c r="P12" s="714">
        <v>0.02</v>
      </c>
    </row>
    <row r="13" spans="2:16" ht="20.100000000000001" customHeight="1" x14ac:dyDescent="0.2">
      <c r="B13" s="716" t="s">
        <v>291</v>
      </c>
      <c r="C13" s="717" t="s">
        <v>198</v>
      </c>
      <c r="D13" s="718">
        <f>D12</f>
        <v>72134.754826999997</v>
      </c>
      <c r="E13" s="718">
        <f t="shared" ref="E13:O13" si="0">E12</f>
        <v>137594.79812200001</v>
      </c>
      <c r="F13" s="718"/>
      <c r="G13" s="718"/>
      <c r="H13" s="718"/>
      <c r="I13" s="718">
        <f t="shared" si="0"/>
        <v>209729.552949</v>
      </c>
      <c r="J13" s="718">
        <f t="shared" si="0"/>
        <v>6805.0398740000001</v>
      </c>
      <c r="K13" s="718"/>
      <c r="L13" s="718"/>
      <c r="M13" s="718">
        <f t="shared" si="0"/>
        <v>6805.0398740000001</v>
      </c>
      <c r="N13" s="718">
        <f t="shared" si="0"/>
        <v>85062.998424999998</v>
      </c>
      <c r="O13" s="719">
        <f t="shared" si="0"/>
        <v>1</v>
      </c>
      <c r="P13" s="715"/>
    </row>
    <row r="32" spans="6:6" x14ac:dyDescent="0.2">
      <c r="F32" s="254"/>
    </row>
  </sheetData>
  <sheetProtection algorithmName="SHA-512" hashValue="2z0Hrl5mVFG12iyCs+sbzH4MRaJEYdCpvOe3+jjLb4COLPMpW3Yvt1i6bMgoJUiXJo3Q1FMizvhB6si2gfss9Q==" saltValue="0Z+4nPN9fdIsRFvsPxi59Q==" spinCount="100000" sheet="1" objects="1" scenarios="1"/>
  <mergeCells count="8">
    <mergeCell ref="O8:O10"/>
    <mergeCell ref="P8:P10"/>
    <mergeCell ref="D8:E9"/>
    <mergeCell ref="F8:G9"/>
    <mergeCell ref="H8:H10"/>
    <mergeCell ref="I8:I10"/>
    <mergeCell ref="J8:M9"/>
    <mergeCell ref="N8:N10"/>
  </mergeCells>
  <conditionalFormatting sqref="J11:N11 D11:I12 J12:O12 D13:O13">
    <cfRule type="cellIs" dxfId="3" priority="13" stopIfTrue="1" operator="lessThan">
      <formula>0</formula>
    </cfRule>
  </conditionalFormatting>
  <conditionalFormatting sqref="P13">
    <cfRule type="cellIs" dxfId="2" priority="12" stopIfTrue="1" operator="lessThan">
      <formula>0</formula>
    </cfRule>
  </conditionalFormatting>
  <conditionalFormatting sqref="P12">
    <cfRule type="cellIs" dxfId="1" priority="1" stopIfTrue="1" operator="lessThan">
      <formula>0</formula>
    </cfRule>
  </conditionalFormatting>
  <hyperlinks>
    <hyperlink ref="B2" location="Contents!A1" display="Back to Contents page" xr:uid="{56EDF468-9C39-499E-839C-4E7F935A27AA}"/>
  </hyperlinks>
  <pageMargins left="0.7" right="0.7" top="0.75" bottom="0.75" header="0.3" footer="0.3"/>
  <pageSetup paperSize="9" scale="23" orientation="portrait" horizontalDpi="144" verticalDpi="144" r:id="rId1"/>
  <ignoredErrors>
    <ignoredError sqref="D13:E13 I13:J13 M13:O13 M12 I12 D12:H12 J12:L12 N12" unlockedFormula="1"/>
    <ignoredError sqref="B11:B13" numberStoredAsText="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D10"/>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254" customWidth="1"/>
    <col min="2" max="2" width="5.88671875" style="254" customWidth="1"/>
    <col min="3" max="3" width="43.88671875" style="254" customWidth="1"/>
    <col min="4" max="4" width="10.6640625" style="254" customWidth="1"/>
    <col min="5" max="5" width="5.109375" style="254" customWidth="1"/>
    <col min="6" max="6" width="12.88671875" style="254" customWidth="1"/>
    <col min="7" max="7" width="20.109375" style="254" bestFit="1" customWidth="1"/>
    <col min="8" max="8" width="10.88671875" style="254" customWidth="1"/>
    <col min="9" max="9" width="20.109375" style="254" bestFit="1" customWidth="1"/>
    <col min="10" max="16384" width="9.21875" style="254"/>
  </cols>
  <sheetData>
    <row r="2" spans="2:4" ht="15" x14ac:dyDescent="0.25">
      <c r="B2" s="940" t="s">
        <v>3521</v>
      </c>
      <c r="C2" s="298"/>
    </row>
    <row r="4" spans="2:4" ht="21" x14ac:dyDescent="0.35">
      <c r="B4" s="369" t="s">
        <v>3</v>
      </c>
    </row>
    <row r="7" spans="2:4" ht="20.100000000000001" customHeight="1" x14ac:dyDescent="0.2">
      <c r="D7" s="433" t="s">
        <v>161</v>
      </c>
    </row>
    <row r="8" spans="2:4" ht="20.100000000000001" customHeight="1" x14ac:dyDescent="0.2">
      <c r="B8" s="887">
        <v>1</v>
      </c>
      <c r="C8" s="717" t="s">
        <v>128</v>
      </c>
      <c r="D8" s="912">
        <f>71399318019/1000000</f>
        <v>71399.318018999998</v>
      </c>
    </row>
    <row r="9" spans="2:4" ht="20.100000000000001" customHeight="1" x14ac:dyDescent="0.2">
      <c r="B9" s="721">
        <v>2</v>
      </c>
      <c r="C9" s="710" t="s">
        <v>292</v>
      </c>
      <c r="D9" s="913">
        <v>0.02</v>
      </c>
    </row>
    <row r="10" spans="2:4" ht="20.100000000000001" customHeight="1" x14ac:dyDescent="0.2">
      <c r="B10" s="721">
        <v>3</v>
      </c>
      <c r="C10" s="710" t="s">
        <v>293</v>
      </c>
      <c r="D10" s="914">
        <f>1427986361/1000000</f>
        <v>1427.986361</v>
      </c>
    </row>
  </sheetData>
  <sheetProtection algorithmName="SHA-512" hashValue="kw+y37vN9OjkssfChOAtVTkBPbXhRKcYvscN+Bit9zs3ptUhHhSr6xQXUrWB8fKYoXQthDB9UDz0DzdOa80R5g==" saltValue="5IBoLj/kb6MoiAXid+OcsQ==" spinCount="100000" sheet="1" objects="1" scenarios="1"/>
  <conditionalFormatting sqref="D9:D10">
    <cfRule type="cellIs" dxfId="0" priority="2" stopIfTrue="1" operator="lessThan">
      <formula>0</formula>
    </cfRule>
  </conditionalFormatting>
  <hyperlinks>
    <hyperlink ref="B2" location="Contents!A1" display="Back to Contents page" xr:uid="{6F42139B-4E5F-4410-88A4-FD1F386AFEFE}"/>
  </hyperlinks>
  <pageMargins left="0.7" right="0.7" top="0.75" bottom="0.75" header="0.3" footer="0.3"/>
  <pageSetup paperSize="9" scale="74" orientation="portrait" horizontalDpi="144" verticalDpi="144" r:id="rId1"/>
  <ignoredErrors>
    <ignoredError sqref="D10 D8" unlockedFormula="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I16"/>
  <sheetViews>
    <sheetView workbookViewId="0"/>
  </sheetViews>
  <sheetFormatPr baseColWidth="10" defaultColWidth="9.21875" defaultRowHeight="15" x14ac:dyDescent="0.25"/>
  <cols>
    <col min="3" max="3" width="37.44140625" customWidth="1"/>
    <col min="4" max="4" width="21.44140625" customWidth="1"/>
    <col min="5" max="5" width="22.109375" customWidth="1"/>
  </cols>
  <sheetData>
    <row r="2" spans="2:9" ht="20.25" x14ac:dyDescent="0.3">
      <c r="B2" s="1" t="s">
        <v>832</v>
      </c>
    </row>
    <row r="3" spans="2:9" ht="15.75" x14ac:dyDescent="0.25">
      <c r="C3" s="15" t="s">
        <v>833</v>
      </c>
    </row>
    <row r="4" spans="2:9" x14ac:dyDescent="0.25">
      <c r="C4" s="2"/>
      <c r="D4" s="3"/>
      <c r="E4" s="3"/>
    </row>
    <row r="5" spans="2:9" ht="20.100000000000001" customHeight="1" x14ac:dyDescent="0.25">
      <c r="C5" s="8"/>
      <c r="D5" s="188" t="s">
        <v>161</v>
      </c>
      <c r="E5" s="23" t="s">
        <v>162</v>
      </c>
    </row>
    <row r="6" spans="2:9" ht="20.100000000000001" customHeight="1" x14ac:dyDescent="0.25">
      <c r="C6" s="8"/>
      <c r="D6" s="208" t="s">
        <v>834</v>
      </c>
      <c r="E6" s="205" t="s">
        <v>835</v>
      </c>
    </row>
    <row r="7" spans="2:9" ht="20.100000000000001" customHeight="1" x14ac:dyDescent="0.25">
      <c r="B7" s="12" t="s">
        <v>836</v>
      </c>
      <c r="C7" s="33"/>
      <c r="D7" s="31"/>
      <c r="E7" s="32"/>
      <c r="F7" s="24"/>
      <c r="I7" s="24"/>
    </row>
    <row r="8" spans="2:9" ht="27.75" customHeight="1" x14ac:dyDescent="0.25">
      <c r="B8" s="16">
        <v>1</v>
      </c>
      <c r="C8" s="13" t="s">
        <v>837</v>
      </c>
      <c r="D8" s="6" t="s">
        <v>838</v>
      </c>
      <c r="E8" s="6" t="s">
        <v>839</v>
      </c>
    </row>
    <row r="9" spans="2:9" x14ac:dyDescent="0.25">
      <c r="B9" s="16">
        <v>2</v>
      </c>
      <c r="C9" s="13" t="s">
        <v>840</v>
      </c>
      <c r="D9" s="6" t="s">
        <v>841</v>
      </c>
      <c r="E9" s="6" t="s">
        <v>842</v>
      </c>
    </row>
    <row r="10" spans="2:9" x14ac:dyDescent="0.25">
      <c r="B10" s="16">
        <v>3</v>
      </c>
      <c r="C10" s="13" t="s">
        <v>843</v>
      </c>
      <c r="D10" s="6" t="s">
        <v>844</v>
      </c>
      <c r="E10" s="6" t="s">
        <v>845</v>
      </c>
    </row>
    <row r="11" spans="2:9" x14ac:dyDescent="0.25">
      <c r="B11" s="16">
        <v>4</v>
      </c>
      <c r="C11" s="13" t="s">
        <v>846</v>
      </c>
      <c r="D11" s="6" t="s">
        <v>847</v>
      </c>
      <c r="E11" s="6" t="s">
        <v>848</v>
      </c>
    </row>
    <row r="12" spans="2:9" x14ac:dyDescent="0.25">
      <c r="B12" s="16">
        <v>5</v>
      </c>
      <c r="C12" s="13" t="s">
        <v>849</v>
      </c>
      <c r="D12" s="6" t="s">
        <v>850</v>
      </c>
      <c r="E12" s="6" t="s">
        <v>851</v>
      </c>
    </row>
    <row r="13" spans="2:9" ht="27.75" customHeight="1" x14ac:dyDescent="0.25">
      <c r="B13" s="16">
        <v>6</v>
      </c>
      <c r="C13" s="12" t="s">
        <v>852</v>
      </c>
      <c r="D13" s="6" t="s">
        <v>853</v>
      </c>
      <c r="E13" s="6" t="s">
        <v>854</v>
      </c>
    </row>
    <row r="14" spans="2:9" ht="20.100000000000001" customHeight="1" x14ac:dyDescent="0.25">
      <c r="B14" s="34" t="s">
        <v>855</v>
      </c>
      <c r="C14" s="33"/>
      <c r="D14" s="30"/>
      <c r="E14" s="30"/>
      <c r="F14" s="24"/>
    </row>
    <row r="15" spans="2:9" ht="20.100000000000001" customHeight="1" x14ac:dyDescent="0.25">
      <c r="B15" s="18">
        <v>7</v>
      </c>
      <c r="C15" s="13" t="s">
        <v>856</v>
      </c>
      <c r="D15" s="6" t="s">
        <v>857</v>
      </c>
      <c r="E15" s="6" t="s">
        <v>858</v>
      </c>
      <c r="I15" s="24"/>
    </row>
    <row r="16" spans="2:9" ht="20.100000000000001" customHeight="1" x14ac:dyDescent="0.25">
      <c r="B16" s="18">
        <v>8</v>
      </c>
      <c r="C16" s="13" t="s">
        <v>859</v>
      </c>
      <c r="D16" s="6" t="s">
        <v>860</v>
      </c>
      <c r="E16" s="6" t="s">
        <v>861</v>
      </c>
    </row>
  </sheetData>
  <pageMargins left="0.70866141732283472" right="0.70866141732283472" top="0.74803149606299213" bottom="0.74803149606299213" header="0.31496062992125984" footer="0.31496062992125984"/>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E18"/>
  <sheetViews>
    <sheetView workbookViewId="0"/>
  </sheetViews>
  <sheetFormatPr baseColWidth="10" defaultColWidth="9.21875" defaultRowHeight="15" x14ac:dyDescent="0.25"/>
  <cols>
    <col min="4" max="4" width="55.109375" customWidth="1"/>
    <col min="5" max="5" width="37.109375" customWidth="1"/>
  </cols>
  <sheetData>
    <row r="2" spans="2:5" ht="20.25" x14ac:dyDescent="0.3">
      <c r="B2" s="1" t="s">
        <v>862</v>
      </c>
    </row>
    <row r="3" spans="2:5" ht="15.75" x14ac:dyDescent="0.25">
      <c r="D3" s="15" t="s">
        <v>295</v>
      </c>
    </row>
    <row r="4" spans="2:5" x14ac:dyDescent="0.25">
      <c r="C4" s="3"/>
      <c r="D4" s="3"/>
      <c r="E4" s="14"/>
    </row>
    <row r="5" spans="2:5" x14ac:dyDescent="0.25">
      <c r="C5" s="20"/>
      <c r="D5" s="20"/>
      <c r="E5" s="188" t="s">
        <v>161</v>
      </c>
    </row>
    <row r="6" spans="2:5" x14ac:dyDescent="0.25">
      <c r="C6" s="20"/>
      <c r="D6" s="25"/>
      <c r="E6" s="188" t="s">
        <v>863</v>
      </c>
    </row>
    <row r="7" spans="2:5" ht="76.5" x14ac:dyDescent="0.25">
      <c r="C7" s="21">
        <v>1</v>
      </c>
      <c r="D7" s="22" t="s">
        <v>864</v>
      </c>
      <c r="E7" s="28" t="s">
        <v>865</v>
      </c>
    </row>
    <row r="8" spans="2:5" ht="76.5" x14ac:dyDescent="0.25">
      <c r="C8" s="188">
        <v>2</v>
      </c>
      <c r="D8" s="189" t="s">
        <v>866</v>
      </c>
      <c r="E8" s="28" t="s">
        <v>867</v>
      </c>
    </row>
    <row r="9" spans="2:5" ht="76.5" x14ac:dyDescent="0.25">
      <c r="C9" s="188">
        <v>3</v>
      </c>
      <c r="D9" s="189" t="s">
        <v>868</v>
      </c>
      <c r="E9" s="28" t="s">
        <v>869</v>
      </c>
    </row>
    <row r="10" spans="2:5" ht="76.5" x14ac:dyDescent="0.25">
      <c r="C10" s="188">
        <v>4</v>
      </c>
      <c r="D10" s="189" t="s">
        <v>870</v>
      </c>
      <c r="E10" s="28" t="s">
        <v>871</v>
      </c>
    </row>
    <row r="11" spans="2:5" ht="76.5" x14ac:dyDescent="0.25">
      <c r="C11" s="188">
        <v>5</v>
      </c>
      <c r="D11" s="189" t="s">
        <v>872</v>
      </c>
      <c r="E11" s="28" t="s">
        <v>873</v>
      </c>
    </row>
    <row r="12" spans="2:5" ht="76.5" x14ac:dyDescent="0.25">
      <c r="C12" s="188">
        <v>6</v>
      </c>
      <c r="D12" s="189" t="s">
        <v>874</v>
      </c>
      <c r="E12" s="28" t="s">
        <v>875</v>
      </c>
    </row>
    <row r="13" spans="2:5" ht="76.5" x14ac:dyDescent="0.25">
      <c r="C13" s="188">
        <v>7</v>
      </c>
      <c r="D13" s="189" t="s">
        <v>876</v>
      </c>
      <c r="E13" s="28" t="s">
        <v>877</v>
      </c>
    </row>
    <row r="14" spans="2:5" ht="76.5" x14ac:dyDescent="0.25">
      <c r="C14" s="188">
        <v>8</v>
      </c>
      <c r="D14" s="189" t="s">
        <v>878</v>
      </c>
      <c r="E14" s="28" t="s">
        <v>879</v>
      </c>
    </row>
    <row r="15" spans="2:5" ht="76.5" x14ac:dyDescent="0.25">
      <c r="C15" s="21">
        <v>9</v>
      </c>
      <c r="D15" s="22" t="s">
        <v>880</v>
      </c>
      <c r="E15" s="28" t="s">
        <v>881</v>
      </c>
    </row>
    <row r="16" spans="2:5" x14ac:dyDescent="0.25">
      <c r="C16" s="19"/>
      <c r="D16" s="19"/>
      <c r="E16" s="19"/>
    </row>
    <row r="17" spans="3:3" x14ac:dyDescent="0.25">
      <c r="C17" s="27"/>
    </row>
    <row r="18" spans="3:3" x14ac:dyDescent="0.25">
      <c r="C18" s="24"/>
    </row>
  </sheetData>
  <pageMargins left="0.70866141732283472" right="0.70866141732283472" top="0.74803149606299213" bottom="0.74803149606299213" header="0.31496062992125984" footer="0.31496062992125984"/>
  <pageSetup paperSize="9" scale="64" orientation="landscape"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3:Q24"/>
  <sheetViews>
    <sheetView workbookViewId="0"/>
  </sheetViews>
  <sheetFormatPr baseColWidth="10" defaultColWidth="9.21875" defaultRowHeight="15" x14ac:dyDescent="0.25"/>
  <cols>
    <col min="2" max="2" width="27.21875" customWidth="1"/>
    <col min="3" max="17" width="34.77734375" customWidth="1"/>
  </cols>
  <sheetData>
    <row r="3" spans="1:17" ht="39.75" customHeight="1" x14ac:dyDescent="0.25">
      <c r="B3" s="1287" t="s">
        <v>1433</v>
      </c>
      <c r="C3" s="1287"/>
      <c r="D3" s="1287"/>
      <c r="E3" s="1287"/>
      <c r="F3" s="1287"/>
      <c r="G3" s="1287"/>
      <c r="H3" s="1287"/>
      <c r="I3" s="1287"/>
      <c r="J3" s="1287"/>
    </row>
    <row r="4" spans="1:17" x14ac:dyDescent="0.25">
      <c r="B4" s="24"/>
    </row>
    <row r="5" spans="1:17" ht="20.25" x14ac:dyDescent="0.3">
      <c r="A5" s="19"/>
      <c r="B5" s="1288" t="s">
        <v>1434</v>
      </c>
      <c r="C5" s="1288"/>
      <c r="D5" s="1288"/>
      <c r="E5" s="1288"/>
      <c r="F5" s="1288"/>
      <c r="G5" s="1288"/>
      <c r="H5" s="1288"/>
      <c r="I5" s="1288"/>
      <c r="J5" s="1288"/>
      <c r="K5" s="1288"/>
      <c r="L5" s="1288"/>
      <c r="M5" s="1288"/>
      <c r="N5" s="1288"/>
      <c r="O5" s="1288"/>
      <c r="P5" s="1288"/>
      <c r="Q5" s="1288"/>
    </row>
    <row r="8" spans="1:17" x14ac:dyDescent="0.25">
      <c r="A8" s="66"/>
      <c r="B8" s="67"/>
      <c r="C8" s="199" t="s">
        <v>161</v>
      </c>
      <c r="D8" s="199" t="s">
        <v>162</v>
      </c>
      <c r="E8" s="199" t="s">
        <v>163</v>
      </c>
      <c r="F8" s="199" t="s">
        <v>200</v>
      </c>
      <c r="G8" s="199" t="s">
        <v>201</v>
      </c>
      <c r="H8" s="199" t="s">
        <v>266</v>
      </c>
      <c r="I8" s="199" t="s">
        <v>267</v>
      </c>
      <c r="J8" s="199" t="s">
        <v>268</v>
      </c>
      <c r="K8" s="199" t="s">
        <v>269</v>
      </c>
      <c r="L8" s="199" t="s">
        <v>270</v>
      </c>
      <c r="M8" s="199" t="s">
        <v>271</v>
      </c>
      <c r="N8" s="199" t="s">
        <v>272</v>
      </c>
      <c r="O8" s="199" t="s">
        <v>273</v>
      </c>
      <c r="P8" s="199" t="s">
        <v>897</v>
      </c>
      <c r="Q8" s="199" t="s">
        <v>898</v>
      </c>
    </row>
    <row r="9" spans="1:17" x14ac:dyDescent="0.25">
      <c r="A9" s="66"/>
      <c r="B9" s="67"/>
      <c r="C9" s="1289" t="s">
        <v>1435</v>
      </c>
      <c r="D9" s="1289"/>
      <c r="E9" s="1289"/>
      <c r="F9" s="1289"/>
      <c r="G9" s="1289"/>
      <c r="H9" s="1289"/>
      <c r="I9" s="1289"/>
      <c r="J9" s="1289" t="s">
        <v>1436</v>
      </c>
      <c r="K9" s="1289"/>
      <c r="L9" s="1289"/>
      <c r="M9" s="1289"/>
      <c r="N9" s="1289" t="s">
        <v>1437</v>
      </c>
      <c r="O9" s="1289"/>
      <c r="P9" s="1289"/>
      <c r="Q9" s="1289"/>
    </row>
    <row r="10" spans="1:17" x14ac:dyDescent="0.25">
      <c r="A10" s="66"/>
      <c r="B10" s="67"/>
      <c r="C10" s="1290" t="s">
        <v>1438</v>
      </c>
      <c r="D10" s="1291"/>
      <c r="E10" s="1291"/>
      <c r="F10" s="1292"/>
      <c r="G10" s="1293" t="s">
        <v>1439</v>
      </c>
      <c r="H10" s="1289"/>
      <c r="I10" s="212" t="s">
        <v>1440</v>
      </c>
      <c r="J10" s="1289" t="s">
        <v>1438</v>
      </c>
      <c r="K10" s="1289"/>
      <c r="L10" s="1286" t="s">
        <v>1439</v>
      </c>
      <c r="M10" s="212" t="s">
        <v>1440</v>
      </c>
      <c r="N10" s="1289" t="s">
        <v>1438</v>
      </c>
      <c r="O10" s="1289"/>
      <c r="P10" s="1286" t="s">
        <v>1439</v>
      </c>
      <c r="Q10" s="212" t="s">
        <v>1440</v>
      </c>
    </row>
    <row r="11" spans="1:17" x14ac:dyDescent="0.25">
      <c r="A11" s="66"/>
      <c r="B11" s="67"/>
      <c r="C11" s="1294" t="s">
        <v>1441</v>
      </c>
      <c r="D11" s="1292"/>
      <c r="E11" s="1294" t="s">
        <v>1442</v>
      </c>
      <c r="F11" s="1292"/>
      <c r="G11" s="1284"/>
      <c r="H11" s="1286" t="s">
        <v>1443</v>
      </c>
      <c r="I11" s="1284"/>
      <c r="J11" s="1286" t="s">
        <v>1441</v>
      </c>
      <c r="K11" s="1286" t="s">
        <v>1442</v>
      </c>
      <c r="L11" s="1284"/>
      <c r="M11" s="1284"/>
      <c r="N11" s="1286" t="s">
        <v>1441</v>
      </c>
      <c r="O11" s="1286" t="s">
        <v>1442</v>
      </c>
      <c r="P11" s="1284"/>
      <c r="Q11" s="1284"/>
    </row>
    <row r="12" spans="1:17" x14ac:dyDescent="0.25">
      <c r="A12" s="68"/>
      <c r="B12" s="69"/>
      <c r="C12" s="213"/>
      <c r="D12" s="199" t="s">
        <v>1443</v>
      </c>
      <c r="E12" s="213"/>
      <c r="F12" s="199" t="s">
        <v>1443</v>
      </c>
      <c r="G12" s="1285"/>
      <c r="H12" s="1285"/>
      <c r="I12" s="1285"/>
      <c r="J12" s="1285"/>
      <c r="K12" s="1285"/>
      <c r="L12" s="1285"/>
      <c r="M12" s="1285"/>
      <c r="N12" s="1285"/>
      <c r="O12" s="1285"/>
      <c r="P12" s="1285"/>
      <c r="Q12" s="1285"/>
    </row>
    <row r="13" spans="1:17" ht="147" customHeight="1" x14ac:dyDescent="0.25">
      <c r="A13" s="70">
        <v>1</v>
      </c>
      <c r="B13" s="71" t="s">
        <v>1444</v>
      </c>
      <c r="C13" s="201" t="s">
        <v>1445</v>
      </c>
      <c r="D13" s="201" t="s">
        <v>1446</v>
      </c>
      <c r="E13" s="201" t="s">
        <v>1447</v>
      </c>
      <c r="F13" s="201" t="s">
        <v>1448</v>
      </c>
      <c r="G13" s="201" t="s">
        <v>1449</v>
      </c>
      <c r="H13" s="201" t="s">
        <v>1450</v>
      </c>
      <c r="I13" s="201" t="s">
        <v>1451</v>
      </c>
      <c r="J13" s="201" t="s">
        <v>1452</v>
      </c>
      <c r="K13" s="201" t="s">
        <v>1453</v>
      </c>
      <c r="L13" s="201" t="s">
        <v>1454</v>
      </c>
      <c r="M13" s="201" t="s">
        <v>1455</v>
      </c>
      <c r="N13" s="201" t="s">
        <v>1456</v>
      </c>
      <c r="O13" s="201" t="s">
        <v>1457</v>
      </c>
      <c r="P13" s="201" t="s">
        <v>1458</v>
      </c>
      <c r="Q13" s="201" t="s">
        <v>1459</v>
      </c>
    </row>
    <row r="14" spans="1:17" ht="217.5" customHeight="1" x14ac:dyDescent="0.25">
      <c r="A14" s="18">
        <v>2</v>
      </c>
      <c r="B14" s="202" t="s">
        <v>1460</v>
      </c>
      <c r="C14" s="201" t="s">
        <v>1461</v>
      </c>
      <c r="D14" s="201" t="s">
        <v>1462</v>
      </c>
      <c r="E14" s="201" t="s">
        <v>1463</v>
      </c>
      <c r="F14" s="201" t="s">
        <v>1464</v>
      </c>
      <c r="G14" s="201" t="s">
        <v>1465</v>
      </c>
      <c r="H14" s="201" t="s">
        <v>1466</v>
      </c>
      <c r="I14" s="201" t="s">
        <v>1467</v>
      </c>
      <c r="J14" s="201" t="s">
        <v>1468</v>
      </c>
      <c r="K14" s="201" t="s">
        <v>1469</v>
      </c>
      <c r="L14" s="201" t="s">
        <v>1470</v>
      </c>
      <c r="M14" s="201" t="s">
        <v>1471</v>
      </c>
      <c r="N14" s="201" t="s">
        <v>1472</v>
      </c>
      <c r="O14" s="201" t="s">
        <v>1473</v>
      </c>
      <c r="P14" s="201" t="s">
        <v>1474</v>
      </c>
      <c r="Q14" s="201" t="s">
        <v>1475</v>
      </c>
    </row>
    <row r="15" spans="1:17" ht="150" x14ac:dyDescent="0.25">
      <c r="A15" s="18">
        <v>3</v>
      </c>
      <c r="B15" s="203" t="s">
        <v>1476</v>
      </c>
      <c r="C15" s="201" t="s">
        <v>1477</v>
      </c>
      <c r="D15" s="201" t="s">
        <v>1478</v>
      </c>
      <c r="E15" s="201" t="s">
        <v>1479</v>
      </c>
      <c r="F15" s="201" t="s">
        <v>1480</v>
      </c>
      <c r="G15" s="201" t="s">
        <v>1481</v>
      </c>
      <c r="H15" s="201" t="s">
        <v>1482</v>
      </c>
      <c r="I15" s="201" t="s">
        <v>1483</v>
      </c>
      <c r="J15" s="201" t="s">
        <v>1484</v>
      </c>
      <c r="K15" s="201" t="s">
        <v>1485</v>
      </c>
      <c r="L15" s="201" t="s">
        <v>1486</v>
      </c>
      <c r="M15" s="201" t="s">
        <v>1487</v>
      </c>
      <c r="N15" s="201" t="s">
        <v>1488</v>
      </c>
      <c r="O15" s="201" t="s">
        <v>1489</v>
      </c>
      <c r="P15" s="201" t="s">
        <v>1490</v>
      </c>
      <c r="Q15" s="201" t="s">
        <v>1491</v>
      </c>
    </row>
    <row r="16" spans="1:17" ht="150" x14ac:dyDescent="0.25">
      <c r="A16" s="18">
        <v>4</v>
      </c>
      <c r="B16" s="203" t="s">
        <v>1492</v>
      </c>
      <c r="C16" s="201" t="s">
        <v>1493</v>
      </c>
      <c r="D16" s="201" t="s">
        <v>1494</v>
      </c>
      <c r="E16" s="201" t="s">
        <v>1495</v>
      </c>
      <c r="F16" s="201" t="s">
        <v>1496</v>
      </c>
      <c r="G16" s="201" t="s">
        <v>1497</v>
      </c>
      <c r="H16" s="201" t="s">
        <v>1498</v>
      </c>
      <c r="I16" s="201" t="s">
        <v>1499</v>
      </c>
      <c r="J16" s="201" t="s">
        <v>1500</v>
      </c>
      <c r="K16" s="201" t="s">
        <v>1501</v>
      </c>
      <c r="L16" s="201" t="s">
        <v>1502</v>
      </c>
      <c r="M16" s="201" t="s">
        <v>1503</v>
      </c>
      <c r="N16" s="201" t="s">
        <v>1504</v>
      </c>
      <c r="O16" s="201" t="s">
        <v>1505</v>
      </c>
      <c r="P16" s="201" t="s">
        <v>1506</v>
      </c>
      <c r="Q16" s="201" t="s">
        <v>1507</v>
      </c>
    </row>
    <row r="17" spans="1:17" ht="180" x14ac:dyDescent="0.25">
      <c r="A17" s="18">
        <v>5</v>
      </c>
      <c r="B17" s="203" t="s">
        <v>1508</v>
      </c>
      <c r="C17" s="201" t="s">
        <v>1509</v>
      </c>
      <c r="D17" s="201" t="s">
        <v>1510</v>
      </c>
      <c r="E17" s="201" t="s">
        <v>1511</v>
      </c>
      <c r="F17" s="201" t="s">
        <v>1512</v>
      </c>
      <c r="G17" s="201" t="s">
        <v>1513</v>
      </c>
      <c r="H17" s="201" t="s">
        <v>1514</v>
      </c>
      <c r="I17" s="201" t="s">
        <v>1515</v>
      </c>
      <c r="J17" s="201" t="s">
        <v>1516</v>
      </c>
      <c r="K17" s="201" t="s">
        <v>1517</v>
      </c>
      <c r="L17" s="201" t="s">
        <v>1518</v>
      </c>
      <c r="M17" s="201" t="s">
        <v>1519</v>
      </c>
      <c r="N17" s="201" t="s">
        <v>1520</v>
      </c>
      <c r="O17" s="201" t="s">
        <v>1521</v>
      </c>
      <c r="P17" s="201" t="s">
        <v>1522</v>
      </c>
      <c r="Q17" s="201" t="s">
        <v>1523</v>
      </c>
    </row>
    <row r="18" spans="1:17" ht="229.5" customHeight="1" x14ac:dyDescent="0.25">
      <c r="A18" s="18">
        <v>6</v>
      </c>
      <c r="B18" s="203" t="s">
        <v>1524</v>
      </c>
      <c r="C18" s="201" t="s">
        <v>1525</v>
      </c>
      <c r="D18" s="201" t="s">
        <v>1526</v>
      </c>
      <c r="E18" s="201" t="s">
        <v>1527</v>
      </c>
      <c r="F18" s="201" t="s">
        <v>1528</v>
      </c>
      <c r="G18" s="201" t="s">
        <v>1529</v>
      </c>
      <c r="H18" s="201" t="s">
        <v>1530</v>
      </c>
      <c r="I18" s="201" t="s">
        <v>1531</v>
      </c>
      <c r="J18" s="201" t="s">
        <v>1532</v>
      </c>
      <c r="K18" s="201" t="s">
        <v>1533</v>
      </c>
      <c r="L18" s="201" t="s">
        <v>1534</v>
      </c>
      <c r="M18" s="201" t="s">
        <v>1535</v>
      </c>
      <c r="N18" s="201" t="s">
        <v>1536</v>
      </c>
      <c r="O18" s="201" t="s">
        <v>1537</v>
      </c>
      <c r="P18" s="201" t="s">
        <v>1538</v>
      </c>
      <c r="Q18" s="201" t="s">
        <v>1539</v>
      </c>
    </row>
    <row r="19" spans="1:17" ht="195" x14ac:dyDescent="0.25">
      <c r="A19" s="18">
        <v>7</v>
      </c>
      <c r="B19" s="38" t="s">
        <v>1540</v>
      </c>
      <c r="C19" s="201" t="s">
        <v>1541</v>
      </c>
      <c r="D19" s="201" t="s">
        <v>1542</v>
      </c>
      <c r="E19" s="201" t="s">
        <v>1543</v>
      </c>
      <c r="F19" s="201" t="s">
        <v>1544</v>
      </c>
      <c r="G19" s="201" t="s">
        <v>1545</v>
      </c>
      <c r="H19" s="201" t="s">
        <v>1546</v>
      </c>
      <c r="I19" s="201" t="s">
        <v>1547</v>
      </c>
      <c r="J19" s="201" t="s">
        <v>1548</v>
      </c>
      <c r="K19" s="201" t="s">
        <v>1549</v>
      </c>
      <c r="L19" s="201" t="s">
        <v>1550</v>
      </c>
      <c r="M19" s="201" t="s">
        <v>1551</v>
      </c>
      <c r="N19" s="201" t="s">
        <v>1552</v>
      </c>
      <c r="O19" s="201" t="s">
        <v>1553</v>
      </c>
      <c r="P19" s="201" t="s">
        <v>1554</v>
      </c>
      <c r="Q19" s="201" t="s">
        <v>1555</v>
      </c>
    </row>
    <row r="20" spans="1:17" ht="165" x14ac:dyDescent="0.25">
      <c r="A20" s="18">
        <v>8</v>
      </c>
      <c r="B20" s="203" t="s">
        <v>1556</v>
      </c>
      <c r="C20" s="201" t="s">
        <v>1557</v>
      </c>
      <c r="D20" s="201" t="s">
        <v>1558</v>
      </c>
      <c r="E20" s="201" t="s">
        <v>1559</v>
      </c>
      <c r="F20" s="201" t="s">
        <v>1560</v>
      </c>
      <c r="G20" s="201" t="s">
        <v>1561</v>
      </c>
      <c r="H20" s="201" t="s">
        <v>1562</v>
      </c>
      <c r="I20" s="201" t="s">
        <v>1563</v>
      </c>
      <c r="J20" s="201" t="s">
        <v>1564</v>
      </c>
      <c r="K20" s="201" t="s">
        <v>1565</v>
      </c>
      <c r="L20" s="201" t="s">
        <v>1566</v>
      </c>
      <c r="M20" s="201" t="s">
        <v>1567</v>
      </c>
      <c r="N20" s="201" t="s">
        <v>1568</v>
      </c>
      <c r="O20" s="201" t="s">
        <v>1569</v>
      </c>
      <c r="P20" s="201" t="s">
        <v>1570</v>
      </c>
      <c r="Q20" s="201" t="s">
        <v>1571</v>
      </c>
    </row>
    <row r="21" spans="1:17" ht="150" x14ac:dyDescent="0.25">
      <c r="A21" s="18">
        <v>9</v>
      </c>
      <c r="B21" s="203" t="s">
        <v>1572</v>
      </c>
      <c r="C21" s="201" t="s">
        <v>1573</v>
      </c>
      <c r="D21" s="201" t="s">
        <v>1574</v>
      </c>
      <c r="E21" s="201" t="s">
        <v>1575</v>
      </c>
      <c r="F21" s="201" t="s">
        <v>1576</v>
      </c>
      <c r="G21" s="201" t="s">
        <v>1577</v>
      </c>
      <c r="H21" s="201" t="s">
        <v>1578</v>
      </c>
      <c r="I21" s="201" t="s">
        <v>1579</v>
      </c>
      <c r="J21" s="201" t="s">
        <v>1580</v>
      </c>
      <c r="K21" s="201" t="s">
        <v>1581</v>
      </c>
      <c r="L21" s="201" t="s">
        <v>1582</v>
      </c>
      <c r="M21" s="201" t="s">
        <v>1583</v>
      </c>
      <c r="N21" s="201" t="s">
        <v>1584</v>
      </c>
      <c r="O21" s="201" t="s">
        <v>1585</v>
      </c>
      <c r="P21" s="201" t="s">
        <v>1586</v>
      </c>
      <c r="Q21" s="201" t="s">
        <v>1587</v>
      </c>
    </row>
    <row r="22" spans="1:17" ht="165" x14ac:dyDescent="0.25">
      <c r="A22" s="18">
        <v>10</v>
      </c>
      <c r="B22" s="203" t="s">
        <v>1588</v>
      </c>
      <c r="C22" s="201" t="s">
        <v>1589</v>
      </c>
      <c r="D22" s="201" t="s">
        <v>1590</v>
      </c>
      <c r="E22" s="201" t="s">
        <v>1591</v>
      </c>
      <c r="F22" s="201" t="s">
        <v>1592</v>
      </c>
      <c r="G22" s="201" t="s">
        <v>1593</v>
      </c>
      <c r="H22" s="201" t="s">
        <v>1594</v>
      </c>
      <c r="I22" s="201" t="s">
        <v>1595</v>
      </c>
      <c r="J22" s="201" t="s">
        <v>1596</v>
      </c>
      <c r="K22" s="201" t="s">
        <v>1597</v>
      </c>
      <c r="L22" s="201" t="s">
        <v>1598</v>
      </c>
      <c r="M22" s="201" t="s">
        <v>1599</v>
      </c>
      <c r="N22" s="201" t="s">
        <v>1600</v>
      </c>
      <c r="O22" s="201" t="s">
        <v>1601</v>
      </c>
      <c r="P22" s="201" t="s">
        <v>1602</v>
      </c>
      <c r="Q22" s="201" t="s">
        <v>1603</v>
      </c>
    </row>
    <row r="23" spans="1:17" ht="165" x14ac:dyDescent="0.25">
      <c r="A23" s="18">
        <v>11</v>
      </c>
      <c r="B23" s="203" t="s">
        <v>1604</v>
      </c>
      <c r="C23" s="201" t="s">
        <v>1605</v>
      </c>
      <c r="D23" s="201" t="s">
        <v>1606</v>
      </c>
      <c r="E23" s="201" t="s">
        <v>1607</v>
      </c>
      <c r="F23" s="201" t="s">
        <v>1608</v>
      </c>
      <c r="G23" s="201" t="s">
        <v>1609</v>
      </c>
      <c r="H23" s="201" t="s">
        <v>1610</v>
      </c>
      <c r="I23" s="201" t="s">
        <v>1611</v>
      </c>
      <c r="J23" s="201" t="s">
        <v>1612</v>
      </c>
      <c r="K23" s="201" t="s">
        <v>1613</v>
      </c>
      <c r="L23" s="201" t="s">
        <v>1614</v>
      </c>
      <c r="M23" s="201" t="s">
        <v>1615</v>
      </c>
      <c r="N23" s="201" t="s">
        <v>1616</v>
      </c>
      <c r="O23" s="201" t="s">
        <v>1617</v>
      </c>
      <c r="P23" s="201" t="s">
        <v>1618</v>
      </c>
      <c r="Q23" s="201" t="s">
        <v>1619</v>
      </c>
    </row>
    <row r="24" spans="1:17" ht="210" x14ac:dyDescent="0.25">
      <c r="A24" s="18">
        <v>12</v>
      </c>
      <c r="B24" s="203" t="s">
        <v>1524</v>
      </c>
      <c r="C24" s="201" t="s">
        <v>1620</v>
      </c>
      <c r="D24" s="201" t="s">
        <v>1621</v>
      </c>
      <c r="E24" s="201" t="s">
        <v>1622</v>
      </c>
      <c r="F24" s="201" t="s">
        <v>1623</v>
      </c>
      <c r="G24" s="201" t="s">
        <v>1624</v>
      </c>
      <c r="H24" s="201" t="s">
        <v>1625</v>
      </c>
      <c r="I24" s="201" t="s">
        <v>1626</v>
      </c>
      <c r="J24" s="201" t="s">
        <v>1627</v>
      </c>
      <c r="K24" s="201" t="s">
        <v>1628</v>
      </c>
      <c r="L24" s="201" t="s">
        <v>1629</v>
      </c>
      <c r="M24" s="201" t="s">
        <v>1630</v>
      </c>
      <c r="N24" s="201" t="s">
        <v>1631</v>
      </c>
      <c r="O24" s="201" t="s">
        <v>1632</v>
      </c>
      <c r="P24" s="201" t="s">
        <v>1633</v>
      </c>
      <c r="Q24" s="201" t="s">
        <v>1634</v>
      </c>
    </row>
  </sheetData>
  <mergeCells count="22">
    <mergeCell ref="B3:J3"/>
    <mergeCell ref="J11:J12"/>
    <mergeCell ref="B5:Q5"/>
    <mergeCell ref="C9:I9"/>
    <mergeCell ref="J9:M9"/>
    <mergeCell ref="N9:Q9"/>
    <mergeCell ref="C10:F10"/>
    <mergeCell ref="G10:H10"/>
    <mergeCell ref="J10:K10"/>
    <mergeCell ref="L10:L12"/>
    <mergeCell ref="N10:O10"/>
    <mergeCell ref="P10:P12"/>
    <mergeCell ref="C11:D11"/>
    <mergeCell ref="E11:F11"/>
    <mergeCell ref="G11:G12"/>
    <mergeCell ref="H11:H12"/>
    <mergeCell ref="Q11:Q12"/>
    <mergeCell ref="I11:I12"/>
    <mergeCell ref="K11:K12"/>
    <mergeCell ref="M11:M12"/>
    <mergeCell ref="N11:N12"/>
    <mergeCell ref="O11:O12"/>
  </mergeCells>
  <pageMargins left="0.70866141732283472" right="0.70866141732283472" top="0.74803149606299213" bottom="0.74803149606299213" header="0.31496062992125984" footer="0.31496062992125984"/>
  <pageSetup paperSize="8" scale="29" orientation="landscape" cellComments="asDisplayed"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3:N23"/>
  <sheetViews>
    <sheetView workbookViewId="0"/>
  </sheetViews>
  <sheetFormatPr baseColWidth="10" defaultColWidth="9.21875" defaultRowHeight="15" x14ac:dyDescent="0.25"/>
  <cols>
    <col min="2" max="2" width="25.109375" customWidth="1"/>
    <col min="3" max="14" width="38.77734375" style="224" customWidth="1"/>
  </cols>
  <sheetData>
    <row r="3" spans="1:14" x14ac:dyDescent="0.25">
      <c r="B3" s="1287" t="s">
        <v>1433</v>
      </c>
      <c r="C3" s="1287"/>
      <c r="D3" s="1287"/>
      <c r="E3" s="1287"/>
      <c r="F3" s="1287"/>
      <c r="G3" s="1287"/>
      <c r="H3" s="1287"/>
      <c r="I3" s="1287"/>
      <c r="J3" s="1287"/>
    </row>
    <row r="5" spans="1:14" ht="20.25" x14ac:dyDescent="0.3">
      <c r="B5" s="4" t="s">
        <v>1635</v>
      </c>
      <c r="C5" s="225"/>
      <c r="D5" s="225"/>
      <c r="E5" s="225"/>
      <c r="F5" s="225"/>
      <c r="G5" s="225"/>
      <c r="H5" s="225"/>
      <c r="I5" s="225"/>
      <c r="J5" s="225"/>
      <c r="K5" s="225"/>
      <c r="L5" s="225"/>
      <c r="M5" s="225"/>
    </row>
    <row r="6" spans="1:14" s="19" customFormat="1" x14ac:dyDescent="0.25">
      <c r="C6" s="245"/>
      <c r="D6" s="245"/>
      <c r="E6" s="245"/>
      <c r="F6" s="245"/>
      <c r="G6" s="245"/>
      <c r="H6" s="245"/>
      <c r="I6" s="245"/>
      <c r="J6" s="245"/>
      <c r="K6" s="245"/>
      <c r="L6" s="245"/>
      <c r="M6" s="245"/>
      <c r="N6" s="245"/>
    </row>
    <row r="7" spans="1:14" s="19" customFormat="1" x14ac:dyDescent="0.25">
      <c r="C7" s="245"/>
      <c r="D7" s="245"/>
      <c r="E7" s="245"/>
      <c r="F7" s="245"/>
      <c r="G7" s="245"/>
      <c r="H7" s="245"/>
      <c r="I7" s="245"/>
      <c r="J7" s="245"/>
      <c r="K7" s="245"/>
      <c r="L7" s="245"/>
      <c r="M7" s="245"/>
      <c r="N7" s="245"/>
    </row>
    <row r="8" spans="1:14" s="19" customFormat="1" x14ac:dyDescent="0.25">
      <c r="A8" s="66"/>
      <c r="B8" s="67"/>
      <c r="C8" s="237" t="s">
        <v>161</v>
      </c>
      <c r="D8" s="237" t="s">
        <v>162</v>
      </c>
      <c r="E8" s="237" t="s">
        <v>163</v>
      </c>
      <c r="F8" s="237" t="s">
        <v>200</v>
      </c>
      <c r="G8" s="237" t="s">
        <v>201</v>
      </c>
      <c r="H8" s="237" t="s">
        <v>266</v>
      </c>
      <c r="I8" s="237" t="s">
        <v>267</v>
      </c>
      <c r="J8" s="237" t="s">
        <v>268</v>
      </c>
      <c r="K8" s="237" t="s">
        <v>269</v>
      </c>
      <c r="L8" s="237" t="s">
        <v>270</v>
      </c>
      <c r="M8" s="237" t="s">
        <v>271</v>
      </c>
      <c r="N8" s="237" t="s">
        <v>272</v>
      </c>
    </row>
    <row r="9" spans="1:14" s="19" customFormat="1" x14ac:dyDescent="0.25">
      <c r="A9" s="66"/>
      <c r="B9" s="67"/>
      <c r="C9" s="1295" t="s">
        <v>1435</v>
      </c>
      <c r="D9" s="1295"/>
      <c r="E9" s="1295"/>
      <c r="F9" s="1295"/>
      <c r="G9" s="1295" t="s">
        <v>1436</v>
      </c>
      <c r="H9" s="1295"/>
      <c r="I9" s="1295"/>
      <c r="J9" s="1295"/>
      <c r="K9" s="1295" t="s">
        <v>1437</v>
      </c>
      <c r="L9" s="1295"/>
      <c r="M9" s="1295"/>
      <c r="N9" s="1295"/>
    </row>
    <row r="10" spans="1:14" s="19" customFormat="1" x14ac:dyDescent="0.25">
      <c r="A10" s="66"/>
      <c r="B10" s="67"/>
      <c r="C10" s="1296" t="s">
        <v>1438</v>
      </c>
      <c r="D10" s="1297"/>
      <c r="E10" s="1298" t="s">
        <v>1439</v>
      </c>
      <c r="F10" s="238" t="s">
        <v>1440</v>
      </c>
      <c r="G10" s="1295" t="s">
        <v>1438</v>
      </c>
      <c r="H10" s="1295"/>
      <c r="I10" s="1298" t="s">
        <v>1439</v>
      </c>
      <c r="J10" s="238" t="s">
        <v>1440</v>
      </c>
      <c r="K10" s="1295" t="s">
        <v>1438</v>
      </c>
      <c r="L10" s="1295"/>
      <c r="M10" s="1298" t="s">
        <v>1439</v>
      </c>
      <c r="N10" s="238" t="s">
        <v>1440</v>
      </c>
    </row>
    <row r="11" spans="1:14" s="19" customFormat="1" x14ac:dyDescent="0.25">
      <c r="A11" s="68"/>
      <c r="B11" s="69"/>
      <c r="C11" s="226" t="s">
        <v>1441</v>
      </c>
      <c r="D11" s="226" t="s">
        <v>1442</v>
      </c>
      <c r="E11" s="1299"/>
      <c r="F11" s="239"/>
      <c r="G11" s="238" t="s">
        <v>1441</v>
      </c>
      <c r="H11" s="238" t="s">
        <v>1442</v>
      </c>
      <c r="I11" s="1299"/>
      <c r="J11" s="239"/>
      <c r="K11" s="238" t="s">
        <v>1441</v>
      </c>
      <c r="L11" s="238" t="s">
        <v>1442</v>
      </c>
      <c r="M11" s="1299"/>
      <c r="N11" s="239"/>
    </row>
    <row r="12" spans="1:14" s="19" customFormat="1" ht="120" x14ac:dyDescent="0.25">
      <c r="A12" s="70">
        <v>1</v>
      </c>
      <c r="B12" s="71" t="s">
        <v>1444</v>
      </c>
      <c r="C12" s="201" t="s">
        <v>2982</v>
      </c>
      <c r="D12" s="201" t="s">
        <v>2983</v>
      </c>
      <c r="E12" s="201" t="s">
        <v>2984</v>
      </c>
      <c r="F12" s="201" t="s">
        <v>2985</v>
      </c>
      <c r="G12" s="201" t="s">
        <v>2986</v>
      </c>
      <c r="H12" s="201" t="s">
        <v>2987</v>
      </c>
      <c r="I12" s="201" t="s">
        <v>2988</v>
      </c>
      <c r="J12" s="201" t="s">
        <v>2989</v>
      </c>
      <c r="K12" s="201" t="s">
        <v>2990</v>
      </c>
      <c r="L12" s="201" t="s">
        <v>2991</v>
      </c>
      <c r="M12" s="201" t="s">
        <v>2992</v>
      </c>
      <c r="N12" s="201" t="s">
        <v>2993</v>
      </c>
    </row>
    <row r="13" spans="1:14" s="19" customFormat="1" ht="180" x14ac:dyDescent="0.25">
      <c r="A13" s="18">
        <v>2</v>
      </c>
      <c r="B13" s="74" t="s">
        <v>1460</v>
      </c>
      <c r="C13" s="201" t="s">
        <v>2994</v>
      </c>
      <c r="D13" s="201" t="s">
        <v>2995</v>
      </c>
      <c r="E13" s="201" t="s">
        <v>2996</v>
      </c>
      <c r="F13" s="201" t="s">
        <v>2997</v>
      </c>
      <c r="G13" s="201" t="s">
        <v>2998</v>
      </c>
      <c r="H13" s="201" t="s">
        <v>2999</v>
      </c>
      <c r="I13" s="201" t="s">
        <v>3000</v>
      </c>
      <c r="J13" s="201" t="s">
        <v>3001</v>
      </c>
      <c r="K13" s="201" t="s">
        <v>3002</v>
      </c>
      <c r="L13" s="201" t="s">
        <v>3003</v>
      </c>
      <c r="M13" s="201" t="s">
        <v>3004</v>
      </c>
      <c r="N13" s="201" t="s">
        <v>3005</v>
      </c>
    </row>
    <row r="14" spans="1:14" s="19" customFormat="1" ht="150" x14ac:dyDescent="0.25">
      <c r="A14" s="18">
        <v>3</v>
      </c>
      <c r="B14" s="75" t="s">
        <v>1476</v>
      </c>
      <c r="C14" s="201" t="s">
        <v>3006</v>
      </c>
      <c r="D14" s="201" t="s">
        <v>3007</v>
      </c>
      <c r="E14" s="201" t="s">
        <v>3008</v>
      </c>
      <c r="F14" s="201" t="s">
        <v>3009</v>
      </c>
      <c r="G14" s="201" t="s">
        <v>3010</v>
      </c>
      <c r="H14" s="201" t="s">
        <v>3011</v>
      </c>
      <c r="I14" s="201" t="s">
        <v>3012</v>
      </c>
      <c r="J14" s="201" t="s">
        <v>3013</v>
      </c>
      <c r="K14" s="201" t="s">
        <v>3014</v>
      </c>
      <c r="L14" s="201" t="s">
        <v>3015</v>
      </c>
      <c r="M14" s="201" t="s">
        <v>3016</v>
      </c>
      <c r="N14" s="201" t="s">
        <v>3017</v>
      </c>
    </row>
    <row r="15" spans="1:14" s="19" customFormat="1" ht="150" x14ac:dyDescent="0.25">
      <c r="A15" s="18">
        <v>4</v>
      </c>
      <c r="B15" s="75" t="s">
        <v>1492</v>
      </c>
      <c r="C15" s="201" t="s">
        <v>3018</v>
      </c>
      <c r="D15" s="201" t="s">
        <v>3019</v>
      </c>
      <c r="E15" s="201" t="s">
        <v>3020</v>
      </c>
      <c r="F15" s="201" t="s">
        <v>3021</v>
      </c>
      <c r="G15" s="201" t="s">
        <v>3022</v>
      </c>
      <c r="H15" s="201" t="s">
        <v>3023</v>
      </c>
      <c r="I15" s="201" t="s">
        <v>3024</v>
      </c>
      <c r="J15" s="201" t="s">
        <v>3025</v>
      </c>
      <c r="K15" s="201" t="s">
        <v>3026</v>
      </c>
      <c r="L15" s="201" t="s">
        <v>3027</v>
      </c>
      <c r="M15" s="201" t="s">
        <v>3028</v>
      </c>
      <c r="N15" s="201" t="s">
        <v>3029</v>
      </c>
    </row>
    <row r="16" spans="1:14" s="19" customFormat="1" ht="180" x14ac:dyDescent="0.25">
      <c r="A16" s="18">
        <v>5</v>
      </c>
      <c r="B16" s="75" t="s">
        <v>1508</v>
      </c>
      <c r="C16" s="201" t="s">
        <v>3030</v>
      </c>
      <c r="D16" s="201" t="s">
        <v>3031</v>
      </c>
      <c r="E16" s="201" t="s">
        <v>3032</v>
      </c>
      <c r="F16" s="201" t="s">
        <v>3033</v>
      </c>
      <c r="G16" s="201" t="s">
        <v>3034</v>
      </c>
      <c r="H16" s="201" t="s">
        <v>3035</v>
      </c>
      <c r="I16" s="201" t="s">
        <v>3036</v>
      </c>
      <c r="J16" s="201" t="s">
        <v>3037</v>
      </c>
      <c r="K16" s="201" t="s">
        <v>3038</v>
      </c>
      <c r="L16" s="201" t="s">
        <v>3039</v>
      </c>
      <c r="M16" s="201" t="s">
        <v>3040</v>
      </c>
      <c r="N16" s="201" t="s">
        <v>3041</v>
      </c>
    </row>
    <row r="17" spans="1:14" s="19" customFormat="1" ht="195" x14ac:dyDescent="0.25">
      <c r="A17" s="18">
        <v>6</v>
      </c>
      <c r="B17" s="75" t="s">
        <v>1524</v>
      </c>
      <c r="C17" s="201" t="s">
        <v>3042</v>
      </c>
      <c r="D17" s="201" t="s">
        <v>3043</v>
      </c>
      <c r="E17" s="201" t="s">
        <v>3044</v>
      </c>
      <c r="F17" s="201" t="s">
        <v>3045</v>
      </c>
      <c r="G17" s="201" t="s">
        <v>3046</v>
      </c>
      <c r="H17" s="201" t="s">
        <v>3047</v>
      </c>
      <c r="I17" s="201" t="s">
        <v>3048</v>
      </c>
      <c r="J17" s="201" t="s">
        <v>3049</v>
      </c>
      <c r="K17" s="201" t="s">
        <v>3050</v>
      </c>
      <c r="L17" s="201" t="s">
        <v>3051</v>
      </c>
      <c r="M17" s="201" t="s">
        <v>3052</v>
      </c>
      <c r="N17" s="201" t="s">
        <v>3053</v>
      </c>
    </row>
    <row r="18" spans="1:14" s="19" customFormat="1" ht="180" x14ac:dyDescent="0.25">
      <c r="A18" s="18">
        <v>7</v>
      </c>
      <c r="B18" s="74" t="s">
        <v>1540</v>
      </c>
      <c r="C18" s="201" t="s">
        <v>3054</v>
      </c>
      <c r="D18" s="201" t="s">
        <v>3055</v>
      </c>
      <c r="E18" s="201" t="s">
        <v>3056</v>
      </c>
      <c r="F18" s="201" t="s">
        <v>3057</v>
      </c>
      <c r="G18" s="201" t="s">
        <v>3058</v>
      </c>
      <c r="H18" s="201" t="s">
        <v>3059</v>
      </c>
      <c r="I18" s="201" t="s">
        <v>3060</v>
      </c>
      <c r="J18" s="201" t="s">
        <v>3061</v>
      </c>
      <c r="K18" s="201" t="s">
        <v>3062</v>
      </c>
      <c r="L18" s="201" t="s">
        <v>3063</v>
      </c>
      <c r="M18" s="201" t="s">
        <v>3064</v>
      </c>
      <c r="N18" s="201" t="s">
        <v>2981</v>
      </c>
    </row>
    <row r="19" spans="1:14" s="19" customFormat="1" ht="165" x14ac:dyDescent="0.25">
      <c r="A19" s="18">
        <v>8</v>
      </c>
      <c r="B19" s="75" t="s">
        <v>1556</v>
      </c>
      <c r="C19" s="201" t="s">
        <v>3065</v>
      </c>
      <c r="D19" s="201" t="s">
        <v>3066</v>
      </c>
      <c r="E19" s="201" t="s">
        <v>3067</v>
      </c>
      <c r="F19" s="201" t="s">
        <v>3068</v>
      </c>
      <c r="G19" s="201" t="s">
        <v>3069</v>
      </c>
      <c r="H19" s="201" t="s">
        <v>3070</v>
      </c>
      <c r="I19" s="201" t="s">
        <v>3071</v>
      </c>
      <c r="J19" s="201" t="s">
        <v>3072</v>
      </c>
      <c r="K19" s="201" t="s">
        <v>3073</v>
      </c>
      <c r="L19" s="201" t="s">
        <v>3074</v>
      </c>
      <c r="M19" s="201" t="s">
        <v>3075</v>
      </c>
      <c r="N19" s="201" t="s">
        <v>3076</v>
      </c>
    </row>
    <row r="20" spans="1:14" s="19" customFormat="1" ht="150" x14ac:dyDescent="0.25">
      <c r="A20" s="18">
        <v>9</v>
      </c>
      <c r="B20" s="75" t="s">
        <v>1572</v>
      </c>
      <c r="C20" s="201" t="s">
        <v>3077</v>
      </c>
      <c r="D20" s="201" t="s">
        <v>3078</v>
      </c>
      <c r="E20" s="201" t="s">
        <v>3079</v>
      </c>
      <c r="F20" s="201" t="s">
        <v>3080</v>
      </c>
      <c r="G20" s="201" t="s">
        <v>3081</v>
      </c>
      <c r="H20" s="201" t="s">
        <v>3082</v>
      </c>
      <c r="I20" s="201" t="s">
        <v>3083</v>
      </c>
      <c r="J20" s="201" t="s">
        <v>3084</v>
      </c>
      <c r="K20" s="201" t="s">
        <v>3085</v>
      </c>
      <c r="L20" s="201" t="s">
        <v>3086</v>
      </c>
      <c r="M20" s="201" t="s">
        <v>3087</v>
      </c>
      <c r="N20" s="201" t="s">
        <v>3088</v>
      </c>
    </row>
    <row r="21" spans="1:14" s="19" customFormat="1" ht="150" x14ac:dyDescent="0.25">
      <c r="A21" s="18">
        <v>10</v>
      </c>
      <c r="B21" s="75" t="s">
        <v>1588</v>
      </c>
      <c r="C21" s="201" t="s">
        <v>3089</v>
      </c>
      <c r="D21" s="201" t="s">
        <v>3090</v>
      </c>
      <c r="E21" s="201" t="s">
        <v>3091</v>
      </c>
      <c r="F21" s="201" t="s">
        <v>3092</v>
      </c>
      <c r="G21" s="201" t="s">
        <v>3093</v>
      </c>
      <c r="H21" s="201" t="s">
        <v>3094</v>
      </c>
      <c r="I21" s="201" t="s">
        <v>3095</v>
      </c>
      <c r="J21" s="201" t="s">
        <v>3096</v>
      </c>
      <c r="K21" s="201" t="s">
        <v>3097</v>
      </c>
      <c r="L21" s="201" t="s">
        <v>3098</v>
      </c>
      <c r="M21" s="201" t="s">
        <v>3099</v>
      </c>
      <c r="N21" s="201" t="s">
        <v>3100</v>
      </c>
    </row>
    <row r="22" spans="1:14" s="19" customFormat="1" ht="150" x14ac:dyDescent="0.25">
      <c r="A22" s="18">
        <v>11</v>
      </c>
      <c r="B22" s="75" t="s">
        <v>1604</v>
      </c>
      <c r="C22" s="201" t="s">
        <v>3101</v>
      </c>
      <c r="D22" s="201" t="s">
        <v>3102</v>
      </c>
      <c r="E22" s="201" t="s">
        <v>3103</v>
      </c>
      <c r="F22" s="201" t="s">
        <v>3104</v>
      </c>
      <c r="G22" s="201" t="s">
        <v>3105</v>
      </c>
      <c r="H22" s="201" t="s">
        <v>3106</v>
      </c>
      <c r="I22" s="201" t="s">
        <v>3107</v>
      </c>
      <c r="J22" s="201" t="s">
        <v>3108</v>
      </c>
      <c r="K22" s="201" t="s">
        <v>3109</v>
      </c>
      <c r="L22" s="201" t="s">
        <v>3110</v>
      </c>
      <c r="M22" s="201" t="s">
        <v>3111</v>
      </c>
      <c r="N22" s="201" t="s">
        <v>3112</v>
      </c>
    </row>
    <row r="23" spans="1:14" s="19" customFormat="1" ht="285" customHeight="1" x14ac:dyDescent="0.25">
      <c r="A23" s="18">
        <v>12</v>
      </c>
      <c r="B23" s="75" t="s">
        <v>1524</v>
      </c>
      <c r="C23" s="201" t="s">
        <v>3113</v>
      </c>
      <c r="D23" s="201" t="s">
        <v>3114</v>
      </c>
      <c r="E23" s="201" t="s">
        <v>3115</v>
      </c>
      <c r="F23" s="201" t="s">
        <v>3116</v>
      </c>
      <c r="G23" s="201" t="s">
        <v>3117</v>
      </c>
      <c r="H23" s="201" t="s">
        <v>3118</v>
      </c>
      <c r="I23" s="201" t="s">
        <v>3119</v>
      </c>
      <c r="J23" s="201" t="s">
        <v>3120</v>
      </c>
      <c r="K23" s="201" t="s">
        <v>3121</v>
      </c>
      <c r="L23" s="201" t="s">
        <v>3122</v>
      </c>
      <c r="M23" s="201" t="s">
        <v>3123</v>
      </c>
      <c r="N23" s="201" t="s">
        <v>3124</v>
      </c>
    </row>
  </sheetData>
  <mergeCells count="10">
    <mergeCell ref="B3:J3"/>
    <mergeCell ref="C9:F9"/>
    <mergeCell ref="G9:J9"/>
    <mergeCell ref="K9:N9"/>
    <mergeCell ref="C10:D10"/>
    <mergeCell ref="E10:E11"/>
    <mergeCell ref="G10:H10"/>
    <mergeCell ref="I10:I11"/>
    <mergeCell ref="K10:L10"/>
    <mergeCell ref="M10:M11"/>
  </mergeCells>
  <pageMargins left="0.70866141732283472" right="0.70866141732283472" top="0.74803149606299213" bottom="0.74803149606299213" header="0.31496062992125984" footer="0.31496062992125984"/>
  <pageSetup paperSize="8" scale="33" orientation="landscape" cellComments="asDisplayed" verticalDpi="598"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D48DA-F290-4D4E-8168-8A8304683644}">
  <sheetPr>
    <pageSetUpPr fitToPage="1"/>
  </sheetPr>
  <dimension ref="B2:I28"/>
  <sheetViews>
    <sheetView showGridLines="0" showRowColHeaders="0" zoomScale="85" zoomScaleNormal="85" workbookViewId="0">
      <selection activeCell="D14" sqref="D14"/>
    </sheetView>
  </sheetViews>
  <sheetFormatPr baseColWidth="10" defaultColWidth="9.21875" defaultRowHeight="12.75" x14ac:dyDescent="0.2"/>
  <cols>
    <col min="1" max="1" width="3.88671875" style="254" customWidth="1"/>
    <col min="2" max="2" width="31" style="254" customWidth="1"/>
    <col min="3" max="3" width="18.21875" style="254" customWidth="1"/>
    <col min="4" max="8" width="10.77734375" style="254" customWidth="1"/>
    <col min="9" max="9" width="28.77734375" style="254" customWidth="1"/>
    <col min="10" max="16384" width="9.21875" style="254"/>
  </cols>
  <sheetData>
    <row r="2" spans="2:9" ht="15" x14ac:dyDescent="0.25">
      <c r="B2" s="941" t="s">
        <v>3521</v>
      </c>
    </row>
    <row r="4" spans="2:9" ht="21" x14ac:dyDescent="0.2">
      <c r="B4" s="368" t="s">
        <v>3159</v>
      </c>
    </row>
    <row r="7" spans="2:9" ht="20.100000000000001" customHeight="1" x14ac:dyDescent="0.2">
      <c r="B7" s="482" t="s">
        <v>161</v>
      </c>
      <c r="C7" s="431" t="s">
        <v>162</v>
      </c>
      <c r="D7" s="482" t="s">
        <v>163</v>
      </c>
      <c r="E7" s="482" t="s">
        <v>200</v>
      </c>
      <c r="F7" s="482" t="s">
        <v>201</v>
      </c>
      <c r="G7" s="482" t="s">
        <v>266</v>
      </c>
      <c r="H7" s="482" t="s">
        <v>267</v>
      </c>
      <c r="I7" s="431" t="s">
        <v>268</v>
      </c>
    </row>
    <row r="8" spans="2:9" x14ac:dyDescent="0.2">
      <c r="B8" s="957" t="s">
        <v>3160</v>
      </c>
      <c r="C8" s="958" t="s">
        <v>3161</v>
      </c>
      <c r="D8" s="959" t="s">
        <v>3162</v>
      </c>
      <c r="E8" s="959"/>
      <c r="F8" s="959"/>
      <c r="G8" s="959"/>
      <c r="H8" s="959"/>
      <c r="I8" s="960" t="s">
        <v>3163</v>
      </c>
    </row>
    <row r="9" spans="2:9" ht="58.5" customHeight="1" x14ac:dyDescent="0.2">
      <c r="B9" s="957"/>
      <c r="C9" s="958"/>
      <c r="D9" s="482" t="s">
        <v>3164</v>
      </c>
      <c r="E9" s="482" t="s">
        <v>3165</v>
      </c>
      <c r="F9" s="482" t="s">
        <v>3166</v>
      </c>
      <c r="G9" s="482" t="s">
        <v>3167</v>
      </c>
      <c r="H9" s="482" t="s">
        <v>3168</v>
      </c>
      <c r="I9" s="961"/>
    </row>
    <row r="10" spans="2:9" ht="20.100000000000001" customHeight="1" x14ac:dyDescent="0.2">
      <c r="B10" s="486" t="s">
        <v>3373</v>
      </c>
      <c r="C10" s="484" t="s">
        <v>3164</v>
      </c>
      <c r="D10" s="485" t="s">
        <v>3169</v>
      </c>
      <c r="E10" s="485"/>
      <c r="F10" s="485"/>
      <c r="G10" s="485"/>
      <c r="H10" s="485"/>
      <c r="I10" s="483" t="s">
        <v>3547</v>
      </c>
    </row>
    <row r="11" spans="2:9" ht="20.100000000000001" customHeight="1" x14ac:dyDescent="0.2">
      <c r="B11" s="486" t="s">
        <v>3529</v>
      </c>
      <c r="C11" s="484" t="s">
        <v>3164</v>
      </c>
      <c r="D11" s="485" t="s">
        <v>3169</v>
      </c>
      <c r="E11" s="485"/>
      <c r="F11" s="485"/>
      <c r="G11" s="485"/>
      <c r="H11" s="485"/>
      <c r="I11" s="483" t="s">
        <v>3548</v>
      </c>
    </row>
    <row r="12" spans="2:9" ht="20.100000000000001" customHeight="1" x14ac:dyDescent="0.2">
      <c r="B12" s="486" t="s">
        <v>3530</v>
      </c>
      <c r="C12" s="484" t="s">
        <v>3531</v>
      </c>
      <c r="D12" s="485"/>
      <c r="E12" s="485"/>
      <c r="F12" s="485" t="s">
        <v>3549</v>
      </c>
      <c r="G12" s="485"/>
      <c r="H12" s="485"/>
      <c r="I12" s="483" t="s">
        <v>3550</v>
      </c>
    </row>
    <row r="13" spans="2:9" ht="20.100000000000001" customHeight="1" x14ac:dyDescent="0.2">
      <c r="B13" s="486" t="s">
        <v>3532</v>
      </c>
      <c r="C13" s="484" t="s">
        <v>3164</v>
      </c>
      <c r="D13" s="485" t="s">
        <v>3169</v>
      </c>
      <c r="E13" s="485"/>
      <c r="F13" s="485"/>
      <c r="G13" s="485"/>
      <c r="H13" s="485"/>
      <c r="I13" s="483" t="s">
        <v>3551</v>
      </c>
    </row>
    <row r="14" spans="2:9" ht="20.100000000000001" customHeight="1" x14ac:dyDescent="0.2">
      <c r="B14" s="486" t="s">
        <v>3533</v>
      </c>
      <c r="C14" s="484" t="s">
        <v>3164</v>
      </c>
      <c r="D14" s="485" t="s">
        <v>3169</v>
      </c>
      <c r="E14" s="485"/>
      <c r="F14" s="485"/>
      <c r="G14" s="485"/>
      <c r="H14" s="485"/>
      <c r="I14" s="483" t="s">
        <v>3552</v>
      </c>
    </row>
    <row r="15" spans="2:9" ht="20.100000000000001" customHeight="1" x14ac:dyDescent="0.2">
      <c r="B15" s="486" t="s">
        <v>3650</v>
      </c>
      <c r="C15" s="484" t="s">
        <v>3164</v>
      </c>
      <c r="D15" s="485" t="s">
        <v>3169</v>
      </c>
      <c r="E15" s="485"/>
      <c r="F15" s="485"/>
      <c r="G15" s="485"/>
      <c r="H15" s="485"/>
      <c r="I15" s="483" t="s">
        <v>3553</v>
      </c>
    </row>
    <row r="16" spans="2:9" ht="20.100000000000001" customHeight="1" x14ac:dyDescent="0.2">
      <c r="B16" s="486" t="s">
        <v>3534</v>
      </c>
      <c r="C16" s="484" t="s">
        <v>3164</v>
      </c>
      <c r="D16" s="485" t="s">
        <v>3169</v>
      </c>
      <c r="E16" s="485"/>
      <c r="F16" s="485"/>
      <c r="G16" s="485"/>
      <c r="H16" s="485"/>
      <c r="I16" s="483" t="s">
        <v>3554</v>
      </c>
    </row>
    <row r="17" spans="2:9" ht="20.100000000000001" customHeight="1" x14ac:dyDescent="0.2">
      <c r="B17" s="486" t="s">
        <v>3535</v>
      </c>
      <c r="C17" s="484" t="s">
        <v>3166</v>
      </c>
      <c r="D17" s="485"/>
      <c r="E17" s="485"/>
      <c r="F17" s="485" t="s">
        <v>3549</v>
      </c>
      <c r="G17" s="485"/>
      <c r="H17" s="485"/>
      <c r="I17" s="483" t="s">
        <v>3555</v>
      </c>
    </row>
    <row r="18" spans="2:9" ht="20.100000000000001" customHeight="1" x14ac:dyDescent="0.2">
      <c r="B18" s="486" t="s">
        <v>3536</v>
      </c>
      <c r="C18" s="484" t="s">
        <v>3166</v>
      </c>
      <c r="D18" s="485"/>
      <c r="E18" s="485"/>
      <c r="F18" s="485" t="s">
        <v>3549</v>
      </c>
      <c r="G18" s="485"/>
      <c r="H18" s="485"/>
      <c r="I18" s="483" t="s">
        <v>3556</v>
      </c>
    </row>
    <row r="19" spans="2:9" ht="20.100000000000001" customHeight="1" x14ac:dyDescent="0.2">
      <c r="B19" s="486" t="s">
        <v>3537</v>
      </c>
      <c r="C19" s="484" t="s">
        <v>3166</v>
      </c>
      <c r="D19" s="485"/>
      <c r="E19" s="485"/>
      <c r="F19" s="485"/>
      <c r="G19" s="485"/>
      <c r="H19" s="485" t="s">
        <v>3169</v>
      </c>
      <c r="I19" s="483" t="s">
        <v>3557</v>
      </c>
    </row>
    <row r="20" spans="2:9" ht="20.100000000000001" customHeight="1" x14ac:dyDescent="0.2">
      <c r="B20" s="486" t="s">
        <v>3538</v>
      </c>
      <c r="C20" s="484" t="s">
        <v>3166</v>
      </c>
      <c r="D20" s="485"/>
      <c r="E20" s="485"/>
      <c r="F20" s="485"/>
      <c r="G20" s="485"/>
      <c r="H20" s="485" t="s">
        <v>3169</v>
      </c>
      <c r="I20" s="483" t="s">
        <v>3557</v>
      </c>
    </row>
    <row r="21" spans="2:9" ht="20.100000000000001" customHeight="1" x14ac:dyDescent="0.2">
      <c r="B21" s="486" t="s">
        <v>3539</v>
      </c>
      <c r="C21" s="484" t="s">
        <v>3166</v>
      </c>
      <c r="D21" s="485"/>
      <c r="E21" s="485" t="s">
        <v>3169</v>
      </c>
      <c r="F21" s="485"/>
      <c r="G21" s="485"/>
      <c r="H21" s="485"/>
      <c r="I21" s="483" t="s">
        <v>3553</v>
      </c>
    </row>
    <row r="22" spans="2:9" ht="20.100000000000001" customHeight="1" x14ac:dyDescent="0.2">
      <c r="B22" s="486" t="s">
        <v>3540</v>
      </c>
      <c r="C22" s="484" t="s">
        <v>3166</v>
      </c>
      <c r="D22" s="485"/>
      <c r="E22" s="485"/>
      <c r="F22" s="485" t="s">
        <v>3549</v>
      </c>
      <c r="G22" s="485"/>
      <c r="H22" s="485"/>
      <c r="I22" s="483" t="s">
        <v>3558</v>
      </c>
    </row>
    <row r="23" spans="2:9" ht="20.100000000000001" customHeight="1" x14ac:dyDescent="0.2">
      <c r="B23" s="486" t="s">
        <v>3541</v>
      </c>
      <c r="C23" s="484" t="s">
        <v>3166</v>
      </c>
      <c r="D23" s="485"/>
      <c r="E23" s="485" t="s">
        <v>3169</v>
      </c>
      <c r="F23" s="485"/>
      <c r="G23" s="485"/>
      <c r="H23" s="485"/>
      <c r="I23" s="483" t="s">
        <v>3559</v>
      </c>
    </row>
    <row r="24" spans="2:9" ht="20.100000000000001" customHeight="1" x14ac:dyDescent="0.2">
      <c r="B24" s="486" t="s">
        <v>3542</v>
      </c>
      <c r="C24" s="484" t="s">
        <v>3166</v>
      </c>
      <c r="D24" s="485"/>
      <c r="E24" s="485"/>
      <c r="F24" s="485" t="s">
        <v>3549</v>
      </c>
      <c r="G24" s="485"/>
      <c r="H24" s="485"/>
      <c r="I24" s="483" t="s">
        <v>3557</v>
      </c>
    </row>
    <row r="25" spans="2:9" ht="20.100000000000001" customHeight="1" x14ac:dyDescent="0.2">
      <c r="B25" s="486" t="s">
        <v>3543</v>
      </c>
      <c r="C25" s="484" t="s">
        <v>3166</v>
      </c>
      <c r="D25" s="485"/>
      <c r="E25" s="485"/>
      <c r="F25" s="485"/>
      <c r="G25" s="485"/>
      <c r="H25" s="485"/>
      <c r="I25" s="483" t="s">
        <v>3557</v>
      </c>
    </row>
    <row r="26" spans="2:9" ht="20.100000000000001" customHeight="1" x14ac:dyDescent="0.2">
      <c r="B26" s="486" t="s">
        <v>3375</v>
      </c>
      <c r="C26" s="484" t="s">
        <v>3544</v>
      </c>
      <c r="D26" s="485"/>
      <c r="E26" s="485" t="s">
        <v>3169</v>
      </c>
      <c r="F26" s="485"/>
      <c r="G26" s="485"/>
      <c r="H26" s="485"/>
      <c r="I26" s="483" t="s">
        <v>3553</v>
      </c>
    </row>
    <row r="27" spans="2:9" ht="20.100000000000001" customHeight="1" x14ac:dyDescent="0.2">
      <c r="B27" s="486" t="s">
        <v>3545</v>
      </c>
      <c r="C27" s="484" t="s">
        <v>3166</v>
      </c>
      <c r="D27" s="485"/>
      <c r="E27" s="485" t="s">
        <v>3169</v>
      </c>
      <c r="F27" s="485"/>
      <c r="G27" s="485"/>
      <c r="H27" s="485"/>
      <c r="I27" s="483" t="s">
        <v>3559</v>
      </c>
    </row>
    <row r="28" spans="2:9" ht="20.100000000000001" customHeight="1" x14ac:dyDescent="0.2">
      <c r="B28" s="486" t="s">
        <v>3546</v>
      </c>
      <c r="C28" s="484" t="s">
        <v>3166</v>
      </c>
      <c r="D28" s="485"/>
      <c r="E28" s="485"/>
      <c r="F28" s="485" t="s">
        <v>3549</v>
      </c>
      <c r="G28" s="485"/>
      <c r="H28" s="485"/>
      <c r="I28" s="483" t="s">
        <v>3557</v>
      </c>
    </row>
  </sheetData>
  <sheetProtection algorithmName="SHA-512" hashValue="AzdvSIjYLxbiK0P1TriflEoG2fNFnVsDOuGubk54bDMd9aEAHEiWZEKCSeQFXMWoFsTvzn+KFK4hoFHu3tD/6w==" saltValue="r3eTBZsHxi2oXfnMSFZjig==" spinCount="100000" sheet="1" objects="1" scenarios="1"/>
  <mergeCells count="4">
    <mergeCell ref="B8:B9"/>
    <mergeCell ref="C8:C9"/>
    <mergeCell ref="D8:H8"/>
    <mergeCell ref="I8:I9"/>
  </mergeCells>
  <hyperlinks>
    <hyperlink ref="B2" location="Contents!A1" display="Back to Contents page" xr:uid="{9B27E75E-7796-4707-8FFA-C86FA440AD4F}"/>
  </hyperlinks>
  <pageMargins left="0.7" right="0.7" top="0.75" bottom="0.75" header="0.3" footer="0.3"/>
  <pageSetup paperSize="9" scale="47" orientation="portrait" horizontalDpi="144" verticalDpi="144"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3:T25"/>
  <sheetViews>
    <sheetView workbookViewId="0"/>
  </sheetViews>
  <sheetFormatPr baseColWidth="10" defaultColWidth="9.21875" defaultRowHeight="15" x14ac:dyDescent="0.25"/>
  <cols>
    <col min="2" max="3" width="13.77734375" customWidth="1"/>
    <col min="4" max="20" width="35.77734375" customWidth="1"/>
  </cols>
  <sheetData>
    <row r="3" spans="1:20" ht="52.5" customHeight="1" x14ac:dyDescent="0.25">
      <c r="B3" s="1287" t="s">
        <v>2960</v>
      </c>
      <c r="C3" s="1287"/>
      <c r="D3" s="1287"/>
      <c r="E3" s="1287"/>
      <c r="F3" s="1287"/>
      <c r="G3" s="1287"/>
      <c r="H3" s="1287"/>
      <c r="I3" s="1287"/>
      <c r="J3" s="1287"/>
    </row>
    <row r="5" spans="1:20" s="19" customFormat="1" ht="20.25" x14ac:dyDescent="0.3">
      <c r="B5" s="4" t="s">
        <v>1636</v>
      </c>
    </row>
    <row r="6" spans="1:20" s="19" customFormat="1" ht="18.75" x14ac:dyDescent="0.3">
      <c r="B6" s="76"/>
      <c r="C6" s="76"/>
      <c r="D6" s="76"/>
      <c r="E6" s="76"/>
      <c r="F6" s="76"/>
      <c r="G6" s="76"/>
      <c r="H6" s="76"/>
      <c r="I6" s="76"/>
      <c r="J6" s="76"/>
      <c r="K6" s="76"/>
      <c r="L6" s="214"/>
      <c r="M6" s="214"/>
    </row>
    <row r="7" spans="1:20" s="19" customFormat="1" x14ac:dyDescent="0.25"/>
    <row r="8" spans="1:20" s="19" customFormat="1" x14ac:dyDescent="0.25">
      <c r="D8" s="199" t="s">
        <v>161</v>
      </c>
      <c r="E8" s="199" t="s">
        <v>162</v>
      </c>
      <c r="F8" s="199" t="s">
        <v>163</v>
      </c>
      <c r="G8" s="199" t="s">
        <v>200</v>
      </c>
      <c r="H8" s="199" t="s">
        <v>201</v>
      </c>
      <c r="I8" s="199" t="s">
        <v>266</v>
      </c>
      <c r="J8" s="199" t="s">
        <v>267</v>
      </c>
      <c r="K8" s="199" t="s">
        <v>268</v>
      </c>
      <c r="L8" s="199" t="s">
        <v>269</v>
      </c>
      <c r="M8" s="199" t="s">
        <v>270</v>
      </c>
      <c r="N8" s="199" t="s">
        <v>271</v>
      </c>
      <c r="O8" s="199" t="s">
        <v>272</v>
      </c>
      <c r="P8" s="199" t="s">
        <v>273</v>
      </c>
      <c r="Q8" s="199" t="s">
        <v>897</v>
      </c>
      <c r="R8" s="199" t="s">
        <v>898</v>
      </c>
      <c r="S8" s="199" t="s">
        <v>1637</v>
      </c>
      <c r="T8" s="199" t="s">
        <v>1638</v>
      </c>
    </row>
    <row r="9" spans="1:20" s="19" customFormat="1" x14ac:dyDescent="0.25">
      <c r="D9" s="1266" t="s">
        <v>1639</v>
      </c>
      <c r="E9" s="1289"/>
      <c r="F9" s="1289"/>
      <c r="G9" s="1289"/>
      <c r="H9" s="1289"/>
      <c r="I9" s="1289" t="s">
        <v>1640</v>
      </c>
      <c r="J9" s="1289"/>
      <c r="K9" s="1289"/>
      <c r="L9" s="1289"/>
      <c r="M9" s="1289" t="s">
        <v>1641</v>
      </c>
      <c r="N9" s="1289"/>
      <c r="O9" s="1289"/>
      <c r="P9" s="1289"/>
      <c r="Q9" s="1289" t="s">
        <v>1642</v>
      </c>
      <c r="R9" s="1289"/>
      <c r="S9" s="1289"/>
      <c r="T9" s="1289"/>
    </row>
    <row r="10" spans="1:20" s="66" customFormat="1" ht="30" x14ac:dyDescent="0.25">
      <c r="D10" s="215" t="s">
        <v>1643</v>
      </c>
      <c r="E10" s="215" t="s">
        <v>1644</v>
      </c>
      <c r="F10" s="215" t="s">
        <v>1645</v>
      </c>
      <c r="G10" s="215" t="s">
        <v>1646</v>
      </c>
      <c r="H10" s="215" t="s">
        <v>1647</v>
      </c>
      <c r="I10" s="215" t="s">
        <v>1648</v>
      </c>
      <c r="J10" s="215" t="s">
        <v>1649</v>
      </c>
      <c r="K10" s="215" t="s">
        <v>1650</v>
      </c>
      <c r="L10" s="77" t="s">
        <v>1651</v>
      </c>
      <c r="M10" s="215" t="s">
        <v>1648</v>
      </c>
      <c r="N10" s="215" t="s">
        <v>1649</v>
      </c>
      <c r="O10" s="215" t="s">
        <v>1650</v>
      </c>
      <c r="P10" s="77" t="s">
        <v>2963</v>
      </c>
      <c r="Q10" s="215" t="s">
        <v>1648</v>
      </c>
      <c r="R10" s="215" t="s">
        <v>1649</v>
      </c>
      <c r="S10" s="215" t="s">
        <v>1650</v>
      </c>
      <c r="T10" s="77" t="s">
        <v>2963</v>
      </c>
    </row>
    <row r="11" spans="1:20" s="19" customFormat="1" ht="75" x14ac:dyDescent="0.25">
      <c r="A11" s="78">
        <v>1</v>
      </c>
      <c r="B11" s="1301" t="s">
        <v>1444</v>
      </c>
      <c r="C11" s="1301"/>
      <c r="D11" s="200" t="s">
        <v>1652</v>
      </c>
      <c r="E11" s="200" t="s">
        <v>1653</v>
      </c>
      <c r="F11" s="200" t="s">
        <v>1654</v>
      </c>
      <c r="G11" s="200" t="s">
        <v>1655</v>
      </c>
      <c r="H11" s="200" t="s">
        <v>1656</v>
      </c>
      <c r="I11" s="200" t="s">
        <v>1657</v>
      </c>
      <c r="J11" s="200" t="s">
        <v>1658</v>
      </c>
      <c r="K11" s="200" t="s">
        <v>1659</v>
      </c>
      <c r="L11" s="200" t="s">
        <v>1660</v>
      </c>
      <c r="M11" s="200" t="s">
        <v>1661</v>
      </c>
      <c r="N11" s="200" t="s">
        <v>1662</v>
      </c>
      <c r="O11" s="200" t="s">
        <v>1663</v>
      </c>
      <c r="P11" s="200" t="s">
        <v>1664</v>
      </c>
      <c r="Q11" s="200" t="s">
        <v>1665</v>
      </c>
      <c r="R11" s="200" t="s">
        <v>1666</v>
      </c>
      <c r="S11" s="200" t="s">
        <v>1667</v>
      </c>
      <c r="T11" s="200" t="s">
        <v>1668</v>
      </c>
    </row>
    <row r="12" spans="1:20" s="19" customFormat="1" ht="90" x14ac:dyDescent="0.25">
      <c r="A12" s="199">
        <v>2</v>
      </c>
      <c r="B12" s="1300" t="s">
        <v>1669</v>
      </c>
      <c r="C12" s="1300"/>
      <c r="D12" s="200" t="s">
        <v>1670</v>
      </c>
      <c r="E12" s="200" t="s">
        <v>1671</v>
      </c>
      <c r="F12" s="200" t="s">
        <v>1672</v>
      </c>
      <c r="G12" s="200" t="s">
        <v>1673</v>
      </c>
      <c r="H12" s="200" t="s">
        <v>1674</v>
      </c>
      <c r="I12" s="200" t="s">
        <v>1675</v>
      </c>
      <c r="J12" s="200" t="s">
        <v>1676</v>
      </c>
      <c r="K12" s="200" t="s">
        <v>1677</v>
      </c>
      <c r="L12" s="200" t="s">
        <v>1678</v>
      </c>
      <c r="M12" s="200" t="s">
        <v>1679</v>
      </c>
      <c r="N12" s="200" t="s">
        <v>1680</v>
      </c>
      <c r="O12" s="200" t="s">
        <v>1681</v>
      </c>
      <c r="P12" s="200" t="s">
        <v>1682</v>
      </c>
      <c r="Q12" s="200" t="s">
        <v>1683</v>
      </c>
      <c r="R12" s="200" t="s">
        <v>1684</v>
      </c>
      <c r="S12" s="200" t="s">
        <v>1685</v>
      </c>
      <c r="T12" s="200" t="s">
        <v>1686</v>
      </c>
    </row>
    <row r="13" spans="1:20" s="19" customFormat="1" ht="105" x14ac:dyDescent="0.25">
      <c r="A13" s="199">
        <v>3</v>
      </c>
      <c r="B13" s="1300" t="s">
        <v>1687</v>
      </c>
      <c r="C13" s="1300"/>
      <c r="D13" s="200" t="s">
        <v>1688</v>
      </c>
      <c r="E13" s="200" t="s">
        <v>1689</v>
      </c>
      <c r="F13" s="200" t="s">
        <v>1690</v>
      </c>
      <c r="G13" s="200" t="s">
        <v>1691</v>
      </c>
      <c r="H13" s="200" t="s">
        <v>1692</v>
      </c>
      <c r="I13" s="200" t="s">
        <v>1693</v>
      </c>
      <c r="J13" s="200" t="s">
        <v>1694</v>
      </c>
      <c r="K13" s="200" t="s">
        <v>1695</v>
      </c>
      <c r="L13" s="200" t="s">
        <v>1696</v>
      </c>
      <c r="M13" s="200" t="s">
        <v>1697</v>
      </c>
      <c r="N13" s="200" t="s">
        <v>1698</v>
      </c>
      <c r="O13" s="200" t="s">
        <v>1699</v>
      </c>
      <c r="P13" s="200" t="s">
        <v>1700</v>
      </c>
      <c r="Q13" s="200" t="s">
        <v>1701</v>
      </c>
      <c r="R13" s="200" t="s">
        <v>1702</v>
      </c>
      <c r="S13" s="200" t="s">
        <v>1703</v>
      </c>
      <c r="T13" s="200" t="s">
        <v>1704</v>
      </c>
    </row>
    <row r="14" spans="1:20" s="19" customFormat="1" ht="165" x14ac:dyDescent="0.25">
      <c r="A14" s="199">
        <v>4</v>
      </c>
      <c r="B14" s="1300" t="s">
        <v>1705</v>
      </c>
      <c r="C14" s="1300"/>
      <c r="D14" s="200" t="s">
        <v>1706</v>
      </c>
      <c r="E14" s="200" t="s">
        <v>1707</v>
      </c>
      <c r="F14" s="200" t="s">
        <v>1708</v>
      </c>
      <c r="G14" s="200" t="s">
        <v>1709</v>
      </c>
      <c r="H14" s="200" t="s">
        <v>1710</v>
      </c>
      <c r="I14" s="200" t="s">
        <v>1711</v>
      </c>
      <c r="J14" s="200" t="s">
        <v>1712</v>
      </c>
      <c r="K14" s="200" t="s">
        <v>1713</v>
      </c>
      <c r="L14" s="200" t="s">
        <v>1714</v>
      </c>
      <c r="M14" s="200" t="s">
        <v>1715</v>
      </c>
      <c r="N14" s="200" t="s">
        <v>1716</v>
      </c>
      <c r="O14" s="200" t="s">
        <v>1717</v>
      </c>
      <c r="P14" s="200" t="s">
        <v>1718</v>
      </c>
      <c r="Q14" s="200" t="s">
        <v>1719</v>
      </c>
      <c r="R14" s="200" t="s">
        <v>1720</v>
      </c>
      <c r="S14" s="200" t="s">
        <v>1721</v>
      </c>
      <c r="T14" s="200" t="s">
        <v>1722</v>
      </c>
    </row>
    <row r="15" spans="1:20" s="19" customFormat="1" ht="180" x14ac:dyDescent="0.25">
      <c r="A15" s="199">
        <v>5</v>
      </c>
      <c r="B15" s="1302" t="s">
        <v>1723</v>
      </c>
      <c r="C15" s="1302"/>
      <c r="D15" s="200" t="s">
        <v>1724</v>
      </c>
      <c r="E15" s="200" t="s">
        <v>1725</v>
      </c>
      <c r="F15" s="200" t="s">
        <v>1726</v>
      </c>
      <c r="G15" s="200" t="s">
        <v>1727</v>
      </c>
      <c r="H15" s="200" t="s">
        <v>1728</v>
      </c>
      <c r="I15" s="200" t="s">
        <v>1729</v>
      </c>
      <c r="J15" s="200" t="s">
        <v>1730</v>
      </c>
      <c r="K15" s="200" t="s">
        <v>1731</v>
      </c>
      <c r="L15" s="200" t="s">
        <v>1732</v>
      </c>
      <c r="M15" s="200" t="s">
        <v>1733</v>
      </c>
      <c r="N15" s="200" t="s">
        <v>1734</v>
      </c>
      <c r="O15" s="200" t="s">
        <v>1735</v>
      </c>
      <c r="P15" s="200" t="s">
        <v>1736</v>
      </c>
      <c r="Q15" s="200" t="s">
        <v>1737</v>
      </c>
      <c r="R15" s="200" t="s">
        <v>1738</v>
      </c>
      <c r="S15" s="200" t="s">
        <v>1739</v>
      </c>
      <c r="T15" s="200" t="s">
        <v>1740</v>
      </c>
    </row>
    <row r="16" spans="1:20" s="19" customFormat="1" ht="180" x14ac:dyDescent="0.25">
      <c r="A16" s="199">
        <v>6</v>
      </c>
      <c r="B16" s="1300" t="s">
        <v>1741</v>
      </c>
      <c r="C16" s="1300"/>
      <c r="D16" s="200" t="s">
        <v>1742</v>
      </c>
      <c r="E16" s="200" t="s">
        <v>1743</v>
      </c>
      <c r="F16" s="200" t="s">
        <v>1744</v>
      </c>
      <c r="G16" s="200" t="s">
        <v>1745</v>
      </c>
      <c r="H16" s="200" t="s">
        <v>1746</v>
      </c>
      <c r="I16" s="200" t="s">
        <v>1747</v>
      </c>
      <c r="J16" s="200" t="s">
        <v>1748</v>
      </c>
      <c r="K16" s="200" t="s">
        <v>1749</v>
      </c>
      <c r="L16" s="200" t="s">
        <v>1750</v>
      </c>
      <c r="M16" s="200" t="s">
        <v>1751</v>
      </c>
      <c r="N16" s="200" t="s">
        <v>1752</v>
      </c>
      <c r="O16" s="200" t="s">
        <v>1753</v>
      </c>
      <c r="P16" s="200" t="s">
        <v>1754</v>
      </c>
      <c r="Q16" s="200" t="s">
        <v>1755</v>
      </c>
      <c r="R16" s="200" t="s">
        <v>1756</v>
      </c>
      <c r="S16" s="200" t="s">
        <v>1757</v>
      </c>
      <c r="T16" s="200" t="s">
        <v>1758</v>
      </c>
    </row>
    <row r="17" spans="1:20" s="19" customFormat="1" ht="360" customHeight="1" x14ac:dyDescent="0.25">
      <c r="A17" s="199">
        <v>7</v>
      </c>
      <c r="B17" s="1302" t="s">
        <v>1723</v>
      </c>
      <c r="C17" s="1302"/>
      <c r="D17" s="200" t="s">
        <v>1759</v>
      </c>
      <c r="E17" s="200" t="s">
        <v>1760</v>
      </c>
      <c r="F17" s="200" t="s">
        <v>1761</v>
      </c>
      <c r="G17" s="200" t="s">
        <v>1762</v>
      </c>
      <c r="H17" s="200" t="s">
        <v>1763</v>
      </c>
      <c r="I17" s="200" t="s">
        <v>1764</v>
      </c>
      <c r="J17" s="200" t="s">
        <v>1765</v>
      </c>
      <c r="K17" s="200" t="s">
        <v>1766</v>
      </c>
      <c r="L17" s="200" t="s">
        <v>1767</v>
      </c>
      <c r="M17" s="200" t="s">
        <v>1768</v>
      </c>
      <c r="N17" s="200" t="s">
        <v>1769</v>
      </c>
      <c r="O17" s="200" t="s">
        <v>1770</v>
      </c>
      <c r="P17" s="200" t="s">
        <v>1771</v>
      </c>
      <c r="Q17" s="200" t="s">
        <v>1772</v>
      </c>
      <c r="R17" s="200" t="s">
        <v>1773</v>
      </c>
      <c r="S17" s="200" t="s">
        <v>1774</v>
      </c>
      <c r="T17" s="200" t="s">
        <v>1775</v>
      </c>
    </row>
    <row r="18" spans="1:20" s="19" customFormat="1" ht="105" x14ac:dyDescent="0.25">
      <c r="A18" s="199">
        <v>8</v>
      </c>
      <c r="B18" s="1300" t="s">
        <v>1776</v>
      </c>
      <c r="C18" s="1300"/>
      <c r="D18" s="200" t="s">
        <v>1777</v>
      </c>
      <c r="E18" s="200" t="s">
        <v>1778</v>
      </c>
      <c r="F18" s="200" t="s">
        <v>1779</v>
      </c>
      <c r="G18" s="200" t="s">
        <v>1780</v>
      </c>
      <c r="H18" s="200" t="s">
        <v>1781</v>
      </c>
      <c r="I18" s="200" t="s">
        <v>1782</v>
      </c>
      <c r="J18" s="200" t="s">
        <v>1783</v>
      </c>
      <c r="K18" s="200" t="s">
        <v>1784</v>
      </c>
      <c r="L18" s="200" t="s">
        <v>1785</v>
      </c>
      <c r="M18" s="200" t="s">
        <v>1786</v>
      </c>
      <c r="N18" s="200" t="s">
        <v>1787</v>
      </c>
      <c r="O18" s="200" t="s">
        <v>1788</v>
      </c>
      <c r="P18" s="200" t="s">
        <v>1789</v>
      </c>
      <c r="Q18" s="200" t="s">
        <v>1790</v>
      </c>
      <c r="R18" s="200" t="s">
        <v>1791</v>
      </c>
      <c r="S18" s="200" t="s">
        <v>1792</v>
      </c>
      <c r="T18" s="200" t="s">
        <v>1793</v>
      </c>
    </row>
    <row r="19" spans="1:20" s="19" customFormat="1" ht="90" x14ac:dyDescent="0.25">
      <c r="A19" s="199">
        <v>9</v>
      </c>
      <c r="B19" s="1300" t="s">
        <v>1794</v>
      </c>
      <c r="C19" s="1300"/>
      <c r="D19" s="200" t="s">
        <v>1795</v>
      </c>
      <c r="E19" s="200" t="s">
        <v>1796</v>
      </c>
      <c r="F19" s="200" t="s">
        <v>1797</v>
      </c>
      <c r="G19" s="200" t="s">
        <v>1798</v>
      </c>
      <c r="H19" s="200" t="s">
        <v>1799</v>
      </c>
      <c r="I19" s="200" t="s">
        <v>1800</v>
      </c>
      <c r="J19" s="200" t="s">
        <v>1801</v>
      </c>
      <c r="K19" s="200" t="s">
        <v>1802</v>
      </c>
      <c r="L19" s="200" t="s">
        <v>1803</v>
      </c>
      <c r="M19" s="200" t="s">
        <v>1804</v>
      </c>
      <c r="N19" s="200" t="s">
        <v>1805</v>
      </c>
      <c r="O19" s="200" t="s">
        <v>1806</v>
      </c>
      <c r="P19" s="200" t="s">
        <v>1807</v>
      </c>
      <c r="Q19" s="200" t="s">
        <v>1808</v>
      </c>
      <c r="R19" s="200" t="s">
        <v>1809</v>
      </c>
      <c r="S19" s="200" t="s">
        <v>1810</v>
      </c>
      <c r="T19" s="200" t="s">
        <v>1811</v>
      </c>
    </row>
    <row r="20" spans="1:20" s="19" customFormat="1" ht="105" x14ac:dyDescent="0.25">
      <c r="A20" s="199">
        <v>10</v>
      </c>
      <c r="B20" s="1300" t="s">
        <v>1687</v>
      </c>
      <c r="C20" s="1300"/>
      <c r="D20" s="200" t="s">
        <v>1812</v>
      </c>
      <c r="E20" s="200" t="s">
        <v>1813</v>
      </c>
      <c r="F20" s="200" t="s">
        <v>1814</v>
      </c>
      <c r="G20" s="200" t="s">
        <v>1815</v>
      </c>
      <c r="H20" s="200" t="s">
        <v>1816</v>
      </c>
      <c r="I20" s="200" t="s">
        <v>1817</v>
      </c>
      <c r="J20" s="200" t="s">
        <v>1818</v>
      </c>
      <c r="K20" s="200" t="s">
        <v>1819</v>
      </c>
      <c r="L20" s="200" t="s">
        <v>1820</v>
      </c>
      <c r="M20" s="200" t="s">
        <v>1821</v>
      </c>
      <c r="N20" s="200" t="s">
        <v>1822</v>
      </c>
      <c r="O20" s="200" t="s">
        <v>1823</v>
      </c>
      <c r="P20" s="200" t="s">
        <v>1824</v>
      </c>
      <c r="Q20" s="200" t="s">
        <v>1825</v>
      </c>
      <c r="R20" s="200" t="s">
        <v>1826</v>
      </c>
      <c r="S20" s="200" t="s">
        <v>1827</v>
      </c>
      <c r="T20" s="200" t="s">
        <v>1828</v>
      </c>
    </row>
    <row r="21" spans="1:20" s="19" customFormat="1" ht="165" x14ac:dyDescent="0.25">
      <c r="A21" s="199">
        <v>11</v>
      </c>
      <c r="B21" s="1300" t="s">
        <v>1829</v>
      </c>
      <c r="C21" s="1300"/>
      <c r="D21" s="200" t="s">
        <v>1830</v>
      </c>
      <c r="E21" s="200" t="s">
        <v>1831</v>
      </c>
      <c r="F21" s="200" t="s">
        <v>1832</v>
      </c>
      <c r="G21" s="200" t="s">
        <v>1833</v>
      </c>
      <c r="H21" s="200" t="s">
        <v>1834</v>
      </c>
      <c r="I21" s="200" t="s">
        <v>1835</v>
      </c>
      <c r="J21" s="200" t="s">
        <v>1836</v>
      </c>
      <c r="K21" s="200" t="s">
        <v>1837</v>
      </c>
      <c r="L21" s="200" t="s">
        <v>1838</v>
      </c>
      <c r="M21" s="200" t="s">
        <v>1839</v>
      </c>
      <c r="N21" s="200" t="s">
        <v>1840</v>
      </c>
      <c r="O21" s="200" t="s">
        <v>1841</v>
      </c>
      <c r="P21" s="200" t="s">
        <v>1842</v>
      </c>
      <c r="Q21" s="200" t="s">
        <v>1843</v>
      </c>
      <c r="R21" s="200" t="s">
        <v>1844</v>
      </c>
      <c r="S21" s="200" t="s">
        <v>1845</v>
      </c>
      <c r="T21" s="200" t="s">
        <v>1846</v>
      </c>
    </row>
    <row r="22" spans="1:20" s="19" customFormat="1" ht="180" x14ac:dyDescent="0.25">
      <c r="A22" s="199">
        <v>12</v>
      </c>
      <c r="B22" s="1300" t="s">
        <v>1741</v>
      </c>
      <c r="C22" s="1300"/>
      <c r="D22" s="200" t="s">
        <v>1847</v>
      </c>
      <c r="E22" s="200" t="s">
        <v>1848</v>
      </c>
      <c r="F22" s="200" t="s">
        <v>1849</v>
      </c>
      <c r="G22" s="200" t="s">
        <v>1850</v>
      </c>
      <c r="H22" s="200" t="s">
        <v>1851</v>
      </c>
      <c r="I22" s="200" t="s">
        <v>1852</v>
      </c>
      <c r="J22" s="200" t="s">
        <v>1853</v>
      </c>
      <c r="K22" s="200" t="s">
        <v>1854</v>
      </c>
      <c r="L22" s="200" t="s">
        <v>1855</v>
      </c>
      <c r="M22" s="200" t="s">
        <v>1856</v>
      </c>
      <c r="N22" s="200" t="s">
        <v>1857</v>
      </c>
      <c r="O22" s="200" t="s">
        <v>1858</v>
      </c>
      <c r="P22" s="200" t="s">
        <v>1859</v>
      </c>
      <c r="Q22" s="200" t="s">
        <v>1860</v>
      </c>
      <c r="R22" s="200" t="s">
        <v>1861</v>
      </c>
      <c r="S22" s="200" t="s">
        <v>1862</v>
      </c>
      <c r="T22" s="200" t="s">
        <v>1863</v>
      </c>
    </row>
    <row r="23" spans="1:20" s="19" customFormat="1" ht="105" x14ac:dyDescent="0.25">
      <c r="A23" s="199">
        <v>13</v>
      </c>
      <c r="B23" s="1300" t="s">
        <v>1776</v>
      </c>
      <c r="C23" s="1300"/>
      <c r="D23" s="200" t="s">
        <v>1864</v>
      </c>
      <c r="E23" s="200" t="s">
        <v>1865</v>
      </c>
      <c r="F23" s="200" t="s">
        <v>1866</v>
      </c>
      <c r="G23" s="200" t="s">
        <v>1867</v>
      </c>
      <c r="H23" s="200" t="s">
        <v>1868</v>
      </c>
      <c r="I23" s="200" t="s">
        <v>1869</v>
      </c>
      <c r="J23" s="200" t="s">
        <v>1870</v>
      </c>
      <c r="K23" s="200" t="s">
        <v>1871</v>
      </c>
      <c r="L23" s="200" t="s">
        <v>1872</v>
      </c>
      <c r="M23" s="200" t="s">
        <v>1873</v>
      </c>
      <c r="N23" s="200" t="s">
        <v>1874</v>
      </c>
      <c r="O23" s="200" t="s">
        <v>1875</v>
      </c>
      <c r="P23" s="200" t="s">
        <v>1876</v>
      </c>
      <c r="Q23" s="200" t="s">
        <v>1877</v>
      </c>
      <c r="R23" s="200" t="s">
        <v>1878</v>
      </c>
      <c r="S23" s="200" t="s">
        <v>1879</v>
      </c>
      <c r="T23" s="200" t="s">
        <v>1880</v>
      </c>
    </row>
    <row r="24" spans="1:20" s="19" customFormat="1" x14ac:dyDescent="0.25"/>
    <row r="25" spans="1:20" s="19" customFormat="1" ht="13.5" customHeight="1" x14ac:dyDescent="0.25"/>
  </sheetData>
  <mergeCells count="18">
    <mergeCell ref="B3:J3"/>
    <mergeCell ref="B18:C18"/>
    <mergeCell ref="D9:H9"/>
    <mergeCell ref="I9:L9"/>
    <mergeCell ref="M9:P9"/>
    <mergeCell ref="B15:C15"/>
    <mergeCell ref="B16:C16"/>
    <mergeCell ref="B17:C17"/>
    <mergeCell ref="Q9:T9"/>
    <mergeCell ref="B11:C11"/>
    <mergeCell ref="B12:C12"/>
    <mergeCell ref="B13:C13"/>
    <mergeCell ref="B14:C14"/>
    <mergeCell ref="B19:C19"/>
    <mergeCell ref="B20:C20"/>
    <mergeCell ref="B21:C21"/>
    <mergeCell ref="B22:C22"/>
    <mergeCell ref="B23:C23"/>
  </mergeCells>
  <pageMargins left="0.70866141732283472" right="0.70866141732283472" top="0.74803149606299213" bottom="0.74803149606299213" header="0.31496062992125984" footer="0.31496062992125984"/>
  <pageSetup paperSize="8" scale="29" orientation="landscape" cellComments="asDisplayed"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3:T23"/>
  <sheetViews>
    <sheetView workbookViewId="0"/>
  </sheetViews>
  <sheetFormatPr baseColWidth="10" defaultColWidth="9.21875" defaultRowHeight="15" x14ac:dyDescent="0.25"/>
  <cols>
    <col min="2" max="3" width="13.77734375" customWidth="1"/>
    <col min="4" max="20" width="35.77734375" customWidth="1"/>
  </cols>
  <sheetData>
    <row r="3" spans="1:20" ht="49.5" customHeight="1" x14ac:dyDescent="0.25">
      <c r="B3" s="1287" t="s">
        <v>2960</v>
      </c>
      <c r="C3" s="1287"/>
      <c r="D3" s="1287"/>
      <c r="E3" s="1287"/>
      <c r="F3" s="1287"/>
      <c r="G3" s="1287"/>
      <c r="H3" s="1287"/>
      <c r="I3" s="1287"/>
      <c r="J3" s="1287"/>
    </row>
    <row r="5" spans="1:20" ht="20.25" x14ac:dyDescent="0.3">
      <c r="B5" s="4" t="s">
        <v>1881</v>
      </c>
      <c r="C5" s="35"/>
      <c r="D5" s="35"/>
      <c r="E5" s="35"/>
      <c r="F5" s="35"/>
      <c r="G5" s="35"/>
      <c r="H5" s="35"/>
      <c r="I5" s="35"/>
      <c r="J5" s="35"/>
      <c r="K5" s="35"/>
    </row>
    <row r="8" spans="1:20" x14ac:dyDescent="0.25">
      <c r="A8" s="19"/>
      <c r="B8" s="19"/>
      <c r="C8" s="79"/>
      <c r="D8" s="199" t="s">
        <v>161</v>
      </c>
      <c r="E8" s="199" t="s">
        <v>162</v>
      </c>
      <c r="F8" s="199" t="s">
        <v>163</v>
      </c>
      <c r="G8" s="199" t="s">
        <v>200</v>
      </c>
      <c r="H8" s="199" t="s">
        <v>201</v>
      </c>
      <c r="I8" s="199" t="s">
        <v>266</v>
      </c>
      <c r="J8" s="199" t="s">
        <v>267</v>
      </c>
      <c r="K8" s="199" t="s">
        <v>268</v>
      </c>
      <c r="L8" s="199" t="s">
        <v>269</v>
      </c>
      <c r="M8" s="199" t="s">
        <v>270</v>
      </c>
      <c r="N8" s="199" t="s">
        <v>271</v>
      </c>
      <c r="O8" s="199" t="s">
        <v>272</v>
      </c>
      <c r="P8" s="199" t="s">
        <v>273</v>
      </c>
      <c r="Q8" s="199" t="s">
        <v>897</v>
      </c>
      <c r="R8" s="199" t="s">
        <v>898</v>
      </c>
      <c r="S8" s="199" t="s">
        <v>1637</v>
      </c>
      <c r="T8" s="199" t="s">
        <v>1638</v>
      </c>
    </row>
    <row r="9" spans="1:20" ht="15" customHeight="1" x14ac:dyDescent="0.25">
      <c r="A9" s="19"/>
      <c r="B9" s="19"/>
      <c r="C9" s="79"/>
      <c r="D9" s="1266" t="s">
        <v>1639</v>
      </c>
      <c r="E9" s="1289"/>
      <c r="F9" s="1289"/>
      <c r="G9" s="1289"/>
      <c r="H9" s="1289"/>
      <c r="I9" s="1289" t="s">
        <v>1640</v>
      </c>
      <c r="J9" s="1289"/>
      <c r="K9" s="1289"/>
      <c r="L9" s="1289"/>
      <c r="M9" s="1289" t="s">
        <v>1641</v>
      </c>
      <c r="N9" s="1289"/>
      <c r="O9" s="1289"/>
      <c r="P9" s="1289"/>
      <c r="Q9" s="1289" t="s">
        <v>1642</v>
      </c>
      <c r="R9" s="1289"/>
      <c r="S9" s="1289"/>
      <c r="T9" s="1289"/>
    </row>
    <row r="10" spans="1:20" s="59" customFormat="1" ht="30" x14ac:dyDescent="0.25">
      <c r="A10" s="80"/>
      <c r="B10" s="80"/>
      <c r="C10" s="81"/>
      <c r="D10" s="215" t="s">
        <v>1643</v>
      </c>
      <c r="E10" s="215" t="s">
        <v>1644</v>
      </c>
      <c r="F10" s="215" t="s">
        <v>1882</v>
      </c>
      <c r="G10" s="215" t="s">
        <v>1883</v>
      </c>
      <c r="H10" s="215" t="s">
        <v>1647</v>
      </c>
      <c r="I10" s="215" t="s">
        <v>1648</v>
      </c>
      <c r="J10" s="215" t="s">
        <v>1649</v>
      </c>
      <c r="K10" s="215" t="s">
        <v>1650</v>
      </c>
      <c r="L10" s="77" t="s">
        <v>1651</v>
      </c>
      <c r="M10" s="215" t="s">
        <v>1648</v>
      </c>
      <c r="N10" s="215" t="s">
        <v>1649</v>
      </c>
      <c r="O10" s="215" t="s">
        <v>1650</v>
      </c>
      <c r="P10" s="77" t="s">
        <v>2963</v>
      </c>
      <c r="Q10" s="215" t="s">
        <v>1648</v>
      </c>
      <c r="R10" s="215" t="s">
        <v>1649</v>
      </c>
      <c r="S10" s="215" t="s">
        <v>1650</v>
      </c>
      <c r="T10" s="77" t="s">
        <v>2963</v>
      </c>
    </row>
    <row r="11" spans="1:20" ht="75" x14ac:dyDescent="0.25">
      <c r="A11" s="78">
        <v>1</v>
      </c>
      <c r="B11" s="1301" t="s">
        <v>1444</v>
      </c>
      <c r="C11" s="1301"/>
      <c r="D11" s="201" t="s">
        <v>1884</v>
      </c>
      <c r="E11" s="201" t="s">
        <v>1885</v>
      </c>
      <c r="F11" s="201" t="s">
        <v>1886</v>
      </c>
      <c r="G11" s="201" t="s">
        <v>1887</v>
      </c>
      <c r="H11" s="201" t="s">
        <v>1888</v>
      </c>
      <c r="I11" s="201" t="s">
        <v>1889</v>
      </c>
      <c r="J11" s="201" t="s">
        <v>1890</v>
      </c>
      <c r="K11" s="201" t="s">
        <v>1891</v>
      </c>
      <c r="L11" s="201" t="s">
        <v>1892</v>
      </c>
      <c r="M11" s="201" t="s">
        <v>1893</v>
      </c>
      <c r="N11" s="201" t="s">
        <v>1894</v>
      </c>
      <c r="O11" s="201" t="s">
        <v>1895</v>
      </c>
      <c r="P11" s="201" t="s">
        <v>1896</v>
      </c>
      <c r="Q11" s="201" t="s">
        <v>1897</v>
      </c>
      <c r="R11" s="201" t="s">
        <v>1898</v>
      </c>
      <c r="S11" s="201" t="s">
        <v>1899</v>
      </c>
      <c r="T11" s="201" t="s">
        <v>1900</v>
      </c>
    </row>
    <row r="12" spans="1:20" ht="90" x14ac:dyDescent="0.25">
      <c r="A12" s="199">
        <v>2</v>
      </c>
      <c r="B12" s="1300" t="s">
        <v>1901</v>
      </c>
      <c r="C12" s="1300"/>
      <c r="D12" s="201" t="s">
        <v>1902</v>
      </c>
      <c r="E12" s="201" t="s">
        <v>1903</v>
      </c>
      <c r="F12" s="201" t="s">
        <v>1904</v>
      </c>
      <c r="G12" s="201" t="s">
        <v>1905</v>
      </c>
      <c r="H12" s="201" t="s">
        <v>1906</v>
      </c>
      <c r="I12" s="201" t="s">
        <v>1907</v>
      </c>
      <c r="J12" s="201" t="s">
        <v>1908</v>
      </c>
      <c r="K12" s="201" t="s">
        <v>1909</v>
      </c>
      <c r="L12" s="201" t="s">
        <v>1910</v>
      </c>
      <c r="M12" s="201" t="s">
        <v>1911</v>
      </c>
      <c r="N12" s="201" t="s">
        <v>1912</v>
      </c>
      <c r="O12" s="201" t="s">
        <v>1913</v>
      </c>
      <c r="P12" s="201" t="s">
        <v>1914</v>
      </c>
      <c r="Q12" s="201" t="s">
        <v>1915</v>
      </c>
      <c r="R12" s="201" t="s">
        <v>1916</v>
      </c>
      <c r="S12" s="201" t="s">
        <v>1917</v>
      </c>
      <c r="T12" s="201" t="s">
        <v>1918</v>
      </c>
    </row>
    <row r="13" spans="1:20" ht="105" x14ac:dyDescent="0.25">
      <c r="A13" s="199">
        <v>3</v>
      </c>
      <c r="B13" s="1300" t="s">
        <v>1919</v>
      </c>
      <c r="C13" s="1300"/>
      <c r="D13" s="201" t="s">
        <v>1920</v>
      </c>
      <c r="E13" s="201" t="s">
        <v>1921</v>
      </c>
      <c r="F13" s="201" t="s">
        <v>1922</v>
      </c>
      <c r="G13" s="201" t="s">
        <v>1923</v>
      </c>
      <c r="H13" s="201" t="s">
        <v>1924</v>
      </c>
      <c r="I13" s="201" t="s">
        <v>1925</v>
      </c>
      <c r="J13" s="201" t="s">
        <v>1926</v>
      </c>
      <c r="K13" s="201" t="s">
        <v>1927</v>
      </c>
      <c r="L13" s="201" t="s">
        <v>1928</v>
      </c>
      <c r="M13" s="201" t="s">
        <v>1929</v>
      </c>
      <c r="N13" s="201" t="s">
        <v>1930</v>
      </c>
      <c r="O13" s="201" t="s">
        <v>1931</v>
      </c>
      <c r="P13" s="201" t="s">
        <v>1932</v>
      </c>
      <c r="Q13" s="201" t="s">
        <v>1933</v>
      </c>
      <c r="R13" s="201" t="s">
        <v>1934</v>
      </c>
      <c r="S13" s="201" t="s">
        <v>1935</v>
      </c>
      <c r="T13" s="201" t="s">
        <v>1936</v>
      </c>
    </row>
    <row r="14" spans="1:20" ht="165" x14ac:dyDescent="0.25">
      <c r="A14" s="199">
        <v>4</v>
      </c>
      <c r="B14" s="1300" t="s">
        <v>1829</v>
      </c>
      <c r="C14" s="1300"/>
      <c r="D14" s="201" t="s">
        <v>1937</v>
      </c>
      <c r="E14" s="201" t="s">
        <v>1938</v>
      </c>
      <c r="F14" s="201" t="s">
        <v>1939</v>
      </c>
      <c r="G14" s="201" t="s">
        <v>1940</v>
      </c>
      <c r="H14" s="201" t="s">
        <v>1941</v>
      </c>
      <c r="I14" s="201" t="s">
        <v>1942</v>
      </c>
      <c r="J14" s="201" t="s">
        <v>1943</v>
      </c>
      <c r="K14" s="201" t="s">
        <v>1944</v>
      </c>
      <c r="L14" s="201" t="s">
        <v>1945</v>
      </c>
      <c r="M14" s="201" t="s">
        <v>1946</v>
      </c>
      <c r="N14" s="201" t="s">
        <v>1947</v>
      </c>
      <c r="O14" s="201" t="s">
        <v>1948</v>
      </c>
      <c r="P14" s="201" t="s">
        <v>1949</v>
      </c>
      <c r="Q14" s="201" t="s">
        <v>1950</v>
      </c>
      <c r="R14" s="201" t="s">
        <v>1951</v>
      </c>
      <c r="S14" s="201" t="s">
        <v>1952</v>
      </c>
      <c r="T14" s="201" t="s">
        <v>1953</v>
      </c>
    </row>
    <row r="15" spans="1:20" ht="180" x14ac:dyDescent="0.25">
      <c r="A15" s="199">
        <v>5</v>
      </c>
      <c r="B15" s="1302" t="s">
        <v>1723</v>
      </c>
      <c r="C15" s="1302"/>
      <c r="D15" s="201" t="s">
        <v>1954</v>
      </c>
      <c r="E15" s="201" t="s">
        <v>1955</v>
      </c>
      <c r="F15" s="201" t="s">
        <v>1956</v>
      </c>
      <c r="G15" s="201" t="s">
        <v>1957</v>
      </c>
      <c r="H15" s="201" t="s">
        <v>1958</v>
      </c>
      <c r="I15" s="201" t="s">
        <v>1959</v>
      </c>
      <c r="J15" s="201" t="s">
        <v>1960</v>
      </c>
      <c r="K15" s="201" t="s">
        <v>1961</v>
      </c>
      <c r="L15" s="201" t="s">
        <v>1962</v>
      </c>
      <c r="M15" s="201" t="s">
        <v>1963</v>
      </c>
      <c r="N15" s="201" t="s">
        <v>1964</v>
      </c>
      <c r="O15" s="201" t="s">
        <v>1965</v>
      </c>
      <c r="P15" s="201" t="s">
        <v>1966</v>
      </c>
      <c r="Q15" s="201" t="s">
        <v>1967</v>
      </c>
      <c r="R15" s="201" t="s">
        <v>1968</v>
      </c>
      <c r="S15" s="201" t="s">
        <v>1969</v>
      </c>
      <c r="T15" s="201" t="s">
        <v>1970</v>
      </c>
    </row>
    <row r="16" spans="1:20" ht="180" x14ac:dyDescent="0.25">
      <c r="A16" s="199">
        <v>6</v>
      </c>
      <c r="B16" s="1300" t="s">
        <v>1741</v>
      </c>
      <c r="C16" s="1300"/>
      <c r="D16" s="201" t="s">
        <v>1971</v>
      </c>
      <c r="E16" s="201" t="s">
        <v>1972</v>
      </c>
      <c r="F16" s="201" t="s">
        <v>1973</v>
      </c>
      <c r="G16" s="201" t="s">
        <v>1974</v>
      </c>
      <c r="H16" s="201" t="s">
        <v>1975</v>
      </c>
      <c r="I16" s="201" t="s">
        <v>1976</v>
      </c>
      <c r="J16" s="201" t="s">
        <v>1977</v>
      </c>
      <c r="K16" s="201" t="s">
        <v>1978</v>
      </c>
      <c r="L16" s="201" t="s">
        <v>1979</v>
      </c>
      <c r="M16" s="201" t="s">
        <v>1980</v>
      </c>
      <c r="N16" s="201" t="s">
        <v>1981</v>
      </c>
      <c r="O16" s="201" t="s">
        <v>1982</v>
      </c>
      <c r="P16" s="201" t="s">
        <v>1983</v>
      </c>
      <c r="Q16" s="201" t="s">
        <v>1984</v>
      </c>
      <c r="R16" s="201" t="s">
        <v>1985</v>
      </c>
      <c r="S16" s="201" t="s">
        <v>1986</v>
      </c>
      <c r="T16" s="201" t="s">
        <v>1987</v>
      </c>
    </row>
    <row r="17" spans="1:20" ht="195" x14ac:dyDescent="0.25">
      <c r="A17" s="199">
        <v>7</v>
      </c>
      <c r="B17" s="1302" t="s">
        <v>1723</v>
      </c>
      <c r="C17" s="1302"/>
      <c r="D17" s="201" t="s">
        <v>1988</v>
      </c>
      <c r="E17" s="201" t="s">
        <v>1989</v>
      </c>
      <c r="F17" s="201" t="s">
        <v>1990</v>
      </c>
      <c r="G17" s="201" t="s">
        <v>1991</v>
      </c>
      <c r="H17" s="201" t="s">
        <v>1992</v>
      </c>
      <c r="I17" s="201" t="s">
        <v>1993</v>
      </c>
      <c r="J17" s="201" t="s">
        <v>1994</v>
      </c>
      <c r="K17" s="201" t="s">
        <v>1995</v>
      </c>
      <c r="L17" s="201" t="s">
        <v>1996</v>
      </c>
      <c r="M17" s="201" t="s">
        <v>1997</v>
      </c>
      <c r="N17" s="201" t="s">
        <v>1998</v>
      </c>
      <c r="O17" s="201" t="s">
        <v>1999</v>
      </c>
      <c r="P17" s="201" t="s">
        <v>2000</v>
      </c>
      <c r="Q17" s="201" t="s">
        <v>2001</v>
      </c>
      <c r="R17" s="201" t="s">
        <v>2002</v>
      </c>
      <c r="S17" s="201" t="s">
        <v>2003</v>
      </c>
      <c r="T17" s="201" t="s">
        <v>2004</v>
      </c>
    </row>
    <row r="18" spans="1:20" ht="105" x14ac:dyDescent="0.25">
      <c r="A18" s="199">
        <v>8</v>
      </c>
      <c r="B18" s="1300" t="s">
        <v>1776</v>
      </c>
      <c r="C18" s="1300"/>
      <c r="D18" s="201" t="s">
        <v>2005</v>
      </c>
      <c r="E18" s="201" t="s">
        <v>2006</v>
      </c>
      <c r="F18" s="201" t="s">
        <v>2007</v>
      </c>
      <c r="G18" s="201" t="s">
        <v>2008</v>
      </c>
      <c r="H18" s="201" t="s">
        <v>2009</v>
      </c>
      <c r="I18" s="201" t="s">
        <v>2010</v>
      </c>
      <c r="J18" s="201" t="s">
        <v>2011</v>
      </c>
      <c r="K18" s="201" t="s">
        <v>2012</v>
      </c>
      <c r="L18" s="201" t="s">
        <v>2013</v>
      </c>
      <c r="M18" s="201" t="s">
        <v>2014</v>
      </c>
      <c r="N18" s="201" t="s">
        <v>2015</v>
      </c>
      <c r="O18" s="201" t="s">
        <v>2016</v>
      </c>
      <c r="P18" s="201" t="s">
        <v>2017</v>
      </c>
      <c r="Q18" s="201" t="s">
        <v>2018</v>
      </c>
      <c r="R18" s="201" t="s">
        <v>2019</v>
      </c>
      <c r="S18" s="201" t="s">
        <v>2020</v>
      </c>
      <c r="T18" s="201" t="s">
        <v>2021</v>
      </c>
    </row>
    <row r="19" spans="1:20" ht="90" x14ac:dyDescent="0.25">
      <c r="A19" s="199">
        <v>9</v>
      </c>
      <c r="B19" s="1300" t="s">
        <v>2022</v>
      </c>
      <c r="C19" s="1300"/>
      <c r="D19" s="201" t="s">
        <v>2023</v>
      </c>
      <c r="E19" s="201" t="s">
        <v>2024</v>
      </c>
      <c r="F19" s="201" t="s">
        <v>2025</v>
      </c>
      <c r="G19" s="201" t="s">
        <v>2026</v>
      </c>
      <c r="H19" s="201" t="s">
        <v>2027</v>
      </c>
      <c r="I19" s="201" t="s">
        <v>2028</v>
      </c>
      <c r="J19" s="201" t="s">
        <v>2029</v>
      </c>
      <c r="K19" s="201" t="s">
        <v>2030</v>
      </c>
      <c r="L19" s="201" t="s">
        <v>2031</v>
      </c>
      <c r="M19" s="201" t="s">
        <v>2032</v>
      </c>
      <c r="N19" s="201" t="s">
        <v>2033</v>
      </c>
      <c r="O19" s="201" t="s">
        <v>2034</v>
      </c>
      <c r="P19" s="201" t="s">
        <v>2035</v>
      </c>
      <c r="Q19" s="201" t="s">
        <v>2036</v>
      </c>
      <c r="R19" s="201" t="s">
        <v>2037</v>
      </c>
      <c r="S19" s="201" t="s">
        <v>2038</v>
      </c>
      <c r="T19" s="201" t="s">
        <v>2039</v>
      </c>
    </row>
    <row r="20" spans="1:20" ht="105" x14ac:dyDescent="0.25">
      <c r="A20" s="199">
        <v>10</v>
      </c>
      <c r="B20" s="1300" t="s">
        <v>1919</v>
      </c>
      <c r="C20" s="1300"/>
      <c r="D20" s="201" t="s">
        <v>2040</v>
      </c>
      <c r="E20" s="201" t="s">
        <v>2041</v>
      </c>
      <c r="F20" s="201" t="s">
        <v>2042</v>
      </c>
      <c r="G20" s="201" t="s">
        <v>2043</v>
      </c>
      <c r="H20" s="201" t="s">
        <v>2044</v>
      </c>
      <c r="I20" s="201" t="s">
        <v>2045</v>
      </c>
      <c r="J20" s="201" t="s">
        <v>2046</v>
      </c>
      <c r="K20" s="201" t="s">
        <v>2047</v>
      </c>
      <c r="L20" s="201" t="s">
        <v>2048</v>
      </c>
      <c r="M20" s="201" t="s">
        <v>2049</v>
      </c>
      <c r="N20" s="201" t="s">
        <v>2050</v>
      </c>
      <c r="O20" s="201" t="s">
        <v>2051</v>
      </c>
      <c r="P20" s="201" t="s">
        <v>2052</v>
      </c>
      <c r="Q20" s="201" t="s">
        <v>2053</v>
      </c>
      <c r="R20" s="201" t="s">
        <v>2054</v>
      </c>
      <c r="S20" s="201" t="s">
        <v>2055</v>
      </c>
      <c r="T20" s="201" t="s">
        <v>2056</v>
      </c>
    </row>
    <row r="21" spans="1:20" ht="165" x14ac:dyDescent="0.25">
      <c r="A21" s="199">
        <v>11</v>
      </c>
      <c r="B21" s="1300" t="s">
        <v>1829</v>
      </c>
      <c r="C21" s="1300"/>
      <c r="D21" s="201" t="s">
        <v>2057</v>
      </c>
      <c r="E21" s="201" t="s">
        <v>2058</v>
      </c>
      <c r="F21" s="201" t="s">
        <v>2059</v>
      </c>
      <c r="G21" s="201" t="s">
        <v>2060</v>
      </c>
      <c r="H21" s="201" t="s">
        <v>2061</v>
      </c>
      <c r="I21" s="201" t="s">
        <v>2062</v>
      </c>
      <c r="J21" s="201" t="s">
        <v>2063</v>
      </c>
      <c r="K21" s="201" t="s">
        <v>2064</v>
      </c>
      <c r="L21" s="201" t="s">
        <v>2065</v>
      </c>
      <c r="M21" s="201" t="s">
        <v>2066</v>
      </c>
      <c r="N21" s="201" t="s">
        <v>2067</v>
      </c>
      <c r="O21" s="201" t="s">
        <v>2068</v>
      </c>
      <c r="P21" s="201" t="s">
        <v>2069</v>
      </c>
      <c r="Q21" s="201" t="s">
        <v>2070</v>
      </c>
      <c r="R21" s="201" t="s">
        <v>2071</v>
      </c>
      <c r="S21" s="201" t="s">
        <v>2072</v>
      </c>
      <c r="T21" s="201" t="s">
        <v>2073</v>
      </c>
    </row>
    <row r="22" spans="1:20" ht="180" x14ac:dyDescent="0.25">
      <c r="A22" s="199">
        <v>12</v>
      </c>
      <c r="B22" s="1300" t="s">
        <v>1741</v>
      </c>
      <c r="C22" s="1300"/>
      <c r="D22" s="201" t="s">
        <v>2074</v>
      </c>
      <c r="E22" s="201" t="s">
        <v>2075</v>
      </c>
      <c r="F22" s="201" t="s">
        <v>2076</v>
      </c>
      <c r="G22" s="201" t="s">
        <v>2077</v>
      </c>
      <c r="H22" s="201" t="s">
        <v>2078</v>
      </c>
      <c r="I22" s="201" t="s">
        <v>2079</v>
      </c>
      <c r="J22" s="201" t="s">
        <v>2080</v>
      </c>
      <c r="K22" s="201" t="s">
        <v>2081</v>
      </c>
      <c r="L22" s="201" t="s">
        <v>2082</v>
      </c>
      <c r="M22" s="201" t="s">
        <v>2083</v>
      </c>
      <c r="N22" s="201" t="s">
        <v>2084</v>
      </c>
      <c r="O22" s="201" t="s">
        <v>2085</v>
      </c>
      <c r="P22" s="201" t="s">
        <v>2086</v>
      </c>
      <c r="Q22" s="201" t="s">
        <v>2087</v>
      </c>
      <c r="R22" s="201" t="s">
        <v>2088</v>
      </c>
      <c r="S22" s="201" t="s">
        <v>2089</v>
      </c>
      <c r="T22" s="201" t="s">
        <v>2090</v>
      </c>
    </row>
    <row r="23" spans="1:20" ht="105" x14ac:dyDescent="0.25">
      <c r="A23" s="199">
        <v>13</v>
      </c>
      <c r="B23" s="1300" t="s">
        <v>1776</v>
      </c>
      <c r="C23" s="1300"/>
      <c r="D23" s="201" t="s">
        <v>2091</v>
      </c>
      <c r="E23" s="201" t="s">
        <v>2092</v>
      </c>
      <c r="F23" s="201" t="s">
        <v>2093</v>
      </c>
      <c r="G23" s="201" t="s">
        <v>2094</v>
      </c>
      <c r="H23" s="201" t="s">
        <v>2095</v>
      </c>
      <c r="I23" s="201" t="s">
        <v>2096</v>
      </c>
      <c r="J23" s="201" t="s">
        <v>2097</v>
      </c>
      <c r="K23" s="201" t="s">
        <v>2098</v>
      </c>
      <c r="L23" s="201" t="s">
        <v>2099</v>
      </c>
      <c r="M23" s="201" t="s">
        <v>2100</v>
      </c>
      <c r="N23" s="201" t="s">
        <v>2101</v>
      </c>
      <c r="O23" s="201" t="s">
        <v>2102</v>
      </c>
      <c r="P23" s="201" t="s">
        <v>2103</v>
      </c>
      <c r="Q23" s="201" t="s">
        <v>2104</v>
      </c>
      <c r="R23" s="201" t="s">
        <v>2105</v>
      </c>
      <c r="S23" s="201" t="s">
        <v>2106</v>
      </c>
      <c r="T23" s="201" t="s">
        <v>2107</v>
      </c>
    </row>
  </sheetData>
  <mergeCells count="18">
    <mergeCell ref="B3:J3"/>
    <mergeCell ref="B18:C18"/>
    <mergeCell ref="D9:H9"/>
    <mergeCell ref="I9:L9"/>
    <mergeCell ref="M9:P9"/>
    <mergeCell ref="B15:C15"/>
    <mergeCell ref="B16:C16"/>
    <mergeCell ref="B17:C17"/>
    <mergeCell ref="Q9:T9"/>
    <mergeCell ref="B11:C11"/>
    <mergeCell ref="B12:C12"/>
    <mergeCell ref="B13:C13"/>
    <mergeCell ref="B14:C14"/>
    <mergeCell ref="B19:C19"/>
    <mergeCell ref="B20:C20"/>
    <mergeCell ref="B21:C21"/>
    <mergeCell ref="B22:C22"/>
    <mergeCell ref="B23:C23"/>
  </mergeCells>
  <pageMargins left="0.70866141732283472" right="0.70866141732283472" top="0.74803149606299213" bottom="0.74803149606299213" header="0.31496062992125984" footer="0.31496062992125984"/>
  <pageSetup paperSize="8" scale="29" orientation="landscape" cellComments="asDisplayed"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5:E23"/>
  <sheetViews>
    <sheetView workbookViewId="0"/>
  </sheetViews>
  <sheetFormatPr baseColWidth="10" defaultColWidth="9.21875" defaultRowHeight="15" x14ac:dyDescent="0.25"/>
  <cols>
    <col min="2" max="2" width="27.21875" customWidth="1"/>
    <col min="3" max="4" width="44.109375" customWidth="1"/>
    <col min="5" max="5" width="64.88671875" customWidth="1"/>
  </cols>
  <sheetData>
    <row r="5" spans="1:5" ht="20.25" x14ac:dyDescent="0.3">
      <c r="A5" s="19"/>
      <c r="B5" s="4" t="s">
        <v>2108</v>
      </c>
      <c r="C5" s="73"/>
      <c r="D5" s="73"/>
      <c r="E5" s="73"/>
    </row>
    <row r="6" spans="1:5" x14ac:dyDescent="0.25">
      <c r="B6" s="82"/>
      <c r="C6" s="82"/>
      <c r="D6" s="82"/>
      <c r="E6" s="82"/>
    </row>
    <row r="8" spans="1:5" x14ac:dyDescent="0.25">
      <c r="A8" s="66"/>
      <c r="B8" s="66"/>
      <c r="C8" s="199" t="s">
        <v>161</v>
      </c>
      <c r="D8" s="199" t="s">
        <v>162</v>
      </c>
      <c r="E8" s="199" t="s">
        <v>163</v>
      </c>
    </row>
    <row r="9" spans="1:5" x14ac:dyDescent="0.25">
      <c r="A9" s="66"/>
      <c r="B9" s="66"/>
      <c r="C9" s="1290" t="s">
        <v>2109</v>
      </c>
      <c r="D9" s="1291"/>
      <c r="E9" s="1292"/>
    </row>
    <row r="10" spans="1:5" x14ac:dyDescent="0.25">
      <c r="A10" s="66"/>
      <c r="B10" s="66"/>
      <c r="C10" s="1293" t="s">
        <v>2110</v>
      </c>
      <c r="D10" s="1289"/>
      <c r="E10" s="1303" t="s">
        <v>2111</v>
      </c>
    </row>
    <row r="11" spans="1:5" x14ac:dyDescent="0.25">
      <c r="A11" s="66"/>
      <c r="B11" s="66"/>
      <c r="C11" s="213"/>
      <c r="D11" s="199" t="s">
        <v>2112</v>
      </c>
      <c r="E11" s="1304"/>
    </row>
    <row r="12" spans="1:5" ht="41.25" customHeight="1" x14ac:dyDescent="0.25">
      <c r="A12" s="70">
        <v>1</v>
      </c>
      <c r="B12" s="71" t="s">
        <v>1444</v>
      </c>
      <c r="C12" s="200" t="s">
        <v>2113</v>
      </c>
      <c r="D12" s="200" t="s">
        <v>2114</v>
      </c>
      <c r="E12" s="200" t="s">
        <v>2115</v>
      </c>
    </row>
    <row r="13" spans="1:5" ht="138" customHeight="1" x14ac:dyDescent="0.25">
      <c r="A13" s="18">
        <v>2</v>
      </c>
      <c r="B13" s="72" t="s">
        <v>1460</v>
      </c>
      <c r="C13" s="83" t="s">
        <v>2116</v>
      </c>
      <c r="D13" s="200" t="s">
        <v>2117</v>
      </c>
      <c r="E13" s="83" t="s">
        <v>2118</v>
      </c>
    </row>
    <row r="14" spans="1:5" ht="98.25" customHeight="1" x14ac:dyDescent="0.25">
      <c r="A14" s="18">
        <v>3</v>
      </c>
      <c r="B14" s="61" t="s">
        <v>1476</v>
      </c>
      <c r="C14" s="133" t="s">
        <v>2119</v>
      </c>
      <c r="D14" s="190" t="s">
        <v>2120</v>
      </c>
      <c r="E14" s="133" t="s">
        <v>2121</v>
      </c>
    </row>
    <row r="15" spans="1:5" ht="97.5" customHeight="1" x14ac:dyDescent="0.25">
      <c r="A15" s="18">
        <v>4</v>
      </c>
      <c r="B15" s="61" t="s">
        <v>1492</v>
      </c>
      <c r="C15" s="83" t="s">
        <v>2122</v>
      </c>
      <c r="D15" s="200" t="s">
        <v>2123</v>
      </c>
      <c r="E15" s="83" t="s">
        <v>2124</v>
      </c>
    </row>
    <row r="16" spans="1:5" ht="108" customHeight="1" x14ac:dyDescent="0.25">
      <c r="A16" s="18">
        <v>5</v>
      </c>
      <c r="B16" s="61" t="s">
        <v>1508</v>
      </c>
      <c r="C16" s="83" t="s">
        <v>2125</v>
      </c>
      <c r="D16" s="200" t="s">
        <v>2126</v>
      </c>
      <c r="E16" s="83" t="s">
        <v>2127</v>
      </c>
    </row>
    <row r="17" spans="1:5" ht="141" customHeight="1" x14ac:dyDescent="0.25">
      <c r="A17" s="18">
        <v>6</v>
      </c>
      <c r="B17" s="61" t="s">
        <v>1524</v>
      </c>
      <c r="C17" s="83" t="s">
        <v>2128</v>
      </c>
      <c r="D17" s="200" t="s">
        <v>2129</v>
      </c>
      <c r="E17" s="83" t="s">
        <v>2130</v>
      </c>
    </row>
    <row r="18" spans="1:5" ht="149.25" customHeight="1" x14ac:dyDescent="0.25">
      <c r="A18" s="18">
        <v>7</v>
      </c>
      <c r="B18" s="72" t="s">
        <v>1540</v>
      </c>
      <c r="C18" s="83" t="s">
        <v>2131</v>
      </c>
      <c r="D18" s="200" t="s">
        <v>2132</v>
      </c>
      <c r="E18" s="83" t="s">
        <v>2133</v>
      </c>
    </row>
    <row r="19" spans="1:5" ht="156.75" customHeight="1" x14ac:dyDescent="0.25">
      <c r="A19" s="18">
        <v>8</v>
      </c>
      <c r="B19" s="61" t="s">
        <v>1556</v>
      </c>
      <c r="C19" s="83" t="s">
        <v>2134</v>
      </c>
      <c r="D19" s="200" t="s">
        <v>2135</v>
      </c>
      <c r="E19" s="83" t="s">
        <v>2136</v>
      </c>
    </row>
    <row r="20" spans="1:5" ht="91.5" customHeight="1" x14ac:dyDescent="0.25">
      <c r="A20" s="18">
        <v>9</v>
      </c>
      <c r="B20" s="61" t="s">
        <v>1572</v>
      </c>
      <c r="C20" s="83" t="s">
        <v>2137</v>
      </c>
      <c r="D20" s="200" t="s">
        <v>2138</v>
      </c>
      <c r="E20" s="83" t="s">
        <v>2139</v>
      </c>
    </row>
    <row r="21" spans="1:5" ht="96.75" customHeight="1" x14ac:dyDescent="0.25">
      <c r="A21" s="18">
        <v>10</v>
      </c>
      <c r="B21" s="61" t="s">
        <v>1588</v>
      </c>
      <c r="C21" s="83" t="s">
        <v>2140</v>
      </c>
      <c r="D21" s="200" t="s">
        <v>2141</v>
      </c>
      <c r="E21" s="83" t="s">
        <v>2142</v>
      </c>
    </row>
    <row r="22" spans="1:5" ht="110.25" customHeight="1" x14ac:dyDescent="0.25">
      <c r="A22" s="18">
        <v>11</v>
      </c>
      <c r="B22" s="61" t="s">
        <v>1604</v>
      </c>
      <c r="C22" s="83" t="s">
        <v>2143</v>
      </c>
      <c r="D22" s="200" t="s">
        <v>2144</v>
      </c>
      <c r="E22" s="83" t="s">
        <v>2145</v>
      </c>
    </row>
    <row r="23" spans="1:5" ht="149.25" customHeight="1" x14ac:dyDescent="0.25">
      <c r="A23" s="18">
        <v>12</v>
      </c>
      <c r="B23" s="61" t="s">
        <v>1524</v>
      </c>
      <c r="C23" s="83" t="s">
        <v>2146</v>
      </c>
      <c r="D23" s="200" t="s">
        <v>2147</v>
      </c>
      <c r="E23" s="83" t="s">
        <v>2148</v>
      </c>
    </row>
  </sheetData>
  <mergeCells count="3">
    <mergeCell ref="C9:E9"/>
    <mergeCell ref="C10:D10"/>
    <mergeCell ref="E10:E11"/>
  </mergeCells>
  <pageMargins left="0.70866141732283472" right="0.70866141732283472" top="0.74803149606299213" bottom="0.74803149606299213" header="0.31496062992125984" footer="0.31496062992125984"/>
  <pageSetup paperSize="9" scale="32"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D23"/>
  <sheetViews>
    <sheetView workbookViewId="0"/>
  </sheetViews>
  <sheetFormatPr baseColWidth="10" defaultColWidth="11.44140625" defaultRowHeight="15" x14ac:dyDescent="0.25"/>
  <cols>
    <col min="1" max="1" width="6.77734375" customWidth="1"/>
    <col min="2" max="2" width="41.77734375" customWidth="1"/>
    <col min="3" max="3" width="67.88671875" customWidth="1"/>
    <col min="4" max="4" width="15.33203125" customWidth="1"/>
  </cols>
  <sheetData>
    <row r="1" spans="1:4" x14ac:dyDescent="0.25">
      <c r="B1" s="170"/>
    </row>
    <row r="2" spans="1:4" x14ac:dyDescent="0.25">
      <c r="B2" s="170"/>
    </row>
    <row r="3" spans="1:4" x14ac:dyDescent="0.25">
      <c r="B3" s="170"/>
    </row>
    <row r="4" spans="1:4" x14ac:dyDescent="0.25">
      <c r="B4" s="170"/>
    </row>
    <row r="5" spans="1:4" ht="14.25" customHeight="1" x14ac:dyDescent="0.25"/>
    <row r="6" spans="1:4" s="59" customFormat="1" ht="20.25" x14ac:dyDescent="0.25">
      <c r="A6" s="137" t="s">
        <v>2625</v>
      </c>
      <c r="B6" s="39"/>
      <c r="C6" s="171"/>
      <c r="D6" s="171"/>
    </row>
    <row r="7" spans="1:4" x14ac:dyDescent="0.25">
      <c r="A7" s="9"/>
      <c r="B7" s="9"/>
      <c r="C7" s="206" t="s">
        <v>161</v>
      </c>
    </row>
    <row r="8" spans="1:4" ht="62.25" customHeight="1" x14ac:dyDescent="0.25">
      <c r="A8" s="172"/>
      <c r="B8" s="173"/>
      <c r="C8" s="174" t="s">
        <v>2626</v>
      </c>
    </row>
    <row r="9" spans="1:4" ht="30" customHeight="1" x14ac:dyDescent="0.25">
      <c r="A9" s="172"/>
      <c r="B9" s="175" t="s">
        <v>2627</v>
      </c>
      <c r="C9" s="176"/>
    </row>
    <row r="10" spans="1:4" ht="118.5" customHeight="1" x14ac:dyDescent="0.25">
      <c r="A10" s="177">
        <v>1</v>
      </c>
      <c r="B10" s="178" t="s">
        <v>2628</v>
      </c>
      <c r="C10" s="173" t="s">
        <v>2629</v>
      </c>
    </row>
    <row r="11" spans="1:4" ht="32.25" customHeight="1" x14ac:dyDescent="0.25">
      <c r="A11" s="177">
        <v>2</v>
      </c>
      <c r="B11" s="178" t="s">
        <v>2630</v>
      </c>
      <c r="C11" s="173" t="s">
        <v>2631</v>
      </c>
    </row>
    <row r="12" spans="1:4" x14ac:dyDescent="0.25">
      <c r="A12" s="177">
        <v>3</v>
      </c>
      <c r="B12" s="178" t="s">
        <v>2632</v>
      </c>
      <c r="C12" s="173" t="s">
        <v>2633</v>
      </c>
    </row>
    <row r="13" spans="1:4" x14ac:dyDescent="0.25">
      <c r="A13" s="177">
        <v>4</v>
      </c>
      <c r="B13" s="178" t="s">
        <v>2634</v>
      </c>
      <c r="C13" s="173" t="s">
        <v>2635</v>
      </c>
    </row>
    <row r="14" spans="1:4" ht="28.5" customHeight="1" x14ac:dyDescent="0.25">
      <c r="A14" s="177"/>
      <c r="B14" s="22" t="s">
        <v>2636</v>
      </c>
      <c r="C14" s="176"/>
    </row>
    <row r="15" spans="1:4" ht="35.25" customHeight="1" x14ac:dyDescent="0.25">
      <c r="A15" s="177">
        <v>5</v>
      </c>
      <c r="B15" s="179" t="s">
        <v>2637</v>
      </c>
      <c r="C15" s="173" t="s">
        <v>2638</v>
      </c>
    </row>
    <row r="16" spans="1:4" ht="75.75" customHeight="1" x14ac:dyDescent="0.25">
      <c r="A16" s="177">
        <v>6</v>
      </c>
      <c r="B16" s="179" t="s">
        <v>2639</v>
      </c>
      <c r="C16" s="173" t="s">
        <v>2640</v>
      </c>
    </row>
    <row r="17" spans="1:4" ht="35.25" customHeight="1" x14ac:dyDescent="0.25">
      <c r="A17" s="177">
        <v>7</v>
      </c>
      <c r="B17" s="179" t="s">
        <v>2641</v>
      </c>
      <c r="C17" s="173" t="s">
        <v>2642</v>
      </c>
    </row>
    <row r="18" spans="1:4" ht="21" customHeight="1" x14ac:dyDescent="0.25">
      <c r="A18" s="177">
        <v>8</v>
      </c>
      <c r="B18" s="175" t="s">
        <v>2643</v>
      </c>
      <c r="C18" s="173" t="s">
        <v>2644</v>
      </c>
    </row>
    <row r="19" spans="1:4" ht="18.75" customHeight="1" x14ac:dyDescent="0.25">
      <c r="A19" s="177">
        <v>9</v>
      </c>
      <c r="B19" s="40" t="s">
        <v>198</v>
      </c>
      <c r="C19" s="26" t="s">
        <v>2645</v>
      </c>
    </row>
    <row r="23" spans="1:4" x14ac:dyDescent="0.25">
      <c r="B23" s="1305"/>
      <c r="C23" s="1305"/>
      <c r="D23" s="1305"/>
    </row>
  </sheetData>
  <mergeCells count="1">
    <mergeCell ref="B23:D23"/>
  </mergeCells>
  <pageMargins left="0.70866141732283472" right="0.70866141732283472" top="0.74803149606299213" bottom="0.74803149606299213" header="0.31496062992125984" footer="0.31496062992125984"/>
  <pageSetup paperSize="9" scale="76"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5:D24"/>
  <sheetViews>
    <sheetView workbookViewId="0"/>
  </sheetViews>
  <sheetFormatPr baseColWidth="10" defaultColWidth="11.44140625" defaultRowHeight="15" x14ac:dyDescent="0.25"/>
  <cols>
    <col min="1" max="1" width="11.44140625" style="5"/>
    <col min="2" max="2" width="65.109375" customWidth="1"/>
    <col min="3" max="3" width="25.44140625" customWidth="1"/>
    <col min="4" max="4" width="28.6640625" customWidth="1"/>
  </cols>
  <sheetData>
    <row r="5" spans="1:4" x14ac:dyDescent="0.25">
      <c r="B5" s="180"/>
    </row>
    <row r="6" spans="1:4" ht="20.25" x14ac:dyDescent="0.25">
      <c r="A6" s="137" t="s">
        <v>2646</v>
      </c>
    </row>
    <row r="8" spans="1:4" x14ac:dyDescent="0.25">
      <c r="A8" s="1306"/>
      <c r="B8" s="1307"/>
      <c r="C8" s="41" t="s">
        <v>161</v>
      </c>
      <c r="D8" s="41" t="s">
        <v>162</v>
      </c>
    </row>
    <row r="9" spans="1:4" ht="27.75" customHeight="1" x14ac:dyDescent="0.25">
      <c r="A9" s="1308"/>
      <c r="B9" s="1309"/>
      <c r="C9" s="41" t="s">
        <v>2647</v>
      </c>
      <c r="D9" s="41" t="s">
        <v>2615</v>
      </c>
    </row>
    <row r="10" spans="1:4" ht="35.1" customHeight="1" x14ac:dyDescent="0.25">
      <c r="A10" s="181">
        <v>1</v>
      </c>
      <c r="B10" s="182" t="s">
        <v>2648</v>
      </c>
      <c r="C10" s="183" t="s">
        <v>2649</v>
      </c>
      <c r="D10" s="183" t="s">
        <v>2650</v>
      </c>
    </row>
    <row r="11" spans="1:4" ht="35.1" customHeight="1" x14ac:dyDescent="0.25">
      <c r="A11" s="41" t="s">
        <v>2651</v>
      </c>
      <c r="B11" s="183" t="s">
        <v>2652</v>
      </c>
      <c r="C11" s="184"/>
      <c r="D11" s="183" t="s">
        <v>2653</v>
      </c>
    </row>
    <row r="12" spans="1:4" ht="35.1" customHeight="1" x14ac:dyDescent="0.25">
      <c r="A12" s="41" t="s">
        <v>30</v>
      </c>
      <c r="B12" s="185" t="s">
        <v>2654</v>
      </c>
      <c r="C12" s="184"/>
      <c r="D12" s="183" t="s">
        <v>2655</v>
      </c>
    </row>
    <row r="13" spans="1:4" ht="35.1" customHeight="1" x14ac:dyDescent="0.25">
      <c r="A13" s="181">
        <v>2</v>
      </c>
      <c r="B13" s="182" t="s">
        <v>2656</v>
      </c>
      <c r="C13" s="183" t="s">
        <v>2649</v>
      </c>
      <c r="D13" s="183" t="s">
        <v>2657</v>
      </c>
    </row>
    <row r="14" spans="1:4" ht="35.1" customHeight="1" x14ac:dyDescent="0.25">
      <c r="A14" s="41" t="s">
        <v>2651</v>
      </c>
      <c r="B14" s="183" t="s">
        <v>2658</v>
      </c>
      <c r="C14" s="184"/>
      <c r="D14" s="183" t="s">
        <v>2659</v>
      </c>
    </row>
    <row r="15" spans="1:4" ht="35.1" customHeight="1" x14ac:dyDescent="0.25">
      <c r="A15" s="41" t="s">
        <v>30</v>
      </c>
      <c r="B15" s="185" t="s">
        <v>2660</v>
      </c>
      <c r="C15" s="184"/>
      <c r="D15" s="183" t="s">
        <v>2661</v>
      </c>
    </row>
    <row r="16" spans="1:4" ht="35.1" customHeight="1" x14ac:dyDescent="0.25">
      <c r="A16" s="181">
        <v>3</v>
      </c>
      <c r="B16" s="182" t="s">
        <v>2662</v>
      </c>
      <c r="C16" s="183" t="s">
        <v>2649</v>
      </c>
      <c r="D16" s="183" t="s">
        <v>2663</v>
      </c>
    </row>
    <row r="17" spans="1:4" ht="35.1" customHeight="1" x14ac:dyDescent="0.25">
      <c r="A17" s="41" t="s">
        <v>2651</v>
      </c>
      <c r="B17" s="185" t="s">
        <v>2664</v>
      </c>
      <c r="C17" s="184"/>
      <c r="D17" s="183" t="s">
        <v>2665</v>
      </c>
    </row>
    <row r="18" spans="1:4" ht="35.1" customHeight="1" x14ac:dyDescent="0.25">
      <c r="A18" s="41" t="s">
        <v>30</v>
      </c>
      <c r="B18" s="183" t="s">
        <v>2666</v>
      </c>
      <c r="C18" s="184"/>
      <c r="D18" s="183" t="s">
        <v>2667</v>
      </c>
    </row>
    <row r="19" spans="1:4" ht="35.1" customHeight="1" x14ac:dyDescent="0.25">
      <c r="A19" s="181">
        <v>4</v>
      </c>
      <c r="B19" s="183" t="s">
        <v>2668</v>
      </c>
      <c r="C19" s="183" t="s">
        <v>2649</v>
      </c>
      <c r="D19" s="183" t="s">
        <v>2669</v>
      </c>
    </row>
    <row r="20" spans="1:4" ht="35.1" customHeight="1" x14ac:dyDescent="0.25">
      <c r="A20" s="41" t="s">
        <v>2651</v>
      </c>
      <c r="B20" s="185" t="s">
        <v>2670</v>
      </c>
      <c r="C20" s="184"/>
      <c r="D20" s="183" t="s">
        <v>2671</v>
      </c>
    </row>
    <row r="21" spans="1:4" ht="35.1" customHeight="1" x14ac:dyDescent="0.25">
      <c r="A21" s="41" t="s">
        <v>30</v>
      </c>
      <c r="B21" s="185" t="s">
        <v>2672</v>
      </c>
      <c r="C21" s="184"/>
      <c r="D21" s="183" t="s">
        <v>2673</v>
      </c>
    </row>
    <row r="22" spans="1:4" ht="35.1" customHeight="1" x14ac:dyDescent="0.25">
      <c r="A22" s="41" t="s">
        <v>2674</v>
      </c>
      <c r="B22" s="185" t="s">
        <v>2675</v>
      </c>
      <c r="C22" s="184"/>
      <c r="D22" s="183" t="s">
        <v>2676</v>
      </c>
    </row>
    <row r="23" spans="1:4" ht="35.1" customHeight="1" x14ac:dyDescent="0.25">
      <c r="A23" s="181">
        <v>5</v>
      </c>
      <c r="B23" s="182" t="s">
        <v>2677</v>
      </c>
      <c r="C23" s="186" t="s">
        <v>262</v>
      </c>
      <c r="D23" s="186" t="s">
        <v>262</v>
      </c>
    </row>
    <row r="24" spans="1:4" ht="35.1" customHeight="1" x14ac:dyDescent="0.25">
      <c r="A24" s="181">
        <v>6</v>
      </c>
      <c r="B24" s="182" t="s">
        <v>198</v>
      </c>
      <c r="C24" s="183" t="s">
        <v>2678</v>
      </c>
      <c r="D24" s="183" t="s">
        <v>2678</v>
      </c>
    </row>
  </sheetData>
  <mergeCells count="2">
    <mergeCell ref="A8:B8"/>
    <mergeCell ref="A9:B9"/>
  </mergeCells>
  <pageMargins left="0.70866141732283472" right="0.70866141732283472" top="0.74803149606299213" bottom="0.74803149606299213" header="0.31496062992125984" footer="0.31496062992125984"/>
  <pageSetup paperSize="9" scale="66"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6:M22"/>
  <sheetViews>
    <sheetView workbookViewId="0"/>
  </sheetViews>
  <sheetFormatPr baseColWidth="10" defaultColWidth="11.44140625" defaultRowHeight="15" x14ac:dyDescent="0.25"/>
  <cols>
    <col min="1" max="1" width="3.6640625" customWidth="1"/>
    <col min="2" max="2" width="50.21875" customWidth="1"/>
    <col min="3" max="5" width="32.77734375" customWidth="1"/>
    <col min="6" max="6" width="35.77734375" customWidth="1"/>
    <col min="7" max="7" width="17.21875" customWidth="1"/>
    <col min="8" max="8" width="15.88671875" customWidth="1"/>
    <col min="9" max="9" width="12.88671875" customWidth="1"/>
    <col min="10" max="10" width="7.77734375" customWidth="1"/>
  </cols>
  <sheetData>
    <row r="6" spans="1:13" ht="15.75" customHeight="1" x14ac:dyDescent="0.25">
      <c r="A6" s="39"/>
      <c r="B6" s="137" t="s">
        <v>2679</v>
      </c>
      <c r="C6" s="42"/>
      <c r="D6" s="42"/>
      <c r="E6" s="42"/>
      <c r="F6" s="42"/>
    </row>
    <row r="7" spans="1:13" ht="15.75" customHeight="1" x14ac:dyDescent="0.25">
      <c r="A7" s="42"/>
      <c r="B7" s="42"/>
      <c r="C7" s="42"/>
      <c r="D7" s="42"/>
      <c r="E7" s="42"/>
      <c r="F7" s="42"/>
    </row>
    <row r="8" spans="1:13" ht="26.25" customHeight="1" x14ac:dyDescent="0.25">
      <c r="K8" s="43"/>
      <c r="L8" s="43"/>
      <c r="M8" s="43"/>
    </row>
    <row r="9" spans="1:13" ht="85.5" customHeight="1" x14ac:dyDescent="0.25">
      <c r="A9" s="1310"/>
      <c r="B9" s="1311"/>
      <c r="C9" s="205" t="s">
        <v>161</v>
      </c>
      <c r="D9" s="205" t="s">
        <v>162</v>
      </c>
      <c r="E9" s="205" t="s">
        <v>163</v>
      </c>
      <c r="F9" s="205" t="s">
        <v>200</v>
      </c>
      <c r="G9" s="41" t="s">
        <v>201</v>
      </c>
      <c r="H9" s="205" t="s">
        <v>266</v>
      </c>
      <c r="I9" s="205" t="s">
        <v>267</v>
      </c>
    </row>
    <row r="10" spans="1:13" ht="81.75" customHeight="1" x14ac:dyDescent="0.25">
      <c r="A10" s="1312"/>
      <c r="B10" s="1313"/>
      <c r="C10" s="188" t="s">
        <v>2680</v>
      </c>
      <c r="D10" s="188" t="s">
        <v>2681</v>
      </c>
      <c r="E10" s="188" t="s">
        <v>2682</v>
      </c>
      <c r="F10" s="188" t="s">
        <v>2683</v>
      </c>
      <c r="G10" s="44" t="s">
        <v>878</v>
      </c>
      <c r="H10" s="188" t="s">
        <v>2684</v>
      </c>
      <c r="I10" s="188" t="s">
        <v>160</v>
      </c>
    </row>
    <row r="11" spans="1:13" ht="51" x14ac:dyDescent="0.25">
      <c r="A11" s="7">
        <v>1</v>
      </c>
      <c r="B11" s="40" t="s">
        <v>2685</v>
      </c>
      <c r="C11" s="189" t="s">
        <v>2686</v>
      </c>
      <c r="D11" s="189" t="s">
        <v>2687</v>
      </c>
      <c r="E11" s="189" t="s">
        <v>2688</v>
      </c>
      <c r="F11" s="189" t="s">
        <v>2689</v>
      </c>
      <c r="G11" s="189" t="s">
        <v>262</v>
      </c>
      <c r="H11" s="189" t="s">
        <v>2690</v>
      </c>
      <c r="I11" s="189" t="s">
        <v>2691</v>
      </c>
    </row>
    <row r="12" spans="1:13" ht="76.5" customHeight="1" x14ac:dyDescent="0.25">
      <c r="A12" s="45" t="s">
        <v>2692</v>
      </c>
      <c r="B12" s="46" t="s">
        <v>2693</v>
      </c>
      <c r="C12" s="187" t="s">
        <v>2694</v>
      </c>
      <c r="D12" s="187" t="s">
        <v>2695</v>
      </c>
      <c r="E12" s="189" t="s">
        <v>2696</v>
      </c>
      <c r="F12" s="189" t="s">
        <v>2697</v>
      </c>
      <c r="G12" s="189" t="s">
        <v>262</v>
      </c>
      <c r="H12" s="189" t="s">
        <v>2690</v>
      </c>
      <c r="I12" s="189" t="s">
        <v>2691</v>
      </c>
    </row>
    <row r="13" spans="1:13" ht="78.75" customHeight="1" x14ac:dyDescent="0.25">
      <c r="A13" s="45" t="s">
        <v>2698</v>
      </c>
      <c r="B13" s="46" t="s">
        <v>2699</v>
      </c>
      <c r="C13" s="189" t="s">
        <v>2700</v>
      </c>
      <c r="D13" s="189" t="s">
        <v>2701</v>
      </c>
      <c r="E13" s="189" t="s">
        <v>2702</v>
      </c>
      <c r="F13" s="189" t="s">
        <v>2703</v>
      </c>
      <c r="G13" s="189" t="s">
        <v>262</v>
      </c>
      <c r="H13" s="189" t="s">
        <v>2690</v>
      </c>
      <c r="I13" s="189" t="s">
        <v>2691</v>
      </c>
    </row>
    <row r="14" spans="1:13" ht="25.5" x14ac:dyDescent="0.25">
      <c r="A14" s="17">
        <v>2</v>
      </c>
      <c r="B14" s="17" t="s">
        <v>2704</v>
      </c>
      <c r="C14" s="189" t="s">
        <v>262</v>
      </c>
      <c r="D14" s="189" t="s">
        <v>262</v>
      </c>
      <c r="E14" s="189" t="s">
        <v>262</v>
      </c>
      <c r="F14" s="189" t="s">
        <v>262</v>
      </c>
      <c r="G14" s="189" t="s">
        <v>262</v>
      </c>
      <c r="H14" s="189" t="s">
        <v>262</v>
      </c>
      <c r="I14" s="189" t="s">
        <v>262</v>
      </c>
    </row>
    <row r="15" spans="1:13" ht="25.5" x14ac:dyDescent="0.25">
      <c r="A15" s="17">
        <v>3</v>
      </c>
      <c r="B15" s="17" t="s">
        <v>2705</v>
      </c>
      <c r="C15" s="189" t="s">
        <v>262</v>
      </c>
      <c r="D15" s="189" t="s">
        <v>262</v>
      </c>
      <c r="E15" s="189" t="s">
        <v>262</v>
      </c>
      <c r="F15" s="189" t="s">
        <v>262</v>
      </c>
      <c r="G15" s="189" t="s">
        <v>262</v>
      </c>
      <c r="H15" s="189" t="s">
        <v>262</v>
      </c>
      <c r="I15" s="189" t="s">
        <v>262</v>
      </c>
    </row>
    <row r="16" spans="1:13" ht="25.5" x14ac:dyDescent="0.25">
      <c r="A16" s="17">
        <v>4</v>
      </c>
      <c r="B16" s="17" t="s">
        <v>2706</v>
      </c>
      <c r="C16" s="189" t="s">
        <v>262</v>
      </c>
      <c r="D16" s="189" t="s">
        <v>262</v>
      </c>
      <c r="E16" s="189" t="s">
        <v>262</v>
      </c>
      <c r="F16" s="189" t="s">
        <v>262</v>
      </c>
      <c r="G16" s="189" t="s">
        <v>262</v>
      </c>
      <c r="H16" s="189" t="s">
        <v>262</v>
      </c>
      <c r="I16" s="189" t="s">
        <v>262</v>
      </c>
    </row>
    <row r="17" spans="1:9" ht="25.5" x14ac:dyDescent="0.25">
      <c r="A17" s="6">
        <v>5</v>
      </c>
      <c r="B17" s="6" t="s">
        <v>2707</v>
      </c>
      <c r="C17" s="189" t="s">
        <v>262</v>
      </c>
      <c r="D17" s="189" t="s">
        <v>262</v>
      </c>
      <c r="E17" s="189" t="s">
        <v>262</v>
      </c>
      <c r="F17" s="189" t="s">
        <v>262</v>
      </c>
      <c r="G17" s="189" t="s">
        <v>262</v>
      </c>
      <c r="H17" s="189" t="s">
        <v>262</v>
      </c>
      <c r="I17" s="189" t="s">
        <v>262</v>
      </c>
    </row>
    <row r="18" spans="1:9" ht="25.5" x14ac:dyDescent="0.25">
      <c r="A18" s="17">
        <v>6</v>
      </c>
      <c r="B18" s="17" t="s">
        <v>2708</v>
      </c>
      <c r="C18" s="189" t="s">
        <v>262</v>
      </c>
      <c r="D18" s="189" t="s">
        <v>262</v>
      </c>
      <c r="E18" s="189" t="s">
        <v>262</v>
      </c>
      <c r="F18" s="189" t="s">
        <v>262</v>
      </c>
      <c r="G18" s="189" t="s">
        <v>262</v>
      </c>
      <c r="H18" s="189" t="s">
        <v>262</v>
      </c>
      <c r="I18" s="189" t="s">
        <v>262</v>
      </c>
    </row>
    <row r="19" spans="1:9" ht="25.5" x14ac:dyDescent="0.25">
      <c r="A19" s="17">
        <v>7</v>
      </c>
      <c r="B19" s="17" t="s">
        <v>2677</v>
      </c>
      <c r="C19" s="189" t="s">
        <v>262</v>
      </c>
      <c r="D19" s="189" t="s">
        <v>262</v>
      </c>
      <c r="E19" s="189" t="s">
        <v>262</v>
      </c>
      <c r="F19" s="189" t="s">
        <v>262</v>
      </c>
      <c r="G19" s="189" t="s">
        <v>262</v>
      </c>
      <c r="H19" s="189" t="s">
        <v>262</v>
      </c>
      <c r="I19" s="189" t="s">
        <v>262</v>
      </c>
    </row>
    <row r="20" spans="1:9" ht="83.25" customHeight="1" x14ac:dyDescent="0.25">
      <c r="A20" s="45" t="s">
        <v>2709</v>
      </c>
      <c r="B20" s="46" t="s">
        <v>2710</v>
      </c>
      <c r="C20" s="189" t="s">
        <v>2711</v>
      </c>
      <c r="D20" s="189" t="s">
        <v>2712</v>
      </c>
      <c r="E20" s="189" t="s">
        <v>2713</v>
      </c>
      <c r="F20" s="189" t="s">
        <v>2714</v>
      </c>
      <c r="G20" s="189" t="s">
        <v>262</v>
      </c>
      <c r="H20" s="189" t="s">
        <v>2690</v>
      </c>
      <c r="I20" s="189" t="s">
        <v>2691</v>
      </c>
    </row>
    <row r="21" spans="1:9" ht="38.25" x14ac:dyDescent="0.25">
      <c r="A21" s="45" t="s">
        <v>2715</v>
      </c>
      <c r="B21" s="46" t="s">
        <v>2693</v>
      </c>
      <c r="C21" s="187" t="s">
        <v>2716</v>
      </c>
      <c r="D21" s="187" t="s">
        <v>2717</v>
      </c>
      <c r="E21" s="189" t="s">
        <v>2718</v>
      </c>
      <c r="F21" s="189" t="s">
        <v>2719</v>
      </c>
      <c r="G21" s="189" t="s">
        <v>262</v>
      </c>
      <c r="H21" s="189" t="s">
        <v>2690</v>
      </c>
      <c r="I21" s="189" t="s">
        <v>2691</v>
      </c>
    </row>
    <row r="22" spans="1:9" ht="49.5" customHeight="1" x14ac:dyDescent="0.25">
      <c r="A22" s="7">
        <v>8</v>
      </c>
      <c r="B22" s="40" t="s">
        <v>2720</v>
      </c>
      <c r="C22" s="189" t="s">
        <v>2721</v>
      </c>
      <c r="D22" s="189" t="s">
        <v>2722</v>
      </c>
      <c r="E22" s="189" t="s">
        <v>2723</v>
      </c>
      <c r="F22" s="189" t="s">
        <v>2724</v>
      </c>
      <c r="G22" s="189" t="s">
        <v>262</v>
      </c>
      <c r="H22" s="189" t="s">
        <v>2690</v>
      </c>
      <c r="I22" s="189" t="s">
        <v>2691</v>
      </c>
    </row>
  </sheetData>
  <mergeCells count="2">
    <mergeCell ref="A9:B9"/>
    <mergeCell ref="A10:B10"/>
  </mergeCells>
  <pageMargins left="0.70866141732283472" right="0.70866141732283472" top="0.74803149606299213" bottom="0.74803149606299213" header="0.31496062992125984" footer="0.31496062992125984"/>
  <pageSetup paperSize="9" scale="56"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6:D28"/>
  <sheetViews>
    <sheetView workbookViewId="0"/>
  </sheetViews>
  <sheetFormatPr baseColWidth="10" defaultColWidth="11.44140625" defaultRowHeight="15" x14ac:dyDescent="0.25"/>
  <cols>
    <col min="1" max="1" width="6.88671875" style="10" customWidth="1"/>
    <col min="2" max="2" width="44.44140625" customWidth="1"/>
    <col min="3" max="3" width="24.6640625" customWidth="1"/>
  </cols>
  <sheetData>
    <row r="6" spans="1:4" ht="20.25" x14ac:dyDescent="0.3">
      <c r="B6" s="1" t="s">
        <v>2725</v>
      </c>
    </row>
    <row r="8" spans="1:4" x14ac:dyDescent="0.25">
      <c r="A8" s="1312"/>
      <c r="B8" s="1313"/>
      <c r="C8" s="205" t="s">
        <v>161</v>
      </c>
      <c r="D8" s="43"/>
    </row>
    <row r="9" spans="1:4" ht="15" customHeight="1" x14ac:dyDescent="0.25">
      <c r="A9" s="1314" t="s">
        <v>2726</v>
      </c>
      <c r="B9" s="1314"/>
      <c r="C9" s="1314"/>
    </row>
    <row r="10" spans="1:4" x14ac:dyDescent="0.25">
      <c r="A10" s="188">
        <v>1</v>
      </c>
      <c r="B10" s="189" t="s">
        <v>2727</v>
      </c>
      <c r="C10" s="188" t="s">
        <v>262</v>
      </c>
    </row>
    <row r="11" spans="1:4" x14ac:dyDescent="0.25">
      <c r="A11" s="188">
        <v>2</v>
      </c>
      <c r="B11" s="189" t="s">
        <v>2728</v>
      </c>
      <c r="C11" s="188" t="s">
        <v>262</v>
      </c>
    </row>
    <row r="12" spans="1:4" x14ac:dyDescent="0.25">
      <c r="A12" s="188">
        <v>3</v>
      </c>
      <c r="B12" s="189" t="s">
        <v>2729</v>
      </c>
      <c r="C12" s="188" t="s">
        <v>262</v>
      </c>
    </row>
    <row r="13" spans="1:4" x14ac:dyDescent="0.25">
      <c r="A13" s="188">
        <v>4</v>
      </c>
      <c r="B13" s="189" t="s">
        <v>2730</v>
      </c>
      <c r="C13" s="188" t="s">
        <v>2653</v>
      </c>
    </row>
    <row r="14" spans="1:4" x14ac:dyDescent="0.25">
      <c r="A14" s="1315" t="s">
        <v>2731</v>
      </c>
      <c r="B14" s="1315"/>
      <c r="C14" s="1315"/>
    </row>
    <row r="15" spans="1:4" x14ac:dyDescent="0.25">
      <c r="A15" s="188">
        <v>5</v>
      </c>
      <c r="B15" s="189" t="s">
        <v>2727</v>
      </c>
      <c r="C15" s="188" t="s">
        <v>262</v>
      </c>
    </row>
    <row r="16" spans="1:4" x14ac:dyDescent="0.25">
      <c r="A16" s="188">
        <v>6</v>
      </c>
      <c r="B16" s="189" t="s">
        <v>2728</v>
      </c>
      <c r="C16" s="188" t="s">
        <v>262</v>
      </c>
    </row>
    <row r="17" spans="1:3" x14ac:dyDescent="0.25">
      <c r="A17" s="188">
        <v>7</v>
      </c>
      <c r="B17" s="189" t="s">
        <v>2729</v>
      </c>
      <c r="C17" s="188" t="s">
        <v>262</v>
      </c>
    </row>
    <row r="18" spans="1:3" x14ac:dyDescent="0.25">
      <c r="A18" s="188">
        <v>8</v>
      </c>
      <c r="B18" s="189" t="s">
        <v>2730</v>
      </c>
      <c r="C18" s="188" t="s">
        <v>2732</v>
      </c>
    </row>
    <row r="19" spans="1:3" x14ac:dyDescent="0.25">
      <c r="A19" s="1315" t="s">
        <v>2733</v>
      </c>
      <c r="B19" s="1315"/>
      <c r="C19" s="1315"/>
    </row>
    <row r="20" spans="1:3" x14ac:dyDescent="0.25">
      <c r="A20" s="188">
        <v>9</v>
      </c>
      <c r="B20" s="189" t="s">
        <v>2727</v>
      </c>
      <c r="C20" s="188" t="s">
        <v>262</v>
      </c>
    </row>
    <row r="21" spans="1:3" x14ac:dyDescent="0.25">
      <c r="A21" s="188">
        <v>10</v>
      </c>
      <c r="B21" s="189" t="s">
        <v>2728</v>
      </c>
      <c r="C21" s="188" t="s">
        <v>262</v>
      </c>
    </row>
    <row r="22" spans="1:3" ht="15" customHeight="1" x14ac:dyDescent="0.25">
      <c r="A22" s="188">
        <v>11</v>
      </c>
      <c r="B22" s="189" t="s">
        <v>2729</v>
      </c>
      <c r="C22" s="188" t="s">
        <v>262</v>
      </c>
    </row>
    <row r="23" spans="1:3" x14ac:dyDescent="0.25">
      <c r="A23" s="188">
        <v>12</v>
      </c>
      <c r="B23" s="189" t="s">
        <v>2730</v>
      </c>
      <c r="C23" s="188" t="s">
        <v>2665</v>
      </c>
    </row>
    <row r="24" spans="1:3" x14ac:dyDescent="0.25">
      <c r="A24" s="1315" t="s">
        <v>2734</v>
      </c>
      <c r="B24" s="1315"/>
      <c r="C24" s="1315"/>
    </row>
    <row r="25" spans="1:3" x14ac:dyDescent="0.25">
      <c r="A25" s="188">
        <v>13</v>
      </c>
      <c r="B25" s="189" t="s">
        <v>2727</v>
      </c>
      <c r="C25" s="188" t="s">
        <v>262</v>
      </c>
    </row>
    <row r="26" spans="1:3" x14ac:dyDescent="0.25">
      <c r="A26" s="188">
        <v>14</v>
      </c>
      <c r="B26" s="189" t="s">
        <v>2728</v>
      </c>
      <c r="C26" s="188" t="s">
        <v>262</v>
      </c>
    </row>
    <row r="27" spans="1:3" x14ac:dyDescent="0.25">
      <c r="A27" s="188">
        <v>15</v>
      </c>
      <c r="B27" s="189" t="s">
        <v>2729</v>
      </c>
      <c r="C27" s="188" t="s">
        <v>262</v>
      </c>
    </row>
    <row r="28" spans="1:3" x14ac:dyDescent="0.25">
      <c r="A28" s="188">
        <v>16</v>
      </c>
      <c r="B28" s="189" t="s">
        <v>2730</v>
      </c>
      <c r="C28" s="188" t="s">
        <v>2671</v>
      </c>
    </row>
  </sheetData>
  <mergeCells count="5">
    <mergeCell ref="A8:B8"/>
    <mergeCell ref="A9:C9"/>
    <mergeCell ref="A14:C14"/>
    <mergeCell ref="A19:C19"/>
    <mergeCell ref="A24:C24"/>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2:F35"/>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288" customWidth="1"/>
    <col min="2" max="2" width="7.5546875" style="288" customWidth="1"/>
    <col min="3" max="3" width="84.21875" style="288" customWidth="1"/>
    <col min="4" max="4" width="13.21875" style="289" bestFit="1" customWidth="1"/>
    <col min="5" max="5" width="41.44140625" style="288" customWidth="1"/>
    <col min="6" max="6" width="76.21875" style="288" customWidth="1"/>
    <col min="7" max="16384" width="9.21875" style="288"/>
  </cols>
  <sheetData>
    <row r="2" spans="1:5" ht="15" x14ac:dyDescent="0.25">
      <c r="B2" s="940" t="s">
        <v>3521</v>
      </c>
    </row>
    <row r="3" spans="1:5" ht="29.25" customHeight="1" x14ac:dyDescent="0.35">
      <c r="A3" s="295"/>
      <c r="C3" s="369"/>
      <c r="D3" s="369"/>
    </row>
    <row r="4" spans="1:5" ht="24" customHeight="1" x14ac:dyDescent="0.35">
      <c r="B4" s="369" t="s">
        <v>2735</v>
      </c>
      <c r="C4" s="369"/>
      <c r="D4" s="369"/>
    </row>
    <row r="6" spans="1:5" ht="20.100000000000001" customHeight="1" x14ac:dyDescent="0.2">
      <c r="B6" s="271"/>
      <c r="C6" s="271"/>
      <c r="D6" s="407" t="s">
        <v>161</v>
      </c>
      <c r="E6" s="271"/>
    </row>
    <row r="7" spans="1:5" ht="20.100000000000001" customHeight="1" x14ac:dyDescent="0.2">
      <c r="B7" s="271"/>
      <c r="C7" s="271"/>
      <c r="D7" s="407" t="s">
        <v>2736</v>
      </c>
    </row>
    <row r="8" spans="1:5" ht="25.5" customHeight="1" x14ac:dyDescent="0.2">
      <c r="B8" s="722">
        <v>1</v>
      </c>
      <c r="C8" s="724" t="s">
        <v>2737</v>
      </c>
      <c r="D8" s="728">
        <v>122521</v>
      </c>
      <c r="E8" s="286"/>
    </row>
    <row r="9" spans="1:5" ht="25.5" customHeight="1" x14ac:dyDescent="0.2">
      <c r="B9" s="722">
        <v>2</v>
      </c>
      <c r="C9" s="724" t="s">
        <v>2738</v>
      </c>
      <c r="D9" s="725"/>
      <c r="E9" s="286"/>
    </row>
    <row r="10" spans="1:5" ht="25.5" customHeight="1" x14ac:dyDescent="0.2">
      <c r="B10" s="722">
        <v>3</v>
      </c>
      <c r="C10" s="724" t="s">
        <v>2739</v>
      </c>
      <c r="D10" s="725"/>
    </row>
    <row r="11" spans="1:5" ht="25.5" customHeight="1" x14ac:dyDescent="0.2">
      <c r="B11" s="722">
        <v>4</v>
      </c>
      <c r="C11" s="724" t="s">
        <v>2740</v>
      </c>
      <c r="D11" s="725"/>
    </row>
    <row r="12" spans="1:5" ht="35.25" customHeight="1" x14ac:dyDescent="0.2">
      <c r="B12" s="722">
        <v>5</v>
      </c>
      <c r="C12" s="724" t="s">
        <v>2741</v>
      </c>
      <c r="D12" s="725"/>
    </row>
    <row r="13" spans="1:5" ht="25.5" customHeight="1" x14ac:dyDescent="0.2">
      <c r="B13" s="722">
        <v>6</v>
      </c>
      <c r="C13" s="724" t="s">
        <v>2742</v>
      </c>
      <c r="D13" s="725"/>
    </row>
    <row r="14" spans="1:5" ht="25.5" customHeight="1" x14ac:dyDescent="0.2">
      <c r="B14" s="722">
        <v>7</v>
      </c>
      <c r="C14" s="724" t="s">
        <v>2743</v>
      </c>
      <c r="D14" s="725"/>
    </row>
    <row r="15" spans="1:5" ht="25.5" customHeight="1" x14ac:dyDescent="0.2">
      <c r="B15" s="722">
        <v>8</v>
      </c>
      <c r="C15" s="724" t="s">
        <v>2744</v>
      </c>
      <c r="D15" s="726">
        <f>3397191/1000000</f>
        <v>3.3971909999999998</v>
      </c>
    </row>
    <row r="16" spans="1:5" ht="25.5" customHeight="1" x14ac:dyDescent="0.2">
      <c r="B16" s="722">
        <v>9</v>
      </c>
      <c r="C16" s="724" t="s">
        <v>2745</v>
      </c>
      <c r="D16" s="727"/>
    </row>
    <row r="17" spans="2:6" ht="25.5" customHeight="1" x14ac:dyDescent="0.2">
      <c r="B17" s="722">
        <v>10</v>
      </c>
      <c r="C17" s="724" t="s">
        <v>2746</v>
      </c>
      <c r="D17" s="726">
        <f>5335024833/1000000</f>
        <v>5335.0248330000004</v>
      </c>
      <c r="E17" s="297"/>
    </row>
    <row r="18" spans="2:6" ht="25.5" customHeight="1" x14ac:dyDescent="0.2">
      <c r="B18" s="722">
        <v>11</v>
      </c>
      <c r="C18" s="724" t="s">
        <v>2747</v>
      </c>
      <c r="D18" s="727"/>
    </row>
    <row r="19" spans="2:6" ht="25.5" customHeight="1" x14ac:dyDescent="0.2">
      <c r="B19" s="722" t="s">
        <v>2748</v>
      </c>
      <c r="C19" s="724" t="s">
        <v>2749</v>
      </c>
      <c r="D19" s="727"/>
    </row>
    <row r="20" spans="2:6" ht="25.5" customHeight="1" x14ac:dyDescent="0.2">
      <c r="B20" s="722" t="s">
        <v>2750</v>
      </c>
      <c r="C20" s="724" t="s">
        <v>2751</v>
      </c>
      <c r="D20" s="727"/>
    </row>
    <row r="21" spans="2:6" ht="25.5" customHeight="1" x14ac:dyDescent="0.2">
      <c r="B21" s="722">
        <v>12</v>
      </c>
      <c r="C21" s="724" t="s">
        <v>2752</v>
      </c>
      <c r="D21" s="726">
        <f>D22-D8-D15-D17</f>
        <v>49123.661007999995</v>
      </c>
    </row>
    <row r="22" spans="2:6" ht="25.5" customHeight="1" x14ac:dyDescent="0.2">
      <c r="B22" s="729">
        <v>13</v>
      </c>
      <c r="C22" s="730" t="s">
        <v>234</v>
      </c>
      <c r="D22" s="888">
        <f>176983083032/1000000</f>
        <v>176983.083032</v>
      </c>
      <c r="F22" s="690"/>
    </row>
    <row r="35" spans="5:5" x14ac:dyDescent="0.2">
      <c r="E35" s="259"/>
    </row>
  </sheetData>
  <sheetProtection algorithmName="SHA-512" hashValue="plkKBUa2IfFde/An8QGhjlAT6gprOPJ/Yqftg6GNEvaDG1IPsh7M6RYmH9Xu8QF4AUfTc/7kFvpHFFo9WY5BLA==" saltValue="USUyv7tNqB4EAmqYGQWu9w==" spinCount="100000" sheet="1" objects="1" scenarios="1"/>
  <hyperlinks>
    <hyperlink ref="B2" location="Contents!A1" display="Back to Contents page" xr:uid="{60A5A56D-2C81-4962-8731-AFD4C77F83DF}"/>
  </hyperlinks>
  <pageMargins left="0.7" right="0.7" top="0.75" bottom="0.75" header="0.3" footer="0.3"/>
  <pageSetup paperSize="9" scale="51" orientation="portrait" horizontalDpi="144" verticalDpi="144"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2:M73"/>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288" customWidth="1"/>
    <col min="2" max="2" width="7.77734375" style="287" customWidth="1"/>
    <col min="3" max="3" width="52.6640625" style="288" customWidth="1"/>
    <col min="4" max="4" width="10.88671875" style="847" customWidth="1"/>
    <col min="5" max="5" width="10.88671875" style="848" customWidth="1"/>
    <col min="6" max="6" width="44.44140625" style="288" customWidth="1"/>
    <col min="7" max="7" width="21.44140625" style="288" customWidth="1"/>
    <col min="8" max="16384" width="9.21875" style="288"/>
  </cols>
  <sheetData>
    <row r="2" spans="1:5" ht="15" x14ac:dyDescent="0.25">
      <c r="A2" s="286"/>
      <c r="B2" s="940" t="s">
        <v>3521</v>
      </c>
    </row>
    <row r="3" spans="1:5" x14ac:dyDescent="0.2">
      <c r="B3" s="288"/>
    </row>
    <row r="4" spans="1:5" ht="21" x14ac:dyDescent="0.35">
      <c r="B4" s="369" t="s">
        <v>2753</v>
      </c>
    </row>
    <row r="5" spans="1:5" x14ac:dyDescent="0.2">
      <c r="B5" s="290"/>
      <c r="C5" s="271"/>
      <c r="D5" s="849"/>
      <c r="E5" s="849"/>
    </row>
    <row r="6" spans="1:5" ht="20.100000000000001" customHeight="1" x14ac:dyDescent="0.2">
      <c r="B6" s="1317"/>
      <c r="C6" s="1317"/>
      <c r="D6" s="850" t="s">
        <v>161</v>
      </c>
      <c r="E6" s="850" t="s">
        <v>162</v>
      </c>
    </row>
    <row r="7" spans="1:5" ht="20.100000000000001" customHeight="1" x14ac:dyDescent="0.2">
      <c r="B7" s="1317"/>
      <c r="C7" s="1317"/>
      <c r="D7" s="851">
        <v>44926</v>
      </c>
      <c r="E7" s="851">
        <v>44561</v>
      </c>
    </row>
    <row r="8" spans="1:5" ht="20.100000000000001" customHeight="1" x14ac:dyDescent="0.2">
      <c r="B8" s="968" t="s">
        <v>2755</v>
      </c>
      <c r="C8" s="968"/>
      <c r="D8" s="1316"/>
      <c r="E8" s="1316"/>
    </row>
    <row r="9" spans="1:5" ht="20.100000000000001" customHeight="1" x14ac:dyDescent="0.2">
      <c r="B9" s="734">
        <v>1</v>
      </c>
      <c r="C9" s="735" t="s">
        <v>2756</v>
      </c>
      <c r="D9" s="844">
        <f>169559771622/1000000</f>
        <v>169559.771622</v>
      </c>
      <c r="E9" s="844">
        <v>162331</v>
      </c>
    </row>
    <row r="10" spans="1:5" ht="24.95" customHeight="1" x14ac:dyDescent="0.2">
      <c r="B10" s="736">
        <v>2</v>
      </c>
      <c r="C10" s="735" t="s">
        <v>2757</v>
      </c>
      <c r="D10" s="845"/>
      <c r="E10" s="846"/>
    </row>
    <row r="11" spans="1:5" ht="24.95" customHeight="1" x14ac:dyDescent="0.2">
      <c r="B11" s="736">
        <v>3</v>
      </c>
      <c r="C11" s="735" t="s">
        <v>2758</v>
      </c>
      <c r="D11" s="845"/>
      <c r="E11" s="846"/>
    </row>
    <row r="12" spans="1:5" ht="24.95" customHeight="1" x14ac:dyDescent="0.2">
      <c r="B12" s="736">
        <v>4</v>
      </c>
      <c r="C12" s="735" t="s">
        <v>3504</v>
      </c>
      <c r="D12" s="845"/>
      <c r="E12" s="846"/>
    </row>
    <row r="13" spans="1:5" ht="20.100000000000001" customHeight="1" x14ac:dyDescent="0.2">
      <c r="B13" s="736">
        <v>5</v>
      </c>
      <c r="C13" s="735" t="s">
        <v>2759</v>
      </c>
      <c r="D13" s="845"/>
      <c r="E13" s="846"/>
    </row>
    <row r="14" spans="1:5" ht="20.100000000000001" customHeight="1" x14ac:dyDescent="0.2">
      <c r="B14" s="734">
        <v>6</v>
      </c>
      <c r="C14" s="737" t="s">
        <v>2760</v>
      </c>
      <c r="D14" s="844">
        <f>-38290185/1000000</f>
        <v>-38.290185000000001</v>
      </c>
      <c r="E14" s="844">
        <v>-39</v>
      </c>
    </row>
    <row r="15" spans="1:5" ht="20.100000000000001" customHeight="1" x14ac:dyDescent="0.2">
      <c r="B15" s="843">
        <v>7</v>
      </c>
      <c r="C15" s="822" t="s">
        <v>2761</v>
      </c>
      <c r="D15" s="824">
        <f>D9+D10+D11+D12+D13+D14</f>
        <v>169521.48143700001</v>
      </c>
      <c r="E15" s="824">
        <f>E9+E10+E11+E12+E13+E14</f>
        <v>162292</v>
      </c>
    </row>
    <row r="16" spans="1:5" ht="20.100000000000001" customHeight="1" x14ac:dyDescent="0.2">
      <c r="B16" s="968" t="s">
        <v>2762</v>
      </c>
      <c r="C16" s="968"/>
      <c r="D16" s="1316"/>
      <c r="E16" s="1316"/>
    </row>
    <row r="17" spans="2:6" ht="24.95" customHeight="1" x14ac:dyDescent="0.2">
      <c r="B17" s="739">
        <v>8</v>
      </c>
      <c r="C17" s="735" t="s">
        <v>2763</v>
      </c>
      <c r="D17" s="852">
        <v>1223.3077969999999</v>
      </c>
      <c r="E17" s="852">
        <v>1156</v>
      </c>
    </row>
    <row r="18" spans="2:6" ht="24.95" customHeight="1" x14ac:dyDescent="0.2">
      <c r="B18" s="739" t="s">
        <v>2764</v>
      </c>
      <c r="C18" s="740" t="s">
        <v>2765</v>
      </c>
      <c r="D18" s="853"/>
      <c r="E18" s="853"/>
    </row>
    <row r="19" spans="2:6" ht="24.95" customHeight="1" x14ac:dyDescent="0.2">
      <c r="B19" s="739">
        <v>9</v>
      </c>
      <c r="C19" s="738" t="s">
        <v>2766</v>
      </c>
      <c r="D19" s="852">
        <v>891.35603300000002</v>
      </c>
      <c r="E19" s="852">
        <v>695</v>
      </c>
    </row>
    <row r="20" spans="2:6" ht="24.95" customHeight="1" x14ac:dyDescent="0.2">
      <c r="B20" s="736" t="s">
        <v>2767</v>
      </c>
      <c r="C20" s="740" t="s">
        <v>2768</v>
      </c>
      <c r="D20" s="853"/>
      <c r="E20" s="853"/>
    </row>
    <row r="21" spans="2:6" ht="20.100000000000001" customHeight="1" x14ac:dyDescent="0.2">
      <c r="B21" s="741" t="s">
        <v>2769</v>
      </c>
      <c r="C21" s="740" t="s">
        <v>2770</v>
      </c>
      <c r="D21" s="853">
        <v>11.912932</v>
      </c>
      <c r="E21" s="853"/>
    </row>
    <row r="22" spans="2:6" ht="20.100000000000001" customHeight="1" x14ac:dyDescent="0.2">
      <c r="B22" s="736">
        <v>10</v>
      </c>
      <c r="C22" s="742" t="s">
        <v>2771</v>
      </c>
      <c r="D22" s="854"/>
      <c r="E22" s="846"/>
    </row>
    <row r="23" spans="2:6" ht="24.95" customHeight="1" x14ac:dyDescent="0.2">
      <c r="B23" s="736" t="s">
        <v>2772</v>
      </c>
      <c r="C23" s="742" t="s">
        <v>2773</v>
      </c>
      <c r="D23" s="845"/>
      <c r="E23" s="846"/>
    </row>
    <row r="24" spans="2:6" ht="20.100000000000001" customHeight="1" x14ac:dyDescent="0.2">
      <c r="B24" s="736" t="s">
        <v>2774</v>
      </c>
      <c r="C24" s="742" t="s">
        <v>2775</v>
      </c>
      <c r="D24" s="854"/>
      <c r="E24" s="846"/>
    </row>
    <row r="25" spans="2:6" ht="20.100000000000001" customHeight="1" x14ac:dyDescent="0.2">
      <c r="B25" s="736">
        <v>11</v>
      </c>
      <c r="C25" s="737" t="s">
        <v>2776</v>
      </c>
      <c r="D25" s="845"/>
      <c r="E25" s="846"/>
      <c r="F25" s="292"/>
    </row>
    <row r="26" spans="2:6" ht="24.95" customHeight="1" x14ac:dyDescent="0.2">
      <c r="B26" s="736">
        <v>12</v>
      </c>
      <c r="C26" s="737" t="s">
        <v>2777</v>
      </c>
      <c r="D26" s="845"/>
      <c r="E26" s="846"/>
      <c r="F26" s="292"/>
    </row>
    <row r="27" spans="2:6" ht="20.100000000000001" customHeight="1" x14ac:dyDescent="0.2">
      <c r="B27" s="843">
        <v>13</v>
      </c>
      <c r="C27" s="822" t="s">
        <v>2778</v>
      </c>
      <c r="D27" s="824">
        <f>D17+D19+D21</f>
        <v>2126.5767620000001</v>
      </c>
      <c r="E27" s="824">
        <f>E17+E19+E21</f>
        <v>1851</v>
      </c>
    </row>
    <row r="28" spans="2:6" ht="20.100000000000001" customHeight="1" x14ac:dyDescent="0.2">
      <c r="B28" s="968" t="s">
        <v>2779</v>
      </c>
      <c r="C28" s="968"/>
      <c r="D28" s="1316"/>
      <c r="E28" s="1316"/>
    </row>
    <row r="29" spans="2:6" ht="24.95" customHeight="1" x14ac:dyDescent="0.2">
      <c r="B29" s="734">
        <v>14</v>
      </c>
      <c r="C29" s="735" t="s">
        <v>2780</v>
      </c>
      <c r="D29" s="854"/>
      <c r="E29" s="846"/>
    </row>
    <row r="30" spans="2:6" ht="20.100000000000001" customHeight="1" x14ac:dyDescent="0.2">
      <c r="B30" s="734">
        <v>15</v>
      </c>
      <c r="C30" s="737" t="s">
        <v>2781</v>
      </c>
      <c r="D30" s="845"/>
      <c r="E30" s="846"/>
    </row>
    <row r="31" spans="2:6" ht="20.100000000000001" customHeight="1" x14ac:dyDescent="0.2">
      <c r="B31" s="734">
        <v>16</v>
      </c>
      <c r="C31" s="737" t="s">
        <v>2782</v>
      </c>
      <c r="D31" s="845"/>
      <c r="E31" s="846"/>
    </row>
    <row r="32" spans="2:6" ht="24.95" customHeight="1" x14ac:dyDescent="0.2">
      <c r="B32" s="736" t="s">
        <v>2783</v>
      </c>
      <c r="C32" s="735" t="s">
        <v>2784</v>
      </c>
      <c r="D32" s="845"/>
      <c r="E32" s="846"/>
    </row>
    <row r="33" spans="2:5" ht="20.100000000000001" customHeight="1" x14ac:dyDescent="0.2">
      <c r="B33" s="736">
        <v>17</v>
      </c>
      <c r="C33" s="737" t="s">
        <v>2785</v>
      </c>
      <c r="D33" s="845"/>
      <c r="E33" s="846"/>
    </row>
    <row r="34" spans="2:5" ht="20.100000000000001" customHeight="1" x14ac:dyDescent="0.2">
      <c r="B34" s="736" t="s">
        <v>2786</v>
      </c>
      <c r="C34" s="737" t="s">
        <v>2787</v>
      </c>
      <c r="D34" s="845"/>
      <c r="E34" s="846"/>
    </row>
    <row r="35" spans="2:5" ht="20.100000000000001" customHeight="1" x14ac:dyDescent="0.2">
      <c r="B35" s="843">
        <v>18</v>
      </c>
      <c r="C35" s="822" t="s">
        <v>2788</v>
      </c>
      <c r="D35" s="824"/>
      <c r="E35" s="824"/>
    </row>
    <row r="36" spans="2:5" ht="20.100000000000001" customHeight="1" x14ac:dyDescent="0.2">
      <c r="B36" s="968" t="s">
        <v>2789</v>
      </c>
      <c r="C36" s="968"/>
      <c r="D36" s="1316"/>
      <c r="E36" s="1316"/>
    </row>
    <row r="37" spans="2:5" ht="20.100000000000001" customHeight="1" x14ac:dyDescent="0.2">
      <c r="B37" s="734">
        <v>19</v>
      </c>
      <c r="C37" s="735" t="s">
        <v>2790</v>
      </c>
      <c r="D37" s="852">
        <v>21459.468357000002</v>
      </c>
      <c r="E37" s="844">
        <v>16296</v>
      </c>
    </row>
    <row r="38" spans="2:5" ht="20.100000000000001" customHeight="1" x14ac:dyDescent="0.2">
      <c r="B38" s="734">
        <v>20</v>
      </c>
      <c r="C38" s="735" t="s">
        <v>2791</v>
      </c>
      <c r="D38" s="852">
        <v>-16124.443524000002</v>
      </c>
      <c r="E38" s="844">
        <v>-11389.121944999999</v>
      </c>
    </row>
    <row r="39" spans="2:5" ht="24.95" customHeight="1" x14ac:dyDescent="0.2">
      <c r="B39" s="734">
        <v>21</v>
      </c>
      <c r="C39" s="735" t="s">
        <v>2792</v>
      </c>
      <c r="D39" s="855"/>
      <c r="E39" s="846"/>
    </row>
    <row r="40" spans="2:5" ht="20.100000000000001" customHeight="1" x14ac:dyDescent="0.2">
      <c r="B40" s="843">
        <v>22</v>
      </c>
      <c r="C40" s="822" t="s">
        <v>936</v>
      </c>
      <c r="D40" s="824">
        <f>5335024833/1000000</f>
        <v>5335.0248330000004</v>
      </c>
      <c r="E40" s="824">
        <f>E37+E38</f>
        <v>4906.878055000001</v>
      </c>
    </row>
    <row r="41" spans="2:5" ht="20.100000000000001" customHeight="1" x14ac:dyDescent="0.2">
      <c r="B41" s="968" t="s">
        <v>2793</v>
      </c>
      <c r="C41" s="968"/>
      <c r="D41" s="1316"/>
      <c r="E41" s="1316"/>
    </row>
    <row r="42" spans="2:5" ht="24.95" customHeight="1" x14ac:dyDescent="0.2">
      <c r="B42" s="739" t="s">
        <v>2794</v>
      </c>
      <c r="C42" s="743" t="s">
        <v>3649</v>
      </c>
      <c r="D42" s="845"/>
      <c r="E42" s="846"/>
    </row>
    <row r="43" spans="2:5" ht="24.95" customHeight="1" x14ac:dyDescent="0.2">
      <c r="B43" s="739" t="s">
        <v>2795</v>
      </c>
      <c r="C43" s="743" t="s">
        <v>2796</v>
      </c>
      <c r="D43" s="845"/>
      <c r="E43" s="846"/>
    </row>
    <row r="44" spans="2:5" ht="24.95" customHeight="1" x14ac:dyDescent="0.2">
      <c r="B44" s="744" t="s">
        <v>2797</v>
      </c>
      <c r="C44" s="740" t="s">
        <v>2798</v>
      </c>
      <c r="D44" s="845"/>
      <c r="E44" s="846"/>
    </row>
    <row r="45" spans="2:5" ht="24.95" customHeight="1" x14ac:dyDescent="0.2">
      <c r="B45" s="744" t="s">
        <v>2799</v>
      </c>
      <c r="C45" s="745" t="s">
        <v>3505</v>
      </c>
      <c r="D45" s="854"/>
      <c r="E45" s="846"/>
    </row>
    <row r="46" spans="2:5" ht="24.95" customHeight="1" x14ac:dyDescent="0.2">
      <c r="B46" s="744" t="s">
        <v>2800</v>
      </c>
      <c r="C46" s="740" t="s">
        <v>2969</v>
      </c>
      <c r="D46" s="854"/>
      <c r="E46" s="846"/>
    </row>
    <row r="47" spans="2:5" ht="20.100000000000001" customHeight="1" x14ac:dyDescent="0.2">
      <c r="B47" s="744" t="s">
        <v>2801</v>
      </c>
      <c r="C47" s="740" t="s">
        <v>2802</v>
      </c>
      <c r="D47" s="845"/>
      <c r="E47" s="846"/>
    </row>
    <row r="48" spans="2:5" ht="20.100000000000001" customHeight="1" x14ac:dyDescent="0.2">
      <c r="B48" s="744" t="s">
        <v>2803</v>
      </c>
      <c r="C48" s="740" t="s">
        <v>2804</v>
      </c>
      <c r="D48" s="845"/>
      <c r="E48" s="846"/>
    </row>
    <row r="49" spans="2:7" ht="24.95" customHeight="1" x14ac:dyDescent="0.2">
      <c r="B49" s="744" t="s">
        <v>2805</v>
      </c>
      <c r="C49" s="746" t="s">
        <v>2806</v>
      </c>
      <c r="D49" s="845"/>
      <c r="E49" s="846"/>
      <c r="F49" s="292"/>
      <c r="G49" s="294"/>
    </row>
    <row r="50" spans="2:7" ht="24.95" customHeight="1" x14ac:dyDescent="0.2">
      <c r="B50" s="744" t="s">
        <v>2807</v>
      </c>
      <c r="C50" s="746" t="s">
        <v>2808</v>
      </c>
      <c r="D50" s="845"/>
      <c r="E50" s="846"/>
      <c r="F50" s="292"/>
      <c r="G50" s="294"/>
    </row>
    <row r="51" spans="2:7" ht="20.100000000000001" customHeight="1" x14ac:dyDescent="0.2">
      <c r="B51" s="744" t="s">
        <v>2809</v>
      </c>
      <c r="C51" s="740" t="s">
        <v>2810</v>
      </c>
      <c r="D51" s="845"/>
      <c r="E51" s="846"/>
    </row>
    <row r="52" spans="2:7" ht="20.100000000000001" customHeight="1" x14ac:dyDescent="0.2">
      <c r="B52" s="843" t="s">
        <v>2811</v>
      </c>
      <c r="C52" s="822" t="s">
        <v>2970</v>
      </c>
      <c r="D52" s="824"/>
      <c r="E52" s="824"/>
    </row>
    <row r="53" spans="2:7" ht="20.100000000000001" customHeight="1" x14ac:dyDescent="0.2">
      <c r="B53" s="968" t="s">
        <v>2812</v>
      </c>
      <c r="C53" s="968"/>
      <c r="D53" s="1316"/>
      <c r="E53" s="1316"/>
    </row>
    <row r="54" spans="2:7" ht="20.100000000000001" customHeight="1" x14ac:dyDescent="0.2">
      <c r="B54" s="843">
        <v>23</v>
      </c>
      <c r="C54" s="822" t="s">
        <v>2813</v>
      </c>
      <c r="D54" s="824">
        <f>13080947801/1000000</f>
        <v>13080.947801</v>
      </c>
      <c r="E54" s="824">
        <v>14001</v>
      </c>
    </row>
    <row r="55" spans="2:7" ht="20.100000000000001" customHeight="1" x14ac:dyDescent="0.2">
      <c r="B55" s="843">
        <v>24</v>
      </c>
      <c r="C55" s="822" t="s">
        <v>234</v>
      </c>
      <c r="D55" s="824">
        <f>D15+D27+D40+D52</f>
        <v>176983.08303200002</v>
      </c>
      <c r="E55" s="824">
        <f>E15+E27+E40+E52</f>
        <v>169049.87805500001</v>
      </c>
    </row>
    <row r="56" spans="2:7" ht="20.100000000000001" customHeight="1" x14ac:dyDescent="0.2">
      <c r="B56" s="968" t="s">
        <v>233</v>
      </c>
      <c r="C56" s="968"/>
      <c r="D56" s="1316"/>
      <c r="E56" s="1316"/>
    </row>
    <row r="57" spans="2:7" ht="20.100000000000001" customHeight="1" x14ac:dyDescent="0.2">
      <c r="B57" s="734">
        <v>25</v>
      </c>
      <c r="C57" s="733" t="s">
        <v>233</v>
      </c>
      <c r="D57" s="856">
        <f>D54/D55</f>
        <v>7.3910723990692692E-2</v>
      </c>
      <c r="E57" s="856">
        <f>E54/E55</f>
        <v>8.2821710143114124E-2</v>
      </c>
    </row>
    <row r="58" spans="2:7" ht="24.95" customHeight="1" x14ac:dyDescent="0.2">
      <c r="B58" s="741" t="s">
        <v>2814</v>
      </c>
      <c r="C58" s="743" t="s">
        <v>2815</v>
      </c>
      <c r="D58" s="856">
        <f>(D54/D55)</f>
        <v>7.3910723990692692E-2</v>
      </c>
      <c r="E58" s="856">
        <f>(E54/E55)</f>
        <v>8.2821710143114124E-2</v>
      </c>
    </row>
    <row r="59" spans="2:7" ht="24.95" customHeight="1" x14ac:dyDescent="0.2">
      <c r="B59" s="739" t="s">
        <v>2816</v>
      </c>
      <c r="C59" s="735" t="s">
        <v>2817</v>
      </c>
      <c r="D59" s="856">
        <f>(D54/D55)</f>
        <v>7.3910723990692692E-2</v>
      </c>
      <c r="E59" s="856">
        <f>(E54/E55)</f>
        <v>8.2821710143114124E-2</v>
      </c>
    </row>
    <row r="60" spans="2:7" ht="20.100000000000001" customHeight="1" x14ac:dyDescent="0.2">
      <c r="B60" s="739">
        <v>26</v>
      </c>
      <c r="C60" s="743" t="s">
        <v>2818</v>
      </c>
      <c r="D60" s="857">
        <v>0.03</v>
      </c>
      <c r="E60" s="858">
        <v>0.03</v>
      </c>
    </row>
    <row r="61" spans="2:7" ht="20.100000000000001" customHeight="1" x14ac:dyDescent="0.2">
      <c r="B61" s="739" t="s">
        <v>2819</v>
      </c>
      <c r="C61" s="743" t="s">
        <v>238</v>
      </c>
      <c r="D61" s="854"/>
      <c r="E61" s="846"/>
    </row>
    <row r="62" spans="2:7" ht="20.100000000000001" customHeight="1" x14ac:dyDescent="0.2">
      <c r="B62" s="739" t="s">
        <v>2820</v>
      </c>
      <c r="C62" s="743" t="s">
        <v>215</v>
      </c>
      <c r="D62" s="854"/>
      <c r="E62" s="846"/>
    </row>
    <row r="63" spans="2:7" ht="20.100000000000001" customHeight="1" x14ac:dyDescent="0.2">
      <c r="B63" s="741">
        <v>27</v>
      </c>
      <c r="C63" s="743" t="s">
        <v>244</v>
      </c>
      <c r="D63" s="845"/>
      <c r="E63" s="858">
        <v>0.02</v>
      </c>
    </row>
    <row r="64" spans="2:7" ht="20.100000000000001" customHeight="1" x14ac:dyDescent="0.2">
      <c r="B64" s="739" t="s">
        <v>2821</v>
      </c>
      <c r="C64" s="743" t="s">
        <v>2822</v>
      </c>
      <c r="D64" s="845"/>
      <c r="E64" s="858">
        <f>E60+E63</f>
        <v>0.05</v>
      </c>
    </row>
    <row r="65" spans="2:13" ht="20.100000000000001" customHeight="1" x14ac:dyDescent="0.2">
      <c r="B65" s="968" t="s">
        <v>2823</v>
      </c>
      <c r="C65" s="968"/>
      <c r="D65" s="1316"/>
      <c r="E65" s="1316"/>
    </row>
    <row r="66" spans="2:13" ht="20.100000000000001" customHeight="1" x14ac:dyDescent="0.2">
      <c r="B66" s="736" t="s">
        <v>2824</v>
      </c>
      <c r="C66" s="737" t="s">
        <v>2825</v>
      </c>
      <c r="D66" s="854"/>
      <c r="E66" s="846"/>
      <c r="L66" s="286"/>
    </row>
    <row r="67" spans="2:13" s="271" customFormat="1" ht="20.100000000000001" customHeight="1" x14ac:dyDescent="0.2">
      <c r="B67" s="968" t="s">
        <v>2826</v>
      </c>
      <c r="C67" s="968"/>
      <c r="D67" s="1316"/>
      <c r="E67" s="1316"/>
    </row>
    <row r="68" spans="2:13" s="271" customFormat="1" ht="25.5" x14ac:dyDescent="0.2">
      <c r="B68" s="741">
        <v>28</v>
      </c>
      <c r="C68" s="743" t="s">
        <v>2827</v>
      </c>
      <c r="D68" s="845"/>
      <c r="E68" s="859"/>
      <c r="F68" s="288"/>
      <c r="M68" s="282"/>
    </row>
    <row r="69" spans="2:13" s="271" customFormat="1" ht="38.25" x14ac:dyDescent="0.2">
      <c r="B69" s="741">
        <v>29</v>
      </c>
      <c r="C69" s="743" t="s">
        <v>2828</v>
      </c>
      <c r="D69" s="854"/>
      <c r="E69" s="859">
        <v>0</v>
      </c>
      <c r="M69" s="282"/>
    </row>
    <row r="70" spans="2:13" s="271" customFormat="1" ht="51" x14ac:dyDescent="0.2">
      <c r="B70" s="741">
        <v>30</v>
      </c>
      <c r="C70" s="743" t="s">
        <v>2829</v>
      </c>
      <c r="D70" s="860">
        <f>D55-D69+D68</f>
        <v>176983.08303200002</v>
      </c>
      <c r="E70" s="860">
        <f>E55-E69+E68</f>
        <v>169049.87805500001</v>
      </c>
      <c r="M70" s="282"/>
    </row>
    <row r="71" spans="2:13" s="271" customFormat="1" ht="51" x14ac:dyDescent="0.2">
      <c r="B71" s="741" t="s">
        <v>2830</v>
      </c>
      <c r="C71" s="743" t="s">
        <v>2831</v>
      </c>
      <c r="D71" s="860">
        <f>D55-D68+D69-D12</f>
        <v>176983.08303200002</v>
      </c>
      <c r="E71" s="860">
        <f>E55-E68+E69-E12</f>
        <v>169049.87805500001</v>
      </c>
      <c r="M71" s="282"/>
    </row>
    <row r="72" spans="2:13" s="271" customFormat="1" ht="51" x14ac:dyDescent="0.2">
      <c r="B72" s="741">
        <v>31</v>
      </c>
      <c r="C72" s="743" t="s">
        <v>2832</v>
      </c>
      <c r="D72" s="861">
        <f>D54/D70</f>
        <v>7.3910723990692692E-2</v>
      </c>
      <c r="E72" s="861">
        <f>E54/E70</f>
        <v>8.2821710143114124E-2</v>
      </c>
      <c r="M72" s="282"/>
    </row>
    <row r="73" spans="2:13" s="271" customFormat="1" ht="51" x14ac:dyDescent="0.2">
      <c r="B73" s="741" t="s">
        <v>2833</v>
      </c>
      <c r="C73" s="743" t="s">
        <v>2834</v>
      </c>
      <c r="D73" s="861">
        <f>D54/D71</f>
        <v>7.3910723990692692E-2</v>
      </c>
      <c r="E73" s="861">
        <f>E54/E71</f>
        <v>8.2821710143114124E-2</v>
      </c>
      <c r="M73" s="282"/>
    </row>
  </sheetData>
  <sheetProtection algorithmName="SHA-512" hashValue="+rxiXtoQtbqZuS5S1GzFhU5pIooBljQjhzgO1tn8ujA9XjOJEpqykwUZPcbrm7V1ouhV+f8gEJeYxOAJ7HTIbA==" saltValue="4wCYmOSkvTjT0ZqZK8lXcw==" spinCount="100000" sheet="1" objects="1" scenarios="1"/>
  <mergeCells count="19">
    <mergeCell ref="B6:C7"/>
    <mergeCell ref="B8:C8"/>
    <mergeCell ref="B16:C16"/>
    <mergeCell ref="B28:C28"/>
    <mergeCell ref="D53:E53"/>
    <mergeCell ref="D8:E8"/>
    <mergeCell ref="D16:E16"/>
    <mergeCell ref="D28:E28"/>
    <mergeCell ref="D36:E36"/>
    <mergeCell ref="B41:C41"/>
    <mergeCell ref="D41:E41"/>
    <mergeCell ref="B36:C36"/>
    <mergeCell ref="D56:E56"/>
    <mergeCell ref="D65:E65"/>
    <mergeCell ref="B67:C67"/>
    <mergeCell ref="D67:E67"/>
    <mergeCell ref="B53:C53"/>
    <mergeCell ref="B56:C56"/>
    <mergeCell ref="B65:C65"/>
  </mergeCells>
  <hyperlinks>
    <hyperlink ref="B2" location="Contents!A1" display="Back to Contents page" xr:uid="{B3023D50-25DB-4877-A89A-161BB907219B}"/>
  </hyperlinks>
  <pageMargins left="0.7" right="0.7" top="0.75" bottom="0.75" header="0.3" footer="0.3"/>
  <pageSetup paperSize="9" scale="46" orientation="portrait" horizontalDpi="144" verticalDpi="144"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2:D25"/>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259" customWidth="1"/>
    <col min="2" max="2" width="7.44140625" style="259" customWidth="1"/>
    <col min="3" max="3" width="41.21875" style="259" customWidth="1"/>
    <col min="4" max="4" width="11.21875" style="259" customWidth="1"/>
    <col min="5" max="16384" width="9.21875" style="259"/>
  </cols>
  <sheetData>
    <row r="2" spans="1:4" ht="15" x14ac:dyDescent="0.25">
      <c r="B2" s="940" t="s">
        <v>3521</v>
      </c>
    </row>
    <row r="3" spans="1:4" ht="18.75" customHeight="1" x14ac:dyDescent="0.2">
      <c r="A3" s="285"/>
      <c r="C3" s="340"/>
      <c r="D3" s="340"/>
    </row>
    <row r="4" spans="1:4" ht="21" x14ac:dyDescent="0.35">
      <c r="A4" s="285"/>
      <c r="B4" s="369" t="s">
        <v>2835</v>
      </c>
      <c r="C4" s="340"/>
      <c r="D4" s="340"/>
    </row>
    <row r="5" spans="1:4" ht="12.75" customHeight="1" x14ac:dyDescent="0.2">
      <c r="A5" s="285"/>
      <c r="B5" s="340"/>
      <c r="C5" s="340"/>
      <c r="D5" s="340"/>
    </row>
    <row r="6" spans="1:4" ht="20.100000000000001" customHeight="1" x14ac:dyDescent="0.2">
      <c r="D6" s="747" t="s">
        <v>161</v>
      </c>
    </row>
    <row r="7" spans="1:4" ht="42" customHeight="1" x14ac:dyDescent="0.2">
      <c r="D7" s="758" t="s">
        <v>2754</v>
      </c>
    </row>
    <row r="8" spans="1:4" ht="24.95" customHeight="1" x14ac:dyDescent="0.2">
      <c r="B8" s="862" t="s">
        <v>2836</v>
      </c>
      <c r="C8" s="968" t="s">
        <v>2837</v>
      </c>
      <c r="D8" s="968">
        <f>D9+D10</f>
        <v>169560.09359</v>
      </c>
    </row>
    <row r="9" spans="1:4" ht="20.100000000000001" customHeight="1" x14ac:dyDescent="0.2">
      <c r="B9" s="751" t="s">
        <v>2838</v>
      </c>
      <c r="C9" s="752" t="s">
        <v>2839</v>
      </c>
      <c r="D9" s="755">
        <v>0</v>
      </c>
    </row>
    <row r="10" spans="1:4" ht="20.100000000000001" customHeight="1" x14ac:dyDescent="0.2">
      <c r="B10" s="751" t="s">
        <v>2840</v>
      </c>
      <c r="C10" s="752" t="s">
        <v>2841</v>
      </c>
      <c r="D10" s="756">
        <f>SUM(D11:D19)</f>
        <v>169560.09359</v>
      </c>
    </row>
    <row r="11" spans="1:4" ht="20.100000000000001" customHeight="1" x14ac:dyDescent="0.2">
      <c r="B11" s="753" t="s">
        <v>2842</v>
      </c>
      <c r="C11" s="754" t="s">
        <v>1007</v>
      </c>
      <c r="D11" s="757">
        <f>13587040075/1000000</f>
        <v>13587.040075000001</v>
      </c>
    </row>
    <row r="12" spans="1:4" ht="20.100000000000001" customHeight="1" x14ac:dyDescent="0.2">
      <c r="B12" s="748" t="s">
        <v>992</v>
      </c>
      <c r="C12" s="749" t="s">
        <v>2843</v>
      </c>
      <c r="D12" s="757">
        <f>8048903460/1000000</f>
        <v>8048.9034600000005</v>
      </c>
    </row>
    <row r="13" spans="1:4" ht="24.95" customHeight="1" x14ac:dyDescent="0.2">
      <c r="B13" s="748" t="s">
        <v>2844</v>
      </c>
      <c r="C13" s="749" t="s">
        <v>3503</v>
      </c>
      <c r="D13" s="757">
        <f>2168779940/1000000</f>
        <v>2168.7799399999999</v>
      </c>
    </row>
    <row r="14" spans="1:4" ht="20.100000000000001" customHeight="1" x14ac:dyDescent="0.2">
      <c r="B14" s="748" t="s">
        <v>2845</v>
      </c>
      <c r="C14" s="749" t="s">
        <v>335</v>
      </c>
      <c r="D14" s="757">
        <f>2002550136/1000000</f>
        <v>2002.5501360000001</v>
      </c>
    </row>
    <row r="15" spans="1:4" ht="20.100000000000001" customHeight="1" x14ac:dyDescent="0.2">
      <c r="B15" s="748" t="s">
        <v>2846</v>
      </c>
      <c r="C15" s="749" t="s">
        <v>2847</v>
      </c>
      <c r="D15" s="757">
        <f>(1193009757/1000000)+(88662514598/1000000)</f>
        <v>89855.524355000001</v>
      </c>
    </row>
    <row r="16" spans="1:4" ht="20.100000000000001" customHeight="1" x14ac:dyDescent="0.2">
      <c r="B16" s="748" t="s">
        <v>2848</v>
      </c>
      <c r="C16" s="749" t="s">
        <v>2849</v>
      </c>
      <c r="D16" s="757">
        <f>(6949968139/1000000)+(1768323876/1000000)</f>
        <v>8718.2920149999991</v>
      </c>
    </row>
    <row r="17" spans="2:4" ht="20.100000000000001" customHeight="1" x14ac:dyDescent="0.2">
      <c r="B17" s="748" t="s">
        <v>2850</v>
      </c>
      <c r="C17" s="750" t="s">
        <v>336</v>
      </c>
      <c r="D17" s="757">
        <f>(4301048073/1000000)+(35652093200/1000000)</f>
        <v>39953.141273000001</v>
      </c>
    </row>
    <row r="18" spans="2:4" ht="20.100000000000001" customHeight="1" x14ac:dyDescent="0.2">
      <c r="B18" s="748" t="s">
        <v>2851</v>
      </c>
      <c r="C18" s="749" t="s">
        <v>1005</v>
      </c>
      <c r="D18" s="757">
        <f>(152131867/1000000)+547</f>
        <v>699.13186700000006</v>
      </c>
    </row>
    <row r="19" spans="2:4" ht="24.95" customHeight="1" x14ac:dyDescent="0.2">
      <c r="B19" s="748" t="s">
        <v>2852</v>
      </c>
      <c r="C19" s="749" t="s">
        <v>2853</v>
      </c>
      <c r="D19" s="757">
        <f>4526730469/1000000</f>
        <v>4526.7304690000001</v>
      </c>
    </row>
    <row r="25" spans="2:4" x14ac:dyDescent="0.2">
      <c r="D25" s="723"/>
    </row>
  </sheetData>
  <sheetProtection algorithmName="SHA-512" hashValue="wKpyJJPJMOC+TNzJax/vsLONYHK+0ZDMnLBOorMtBwFwDxiIU1BeXwNw68OcP9m/GOk7cv+MTamJT/ELhkg27w==" saltValue="DBZADUp/FBGB+TolLM7XQA==" spinCount="100000" sheet="1" objects="1" scenarios="1"/>
  <mergeCells count="1">
    <mergeCell ref="C8:D8"/>
  </mergeCells>
  <hyperlinks>
    <hyperlink ref="B2" location="Contents!A1" display="Back to Contents page" xr:uid="{02BACD42-8DD1-42FF-95A2-4E4330016DD7}"/>
  </hyperlinks>
  <pageMargins left="0.7" right="0.7" top="0.75" bottom="0.75" header="0.3" footer="0.3"/>
  <pageSetup paperSize="9" scale="82" orientation="portrait" horizontalDpi="144" verticalDpi="14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29284-DBFA-42F2-9679-CF5FA0C1EF8B}">
  <sheetPr>
    <tabColor theme="4"/>
    <pageSetUpPr fitToPage="1"/>
  </sheetPr>
  <dimension ref="B3:D13"/>
  <sheetViews>
    <sheetView workbookViewId="0"/>
  </sheetViews>
  <sheetFormatPr baseColWidth="10" defaultColWidth="9.21875" defaultRowHeight="15" x14ac:dyDescent="0.25"/>
  <cols>
    <col min="1" max="1" width="6.109375" customWidth="1"/>
    <col min="2" max="2" width="15.5546875" style="10" customWidth="1"/>
    <col min="3" max="3" width="12.33203125" customWidth="1"/>
    <col min="4" max="4" width="84.21875" customWidth="1"/>
    <col min="5" max="5" width="26.77734375" customWidth="1"/>
    <col min="6" max="7" width="20.77734375" customWidth="1"/>
  </cols>
  <sheetData>
    <row r="3" spans="2:4" ht="18.75" x14ac:dyDescent="0.25">
      <c r="B3" s="246" t="s">
        <v>3170</v>
      </c>
      <c r="C3" s="247"/>
    </row>
    <row r="4" spans="2:4" x14ac:dyDescent="0.25">
      <c r="B4" t="s">
        <v>3171</v>
      </c>
      <c r="C4" s="248"/>
    </row>
    <row r="7" spans="2:4" x14ac:dyDescent="0.25">
      <c r="B7" s="207" t="s">
        <v>3172</v>
      </c>
      <c r="C7" s="207" t="s">
        <v>3173</v>
      </c>
      <c r="D7" s="11" t="s">
        <v>3174</v>
      </c>
    </row>
    <row r="8" spans="2:4" s="9" customFormat="1" x14ac:dyDescent="0.2">
      <c r="B8" s="207" t="s">
        <v>3175</v>
      </c>
      <c r="C8" s="207" t="s">
        <v>2651</v>
      </c>
      <c r="D8" s="11" t="s">
        <v>3176</v>
      </c>
    </row>
    <row r="9" spans="2:4" s="9" customFormat="1" ht="30" x14ac:dyDescent="0.2">
      <c r="B9" s="207" t="s">
        <v>3177</v>
      </c>
      <c r="C9" s="207" t="s">
        <v>30</v>
      </c>
      <c r="D9" s="11" t="s">
        <v>3178</v>
      </c>
    </row>
    <row r="12" spans="2:4" x14ac:dyDescent="0.25">
      <c r="B12" s="59"/>
    </row>
    <row r="13" spans="2:4" x14ac:dyDescent="0.25">
      <c r="B13"/>
    </row>
  </sheetData>
  <pageMargins left="0.70866141732283472" right="0.70866141732283472" top="0.74803149606299213" bottom="0.74803149606299213" header="0.31496062992125984" footer="0.31496062992125984"/>
  <pageSetup paperSize="9" scale="91" orientation="landscape" r:id="rId1"/>
  <headerFooter>
    <oddHeader>&amp;CEN
Annex V</oddHead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2:U56"/>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254" customWidth="1"/>
    <col min="2" max="2" width="7.21875" style="254" customWidth="1"/>
    <col min="3" max="3" width="38.109375" style="254" customWidth="1"/>
    <col min="4" max="11" width="10.88671875" style="254" customWidth="1"/>
    <col min="12" max="16384" width="9.21875" style="254"/>
  </cols>
  <sheetData>
    <row r="2" spans="1:11" ht="15" x14ac:dyDescent="0.25">
      <c r="B2" s="940" t="s">
        <v>3521</v>
      </c>
    </row>
    <row r="4" spans="1:11" ht="21" x14ac:dyDescent="0.2">
      <c r="B4" s="368" t="s">
        <v>2854</v>
      </c>
      <c r="C4" s="271"/>
      <c r="D4" s="271"/>
      <c r="E4" s="271"/>
      <c r="F4" s="271"/>
      <c r="G4" s="271"/>
      <c r="H4" s="271"/>
      <c r="I4" s="271"/>
      <c r="J4" s="271"/>
      <c r="K4" s="271"/>
    </row>
    <row r="5" spans="1:11" x14ac:dyDescent="0.2">
      <c r="B5" s="271"/>
      <c r="C5" s="271"/>
      <c r="D5" s="271"/>
      <c r="E5" s="271"/>
      <c r="F5" s="271"/>
      <c r="G5" s="271"/>
      <c r="H5" s="271"/>
      <c r="I5" s="271"/>
      <c r="J5" s="271"/>
      <c r="K5" s="271"/>
    </row>
    <row r="6" spans="1:11" ht="18.75" x14ac:dyDescent="0.3">
      <c r="A6" s="280"/>
      <c r="B6" s="422" t="s">
        <v>3634</v>
      </c>
      <c r="C6" s="271"/>
      <c r="D6" s="271"/>
      <c r="E6" s="271"/>
      <c r="F6" s="271"/>
      <c r="G6" s="271"/>
      <c r="H6" s="271"/>
      <c r="I6" s="271"/>
      <c r="J6" s="271"/>
      <c r="K6" s="271"/>
    </row>
    <row r="7" spans="1:11" x14ac:dyDescent="0.2">
      <c r="A7" s="271"/>
      <c r="C7" s="284"/>
    </row>
    <row r="8" spans="1:11" ht="20.100000000000001" customHeight="1" x14ac:dyDescent="0.2">
      <c r="A8" s="271"/>
      <c r="B8" s="283"/>
      <c r="D8" s="431" t="s">
        <v>161</v>
      </c>
      <c r="E8" s="431" t="s">
        <v>162</v>
      </c>
      <c r="F8" s="431" t="s">
        <v>163</v>
      </c>
      <c r="G8" s="431" t="s">
        <v>200</v>
      </c>
      <c r="H8" s="431" t="s">
        <v>201</v>
      </c>
      <c r="I8" s="431" t="s">
        <v>266</v>
      </c>
      <c r="J8" s="431" t="s">
        <v>267</v>
      </c>
      <c r="K8" s="431" t="s">
        <v>268</v>
      </c>
    </row>
    <row r="9" spans="1:11" ht="20.100000000000001" customHeight="1" x14ac:dyDescent="0.2">
      <c r="A9" s="271"/>
      <c r="D9" s="1318" t="s">
        <v>3496</v>
      </c>
      <c r="E9" s="1318"/>
      <c r="F9" s="1318"/>
      <c r="G9" s="1318"/>
      <c r="H9" s="1318" t="s">
        <v>3497</v>
      </c>
      <c r="I9" s="1318"/>
      <c r="J9" s="1318"/>
      <c r="K9" s="1318"/>
    </row>
    <row r="10" spans="1:11" ht="20.100000000000001" customHeight="1" x14ac:dyDescent="0.2">
      <c r="A10" s="271"/>
      <c r="B10" s="431" t="s">
        <v>2855</v>
      </c>
      <c r="C10" s="432" t="s">
        <v>2856</v>
      </c>
      <c r="D10" s="446">
        <v>44926</v>
      </c>
      <c r="E10" s="446">
        <v>44834</v>
      </c>
      <c r="F10" s="446">
        <v>44742</v>
      </c>
      <c r="G10" s="446">
        <v>44651</v>
      </c>
      <c r="H10" s="446">
        <v>44926</v>
      </c>
      <c r="I10" s="446">
        <v>44834</v>
      </c>
      <c r="J10" s="446">
        <v>44742</v>
      </c>
      <c r="K10" s="446">
        <v>44651</v>
      </c>
    </row>
    <row r="11" spans="1:11" ht="20.100000000000001" customHeight="1" x14ac:dyDescent="0.2">
      <c r="A11" s="271"/>
      <c r="B11" s="431" t="s">
        <v>2857</v>
      </c>
      <c r="C11" s="432" t="s">
        <v>2858</v>
      </c>
      <c r="D11" s="433">
        <v>12</v>
      </c>
      <c r="E11" s="433">
        <v>12</v>
      </c>
      <c r="F11" s="433">
        <v>12</v>
      </c>
      <c r="G11" s="433">
        <v>12</v>
      </c>
      <c r="H11" s="433">
        <v>12</v>
      </c>
      <c r="I11" s="433">
        <v>12</v>
      </c>
      <c r="J11" s="433">
        <v>12</v>
      </c>
      <c r="K11" s="433">
        <v>12</v>
      </c>
    </row>
    <row r="12" spans="1:11" ht="20.100000000000001" customHeight="1" x14ac:dyDescent="0.2">
      <c r="A12" s="271"/>
      <c r="B12" s="1320" t="s">
        <v>2859</v>
      </c>
      <c r="C12" s="1320"/>
      <c r="D12" s="1320"/>
      <c r="E12" s="1320"/>
      <c r="F12" s="1320"/>
      <c r="G12" s="1320"/>
      <c r="H12" s="1320"/>
      <c r="I12" s="1320"/>
      <c r="J12" s="1320"/>
      <c r="K12" s="1320"/>
    </row>
    <row r="13" spans="1:11" ht="24.95" customHeight="1" x14ac:dyDescent="0.2">
      <c r="A13" s="271"/>
      <c r="B13" s="421">
        <v>1</v>
      </c>
      <c r="C13" s="398" t="s">
        <v>2860</v>
      </c>
      <c r="D13" s="1319"/>
      <c r="E13" s="1319"/>
      <c r="F13" s="1319"/>
      <c r="G13" s="1319"/>
      <c r="H13" s="434">
        <v>17790.857546737094</v>
      </c>
      <c r="I13" s="434">
        <v>18068.08928967782</v>
      </c>
      <c r="J13" s="434">
        <v>17823.370071229027</v>
      </c>
      <c r="K13" s="434">
        <v>17544.332842290984</v>
      </c>
    </row>
    <row r="14" spans="1:11" ht="20.100000000000001" customHeight="1" x14ac:dyDescent="0.2">
      <c r="A14" s="271"/>
      <c r="B14" s="1320" t="s">
        <v>2861</v>
      </c>
      <c r="C14" s="1320"/>
      <c r="D14" s="1320"/>
      <c r="E14" s="1320"/>
      <c r="F14" s="1320"/>
      <c r="G14" s="1320"/>
      <c r="H14" s="1320"/>
      <c r="I14" s="1320"/>
      <c r="J14" s="1320"/>
      <c r="K14" s="1320"/>
    </row>
    <row r="15" spans="1:11" ht="24.95" customHeight="1" x14ac:dyDescent="0.2">
      <c r="A15" s="271"/>
      <c r="B15" s="421">
        <v>2</v>
      </c>
      <c r="C15" s="435" t="s">
        <v>3656</v>
      </c>
      <c r="D15" s="434">
        <v>50817.269736926275</v>
      </c>
      <c r="E15" s="434">
        <v>50405.10575308124</v>
      </c>
      <c r="F15" s="434">
        <v>50308.157196351174</v>
      </c>
      <c r="G15" s="434">
        <v>50045.056110091049</v>
      </c>
      <c r="H15" s="434">
        <v>2820.8163033281094</v>
      </c>
      <c r="I15" s="434">
        <v>2798.9400418415898</v>
      </c>
      <c r="J15" s="434">
        <v>2790.3577330582343</v>
      </c>
      <c r="K15" s="434">
        <v>2771.3319667745668</v>
      </c>
    </row>
    <row r="16" spans="1:11" ht="20.100000000000001" customHeight="1" x14ac:dyDescent="0.2">
      <c r="A16" s="271"/>
      <c r="B16" s="436">
        <v>3</v>
      </c>
      <c r="C16" s="437" t="s">
        <v>2862</v>
      </c>
      <c r="D16" s="438">
        <v>45218.21340729035</v>
      </c>
      <c r="E16" s="438">
        <v>44831.41066932735</v>
      </c>
      <c r="F16" s="438">
        <v>44809.159731520151</v>
      </c>
      <c r="G16" s="438">
        <v>44663.472884650757</v>
      </c>
      <c r="H16" s="438">
        <v>2260.910670364517</v>
      </c>
      <c r="I16" s="438">
        <v>2241.5705334666172</v>
      </c>
      <c r="J16" s="438">
        <v>2240.4579865756323</v>
      </c>
      <c r="K16" s="438">
        <v>2233.1736442315378</v>
      </c>
    </row>
    <row r="17" spans="1:21" ht="20.100000000000001" customHeight="1" x14ac:dyDescent="0.2">
      <c r="A17" s="271"/>
      <c r="B17" s="436">
        <v>4</v>
      </c>
      <c r="C17" s="437" t="s">
        <v>2863</v>
      </c>
      <c r="D17" s="438">
        <v>5599.0563296359214</v>
      </c>
      <c r="E17" s="438">
        <v>5573.6950837538925</v>
      </c>
      <c r="F17" s="438">
        <v>5498.9974648310208</v>
      </c>
      <c r="G17" s="438">
        <v>5381.5832254402931</v>
      </c>
      <c r="H17" s="438">
        <v>559.90563296359221</v>
      </c>
      <c r="I17" s="438">
        <v>557.36950837497261</v>
      </c>
      <c r="J17" s="438">
        <v>549.89974648260193</v>
      </c>
      <c r="K17" s="438">
        <v>538.15832254302916</v>
      </c>
    </row>
    <row r="18" spans="1:21" ht="20.100000000000001" customHeight="1" x14ac:dyDescent="0.2">
      <c r="A18" s="271"/>
      <c r="B18" s="421">
        <v>5</v>
      </c>
      <c r="C18" s="435" t="s">
        <v>2864</v>
      </c>
      <c r="D18" s="434">
        <v>24618.917707288343</v>
      </c>
      <c r="E18" s="434">
        <v>24185.312526103335</v>
      </c>
      <c r="F18" s="434">
        <v>23682.580859081667</v>
      </c>
      <c r="G18" s="434">
        <v>23232.258996838333</v>
      </c>
      <c r="H18" s="434">
        <v>8840.6882824169297</v>
      </c>
      <c r="I18" s="434">
        <v>8541.3813141681312</v>
      </c>
      <c r="J18" s="434">
        <v>8269.7393477495207</v>
      </c>
      <c r="K18" s="434">
        <v>8108.3312146622839</v>
      </c>
    </row>
    <row r="19" spans="1:21" ht="24.95" customHeight="1" x14ac:dyDescent="0.2">
      <c r="A19" s="271"/>
      <c r="B19" s="436">
        <v>6</v>
      </c>
      <c r="C19" s="437" t="s">
        <v>2865</v>
      </c>
      <c r="D19" s="438">
        <v>10517.952416416845</v>
      </c>
      <c r="E19" s="438">
        <v>10394.205152760913</v>
      </c>
      <c r="F19" s="438">
        <v>10384.887694684252</v>
      </c>
      <c r="G19" s="438">
        <v>10321.137164883183</v>
      </c>
      <c r="H19" s="438">
        <v>2529.3980603573773</v>
      </c>
      <c r="I19" s="438">
        <v>2499.322888469932</v>
      </c>
      <c r="J19" s="438">
        <v>2495.5491169259335</v>
      </c>
      <c r="K19" s="438">
        <v>2479.4212066513469</v>
      </c>
    </row>
    <row r="20" spans="1:21" ht="20.100000000000001" customHeight="1" x14ac:dyDescent="0.2">
      <c r="A20" s="271"/>
      <c r="B20" s="436">
        <v>7</v>
      </c>
      <c r="C20" s="437" t="s">
        <v>2866</v>
      </c>
      <c r="D20" s="438">
        <v>13621.242989045662</v>
      </c>
      <c r="E20" s="438">
        <v>13366.419931175755</v>
      </c>
      <c r="F20" s="438">
        <v>12908.410205343249</v>
      </c>
      <c r="G20" s="438">
        <v>12534.424734740151</v>
      </c>
      <c r="H20" s="438">
        <v>5831.5679202337178</v>
      </c>
      <c r="I20" s="438">
        <v>5617.3709835315321</v>
      </c>
      <c r="J20" s="438">
        <v>5384.9072717694207</v>
      </c>
      <c r="K20" s="438">
        <v>5252.2129107959363</v>
      </c>
    </row>
    <row r="21" spans="1:21" ht="20.100000000000001" customHeight="1" x14ac:dyDescent="0.2">
      <c r="A21" s="271"/>
      <c r="B21" s="436">
        <v>8</v>
      </c>
      <c r="C21" s="437" t="s">
        <v>2867</v>
      </c>
      <c r="D21" s="438">
        <v>479.72230182583331</v>
      </c>
      <c r="E21" s="438">
        <v>424.6874421666667</v>
      </c>
      <c r="F21" s="438">
        <v>389.28295905416667</v>
      </c>
      <c r="G21" s="438">
        <v>376.69709721500004</v>
      </c>
      <c r="H21" s="438">
        <v>479.72230182583331</v>
      </c>
      <c r="I21" s="438">
        <v>424.6874421666667</v>
      </c>
      <c r="J21" s="438">
        <v>389.28295905416667</v>
      </c>
      <c r="K21" s="438">
        <v>376.69709721500004</v>
      </c>
    </row>
    <row r="22" spans="1:21" ht="20.100000000000001" customHeight="1" x14ac:dyDescent="0.2">
      <c r="A22" s="271"/>
      <c r="B22" s="421">
        <v>9</v>
      </c>
      <c r="C22" s="398" t="s">
        <v>2868</v>
      </c>
      <c r="D22" s="1319"/>
      <c r="E22" s="1319"/>
      <c r="F22" s="1319"/>
      <c r="G22" s="1319"/>
      <c r="H22" s="434">
        <v>0</v>
      </c>
      <c r="I22" s="434">
        <v>0</v>
      </c>
      <c r="J22" s="434">
        <v>0</v>
      </c>
      <c r="K22" s="434">
        <v>0</v>
      </c>
    </row>
    <row r="23" spans="1:21" ht="20.100000000000001" customHeight="1" x14ac:dyDescent="0.2">
      <c r="A23" s="271"/>
      <c r="B23" s="421">
        <v>10</v>
      </c>
      <c r="C23" s="435" t="s">
        <v>2869</v>
      </c>
      <c r="D23" s="434">
        <v>6459.9301490068992</v>
      </c>
      <c r="E23" s="434">
        <v>6521.9744381743012</v>
      </c>
      <c r="F23" s="434">
        <v>6769.3536963383685</v>
      </c>
      <c r="G23" s="434">
        <v>7152.7096284250001</v>
      </c>
      <c r="H23" s="434">
        <v>1115.4490789311499</v>
      </c>
      <c r="I23" s="434">
        <v>1262.0903561575501</v>
      </c>
      <c r="J23" s="434">
        <v>1415.31342216545</v>
      </c>
      <c r="K23" s="434">
        <v>1600.5289779362499</v>
      </c>
    </row>
    <row r="24" spans="1:21" ht="24.95" customHeight="1" x14ac:dyDescent="0.2">
      <c r="A24" s="271"/>
      <c r="B24" s="436">
        <v>11</v>
      </c>
      <c r="C24" s="437" t="s">
        <v>2870</v>
      </c>
      <c r="D24" s="438">
        <v>682.56181201939989</v>
      </c>
      <c r="E24" s="438">
        <v>834.7974164443001</v>
      </c>
      <c r="F24" s="438">
        <v>981.47156440336664</v>
      </c>
      <c r="G24" s="438">
        <v>1147.0794294091666</v>
      </c>
      <c r="H24" s="438">
        <v>682.56181201939989</v>
      </c>
      <c r="I24" s="438">
        <v>834.7974164443001</v>
      </c>
      <c r="J24" s="438">
        <v>981.47156440336664</v>
      </c>
      <c r="K24" s="438">
        <v>1147.0794294091666</v>
      </c>
    </row>
    <row r="25" spans="1:21" ht="20.100000000000001" customHeight="1" x14ac:dyDescent="0.2">
      <c r="A25" s="271"/>
      <c r="B25" s="436">
        <v>12</v>
      </c>
      <c r="C25" s="437" t="s">
        <v>2871</v>
      </c>
      <c r="D25" s="438">
        <v>0</v>
      </c>
      <c r="E25" s="438">
        <v>0</v>
      </c>
      <c r="F25" s="438">
        <v>0</v>
      </c>
      <c r="G25" s="438">
        <v>0</v>
      </c>
      <c r="H25" s="438">
        <v>0</v>
      </c>
      <c r="I25" s="438">
        <v>0</v>
      </c>
      <c r="J25" s="438">
        <v>0</v>
      </c>
      <c r="K25" s="438">
        <v>0</v>
      </c>
    </row>
    <row r="26" spans="1:21" ht="20.100000000000001" customHeight="1" x14ac:dyDescent="0.2">
      <c r="A26" s="271"/>
      <c r="B26" s="436">
        <v>13</v>
      </c>
      <c r="C26" s="437" t="s">
        <v>2872</v>
      </c>
      <c r="D26" s="438">
        <v>5777.3683369874989</v>
      </c>
      <c r="E26" s="438">
        <v>5687.1770217300009</v>
      </c>
      <c r="F26" s="438">
        <v>5787.8821319350018</v>
      </c>
      <c r="G26" s="438">
        <v>6005.6301990158336</v>
      </c>
      <c r="H26" s="438">
        <v>432.88726691175003</v>
      </c>
      <c r="I26" s="438">
        <v>427.29293971324995</v>
      </c>
      <c r="J26" s="438">
        <v>433.84185776208335</v>
      </c>
      <c r="K26" s="438">
        <v>453.44954852708344</v>
      </c>
    </row>
    <row r="27" spans="1:21" ht="20.100000000000001" customHeight="1" x14ac:dyDescent="0.2">
      <c r="A27" s="271"/>
      <c r="B27" s="421">
        <v>14</v>
      </c>
      <c r="C27" s="435" t="s">
        <v>2873</v>
      </c>
      <c r="D27" s="434">
        <v>180.22602541083333</v>
      </c>
      <c r="E27" s="434">
        <v>204.94745191583331</v>
      </c>
      <c r="F27" s="434">
        <v>233.84472588833336</v>
      </c>
      <c r="G27" s="434">
        <v>244.28119519500001</v>
      </c>
      <c r="H27" s="434">
        <v>180.22602541083333</v>
      </c>
      <c r="I27" s="434">
        <v>204.94745191583331</v>
      </c>
      <c r="J27" s="434">
        <v>233.84472588833336</v>
      </c>
      <c r="K27" s="434">
        <v>244.28119519500001</v>
      </c>
      <c r="L27" s="1321"/>
      <c r="M27" s="1321"/>
      <c r="N27" s="1321"/>
      <c r="O27" s="1321"/>
      <c r="P27" s="1321"/>
      <c r="Q27" s="1321"/>
      <c r="R27" s="1321"/>
      <c r="S27" s="1321"/>
      <c r="T27" s="1321"/>
      <c r="U27" s="1321"/>
    </row>
    <row r="28" spans="1:21" ht="20.100000000000001" customHeight="1" x14ac:dyDescent="0.2">
      <c r="A28" s="271"/>
      <c r="B28" s="421">
        <v>15</v>
      </c>
      <c r="C28" s="435" t="s">
        <v>2874</v>
      </c>
      <c r="D28" s="434">
        <v>6482.0630237914747</v>
      </c>
      <c r="E28" s="434">
        <v>6130.267959741308</v>
      </c>
      <c r="F28" s="434">
        <v>6157.8098330958419</v>
      </c>
      <c r="G28" s="434">
        <v>5834.5234064070701</v>
      </c>
      <c r="H28" s="434">
        <v>1177.0517736188665</v>
      </c>
      <c r="I28" s="434">
        <v>1121.4036448854802</v>
      </c>
      <c r="J28" s="434">
        <v>1134.4973321340156</v>
      </c>
      <c r="K28" s="434">
        <v>1064.8443346805061</v>
      </c>
    </row>
    <row r="29" spans="1:21" ht="20.100000000000001" customHeight="1" x14ac:dyDescent="0.2">
      <c r="A29" s="271"/>
      <c r="B29" s="439">
        <v>16</v>
      </c>
      <c r="C29" s="440" t="s">
        <v>2875</v>
      </c>
      <c r="D29" s="1322"/>
      <c r="E29" s="1322"/>
      <c r="F29" s="1322"/>
      <c r="G29" s="1322"/>
      <c r="H29" s="441">
        <v>14134.231463705888</v>
      </c>
      <c r="I29" s="441">
        <v>13928.762808968586</v>
      </c>
      <c r="J29" s="441">
        <v>13843.752560995554</v>
      </c>
      <c r="K29" s="441">
        <v>13789.317689248608</v>
      </c>
    </row>
    <row r="30" spans="1:21" ht="20.100000000000001" customHeight="1" x14ac:dyDescent="0.2">
      <c r="A30" s="271"/>
      <c r="B30" s="1320" t="s">
        <v>2876</v>
      </c>
      <c r="C30" s="1320"/>
      <c r="D30" s="1320"/>
      <c r="E30" s="1320"/>
      <c r="F30" s="1320"/>
      <c r="G30" s="1320"/>
      <c r="H30" s="1320"/>
      <c r="I30" s="1320"/>
      <c r="J30" s="1320"/>
      <c r="K30" s="1320"/>
    </row>
    <row r="31" spans="1:21" ht="20.100000000000001" customHeight="1" x14ac:dyDescent="0.2">
      <c r="A31" s="271"/>
      <c r="B31" s="442">
        <v>17</v>
      </c>
      <c r="C31" s="435" t="s">
        <v>2877</v>
      </c>
      <c r="D31" s="434">
        <v>219.05361524666668</v>
      </c>
      <c r="E31" s="434">
        <v>245.05701216416665</v>
      </c>
      <c r="F31" s="434">
        <v>245.05701216416665</v>
      </c>
      <c r="G31" s="434">
        <v>245.05701216416665</v>
      </c>
      <c r="H31" s="434">
        <v>5.8442837480999996</v>
      </c>
      <c r="I31" s="434">
        <v>17.153990851858335</v>
      </c>
      <c r="J31" s="434">
        <v>17.153990851858335</v>
      </c>
      <c r="K31" s="434">
        <v>17.153990851858335</v>
      </c>
    </row>
    <row r="32" spans="1:21" ht="20.100000000000001" customHeight="1" x14ac:dyDescent="0.2">
      <c r="A32" s="271"/>
      <c r="B32" s="442">
        <v>18</v>
      </c>
      <c r="C32" s="435" t="s">
        <v>2878</v>
      </c>
      <c r="D32" s="434">
        <v>775.5528529400159</v>
      </c>
      <c r="E32" s="434">
        <v>731.71594474508186</v>
      </c>
      <c r="F32" s="434">
        <v>708.23974589981003</v>
      </c>
      <c r="G32" s="434">
        <v>731.13076602477986</v>
      </c>
      <c r="H32" s="434">
        <v>570.9870124910384</v>
      </c>
      <c r="I32" s="434">
        <v>520.86889324508161</v>
      </c>
      <c r="J32" s="434">
        <v>492.01137060814335</v>
      </c>
      <c r="K32" s="434">
        <v>511.57064381644665</v>
      </c>
    </row>
    <row r="33" spans="1:11" ht="20.100000000000001" customHeight="1" x14ac:dyDescent="0.2">
      <c r="A33" s="271"/>
      <c r="B33" s="442">
        <v>19</v>
      </c>
      <c r="C33" s="435" t="s">
        <v>2879</v>
      </c>
      <c r="D33" s="434">
        <v>1076.6602087391666</v>
      </c>
      <c r="E33" s="434">
        <v>802.5599624183335</v>
      </c>
      <c r="F33" s="434">
        <v>733.89969307833337</v>
      </c>
      <c r="G33" s="434">
        <v>664.12163148500008</v>
      </c>
      <c r="H33" s="434">
        <v>1076.6602087391666</v>
      </c>
      <c r="I33" s="434">
        <v>802.5599624183335</v>
      </c>
      <c r="J33" s="434">
        <v>733.89969307833337</v>
      </c>
      <c r="K33" s="434">
        <v>664.12163148500008</v>
      </c>
    </row>
    <row r="34" spans="1:11" x14ac:dyDescent="0.2">
      <c r="A34" s="271"/>
      <c r="B34" s="1323" t="s">
        <v>2880</v>
      </c>
      <c r="C34" s="1324" t="s">
        <v>2881</v>
      </c>
      <c r="D34" s="1325"/>
      <c r="E34" s="1325"/>
      <c r="F34" s="1325"/>
      <c r="G34" s="1325"/>
      <c r="H34" s="1326">
        <v>0</v>
      </c>
      <c r="I34" s="1326">
        <v>0</v>
      </c>
      <c r="J34" s="1326">
        <v>0</v>
      </c>
      <c r="K34" s="1326">
        <v>0</v>
      </c>
    </row>
    <row r="35" spans="1:11" ht="41.25" customHeight="1" x14ac:dyDescent="0.2">
      <c r="A35" s="271"/>
      <c r="B35" s="1323"/>
      <c r="C35" s="1324"/>
      <c r="D35" s="1325"/>
      <c r="E35" s="1325"/>
      <c r="F35" s="1325"/>
      <c r="G35" s="1325"/>
      <c r="H35" s="1327"/>
      <c r="I35" s="1327"/>
      <c r="J35" s="1327"/>
      <c r="K35" s="1327"/>
    </row>
    <row r="36" spans="1:11" x14ac:dyDescent="0.2">
      <c r="A36" s="271"/>
      <c r="B36" s="1323" t="s">
        <v>2882</v>
      </c>
      <c r="C36" s="1324" t="s">
        <v>2883</v>
      </c>
      <c r="D36" s="1325"/>
      <c r="E36" s="1325"/>
      <c r="F36" s="1325"/>
      <c r="G36" s="1325"/>
      <c r="H36" s="1326">
        <v>0</v>
      </c>
      <c r="I36" s="1326">
        <v>0</v>
      </c>
      <c r="J36" s="1326">
        <v>0</v>
      </c>
      <c r="K36" s="1326">
        <v>0</v>
      </c>
    </row>
    <row r="37" spans="1:11" x14ac:dyDescent="0.2">
      <c r="A37" s="271"/>
      <c r="B37" s="1323"/>
      <c r="C37" s="1324"/>
      <c r="D37" s="1325"/>
      <c r="E37" s="1325"/>
      <c r="F37" s="1325"/>
      <c r="G37" s="1325"/>
      <c r="H37" s="1327"/>
      <c r="I37" s="1327"/>
      <c r="J37" s="1327"/>
      <c r="K37" s="1327"/>
    </row>
    <row r="38" spans="1:11" ht="20.100000000000001" customHeight="1" x14ac:dyDescent="0.2">
      <c r="A38" s="271"/>
      <c r="B38" s="439">
        <v>20</v>
      </c>
      <c r="C38" s="440" t="s">
        <v>2884</v>
      </c>
      <c r="D38" s="441">
        <v>2071.266676925849</v>
      </c>
      <c r="E38" s="441">
        <v>1779.332919327582</v>
      </c>
      <c r="F38" s="441">
        <v>1687.1964511431429</v>
      </c>
      <c r="G38" s="441">
        <v>1640.3094096739467</v>
      </c>
      <c r="H38" s="441">
        <v>1653.4915049783049</v>
      </c>
      <c r="I38" s="441">
        <v>1340.5828465152733</v>
      </c>
      <c r="J38" s="441">
        <v>1243.0650545391684</v>
      </c>
      <c r="K38" s="441">
        <v>1192.8462661533051</v>
      </c>
    </row>
    <row r="39" spans="1:11" ht="20.100000000000001" customHeight="1" x14ac:dyDescent="0.2">
      <c r="A39" s="271"/>
      <c r="B39" s="1330" t="s">
        <v>61</v>
      </c>
      <c r="C39" s="1331" t="s">
        <v>2885</v>
      </c>
      <c r="D39" s="1328">
        <v>0</v>
      </c>
      <c r="E39" s="1328">
        <v>0</v>
      </c>
      <c r="F39" s="1328">
        <v>0</v>
      </c>
      <c r="G39" s="1328">
        <v>0</v>
      </c>
      <c r="H39" s="1328">
        <v>0</v>
      </c>
      <c r="I39" s="1328">
        <v>0</v>
      </c>
      <c r="J39" s="1328">
        <v>0</v>
      </c>
      <c r="K39" s="1328">
        <v>0</v>
      </c>
    </row>
    <row r="40" spans="1:11" ht="20.100000000000001" customHeight="1" x14ac:dyDescent="0.2">
      <c r="A40" s="271"/>
      <c r="B40" s="1330"/>
      <c r="C40" s="1331"/>
      <c r="D40" s="1329"/>
      <c r="E40" s="1329"/>
      <c r="F40" s="1329"/>
      <c r="G40" s="1329"/>
      <c r="H40" s="1329"/>
      <c r="I40" s="1329"/>
      <c r="J40" s="1329"/>
      <c r="K40" s="1329"/>
    </row>
    <row r="41" spans="1:11" ht="20.100000000000001" customHeight="1" x14ac:dyDescent="0.2">
      <c r="A41" s="271"/>
      <c r="B41" s="1330" t="s">
        <v>63</v>
      </c>
      <c r="C41" s="1331" t="s">
        <v>2886</v>
      </c>
      <c r="D41" s="1328">
        <v>0</v>
      </c>
      <c r="E41" s="1328">
        <v>0</v>
      </c>
      <c r="F41" s="1328">
        <v>0</v>
      </c>
      <c r="G41" s="1328">
        <v>0</v>
      </c>
      <c r="H41" s="1328">
        <v>0</v>
      </c>
      <c r="I41" s="1328">
        <v>0</v>
      </c>
      <c r="J41" s="1328">
        <v>0</v>
      </c>
      <c r="K41" s="1328">
        <v>0</v>
      </c>
    </row>
    <row r="42" spans="1:11" ht="20.100000000000001" customHeight="1" x14ac:dyDescent="0.2">
      <c r="A42" s="271"/>
      <c r="B42" s="1330"/>
      <c r="C42" s="1331"/>
      <c r="D42" s="1329"/>
      <c r="E42" s="1329"/>
      <c r="F42" s="1329"/>
      <c r="G42" s="1329"/>
      <c r="H42" s="1329"/>
      <c r="I42" s="1329"/>
      <c r="J42" s="1329"/>
      <c r="K42" s="1329"/>
    </row>
    <row r="43" spans="1:11" ht="20.100000000000001" customHeight="1" x14ac:dyDescent="0.2">
      <c r="A43" s="271"/>
      <c r="B43" s="1330" t="s">
        <v>65</v>
      </c>
      <c r="C43" s="1331" t="s">
        <v>2887</v>
      </c>
      <c r="D43" s="1328">
        <v>2071.266676925849</v>
      </c>
      <c r="E43" s="1328">
        <v>1779.332919327582</v>
      </c>
      <c r="F43" s="1328">
        <v>1687.1964511431429</v>
      </c>
      <c r="G43" s="1328">
        <v>1640.3094096739467</v>
      </c>
      <c r="H43" s="1328">
        <v>1653.4915049783049</v>
      </c>
      <c r="I43" s="1328">
        <v>1340.5828465152733</v>
      </c>
      <c r="J43" s="1328">
        <v>1243.0650545391684</v>
      </c>
      <c r="K43" s="1328">
        <v>1192.8462661533051</v>
      </c>
    </row>
    <row r="44" spans="1:11" ht="20.100000000000001" customHeight="1" x14ac:dyDescent="0.2">
      <c r="A44" s="271"/>
      <c r="B44" s="1330"/>
      <c r="C44" s="1331"/>
      <c r="D44" s="1329"/>
      <c r="E44" s="1329"/>
      <c r="F44" s="1329"/>
      <c r="G44" s="1329"/>
      <c r="H44" s="1329"/>
      <c r="I44" s="1329"/>
      <c r="J44" s="1329"/>
      <c r="K44" s="1329"/>
    </row>
    <row r="45" spans="1:11" ht="20.100000000000001" customHeight="1" x14ac:dyDescent="0.2">
      <c r="A45" s="271"/>
      <c r="B45" s="1320" t="s">
        <v>2888</v>
      </c>
      <c r="C45" s="1320"/>
      <c r="D45" s="1320"/>
      <c r="E45" s="1320"/>
      <c r="F45" s="1320"/>
      <c r="G45" s="1320"/>
      <c r="H45" s="1320"/>
      <c r="I45" s="1320"/>
      <c r="J45" s="1320"/>
      <c r="K45" s="1320"/>
    </row>
    <row r="46" spans="1:11" ht="20.100000000000001" customHeight="1" x14ac:dyDescent="0.2">
      <c r="A46" s="271"/>
      <c r="B46" s="443">
        <v>21</v>
      </c>
      <c r="C46" s="444" t="s">
        <v>2889</v>
      </c>
      <c r="D46" s="1332"/>
      <c r="E46" s="1332"/>
      <c r="F46" s="1332"/>
      <c r="G46" s="1332"/>
      <c r="H46" s="441">
        <v>17790.857546737094</v>
      </c>
      <c r="I46" s="441">
        <v>18068.08928967782</v>
      </c>
      <c r="J46" s="441">
        <v>17823.370071229027</v>
      </c>
      <c r="K46" s="441">
        <v>17544.332842290984</v>
      </c>
    </row>
    <row r="47" spans="1:11" ht="20.100000000000001" customHeight="1" x14ac:dyDescent="0.2">
      <c r="A47" s="271"/>
      <c r="B47" s="443">
        <v>22</v>
      </c>
      <c r="C47" s="440" t="s">
        <v>2890</v>
      </c>
      <c r="D47" s="1332"/>
      <c r="E47" s="1332"/>
      <c r="F47" s="1332"/>
      <c r="G47" s="1332"/>
      <c r="H47" s="441">
        <v>12480.739958727581</v>
      </c>
      <c r="I47" s="441">
        <v>12588.179962453311</v>
      </c>
      <c r="J47" s="441">
        <v>12600.68750645722</v>
      </c>
      <c r="K47" s="441">
        <v>12596.471423098634</v>
      </c>
    </row>
    <row r="48" spans="1:11" ht="20.100000000000001" customHeight="1" x14ac:dyDescent="0.2">
      <c r="A48" s="271"/>
      <c r="B48" s="443">
        <v>23</v>
      </c>
      <c r="C48" s="440" t="s">
        <v>2891</v>
      </c>
      <c r="D48" s="1332"/>
      <c r="E48" s="1332"/>
      <c r="F48" s="1332"/>
      <c r="G48" s="1332"/>
      <c r="H48" s="445">
        <v>1.427623582799777</v>
      </c>
      <c r="I48" s="445">
        <v>1.4360098720297199</v>
      </c>
      <c r="J48" s="445">
        <v>1.4148253650737221</v>
      </c>
      <c r="K48" s="445">
        <v>1.394079714841945</v>
      </c>
    </row>
    <row r="56" spans="9:12" x14ac:dyDescent="0.2">
      <c r="I56" s="759"/>
      <c r="J56" s="760"/>
      <c r="K56" s="760"/>
      <c r="L56" s="760"/>
    </row>
  </sheetData>
  <sheetProtection algorithmName="SHA-512" hashValue="reOsHkunseX5XB3puD5ZB+zFPkMluq6xJ4a69NM5s+yAMALcE/oZQgoXVJxcl7iFDt6+6z5VdHWm3RxdB5fKuA==" saltValue="QYDJY0N09q4lRSWNc2vDzw==" spinCount="100000" sheet="1" objects="1" scenarios="1"/>
  <mergeCells count="57">
    <mergeCell ref="D47:G47"/>
    <mergeCell ref="D48:G48"/>
    <mergeCell ref="H43:H44"/>
    <mergeCell ref="I43:I44"/>
    <mergeCell ref="J43:J44"/>
    <mergeCell ref="B45:K45"/>
    <mergeCell ref="K43:K44"/>
    <mergeCell ref="D46:G46"/>
    <mergeCell ref="B43:B44"/>
    <mergeCell ref="C43:C44"/>
    <mergeCell ref="D43:D44"/>
    <mergeCell ref="E43:E44"/>
    <mergeCell ref="F43:F44"/>
    <mergeCell ref="H41:H42"/>
    <mergeCell ref="I41:I42"/>
    <mergeCell ref="J41:J42"/>
    <mergeCell ref="K41:K42"/>
    <mergeCell ref="G43:G44"/>
    <mergeCell ref="G41:G42"/>
    <mergeCell ref="G39:G40"/>
    <mergeCell ref="B41:B42"/>
    <mergeCell ref="C41:C42"/>
    <mergeCell ref="D41:D42"/>
    <mergeCell ref="E41:E42"/>
    <mergeCell ref="F41:F42"/>
    <mergeCell ref="B39:B40"/>
    <mergeCell ref="C39:C40"/>
    <mergeCell ref="D39:D40"/>
    <mergeCell ref="E39:E40"/>
    <mergeCell ref="F39:F40"/>
    <mergeCell ref="J36:J37"/>
    <mergeCell ref="K36:K37"/>
    <mergeCell ref="H39:H40"/>
    <mergeCell ref="I39:I40"/>
    <mergeCell ref="J39:J40"/>
    <mergeCell ref="K39:K40"/>
    <mergeCell ref="B36:B37"/>
    <mergeCell ref="C36:C37"/>
    <mergeCell ref="D36:G37"/>
    <mergeCell ref="H36:H37"/>
    <mergeCell ref="I36:I37"/>
    <mergeCell ref="D22:G22"/>
    <mergeCell ref="L27:U27"/>
    <mergeCell ref="D29:G29"/>
    <mergeCell ref="B30:K30"/>
    <mergeCell ref="B34:B35"/>
    <mergeCell ref="C34:C35"/>
    <mergeCell ref="D34:G35"/>
    <mergeCell ref="H34:H35"/>
    <mergeCell ref="I34:I35"/>
    <mergeCell ref="J34:J35"/>
    <mergeCell ref="K34:K35"/>
    <mergeCell ref="D9:G9"/>
    <mergeCell ref="H9:K9"/>
    <mergeCell ref="D13:G13"/>
    <mergeCell ref="B14:K14"/>
    <mergeCell ref="B12:K12"/>
  </mergeCells>
  <hyperlinks>
    <hyperlink ref="B2" location="Contents!A1" display="Back to Contents page" xr:uid="{5DB2F782-4467-45C4-B46E-88A8014ADE9B}"/>
  </hyperlinks>
  <pageMargins left="0.7" right="0.7" top="0.75" bottom="0.75" header="0.3" footer="0.3"/>
  <pageSetup paperSize="9" scale="15" orientation="portrait" horizontalDpi="144" verticalDpi="144" r:id="rId1"/>
  <colBreaks count="1" manualBreakCount="1">
    <brk id="12" max="1048575"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2:R55"/>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271" customWidth="1"/>
    <col min="2" max="2" width="6.5546875" style="271" customWidth="1"/>
    <col min="3" max="3" width="55.77734375" style="271" customWidth="1"/>
    <col min="4" max="4" width="6.6640625" style="271" customWidth="1"/>
    <col min="5" max="5" width="3.109375" style="271" customWidth="1"/>
    <col min="6" max="6" width="3.77734375" style="271" customWidth="1"/>
    <col min="7" max="7" width="4.6640625" style="271" customWidth="1"/>
    <col min="8" max="8" width="4.77734375" style="271" customWidth="1"/>
    <col min="9" max="9" width="3.5546875" style="271" customWidth="1"/>
    <col min="10" max="10" width="8.6640625" style="271" customWidth="1"/>
    <col min="11" max="11" width="8.77734375" style="271" customWidth="1"/>
    <col min="12" max="12" width="11.44140625" style="271" customWidth="1"/>
    <col min="13" max="13" width="12.44140625" style="271" customWidth="1"/>
    <col min="14" max="14" width="14.77734375" style="271" customWidth="1"/>
    <col min="15" max="16384" width="9.21875" style="271"/>
  </cols>
  <sheetData>
    <row r="2" spans="2:11" ht="15" x14ac:dyDescent="0.25">
      <c r="B2" s="940" t="s">
        <v>3521</v>
      </c>
    </row>
    <row r="4" spans="2:11" ht="21" x14ac:dyDescent="0.2">
      <c r="B4" s="368" t="s">
        <v>2892</v>
      </c>
    </row>
    <row r="6" spans="2:11" x14ac:dyDescent="0.2">
      <c r="B6" s="272"/>
    </row>
    <row r="7" spans="2:11" ht="20.100000000000001" customHeight="1" x14ac:dyDescent="0.2">
      <c r="B7" s="1346"/>
      <c r="C7" s="1346"/>
      <c r="D7" s="964" t="s">
        <v>161</v>
      </c>
      <c r="E7" s="964"/>
      <c r="F7" s="964" t="s">
        <v>162</v>
      </c>
      <c r="G7" s="964"/>
      <c r="H7" s="964" t="s">
        <v>163</v>
      </c>
      <c r="I7" s="964"/>
      <c r="J7" s="411" t="s">
        <v>200</v>
      </c>
      <c r="K7" s="430" t="s">
        <v>201</v>
      </c>
    </row>
    <row r="8" spans="2:11" ht="20.100000000000001" customHeight="1" x14ac:dyDescent="0.2">
      <c r="B8" s="1347"/>
      <c r="C8" s="1347"/>
      <c r="D8" s="964" t="s">
        <v>2893</v>
      </c>
      <c r="E8" s="964"/>
      <c r="F8" s="964"/>
      <c r="G8" s="964"/>
      <c r="H8" s="964"/>
      <c r="I8" s="964"/>
      <c r="J8" s="964"/>
      <c r="K8" s="1354" t="s">
        <v>2894</v>
      </c>
    </row>
    <row r="9" spans="2:11" ht="15" customHeight="1" x14ac:dyDescent="0.2">
      <c r="B9" s="1347"/>
      <c r="C9" s="1347"/>
      <c r="D9" s="964" t="s">
        <v>3425</v>
      </c>
      <c r="E9" s="964"/>
      <c r="F9" s="964" t="s">
        <v>2895</v>
      </c>
      <c r="G9" s="964"/>
      <c r="H9" s="964" t="s">
        <v>2896</v>
      </c>
      <c r="I9" s="964"/>
      <c r="J9" s="964" t="s">
        <v>2897</v>
      </c>
      <c r="K9" s="1354"/>
    </row>
    <row r="10" spans="2:11" x14ac:dyDescent="0.2">
      <c r="B10" s="1347"/>
      <c r="C10" s="1347"/>
      <c r="D10" s="964"/>
      <c r="E10" s="964"/>
      <c r="F10" s="964"/>
      <c r="G10" s="964"/>
      <c r="H10" s="964"/>
      <c r="I10" s="964"/>
      <c r="J10" s="964"/>
      <c r="K10" s="1355"/>
    </row>
    <row r="11" spans="2:11" ht="20.100000000000001" customHeight="1" x14ac:dyDescent="0.2">
      <c r="B11" s="1350" t="s">
        <v>2898</v>
      </c>
      <c r="C11" s="1350"/>
      <c r="D11" s="1351"/>
      <c r="E11" s="1351"/>
      <c r="F11" s="1351"/>
      <c r="G11" s="1351"/>
      <c r="H11" s="1351"/>
      <c r="I11" s="1351"/>
      <c r="J11" s="1351"/>
      <c r="K11" s="1350"/>
    </row>
    <row r="12" spans="2:11" ht="20.100000000000001" customHeight="1" x14ac:dyDescent="0.2">
      <c r="B12" s="427">
        <v>1</v>
      </c>
      <c r="C12" s="428" t="s">
        <v>2899</v>
      </c>
      <c r="D12" s="1352">
        <v>13643.435475600001</v>
      </c>
      <c r="E12" s="1352"/>
      <c r="F12" s="1353"/>
      <c r="G12" s="1353"/>
      <c r="H12" s="1352">
        <v>600</v>
      </c>
      <c r="I12" s="1352"/>
      <c r="J12" s="429">
        <v>1050</v>
      </c>
      <c r="K12" s="429">
        <v>14693.435475600001</v>
      </c>
    </row>
    <row r="13" spans="2:11" ht="20.100000000000001" customHeight="1" x14ac:dyDescent="0.2">
      <c r="B13" s="400">
        <v>2</v>
      </c>
      <c r="C13" s="401" t="s">
        <v>2900</v>
      </c>
      <c r="D13" s="1336">
        <v>13643.435475600001</v>
      </c>
      <c r="E13" s="1336"/>
      <c r="F13" s="1338"/>
      <c r="G13" s="1338"/>
      <c r="H13" s="1336">
        <v>600</v>
      </c>
      <c r="I13" s="1336"/>
      <c r="J13" s="402">
        <v>1050</v>
      </c>
      <c r="K13" s="402">
        <v>14693.435475600001</v>
      </c>
    </row>
    <row r="14" spans="2:11" ht="20.100000000000001" customHeight="1" x14ac:dyDescent="0.2">
      <c r="B14" s="400">
        <v>3</v>
      </c>
      <c r="C14" s="401" t="s">
        <v>2901</v>
      </c>
      <c r="D14" s="1348"/>
      <c r="E14" s="1348"/>
      <c r="F14" s="1336"/>
      <c r="G14" s="1336"/>
      <c r="H14" s="1336"/>
      <c r="I14" s="1336"/>
      <c r="J14" s="403"/>
      <c r="K14" s="403"/>
    </row>
    <row r="15" spans="2:11" ht="20.100000000000001" customHeight="1" x14ac:dyDescent="0.2">
      <c r="B15" s="404">
        <v>4</v>
      </c>
      <c r="C15" s="398" t="s">
        <v>2902</v>
      </c>
      <c r="D15" s="1348"/>
      <c r="E15" s="1348"/>
      <c r="F15" s="1337">
        <v>50543.230644730451</v>
      </c>
      <c r="G15" s="1337"/>
      <c r="H15" s="1340"/>
      <c r="I15" s="1340"/>
      <c r="J15" s="399">
        <v>4395.3787598200061</v>
      </c>
      <c r="K15" s="399">
        <v>52136.262432384552</v>
      </c>
    </row>
    <row r="16" spans="2:11" ht="20.100000000000001" customHeight="1" x14ac:dyDescent="0.2">
      <c r="B16" s="400">
        <v>5</v>
      </c>
      <c r="C16" s="401" t="s">
        <v>2862</v>
      </c>
      <c r="D16" s="1348"/>
      <c r="E16" s="1348"/>
      <c r="F16" s="1336">
        <v>45039.521846142925</v>
      </c>
      <c r="G16" s="1336"/>
      <c r="H16" s="1338"/>
      <c r="I16" s="1338"/>
      <c r="J16" s="402">
        <v>3673.9970499075357</v>
      </c>
      <c r="K16" s="402">
        <v>46461.542803743301</v>
      </c>
    </row>
    <row r="17" spans="2:11" ht="20.100000000000001" customHeight="1" x14ac:dyDescent="0.2">
      <c r="B17" s="400">
        <v>6</v>
      </c>
      <c r="C17" s="401" t="s">
        <v>2863</v>
      </c>
      <c r="D17" s="1348"/>
      <c r="E17" s="1348"/>
      <c r="F17" s="1336">
        <v>5503.7087985875314</v>
      </c>
      <c r="G17" s="1336"/>
      <c r="H17" s="1338"/>
      <c r="I17" s="1338"/>
      <c r="J17" s="402">
        <v>721.3817099124708</v>
      </c>
      <c r="K17" s="402">
        <v>5674.7196286412491</v>
      </c>
    </row>
    <row r="18" spans="2:11" ht="20.100000000000001" customHeight="1" x14ac:dyDescent="0.2">
      <c r="B18" s="404">
        <v>7</v>
      </c>
      <c r="C18" s="398" t="s">
        <v>2903</v>
      </c>
      <c r="D18" s="1348"/>
      <c r="E18" s="1348"/>
      <c r="F18" s="1337">
        <v>27758.340834739996</v>
      </c>
      <c r="G18" s="1337"/>
      <c r="H18" s="1337">
        <v>2600</v>
      </c>
      <c r="I18" s="1337"/>
      <c r="J18" s="399">
        <v>15970.2101</v>
      </c>
      <c r="K18" s="399">
        <v>29481.701937545</v>
      </c>
    </row>
    <row r="19" spans="2:11" ht="20.100000000000001" customHeight="1" x14ac:dyDescent="0.2">
      <c r="B19" s="400">
        <v>8</v>
      </c>
      <c r="C19" s="401" t="s">
        <v>2904</v>
      </c>
      <c r="D19" s="1348"/>
      <c r="E19" s="1348"/>
      <c r="F19" s="1336">
        <v>8384.3593512452389</v>
      </c>
      <c r="G19" s="1336"/>
      <c r="H19" s="1338"/>
      <c r="I19" s="1338"/>
      <c r="J19" s="403"/>
      <c r="K19" s="403">
        <v>0</v>
      </c>
    </row>
    <row r="20" spans="2:11" ht="20.100000000000001" customHeight="1" x14ac:dyDescent="0.2">
      <c r="B20" s="400">
        <v>9</v>
      </c>
      <c r="C20" s="401" t="s">
        <v>2905</v>
      </c>
      <c r="D20" s="1348"/>
      <c r="E20" s="1348"/>
      <c r="F20" s="1336">
        <v>19373.981483494757</v>
      </c>
      <c r="G20" s="1336"/>
      <c r="H20" s="1336">
        <v>2600</v>
      </c>
      <c r="I20" s="1336"/>
      <c r="J20" s="402">
        <v>15970.2101</v>
      </c>
      <c r="K20" s="402">
        <v>29481.701937545</v>
      </c>
    </row>
    <row r="21" spans="2:11" ht="20.100000000000001" customHeight="1" x14ac:dyDescent="0.2">
      <c r="B21" s="404">
        <v>10</v>
      </c>
      <c r="C21" s="398" t="s">
        <v>2906</v>
      </c>
      <c r="D21" s="1348"/>
      <c r="E21" s="1348"/>
      <c r="F21" s="1340"/>
      <c r="G21" s="1340"/>
      <c r="H21" s="1340"/>
      <c r="I21" s="1340"/>
      <c r="J21" s="405"/>
      <c r="K21" s="405"/>
    </row>
    <row r="22" spans="2:11" ht="20.100000000000001" customHeight="1" x14ac:dyDescent="0.2">
      <c r="B22" s="404">
        <v>11</v>
      </c>
      <c r="C22" s="398" t="s">
        <v>2907</v>
      </c>
      <c r="D22" s="1337">
        <v>382.3512982799997</v>
      </c>
      <c r="E22" s="1337"/>
      <c r="F22" s="1337">
        <v>1565.3257024595184</v>
      </c>
      <c r="G22" s="1337"/>
      <c r="H22" s="1340"/>
      <c r="I22" s="1340"/>
      <c r="J22" s="405"/>
      <c r="K22" s="405">
        <v>0</v>
      </c>
    </row>
    <row r="23" spans="2:11" ht="20.100000000000001" customHeight="1" x14ac:dyDescent="0.2">
      <c r="B23" s="400">
        <v>12</v>
      </c>
      <c r="C23" s="401" t="s">
        <v>2908</v>
      </c>
      <c r="D23" s="1336">
        <v>382.3512982799997</v>
      </c>
      <c r="E23" s="1336"/>
      <c r="F23" s="1348"/>
      <c r="G23" s="1348"/>
      <c r="H23" s="1348"/>
      <c r="I23" s="1348"/>
      <c r="J23" s="406"/>
      <c r="K23" s="406"/>
    </row>
    <row r="24" spans="2:11" ht="20.100000000000001" customHeight="1" x14ac:dyDescent="0.2">
      <c r="B24" s="400">
        <v>13</v>
      </c>
      <c r="C24" s="401" t="s">
        <v>2909</v>
      </c>
      <c r="D24" s="1348"/>
      <c r="E24" s="1348"/>
      <c r="F24" s="1336">
        <v>1565.3257024595184</v>
      </c>
      <c r="G24" s="1336"/>
      <c r="H24" s="1338"/>
      <c r="I24" s="1338"/>
      <c r="J24" s="403"/>
      <c r="K24" s="403">
        <v>0</v>
      </c>
    </row>
    <row r="25" spans="2:11" ht="20.100000000000001" customHeight="1" x14ac:dyDescent="0.2">
      <c r="B25" s="407">
        <v>14</v>
      </c>
      <c r="C25" s="408" t="s">
        <v>2910</v>
      </c>
      <c r="D25" s="1349"/>
      <c r="E25" s="1349"/>
      <c r="F25" s="1349"/>
      <c r="G25" s="1349"/>
      <c r="H25" s="1349"/>
      <c r="I25" s="1349"/>
      <c r="J25" s="409"/>
      <c r="K25" s="410">
        <v>96311.399845529537</v>
      </c>
    </row>
    <row r="27" spans="2:11" x14ac:dyDescent="0.2">
      <c r="B27" s="282"/>
    </row>
    <row r="28" spans="2:11" ht="20.100000000000001" customHeight="1" x14ac:dyDescent="0.2">
      <c r="B28" s="1346"/>
      <c r="C28" s="1346"/>
      <c r="D28" s="964" t="s">
        <v>161</v>
      </c>
      <c r="E28" s="964"/>
      <c r="F28" s="964" t="s">
        <v>162</v>
      </c>
      <c r="G28" s="964"/>
      <c r="H28" s="964" t="s">
        <v>163</v>
      </c>
      <c r="I28" s="964"/>
      <c r="J28" s="411" t="s">
        <v>200</v>
      </c>
      <c r="K28" s="400" t="s">
        <v>201</v>
      </c>
    </row>
    <row r="29" spans="2:11" ht="20.100000000000001" customHeight="1" x14ac:dyDescent="0.2">
      <c r="B29" s="1347"/>
      <c r="C29" s="1347"/>
      <c r="D29" s="964" t="s">
        <v>2893</v>
      </c>
      <c r="E29" s="964"/>
      <c r="F29" s="964"/>
      <c r="G29" s="964"/>
      <c r="H29" s="964"/>
      <c r="I29" s="964"/>
      <c r="J29" s="964"/>
      <c r="K29" s="964" t="s">
        <v>2894</v>
      </c>
    </row>
    <row r="30" spans="2:11" ht="15" customHeight="1" x14ac:dyDescent="0.2">
      <c r="B30" s="1347"/>
      <c r="C30" s="1347"/>
      <c r="D30" s="964" t="s">
        <v>3425</v>
      </c>
      <c r="E30" s="964"/>
      <c r="F30" s="964" t="s">
        <v>2895</v>
      </c>
      <c r="G30" s="964"/>
      <c r="H30" s="964" t="s">
        <v>2896</v>
      </c>
      <c r="I30" s="964"/>
      <c r="J30" s="964" t="s">
        <v>2897</v>
      </c>
      <c r="K30" s="964"/>
    </row>
    <row r="31" spans="2:11" x14ac:dyDescent="0.2">
      <c r="B31" s="1347"/>
      <c r="C31" s="1347"/>
      <c r="D31" s="964"/>
      <c r="E31" s="964"/>
      <c r="F31" s="964"/>
      <c r="G31" s="964"/>
      <c r="H31" s="964"/>
      <c r="I31" s="964"/>
      <c r="J31" s="964"/>
      <c r="K31" s="964"/>
    </row>
    <row r="32" spans="2:11" ht="20.100000000000001" customHeight="1" x14ac:dyDescent="0.2">
      <c r="B32" s="1344" t="s">
        <v>2911</v>
      </c>
      <c r="C32" s="1344"/>
      <c r="D32" s="1344"/>
      <c r="E32" s="1344"/>
      <c r="F32" s="1344"/>
      <c r="G32" s="1344"/>
      <c r="H32" s="1344"/>
      <c r="I32" s="1344"/>
      <c r="J32" s="1344"/>
      <c r="K32" s="1344"/>
    </row>
    <row r="33" spans="2:18" ht="20.100000000000001" customHeight="1" x14ac:dyDescent="0.2">
      <c r="B33" s="404">
        <v>15</v>
      </c>
      <c r="C33" s="398" t="s">
        <v>2912</v>
      </c>
      <c r="D33" s="1335"/>
      <c r="E33" s="1335"/>
      <c r="F33" s="1345"/>
      <c r="G33" s="1345"/>
      <c r="H33" s="1345"/>
      <c r="I33" s="1345"/>
      <c r="J33" s="412"/>
      <c r="K33" s="399">
        <v>1104.2042780406</v>
      </c>
    </row>
    <row r="34" spans="2:18" ht="20.100000000000001" customHeight="1" x14ac:dyDescent="0.2">
      <c r="B34" s="404" t="s">
        <v>2913</v>
      </c>
      <c r="C34" s="398" t="s">
        <v>2914</v>
      </c>
      <c r="D34" s="1335"/>
      <c r="E34" s="1335"/>
      <c r="F34" s="1340"/>
      <c r="G34" s="1340"/>
      <c r="H34" s="1340"/>
      <c r="I34" s="1340"/>
      <c r="J34" s="405"/>
      <c r="K34" s="405"/>
    </row>
    <row r="35" spans="2:18" ht="20.100000000000001" customHeight="1" x14ac:dyDescent="0.2">
      <c r="B35" s="404">
        <v>16</v>
      </c>
      <c r="C35" s="398" t="s">
        <v>2915</v>
      </c>
      <c r="D35" s="1335"/>
      <c r="E35" s="1335"/>
      <c r="F35" s="1340"/>
      <c r="G35" s="1340"/>
      <c r="H35" s="1340"/>
      <c r="I35" s="1340"/>
      <c r="J35" s="405"/>
      <c r="K35" s="405"/>
    </row>
    <row r="36" spans="2:18" ht="20.100000000000001" customHeight="1" x14ac:dyDescent="0.2">
      <c r="B36" s="404">
        <v>17</v>
      </c>
      <c r="C36" s="398" t="s">
        <v>2916</v>
      </c>
      <c r="D36" s="1335"/>
      <c r="E36" s="1335"/>
      <c r="F36" s="1323">
        <f>701325763.75/1000000</f>
        <v>701.32576374999996</v>
      </c>
      <c r="G36" s="1323"/>
      <c r="H36" s="1337">
        <v>854.48587828999985</v>
      </c>
      <c r="I36" s="1337"/>
      <c r="J36" s="413">
        <v>97635.807945070032</v>
      </c>
      <c r="K36" s="413">
        <v>77079.828852797044</v>
      </c>
    </row>
    <row r="37" spans="2:18" ht="24.95" customHeight="1" x14ac:dyDescent="0.2">
      <c r="B37" s="400">
        <v>18</v>
      </c>
      <c r="C37" s="401" t="s">
        <v>2971</v>
      </c>
      <c r="D37" s="1335"/>
      <c r="E37" s="1335"/>
      <c r="F37" s="1338"/>
      <c r="G37" s="1338"/>
      <c r="H37" s="1338"/>
      <c r="I37" s="1338"/>
      <c r="J37" s="403"/>
      <c r="K37" s="403"/>
    </row>
    <row r="38" spans="2:18" ht="24.95" customHeight="1" x14ac:dyDescent="0.2">
      <c r="B38" s="400">
        <v>19</v>
      </c>
      <c r="C38" s="401" t="s">
        <v>2917</v>
      </c>
      <c r="D38" s="1335"/>
      <c r="E38" s="1335"/>
      <c r="F38" s="1336">
        <v>207.17526961000002</v>
      </c>
      <c r="G38" s="1336"/>
      <c r="H38" s="1336">
        <v>57.252496999999998</v>
      </c>
      <c r="I38" s="1336"/>
      <c r="J38" s="414">
        <v>8727.4593416799999</v>
      </c>
      <c r="K38" s="402">
        <v>8776.8031171410003</v>
      </c>
      <c r="N38" s="424"/>
      <c r="O38" s="424"/>
      <c r="P38" s="424"/>
      <c r="Q38" s="424"/>
      <c r="R38" s="424"/>
    </row>
    <row r="39" spans="2:18" ht="24.95" customHeight="1" x14ac:dyDescent="0.2">
      <c r="B39" s="400">
        <v>20</v>
      </c>
      <c r="C39" s="401" t="s">
        <v>2918</v>
      </c>
      <c r="D39" s="1335"/>
      <c r="E39" s="1335"/>
      <c r="F39" s="1336">
        <v>360.11695349000007</v>
      </c>
      <c r="G39" s="1336"/>
      <c r="H39" s="1336">
        <v>282.48977984999999</v>
      </c>
      <c r="I39" s="1336"/>
      <c r="J39" s="414">
        <v>30621.569325330009</v>
      </c>
      <c r="K39" s="402">
        <v>26271.946605696507</v>
      </c>
    </row>
    <row r="40" spans="2:18" ht="24.95" customHeight="1" x14ac:dyDescent="0.2">
      <c r="B40" s="400">
        <v>21</v>
      </c>
      <c r="C40" s="415" t="s">
        <v>2919</v>
      </c>
      <c r="D40" s="1335"/>
      <c r="E40" s="1335"/>
      <c r="F40" s="1343">
        <v>23.246304300000013</v>
      </c>
      <c r="G40" s="1343"/>
      <c r="H40" s="1343">
        <v>6.8743502999999526</v>
      </c>
      <c r="I40" s="1343"/>
      <c r="J40" s="425">
        <v>388.45343752000429</v>
      </c>
      <c r="K40" s="426">
        <v>267.55506168800355</v>
      </c>
    </row>
    <row r="41" spans="2:18" ht="20.100000000000001" customHeight="1" x14ac:dyDescent="0.2">
      <c r="B41" s="400">
        <v>22</v>
      </c>
      <c r="C41" s="401" t="s">
        <v>2920</v>
      </c>
      <c r="D41" s="1335"/>
      <c r="E41" s="1335"/>
      <c r="F41" s="1336">
        <v>134.03354064999999</v>
      </c>
      <c r="G41" s="1336"/>
      <c r="H41" s="1336">
        <v>509.63165517999988</v>
      </c>
      <c r="I41" s="1336"/>
      <c r="J41" s="414">
        <v>51455.698968580029</v>
      </c>
      <c r="K41" s="402">
        <v>35200.210376256022</v>
      </c>
    </row>
    <row r="42" spans="2:18" ht="24.95" customHeight="1" x14ac:dyDescent="0.2">
      <c r="B42" s="400">
        <v>23</v>
      </c>
      <c r="C42" s="415" t="s">
        <v>2919</v>
      </c>
      <c r="D42" s="1335"/>
      <c r="E42" s="1335"/>
      <c r="F42" s="1343">
        <v>112.611249</v>
      </c>
      <c r="G42" s="1343"/>
      <c r="H42" s="1343">
        <v>471.29597254999987</v>
      </c>
      <c r="I42" s="1343"/>
      <c r="J42" s="425">
        <v>44294.831724760035</v>
      </c>
      <c r="K42" s="426">
        <v>29083.594231869021</v>
      </c>
    </row>
    <row r="43" spans="2:18" ht="24.95" customHeight="1" x14ac:dyDescent="0.2">
      <c r="B43" s="400">
        <v>24</v>
      </c>
      <c r="C43" s="401" t="s">
        <v>2921</v>
      </c>
      <c r="D43" s="1335"/>
      <c r="E43" s="1335"/>
      <c r="F43" s="1338"/>
      <c r="G43" s="1338"/>
      <c r="H43" s="1336">
        <v>5.1119462599999999</v>
      </c>
      <c r="I43" s="1336"/>
      <c r="J43" s="414">
        <v>6831.0803094800003</v>
      </c>
      <c r="K43" s="414">
        <v>6830.8687537035012</v>
      </c>
    </row>
    <row r="44" spans="2:18" ht="20.100000000000001" customHeight="1" x14ac:dyDescent="0.2">
      <c r="B44" s="404">
        <v>25</v>
      </c>
      <c r="C44" s="398" t="s">
        <v>2922</v>
      </c>
      <c r="D44" s="1335"/>
      <c r="E44" s="1335"/>
      <c r="F44" s="1340">
        <v>0</v>
      </c>
      <c r="G44" s="1340"/>
      <c r="H44" s="1340">
        <v>0</v>
      </c>
      <c r="I44" s="1340"/>
      <c r="J44" s="405">
        <v>0</v>
      </c>
      <c r="K44" s="405">
        <v>0</v>
      </c>
    </row>
    <row r="45" spans="2:18" ht="20.100000000000001" customHeight="1" x14ac:dyDescent="0.2">
      <c r="B45" s="404">
        <v>26</v>
      </c>
      <c r="C45" s="398" t="s">
        <v>2923</v>
      </c>
      <c r="D45" s="1249">
        <v>0</v>
      </c>
      <c r="E45" s="1249"/>
      <c r="F45" s="1337">
        <v>1700.187405799943</v>
      </c>
      <c r="G45" s="1337"/>
      <c r="H45" s="1337">
        <v>6.5885243599999992</v>
      </c>
      <c r="I45" s="1337"/>
      <c r="J45" s="413">
        <v>786.22242799000003</v>
      </c>
      <c r="K45" s="399">
        <v>1448.2178809974714</v>
      </c>
    </row>
    <row r="46" spans="2:18" ht="20.100000000000001" customHeight="1" x14ac:dyDescent="0.2">
      <c r="B46" s="400">
        <v>27</v>
      </c>
      <c r="C46" s="401" t="s">
        <v>2924</v>
      </c>
      <c r="D46" s="1335"/>
      <c r="E46" s="1335"/>
      <c r="F46" s="1342"/>
      <c r="G46" s="1342"/>
      <c r="H46" s="1342"/>
      <c r="I46" s="1342"/>
      <c r="J46" s="403">
        <v>0</v>
      </c>
      <c r="K46" s="416">
        <v>0</v>
      </c>
    </row>
    <row r="47" spans="2:18" ht="20.100000000000001" customHeight="1" x14ac:dyDescent="0.2">
      <c r="B47" s="400">
        <v>28</v>
      </c>
      <c r="C47" s="401" t="s">
        <v>2925</v>
      </c>
      <c r="D47" s="1335"/>
      <c r="E47" s="1335"/>
      <c r="F47" s="1336">
        <v>234.63319734000001</v>
      </c>
      <c r="G47" s="1336"/>
      <c r="H47" s="1338"/>
      <c r="I47" s="1338"/>
      <c r="J47" s="417"/>
      <c r="K47" s="402">
        <v>199.43821773899998</v>
      </c>
    </row>
    <row r="48" spans="2:18" ht="20.100000000000001" customHeight="1" x14ac:dyDescent="0.2">
      <c r="B48" s="400">
        <v>29</v>
      </c>
      <c r="C48" s="401" t="s">
        <v>3502</v>
      </c>
      <c r="D48" s="1341"/>
      <c r="E48" s="1341"/>
      <c r="F48" s="1338"/>
      <c r="G48" s="1338"/>
      <c r="H48" s="1339"/>
      <c r="I48" s="1339"/>
      <c r="J48" s="418"/>
      <c r="K48" s="417">
        <v>0</v>
      </c>
    </row>
    <row r="49" spans="2:12" ht="20.100000000000001" customHeight="1" x14ac:dyDescent="0.2">
      <c r="B49" s="400">
        <v>30</v>
      </c>
      <c r="C49" s="401" t="s">
        <v>2926</v>
      </c>
      <c r="D49" s="1335"/>
      <c r="E49" s="1335"/>
      <c r="F49" s="1336">
        <v>625.37274446999982</v>
      </c>
      <c r="G49" s="1336"/>
      <c r="H49" s="1339"/>
      <c r="I49" s="1339"/>
      <c r="J49" s="418"/>
      <c r="K49" s="402">
        <v>31.26863722349999</v>
      </c>
    </row>
    <row r="50" spans="2:12" ht="20.100000000000001" customHeight="1" x14ac:dyDescent="0.2">
      <c r="B50" s="400">
        <v>31</v>
      </c>
      <c r="C50" s="401" t="s">
        <v>2927</v>
      </c>
      <c r="D50" s="1335"/>
      <c r="E50" s="1335"/>
      <c r="F50" s="1336">
        <v>840.18146398994304</v>
      </c>
      <c r="G50" s="1336"/>
      <c r="H50" s="1336">
        <v>6.5885243599999992</v>
      </c>
      <c r="I50" s="1336"/>
      <c r="J50" s="402">
        <v>786.22242799000003</v>
      </c>
      <c r="K50" s="402">
        <v>1217.5110260349716</v>
      </c>
    </row>
    <row r="51" spans="2:12" ht="20.100000000000001" customHeight="1" x14ac:dyDescent="0.2">
      <c r="B51" s="404">
        <v>32</v>
      </c>
      <c r="C51" s="398" t="s">
        <v>2928</v>
      </c>
      <c r="D51" s="1335"/>
      <c r="E51" s="1335"/>
      <c r="F51" s="1337">
        <v>1829.2681060799989</v>
      </c>
      <c r="G51" s="1337"/>
      <c r="H51" s="1337">
        <v>66.073181110000007</v>
      </c>
      <c r="I51" s="1337"/>
      <c r="J51" s="399">
        <v>4268.4399923800065</v>
      </c>
      <c r="K51" s="399">
        <v>323.78790793150034</v>
      </c>
    </row>
    <row r="52" spans="2:12" ht="20.100000000000001" customHeight="1" x14ac:dyDescent="0.2">
      <c r="B52" s="407">
        <v>33</v>
      </c>
      <c r="C52" s="408" t="s">
        <v>2929</v>
      </c>
      <c r="D52" s="1333"/>
      <c r="E52" s="1333"/>
      <c r="F52" s="1334"/>
      <c r="G52" s="1334"/>
      <c r="H52" s="1334"/>
      <c r="I52" s="1334"/>
      <c r="J52" s="419"/>
      <c r="K52" s="410">
        <v>79956.038919766623</v>
      </c>
      <c r="L52" s="397"/>
    </row>
    <row r="53" spans="2:12" ht="20.100000000000001" customHeight="1" x14ac:dyDescent="0.2"/>
    <row r="54" spans="2:12" ht="20.100000000000001" customHeight="1" x14ac:dyDescent="0.2"/>
    <row r="55" spans="2:12" ht="20.100000000000001" customHeight="1" x14ac:dyDescent="0.2">
      <c r="B55" s="447">
        <v>34</v>
      </c>
      <c r="C55" s="448" t="s">
        <v>2930</v>
      </c>
      <c r="D55" s="1333"/>
      <c r="E55" s="1333"/>
      <c r="F55" s="1334"/>
      <c r="G55" s="1334"/>
      <c r="H55" s="1334"/>
      <c r="I55" s="1334"/>
      <c r="J55" s="419"/>
      <c r="K55" s="449">
        <v>1.2045544169862521</v>
      </c>
      <c r="L55" s="397"/>
    </row>
  </sheetData>
  <sheetProtection algorithmName="SHA-512" hashValue="tR4T3FaYyWmMa8wjr5MNmBTwiKvFecwM2vyLNO1tuxq61Mvrt41n23RVRKPyxAEsunxujRKeHPMjudfy/whUkg==" saltValue="/lUwHruNqrbW0XvjzRz4AA==" spinCount="100000" sheet="1" objects="1" scenarios="1"/>
  <mergeCells count="129">
    <mergeCell ref="B7:C7"/>
    <mergeCell ref="D7:E7"/>
    <mergeCell ref="F7:G7"/>
    <mergeCell ref="H7:I7"/>
    <mergeCell ref="B8:C10"/>
    <mergeCell ref="D8:J8"/>
    <mergeCell ref="D14:E14"/>
    <mergeCell ref="F14:G14"/>
    <mergeCell ref="H14:I14"/>
    <mergeCell ref="B11:K11"/>
    <mergeCell ref="D12:E12"/>
    <mergeCell ref="F12:G12"/>
    <mergeCell ref="H12:I12"/>
    <mergeCell ref="K8:K10"/>
    <mergeCell ref="D9:E10"/>
    <mergeCell ref="F9:G10"/>
    <mergeCell ref="H9:I10"/>
    <mergeCell ref="J9:J10"/>
    <mergeCell ref="D15:E15"/>
    <mergeCell ref="F15:G15"/>
    <mergeCell ref="H15:I15"/>
    <mergeCell ref="D13:E13"/>
    <mergeCell ref="F13:G13"/>
    <mergeCell ref="H13:I13"/>
    <mergeCell ref="D18:E18"/>
    <mergeCell ref="F18:G18"/>
    <mergeCell ref="H18:I18"/>
    <mergeCell ref="D19:E19"/>
    <mergeCell ref="F19:G19"/>
    <mergeCell ref="H19:I19"/>
    <mergeCell ref="D16:E16"/>
    <mergeCell ref="F16:G16"/>
    <mergeCell ref="H16:I16"/>
    <mergeCell ref="D17:E17"/>
    <mergeCell ref="F17:G17"/>
    <mergeCell ref="H17:I17"/>
    <mergeCell ref="D22:E22"/>
    <mergeCell ref="F22:G22"/>
    <mergeCell ref="H22:I22"/>
    <mergeCell ref="D23:E23"/>
    <mergeCell ref="F23:G23"/>
    <mergeCell ref="H23:I23"/>
    <mergeCell ref="D20:E20"/>
    <mergeCell ref="F20:G20"/>
    <mergeCell ref="H20:I20"/>
    <mergeCell ref="D21:E21"/>
    <mergeCell ref="F21:G21"/>
    <mergeCell ref="H21:I21"/>
    <mergeCell ref="B28:C28"/>
    <mergeCell ref="D28:E28"/>
    <mergeCell ref="F28:G28"/>
    <mergeCell ref="H28:I28"/>
    <mergeCell ref="B29:C31"/>
    <mergeCell ref="D29:J29"/>
    <mergeCell ref="D24:E24"/>
    <mergeCell ref="F24:G24"/>
    <mergeCell ref="H24:I24"/>
    <mergeCell ref="D25:E25"/>
    <mergeCell ref="F25:G25"/>
    <mergeCell ref="H25:I25"/>
    <mergeCell ref="B32:K32"/>
    <mergeCell ref="D33:E33"/>
    <mergeCell ref="F33:G33"/>
    <mergeCell ref="H33:I33"/>
    <mergeCell ref="F34:G34"/>
    <mergeCell ref="H34:I34"/>
    <mergeCell ref="K29:K31"/>
    <mergeCell ref="D30:E31"/>
    <mergeCell ref="F30:G31"/>
    <mergeCell ref="H30:I31"/>
    <mergeCell ref="J30:J31"/>
    <mergeCell ref="D34:E34"/>
    <mergeCell ref="D37:E37"/>
    <mergeCell ref="F37:G37"/>
    <mergeCell ref="H37:I37"/>
    <mergeCell ref="D38:E38"/>
    <mergeCell ref="F38:G38"/>
    <mergeCell ref="H38:I38"/>
    <mergeCell ref="D35:E35"/>
    <mergeCell ref="F35:G35"/>
    <mergeCell ref="H35:I35"/>
    <mergeCell ref="D36:E36"/>
    <mergeCell ref="F36:G36"/>
    <mergeCell ref="H36:I36"/>
    <mergeCell ref="D41:E41"/>
    <mergeCell ref="F41:G41"/>
    <mergeCell ref="H41:I41"/>
    <mergeCell ref="D42:E42"/>
    <mergeCell ref="F42:G42"/>
    <mergeCell ref="H42:I42"/>
    <mergeCell ref="D39:E39"/>
    <mergeCell ref="F39:G39"/>
    <mergeCell ref="H39:I39"/>
    <mergeCell ref="D40:E40"/>
    <mergeCell ref="F40:G40"/>
    <mergeCell ref="H40:I40"/>
    <mergeCell ref="F48:G48"/>
    <mergeCell ref="F49:G49"/>
    <mergeCell ref="H49:I49"/>
    <mergeCell ref="H48:I48"/>
    <mergeCell ref="D43:E43"/>
    <mergeCell ref="F43:G43"/>
    <mergeCell ref="H43:I43"/>
    <mergeCell ref="D44:E44"/>
    <mergeCell ref="F44:G44"/>
    <mergeCell ref="H44:I44"/>
    <mergeCell ref="D47:E47"/>
    <mergeCell ref="D48:E48"/>
    <mergeCell ref="D49:E49"/>
    <mergeCell ref="D45:E45"/>
    <mergeCell ref="F45:G45"/>
    <mergeCell ref="H45:I45"/>
    <mergeCell ref="D46:E46"/>
    <mergeCell ref="F46:G46"/>
    <mergeCell ref="H46:I46"/>
    <mergeCell ref="F47:G47"/>
    <mergeCell ref="H47:I47"/>
    <mergeCell ref="D52:E52"/>
    <mergeCell ref="F52:G52"/>
    <mergeCell ref="H52:I52"/>
    <mergeCell ref="D55:E55"/>
    <mergeCell ref="F55:G55"/>
    <mergeCell ref="H55:I55"/>
    <mergeCell ref="D50:E50"/>
    <mergeCell ref="F50:G50"/>
    <mergeCell ref="H50:I50"/>
    <mergeCell ref="D51:E51"/>
    <mergeCell ref="F51:G51"/>
    <mergeCell ref="H51:I51"/>
  </mergeCells>
  <hyperlinks>
    <hyperlink ref="B2" location="Contents!A1" display="Back to Contents page" xr:uid="{1E4C021F-0D51-4D3C-98DF-FD418039E9E7}"/>
  </hyperlinks>
  <pageMargins left="0.7" right="0.7" top="0.75" bottom="0.75" header="0.3" footer="0.3"/>
  <pageSetup paperSize="9" scale="29" orientation="portrait" horizontalDpi="144" verticalDpi="144"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2:K19"/>
  <sheetViews>
    <sheetView showGridLines="0" showRowColHeaders="0" zoomScale="80" zoomScaleNormal="80" workbookViewId="0">
      <selection activeCell="B2" sqref="B2"/>
    </sheetView>
  </sheetViews>
  <sheetFormatPr baseColWidth="10" defaultColWidth="9.21875" defaultRowHeight="23.25" customHeight="1" x14ac:dyDescent="0.2"/>
  <cols>
    <col min="1" max="1" width="3.88671875" style="254" customWidth="1"/>
    <col min="2" max="2" width="6.33203125" style="254" customWidth="1"/>
    <col min="3" max="3" width="33.77734375" style="254" customWidth="1"/>
    <col min="4" max="11" width="10.33203125" style="254" customWidth="1"/>
    <col min="12" max="16384" width="9.21875" style="254"/>
  </cols>
  <sheetData>
    <row r="2" spans="2:11" ht="23.25" customHeight="1" x14ac:dyDescent="0.25">
      <c r="B2" s="940" t="s">
        <v>3521</v>
      </c>
    </row>
    <row r="4" spans="2:11" ht="12.75" x14ac:dyDescent="0.2">
      <c r="B4" s="1356" t="s">
        <v>2931</v>
      </c>
      <c r="C4" s="1357"/>
      <c r="D4" s="1357"/>
      <c r="E4" s="1357"/>
    </row>
    <row r="5" spans="2:11" ht="23.25" customHeight="1" x14ac:dyDescent="0.2">
      <c r="F5" s="1357"/>
      <c r="G5" s="1357"/>
      <c r="H5" s="1357"/>
      <c r="I5" s="1357"/>
      <c r="J5" s="1357"/>
      <c r="K5" s="1357"/>
    </row>
    <row r="6" spans="2:11" ht="23.25" customHeight="1" x14ac:dyDescent="0.2">
      <c r="B6" s="278"/>
      <c r="C6" s="278"/>
      <c r="D6" s="278"/>
      <c r="E6" s="915"/>
      <c r="F6" s="915"/>
      <c r="G6" s="915"/>
      <c r="H6" s="915"/>
      <c r="I6" s="915"/>
      <c r="J6" s="278"/>
      <c r="K6" s="278"/>
    </row>
    <row r="7" spans="2:11" ht="24.95" customHeight="1" x14ac:dyDescent="0.2">
      <c r="B7" s="279"/>
      <c r="C7" s="278"/>
      <c r="D7" s="1358" t="s">
        <v>2932</v>
      </c>
      <c r="E7" s="1359"/>
      <c r="F7" s="1358" t="s">
        <v>2933</v>
      </c>
      <c r="G7" s="1359"/>
      <c r="H7" s="1359" t="s">
        <v>2934</v>
      </c>
      <c r="I7" s="1359"/>
      <c r="J7" s="1363" t="s">
        <v>2935</v>
      </c>
      <c r="K7" s="1364"/>
    </row>
    <row r="8" spans="2:11" ht="12" customHeight="1" x14ac:dyDescent="0.2">
      <c r="B8" s="279"/>
      <c r="C8" s="279"/>
      <c r="D8" s="1360"/>
      <c r="E8" s="1361"/>
      <c r="F8" s="1360"/>
      <c r="G8" s="1361"/>
      <c r="H8" s="1362"/>
      <c r="I8" s="1362"/>
      <c r="J8" s="1362"/>
      <c r="K8" s="1365"/>
    </row>
    <row r="9" spans="2:11" ht="54.75" customHeight="1" x14ac:dyDescent="0.2">
      <c r="B9" s="279"/>
      <c r="C9" s="279"/>
      <c r="D9" s="919"/>
      <c r="E9" s="918" t="s">
        <v>2936</v>
      </c>
      <c r="F9" s="917"/>
      <c r="G9" s="916" t="s">
        <v>2936</v>
      </c>
      <c r="H9" s="772"/>
      <c r="I9" s="772" t="s">
        <v>2937</v>
      </c>
      <c r="J9" s="772"/>
      <c r="K9" s="772" t="s">
        <v>2937</v>
      </c>
    </row>
    <row r="10" spans="2:11" ht="20.100000000000001" customHeight="1" x14ac:dyDescent="0.2">
      <c r="B10" s="279"/>
      <c r="C10" s="279"/>
      <c r="D10" s="766" t="s">
        <v>289</v>
      </c>
      <c r="E10" s="766" t="s">
        <v>916</v>
      </c>
      <c r="F10" s="766" t="s">
        <v>918</v>
      </c>
      <c r="G10" s="766" t="s">
        <v>920</v>
      </c>
      <c r="H10" s="766" t="s">
        <v>922</v>
      </c>
      <c r="I10" s="766" t="s">
        <v>926</v>
      </c>
      <c r="J10" s="766" t="s">
        <v>928</v>
      </c>
      <c r="K10" s="770">
        <v>100</v>
      </c>
    </row>
    <row r="11" spans="2:11" ht="20.100000000000001" customHeight="1" x14ac:dyDescent="0.2">
      <c r="B11" s="761" t="s">
        <v>289</v>
      </c>
      <c r="C11" s="762" t="s">
        <v>2938</v>
      </c>
      <c r="D11" s="763">
        <v>43246.574805999997</v>
      </c>
      <c r="E11" s="764"/>
      <c r="F11" s="765"/>
      <c r="G11" s="765"/>
      <c r="H11" s="763">
        <v>127111.785705</v>
      </c>
      <c r="I11" s="764"/>
      <c r="J11" s="765"/>
      <c r="K11" s="765"/>
    </row>
    <row r="12" spans="2:11" ht="20.100000000000001" customHeight="1" x14ac:dyDescent="0.2">
      <c r="B12" s="773" t="s">
        <v>916</v>
      </c>
      <c r="C12" s="774" t="s">
        <v>2939</v>
      </c>
      <c r="D12" s="775"/>
      <c r="E12" s="775"/>
      <c r="F12" s="775"/>
      <c r="G12" s="775"/>
      <c r="H12" s="776">
        <v>1617.6547909999999</v>
      </c>
      <c r="I12" s="775"/>
      <c r="J12" s="776">
        <v>1608.509665</v>
      </c>
      <c r="K12" s="775"/>
    </row>
    <row r="13" spans="2:11" ht="20.100000000000001" customHeight="1" x14ac:dyDescent="0.2">
      <c r="B13" s="773" t="s">
        <v>918</v>
      </c>
      <c r="C13" s="774" t="s">
        <v>2940</v>
      </c>
      <c r="D13" s="776">
        <v>2736.3656110000002</v>
      </c>
      <c r="E13" s="775"/>
      <c r="F13" s="776">
        <v>2736.3656110000002</v>
      </c>
      <c r="G13" s="775"/>
      <c r="H13" s="776">
        <v>20575.357929999998</v>
      </c>
      <c r="I13" s="775"/>
      <c r="J13" s="776">
        <v>20550.851420999999</v>
      </c>
      <c r="K13" s="775"/>
    </row>
    <row r="14" spans="2:11" ht="20.100000000000001" customHeight="1" x14ac:dyDescent="0.2">
      <c r="B14" s="766" t="s">
        <v>920</v>
      </c>
      <c r="C14" s="769" t="s">
        <v>2941</v>
      </c>
      <c r="D14" s="768">
        <v>2343.8325949999999</v>
      </c>
      <c r="E14" s="767"/>
      <c r="F14" s="768">
        <v>2343.8325949999999</v>
      </c>
      <c r="G14" s="767"/>
      <c r="H14" s="768">
        <v>11027.890106000001</v>
      </c>
      <c r="I14" s="767"/>
      <c r="J14" s="768">
        <v>11027.591969999999</v>
      </c>
      <c r="K14" s="767"/>
    </row>
    <row r="15" spans="2:11" ht="20.100000000000001" customHeight="1" x14ac:dyDescent="0.2">
      <c r="B15" s="766" t="s">
        <v>922</v>
      </c>
      <c r="C15" s="769" t="s">
        <v>2942</v>
      </c>
      <c r="D15" s="767"/>
      <c r="E15" s="767"/>
      <c r="F15" s="767"/>
      <c r="G15" s="767"/>
      <c r="H15" s="767"/>
      <c r="I15" s="767"/>
      <c r="J15" s="767"/>
      <c r="K15" s="767"/>
    </row>
    <row r="16" spans="2:11" ht="20.100000000000001" customHeight="1" x14ac:dyDescent="0.2">
      <c r="B16" s="766" t="s">
        <v>924</v>
      </c>
      <c r="C16" s="769" t="s">
        <v>2943</v>
      </c>
      <c r="D16" s="768">
        <v>117.859505</v>
      </c>
      <c r="E16" s="767"/>
      <c r="F16" s="768">
        <v>117.859505</v>
      </c>
      <c r="G16" s="767"/>
      <c r="H16" s="768">
        <v>5419.8583440000002</v>
      </c>
      <c r="I16" s="767"/>
      <c r="J16" s="768">
        <v>5419.2888419999999</v>
      </c>
      <c r="K16" s="767"/>
    </row>
    <row r="17" spans="2:11" ht="20.100000000000001" customHeight="1" x14ac:dyDescent="0.2">
      <c r="B17" s="766" t="s">
        <v>926</v>
      </c>
      <c r="C17" s="769" t="s">
        <v>2944</v>
      </c>
      <c r="D17" s="768">
        <v>2499.0272679999998</v>
      </c>
      <c r="E17" s="767"/>
      <c r="F17" s="768">
        <v>2499.0272679999998</v>
      </c>
      <c r="G17" s="767"/>
      <c r="H17" s="768">
        <v>4344.9782610000002</v>
      </c>
      <c r="I17" s="767"/>
      <c r="J17" s="768">
        <v>4324.848583</v>
      </c>
      <c r="K17" s="767"/>
    </row>
    <row r="18" spans="2:11" ht="20.100000000000001" customHeight="1" x14ac:dyDescent="0.2">
      <c r="B18" s="766" t="s">
        <v>928</v>
      </c>
      <c r="C18" s="769" t="s">
        <v>2945</v>
      </c>
      <c r="D18" s="767"/>
      <c r="E18" s="767"/>
      <c r="F18" s="767"/>
      <c r="G18" s="767"/>
      <c r="H18" s="768">
        <v>10.80151</v>
      </c>
      <c r="I18" s="767"/>
      <c r="J18" s="768">
        <v>6.9941800000000001</v>
      </c>
      <c r="K18" s="767"/>
    </row>
    <row r="19" spans="2:11" ht="20.100000000000001" customHeight="1" x14ac:dyDescent="0.2">
      <c r="B19" s="777">
        <v>120</v>
      </c>
      <c r="C19" s="774" t="s">
        <v>2946</v>
      </c>
      <c r="D19" s="776">
        <v>40510.209195000003</v>
      </c>
      <c r="E19" s="775"/>
      <c r="F19" s="771"/>
      <c r="G19" s="771"/>
      <c r="H19" s="776">
        <v>104918.772984</v>
      </c>
      <c r="I19" s="775"/>
      <c r="J19" s="771"/>
      <c r="K19" s="771"/>
    </row>
  </sheetData>
  <sheetProtection algorithmName="SHA-512" hashValue="chEnq+hsg7GG6l/N5zho6NsEdCvFJNRrd3TLclGUeeXD66e4XHETqPV4Ew4wMCFV/r8XQ3bIvK7GiuHY4dKy3Q==" saltValue="TdR40c/LNjNwnyhWWj7yKw==" spinCount="100000" sheet="1" objects="1" scenarios="1"/>
  <mergeCells count="8">
    <mergeCell ref="B4:E4"/>
    <mergeCell ref="F5:G5"/>
    <mergeCell ref="H5:I5"/>
    <mergeCell ref="J5:K5"/>
    <mergeCell ref="D7:E8"/>
    <mergeCell ref="F7:G8"/>
    <mergeCell ref="H7:I8"/>
    <mergeCell ref="J7:K8"/>
  </mergeCells>
  <hyperlinks>
    <hyperlink ref="B2" location="Contents!A1" display="Back to Contents page" xr:uid="{97A58387-1B02-4FC3-8DB8-5939AAB42262}"/>
  </hyperlinks>
  <pageMargins left="0.7" right="0.7" top="0.75" bottom="0.75" header="0.3" footer="0.3"/>
  <pageSetup paperSize="9" scale="29" orientation="portrait" horizontalDpi="144" verticalDpi="144" r:id="rId1"/>
  <ignoredErrors>
    <ignoredError sqref="B11:B19 D10:K10" numberStoredAsText="1"/>
  </ignoredError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B2:G35"/>
  <sheetViews>
    <sheetView showGridLines="0" showRowColHeaders="0" zoomScale="80" zoomScaleNormal="80" workbookViewId="0">
      <selection activeCell="I43" sqref="I43"/>
    </sheetView>
  </sheetViews>
  <sheetFormatPr baseColWidth="10" defaultColWidth="20.33203125" defaultRowHeight="12.75" x14ac:dyDescent="0.2"/>
  <cols>
    <col min="1" max="1" width="3.88671875" style="271" customWidth="1"/>
    <col min="2" max="2" width="8.109375" style="271" customWidth="1"/>
    <col min="3" max="3" width="46.6640625" style="271" customWidth="1"/>
    <col min="4" max="7" width="9.5546875" style="271" customWidth="1"/>
    <col min="8" max="16384" width="20.33203125" style="271"/>
  </cols>
  <sheetData>
    <row r="2" spans="2:7" ht="15" x14ac:dyDescent="0.25">
      <c r="B2" s="940" t="s">
        <v>3521</v>
      </c>
    </row>
    <row r="4" spans="2:7" ht="21" x14ac:dyDescent="0.2">
      <c r="B4" s="368" t="s">
        <v>2947</v>
      </c>
      <c r="C4" s="272"/>
      <c r="D4" s="272"/>
      <c r="E4" s="272"/>
      <c r="F4" s="272"/>
      <c r="G4" s="272"/>
    </row>
    <row r="5" spans="2:7" ht="18.75" customHeight="1" x14ac:dyDescent="0.2"/>
    <row r="6" spans="2:7" x14ac:dyDescent="0.2">
      <c r="B6" s="272"/>
      <c r="C6" s="272"/>
      <c r="D6" s="272"/>
      <c r="E6" s="272"/>
      <c r="F6" s="272"/>
      <c r="G6" s="272"/>
    </row>
    <row r="7" spans="2:7" x14ac:dyDescent="0.2">
      <c r="B7" s="273"/>
      <c r="C7" s="274"/>
      <c r="D7" s="1366" t="s">
        <v>2948</v>
      </c>
      <c r="E7" s="1367"/>
      <c r="F7" s="1370" t="s">
        <v>2949</v>
      </c>
      <c r="G7" s="1371"/>
    </row>
    <row r="8" spans="2:7" ht="66.75" customHeight="1" x14ac:dyDescent="0.2">
      <c r="B8" s="273"/>
      <c r="C8" s="274"/>
      <c r="D8" s="1368"/>
      <c r="E8" s="1369"/>
      <c r="F8" s="1372" t="s">
        <v>2950</v>
      </c>
      <c r="G8" s="1370"/>
    </row>
    <row r="9" spans="2:7" ht="68.25" customHeight="1" x14ac:dyDescent="0.2">
      <c r="B9" s="274"/>
      <c r="C9" s="274"/>
      <c r="D9" s="920"/>
      <c r="E9" s="921" t="s">
        <v>2936</v>
      </c>
      <c r="F9" s="922"/>
      <c r="G9" s="923" t="s">
        <v>2937</v>
      </c>
    </row>
    <row r="10" spans="2:7" ht="20.100000000000001" customHeight="1" x14ac:dyDescent="0.2">
      <c r="B10" s="274"/>
      <c r="C10" s="274"/>
      <c r="D10" s="779" t="s">
        <v>289</v>
      </c>
      <c r="E10" s="779" t="s">
        <v>916</v>
      </c>
      <c r="F10" s="779" t="s">
        <v>918</v>
      </c>
      <c r="G10" s="779" t="s">
        <v>922</v>
      </c>
    </row>
    <row r="11" spans="2:7" ht="33.75" customHeight="1" x14ac:dyDescent="0.2">
      <c r="B11" s="797">
        <v>130</v>
      </c>
      <c r="C11" s="796" t="s">
        <v>3501</v>
      </c>
      <c r="D11" s="792"/>
      <c r="E11" s="793"/>
      <c r="F11" s="793"/>
      <c r="G11" s="793"/>
    </row>
    <row r="12" spans="2:7" ht="20.100000000000001" customHeight="1" x14ac:dyDescent="0.2">
      <c r="B12" s="741">
        <v>140</v>
      </c>
      <c r="C12" s="785" t="s">
        <v>2951</v>
      </c>
      <c r="D12" s="798"/>
      <c r="E12" s="799"/>
      <c r="F12" s="799"/>
      <c r="G12" s="799"/>
    </row>
    <row r="13" spans="2:7" ht="20.100000000000001" customHeight="1" x14ac:dyDescent="0.2">
      <c r="B13" s="741">
        <v>150</v>
      </c>
      <c r="C13" s="785" t="s">
        <v>2939</v>
      </c>
      <c r="D13" s="798"/>
      <c r="E13" s="799"/>
      <c r="F13" s="799"/>
      <c r="G13" s="799"/>
    </row>
    <row r="14" spans="2:7" ht="20.100000000000001" customHeight="1" x14ac:dyDescent="0.2">
      <c r="B14" s="741">
        <v>160</v>
      </c>
      <c r="C14" s="785" t="s">
        <v>2940</v>
      </c>
      <c r="D14" s="798"/>
      <c r="E14" s="799"/>
      <c r="F14" s="799"/>
      <c r="G14" s="799"/>
    </row>
    <row r="15" spans="2:7" ht="20.100000000000001" customHeight="1" x14ac:dyDescent="0.2">
      <c r="B15" s="741">
        <v>170</v>
      </c>
      <c r="C15" s="785" t="s">
        <v>2941</v>
      </c>
      <c r="D15" s="798"/>
      <c r="E15" s="799"/>
      <c r="F15" s="799"/>
      <c r="G15" s="799"/>
    </row>
    <row r="16" spans="2:7" ht="20.100000000000001" customHeight="1" x14ac:dyDescent="0.2">
      <c r="B16" s="741">
        <v>180</v>
      </c>
      <c r="C16" s="785" t="s">
        <v>2942</v>
      </c>
      <c r="D16" s="798"/>
      <c r="E16" s="799"/>
      <c r="F16" s="799"/>
      <c r="G16" s="799"/>
    </row>
    <row r="17" spans="2:7" ht="20.100000000000001" customHeight="1" x14ac:dyDescent="0.2">
      <c r="B17" s="741">
        <v>190</v>
      </c>
      <c r="C17" s="785" t="s">
        <v>2943</v>
      </c>
      <c r="D17" s="798"/>
      <c r="E17" s="799"/>
      <c r="F17" s="799"/>
      <c r="G17" s="799"/>
    </row>
    <row r="18" spans="2:7" ht="20.100000000000001" customHeight="1" x14ac:dyDescent="0.2">
      <c r="B18" s="741">
        <v>200</v>
      </c>
      <c r="C18" s="785" t="s">
        <v>2944</v>
      </c>
      <c r="D18" s="798"/>
      <c r="E18" s="799"/>
      <c r="F18" s="799"/>
      <c r="G18" s="799"/>
    </row>
    <row r="19" spans="2:7" ht="20.100000000000001" customHeight="1" x14ac:dyDescent="0.2">
      <c r="B19" s="741">
        <v>210</v>
      </c>
      <c r="C19" s="785" t="s">
        <v>2945</v>
      </c>
      <c r="D19" s="798"/>
      <c r="E19" s="799"/>
      <c r="F19" s="799"/>
      <c r="G19" s="799"/>
    </row>
    <row r="20" spans="2:7" ht="20.100000000000001" customHeight="1" x14ac:dyDescent="0.2">
      <c r="B20" s="741">
        <v>220</v>
      </c>
      <c r="C20" s="785" t="s">
        <v>2952</v>
      </c>
      <c r="D20" s="798"/>
      <c r="E20" s="799"/>
      <c r="F20" s="799"/>
      <c r="G20" s="799"/>
    </row>
    <row r="21" spans="2:7" ht="20.100000000000001" customHeight="1" x14ac:dyDescent="0.2">
      <c r="B21" s="741">
        <v>230</v>
      </c>
      <c r="C21" s="785" t="s">
        <v>2953</v>
      </c>
      <c r="D21" s="798"/>
      <c r="E21" s="799"/>
      <c r="F21" s="799"/>
      <c r="G21" s="799"/>
    </row>
    <row r="22" spans="2:7" ht="33.75" customHeight="1" x14ac:dyDescent="0.2">
      <c r="B22" s="790">
        <v>240</v>
      </c>
      <c r="C22" s="791" t="s">
        <v>2954</v>
      </c>
      <c r="D22" s="792"/>
      <c r="E22" s="793"/>
      <c r="F22" s="793"/>
      <c r="G22" s="793"/>
    </row>
    <row r="23" spans="2:7" ht="33.75" customHeight="1" x14ac:dyDescent="0.2">
      <c r="B23" s="794">
        <v>241</v>
      </c>
      <c r="C23" s="795" t="s">
        <v>2973</v>
      </c>
      <c r="D23" s="782"/>
      <c r="E23" s="780"/>
      <c r="F23" s="793"/>
      <c r="G23" s="793"/>
    </row>
    <row r="24" spans="2:7" ht="20.100000000000001" customHeight="1" x14ac:dyDescent="0.2">
      <c r="B24" s="778">
        <v>250</v>
      </c>
      <c r="C24" s="784" t="s">
        <v>2972</v>
      </c>
      <c r="D24" s="783">
        <v>43246.574805999997</v>
      </c>
      <c r="E24" s="781">
        <v>0</v>
      </c>
      <c r="F24" s="780"/>
      <c r="G24" s="780"/>
    </row>
    <row r="35" spans="5:5" x14ac:dyDescent="0.2">
      <c r="E35" s="254"/>
    </row>
  </sheetData>
  <sheetProtection algorithmName="SHA-512" hashValue="qtLG77fKz8qp4Jvd0yK7DCmfwPHqZ0Y7urj3a3/o/VecnQWfqiZ3oZgOuRYKPIv5iPGb/MtoqBnLy0HglJHxmA==" saltValue="v3nWjhThqjJBCnThAboTUg==" spinCount="100000" sheet="1" objects="1" scenarios="1"/>
  <mergeCells count="3">
    <mergeCell ref="D7:E8"/>
    <mergeCell ref="F7:G7"/>
    <mergeCell ref="F8:G8"/>
  </mergeCells>
  <hyperlinks>
    <hyperlink ref="B2" location="Contents!A1" display="Back to Contents page" xr:uid="{42910A4C-10E9-4592-ADAA-B309C9748908}"/>
  </hyperlinks>
  <pageMargins left="0.7" right="0.7" top="0.75" bottom="0.75" header="0.3" footer="0.3"/>
  <pageSetup paperSize="9" scale="37" orientation="portrait" horizontalDpi="144" verticalDpi="144" r:id="rId1"/>
  <ignoredErrors>
    <ignoredError sqref="D10:G10" numberStoredAsText="1"/>
  </ignoredError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2:E10"/>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254" customWidth="1"/>
    <col min="2" max="2" width="7.109375" style="254" customWidth="1"/>
    <col min="3" max="3" width="36.6640625" style="254" customWidth="1"/>
    <col min="4" max="5" width="16.77734375" style="254" customWidth="1"/>
    <col min="6" max="16384" width="9.21875" style="254"/>
  </cols>
  <sheetData>
    <row r="2" spans="2:5" ht="15" x14ac:dyDescent="0.25">
      <c r="B2" s="940" t="s">
        <v>3521</v>
      </c>
    </row>
    <row r="4" spans="2:5" ht="21" x14ac:dyDescent="0.2">
      <c r="B4" s="1374" t="s">
        <v>2955</v>
      </c>
      <c r="C4" s="1375"/>
      <c r="D4" s="1375"/>
      <c r="E4" s="1375"/>
    </row>
    <row r="6" spans="2:5" x14ac:dyDescent="0.2">
      <c r="B6" s="270"/>
      <c r="C6" s="270"/>
      <c r="D6" s="270"/>
      <c r="E6" s="270"/>
    </row>
    <row r="7" spans="2:5" x14ac:dyDescent="0.2">
      <c r="B7" s="270"/>
      <c r="C7" s="270"/>
      <c r="D7" s="1373" t="s">
        <v>2956</v>
      </c>
      <c r="E7" s="1373" t="s">
        <v>2957</v>
      </c>
    </row>
    <row r="8" spans="2:5" ht="84.75" customHeight="1" x14ac:dyDescent="0.2">
      <c r="B8" s="270"/>
      <c r="C8" s="270"/>
      <c r="D8" s="1373"/>
      <c r="E8" s="1373" t="s">
        <v>2958</v>
      </c>
    </row>
    <row r="9" spans="2:5" ht="20.100000000000001" customHeight="1" x14ac:dyDescent="0.2">
      <c r="B9" s="270"/>
      <c r="C9" s="270"/>
      <c r="D9" s="766" t="s">
        <v>289</v>
      </c>
      <c r="E9" s="766" t="s">
        <v>916</v>
      </c>
    </row>
    <row r="10" spans="2:5" ht="20.100000000000001" customHeight="1" x14ac:dyDescent="0.2">
      <c r="B10" s="773" t="s">
        <v>289</v>
      </c>
      <c r="C10" s="774" t="s">
        <v>2959</v>
      </c>
      <c r="D10" s="800">
        <v>40637.375141999997</v>
      </c>
      <c r="E10" s="775">
        <v>43246.574805999997</v>
      </c>
    </row>
  </sheetData>
  <sheetProtection algorithmName="SHA-512" hashValue="EGRKSSDNMySi2fecC/JV05eeAYI0FbD4dY091MOuYP13HwZ2hcIM1ZAguXbzlOgLvYLds7ErumRYSePhQ3567w==" saltValue="xOL9INlEoCnWRcy95XEhmQ==" spinCount="100000" sheet="1" objects="1" scenarios="1"/>
  <mergeCells count="3">
    <mergeCell ref="D7:D8"/>
    <mergeCell ref="E7:E8"/>
    <mergeCell ref="B4:E4"/>
  </mergeCells>
  <hyperlinks>
    <hyperlink ref="B2" location="Contents!A1" display="Back to Contents page" xr:uid="{4E46D732-D844-4AAD-9796-D23E1740D1BD}"/>
  </hyperlinks>
  <pageMargins left="0.7" right="0.7" top="0.75" bottom="0.75" header="0.3" footer="0.3"/>
  <pageSetup paperSize="9" scale="47" orientation="portrait" horizontalDpi="144" verticalDpi="144" r:id="rId1"/>
  <ignoredErrors>
    <ignoredError sqref="B10 D9:E9" numberStoredAsText="1"/>
  </ignoredError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1423-5446-4861-A0AD-E7554E5213DE}">
  <dimension ref="A1:F17"/>
  <sheetViews>
    <sheetView workbookViewId="0"/>
  </sheetViews>
  <sheetFormatPr baseColWidth="10" defaultColWidth="9.21875" defaultRowHeight="15" x14ac:dyDescent="0.25"/>
  <cols>
    <col min="3" max="3" width="76.88671875" customWidth="1"/>
    <col min="4" max="4" width="19.44140625" customWidth="1"/>
    <col min="5" max="5" width="27.109375" customWidth="1"/>
  </cols>
  <sheetData>
    <row r="1" spans="1:6" ht="18.75" x14ac:dyDescent="0.3">
      <c r="B1" s="35" t="s">
        <v>3308</v>
      </c>
    </row>
    <row r="2" spans="1:6" x14ac:dyDescent="0.25">
      <c r="B2" t="s">
        <v>3171</v>
      </c>
    </row>
    <row r="3" spans="1:6" x14ac:dyDescent="0.25">
      <c r="A3" s="19"/>
      <c r="B3" s="19"/>
      <c r="C3" s="19"/>
      <c r="D3" s="19"/>
      <c r="E3" s="19"/>
      <c r="F3" s="19"/>
    </row>
    <row r="4" spans="1:6" ht="30" x14ac:dyDescent="0.25">
      <c r="A4" s="19"/>
      <c r="B4" s="190" t="s">
        <v>3173</v>
      </c>
      <c r="C4" s="1376" t="s">
        <v>3174</v>
      </c>
      <c r="D4" s="1376"/>
      <c r="E4" s="61" t="s">
        <v>3172</v>
      </c>
      <c r="F4" s="19"/>
    </row>
    <row r="5" spans="1:6" ht="30" customHeight="1" x14ac:dyDescent="0.25">
      <c r="A5" s="19"/>
      <c r="B5" s="203" t="s">
        <v>2651</v>
      </c>
      <c r="C5" s="169" t="s">
        <v>3309</v>
      </c>
      <c r="D5" s="203"/>
      <c r="E5" s="169" t="s">
        <v>3310</v>
      </c>
      <c r="F5" s="19"/>
    </row>
    <row r="6" spans="1:6" ht="30" customHeight="1" x14ac:dyDescent="0.25">
      <c r="A6" s="19"/>
      <c r="B6" s="203" t="s">
        <v>30</v>
      </c>
      <c r="C6" s="203" t="s">
        <v>3311</v>
      </c>
      <c r="D6" s="203"/>
      <c r="E6" s="169" t="s">
        <v>3312</v>
      </c>
      <c r="F6" s="19"/>
    </row>
    <row r="7" spans="1:6" ht="30" customHeight="1" x14ac:dyDescent="0.25">
      <c r="A7" s="19"/>
      <c r="B7" s="203" t="s">
        <v>2674</v>
      </c>
      <c r="C7" s="169" t="s">
        <v>3313</v>
      </c>
      <c r="D7" s="203"/>
      <c r="E7" s="169" t="s">
        <v>3314</v>
      </c>
      <c r="F7" s="19"/>
    </row>
    <row r="8" spans="1:6" ht="30" customHeight="1" x14ac:dyDescent="0.25">
      <c r="A8" s="19"/>
      <c r="B8" s="203" t="s">
        <v>3186</v>
      </c>
      <c r="C8" s="169" t="s">
        <v>3315</v>
      </c>
      <c r="D8" s="203"/>
      <c r="E8" s="169" t="s">
        <v>3316</v>
      </c>
      <c r="F8" s="19"/>
    </row>
    <row r="9" spans="1:6" ht="30" customHeight="1" x14ac:dyDescent="0.25">
      <c r="A9" s="19"/>
      <c r="B9" s="203" t="s">
        <v>3317</v>
      </c>
      <c r="C9" s="169" t="s">
        <v>3318</v>
      </c>
      <c r="D9" s="203"/>
      <c r="E9" s="169" t="s">
        <v>3319</v>
      </c>
      <c r="F9" s="19"/>
    </row>
    <row r="10" spans="1:6" ht="30" customHeight="1" x14ac:dyDescent="0.25">
      <c r="A10" s="19"/>
      <c r="B10" s="203" t="s">
        <v>3320</v>
      </c>
      <c r="C10" s="169" t="s">
        <v>3321</v>
      </c>
      <c r="D10" s="203"/>
      <c r="E10" s="169" t="s">
        <v>3322</v>
      </c>
      <c r="F10" s="19"/>
    </row>
    <row r="11" spans="1:6" ht="30" customHeight="1" x14ac:dyDescent="0.25">
      <c r="A11" s="19"/>
      <c r="B11" s="203" t="s">
        <v>3323</v>
      </c>
      <c r="C11" s="169" t="s">
        <v>3324</v>
      </c>
      <c r="D11" s="203"/>
      <c r="E11" s="169" t="s">
        <v>3325</v>
      </c>
      <c r="F11" s="19"/>
    </row>
    <row r="12" spans="1:6" ht="30" customHeight="1" x14ac:dyDescent="0.25">
      <c r="A12" s="19"/>
      <c r="B12" s="203" t="s">
        <v>34</v>
      </c>
      <c r="C12" s="169" t="s">
        <v>3326</v>
      </c>
      <c r="D12" s="203"/>
      <c r="E12" s="169" t="s">
        <v>3327</v>
      </c>
      <c r="F12" s="19"/>
    </row>
    <row r="13" spans="1:6" ht="30" customHeight="1" x14ac:dyDescent="0.25">
      <c r="A13" s="19"/>
      <c r="B13" s="203" t="s">
        <v>83</v>
      </c>
      <c r="C13" s="169" t="s">
        <v>3328</v>
      </c>
      <c r="D13" s="203"/>
      <c r="E13" s="169"/>
      <c r="F13" s="19"/>
    </row>
    <row r="14" spans="1:6" ht="30" customHeight="1" x14ac:dyDescent="0.25">
      <c r="A14" s="19"/>
      <c r="B14" s="203" t="s">
        <v>3329</v>
      </c>
      <c r="C14" s="169" t="s">
        <v>3330</v>
      </c>
      <c r="D14" s="169"/>
      <c r="E14" s="169" t="s">
        <v>3331</v>
      </c>
      <c r="F14" s="19"/>
    </row>
    <row r="15" spans="1:6" x14ac:dyDescent="0.25">
      <c r="A15" s="19"/>
      <c r="B15" s="19"/>
      <c r="C15" s="19"/>
      <c r="D15" s="19"/>
      <c r="E15" s="19"/>
      <c r="F15" s="19"/>
    </row>
    <row r="16" spans="1:6" x14ac:dyDescent="0.25">
      <c r="A16" s="19"/>
      <c r="B16" s="19"/>
      <c r="C16" s="19"/>
      <c r="D16" s="19"/>
      <c r="E16" s="19"/>
      <c r="F16" s="19"/>
    </row>
    <row r="17" spans="1:6" x14ac:dyDescent="0.25">
      <c r="A17" s="19"/>
      <c r="B17" s="19"/>
      <c r="C17" s="19"/>
      <c r="D17" s="19"/>
      <c r="E17" s="19"/>
      <c r="F17" s="19"/>
    </row>
  </sheetData>
  <mergeCells count="1">
    <mergeCell ref="C4:D4"/>
  </mergeCells>
  <pageMargins left="0.7" right="0.7" top="0.75" bottom="0.75" header="0.3" footer="0.3"/>
  <pageSetup paperSize="9" orientation="portrait" horizontalDpi="1200" verticalDpi="12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2:J15"/>
  <sheetViews>
    <sheetView showGridLines="0" showRowColHeaders="0" zoomScale="80" zoomScaleNormal="80" workbookViewId="0">
      <selection activeCell="B2" sqref="B2"/>
    </sheetView>
  </sheetViews>
  <sheetFormatPr baseColWidth="10" defaultColWidth="9.21875" defaultRowHeight="12.75" x14ac:dyDescent="0.2"/>
  <cols>
    <col min="1" max="1" width="3.88671875" style="254" customWidth="1"/>
    <col min="2" max="2" width="6.33203125" style="254" customWidth="1"/>
    <col min="3" max="3" width="52.21875" style="254" customWidth="1"/>
    <col min="4" max="8" width="10.109375" style="254" customWidth="1"/>
    <col min="9" max="9" width="9.21875" style="254"/>
    <col min="10" max="10" width="13.21875" style="264" customWidth="1"/>
    <col min="11" max="16384" width="9.21875" style="254"/>
  </cols>
  <sheetData>
    <row r="2" spans="2:9" ht="15" x14ac:dyDescent="0.25">
      <c r="B2" s="940" t="s">
        <v>3521</v>
      </c>
    </row>
    <row r="4" spans="2:9" ht="21" x14ac:dyDescent="0.2">
      <c r="B4" s="367" t="s">
        <v>2612</v>
      </c>
    </row>
    <row r="5" spans="2:9" x14ac:dyDescent="0.2">
      <c r="B5" s="266"/>
      <c r="C5" s="267"/>
      <c r="D5" s="267"/>
      <c r="E5" s="267"/>
      <c r="F5" s="267"/>
      <c r="G5" s="267"/>
      <c r="H5" s="267"/>
      <c r="I5" s="267"/>
    </row>
    <row r="7" spans="2:9" s="268" customFormat="1" x14ac:dyDescent="0.2">
      <c r="B7" s="254"/>
    </row>
    <row r="8" spans="2:9" ht="20.100000000000001" customHeight="1" x14ac:dyDescent="0.2">
      <c r="B8" s="1377" t="s">
        <v>2613</v>
      </c>
      <c r="C8" s="1377"/>
      <c r="D8" s="786" t="s">
        <v>161</v>
      </c>
      <c r="E8" s="786" t="s">
        <v>162</v>
      </c>
      <c r="F8" s="786" t="s">
        <v>163</v>
      </c>
      <c r="G8" s="786" t="s">
        <v>200</v>
      </c>
      <c r="H8" s="787" t="s">
        <v>201</v>
      </c>
    </row>
    <row r="9" spans="2:9" ht="20.100000000000001" customHeight="1" x14ac:dyDescent="0.2">
      <c r="B9" s="1377"/>
      <c r="C9" s="1377"/>
      <c r="D9" s="1378" t="s">
        <v>2614</v>
      </c>
      <c r="E9" s="1378"/>
      <c r="F9" s="1378"/>
      <c r="G9" s="1379" t="s">
        <v>2615</v>
      </c>
      <c r="H9" s="1379" t="s">
        <v>2616</v>
      </c>
    </row>
    <row r="10" spans="2:9" ht="20.100000000000001" customHeight="1" x14ac:dyDescent="0.2">
      <c r="B10" s="1377"/>
      <c r="C10" s="1377"/>
      <c r="D10" s="788" t="s">
        <v>2617</v>
      </c>
      <c r="E10" s="788" t="s">
        <v>2618</v>
      </c>
      <c r="F10" s="788" t="s">
        <v>2619</v>
      </c>
      <c r="G10" s="1379"/>
      <c r="H10" s="1379"/>
    </row>
    <row r="11" spans="2:9" ht="25.5" customHeight="1" x14ac:dyDescent="0.2">
      <c r="B11" s="804">
        <v>1</v>
      </c>
      <c r="C11" s="803" t="s">
        <v>2620</v>
      </c>
      <c r="D11" s="804"/>
      <c r="E11" s="804"/>
      <c r="F11" s="804"/>
      <c r="G11" s="804"/>
      <c r="H11" s="804"/>
    </row>
    <row r="12" spans="2:9" ht="25.5" customHeight="1" x14ac:dyDescent="0.2">
      <c r="B12" s="804">
        <v>2</v>
      </c>
      <c r="C12" s="803" t="s">
        <v>2621</v>
      </c>
      <c r="D12" s="805">
        <f>3681726699/1000000</f>
        <v>3681.7266989999998</v>
      </c>
      <c r="E12" s="805">
        <f>4161180900/1000000</f>
        <v>4161.1809000000003</v>
      </c>
      <c r="F12" s="805">
        <f>4170526856/1000000</f>
        <v>4170.5268560000004</v>
      </c>
      <c r="G12" s="805">
        <f>570721200/1000000</f>
        <v>570.72119999999995</v>
      </c>
      <c r="H12" s="805">
        <f>7134015000/1000000</f>
        <v>7134.0150000000003</v>
      </c>
    </row>
    <row r="13" spans="2:9" ht="25.5" customHeight="1" x14ac:dyDescent="0.2">
      <c r="B13" s="808">
        <v>3</v>
      </c>
      <c r="C13" s="802" t="s">
        <v>2622</v>
      </c>
      <c r="D13" s="809">
        <f>3681726699/1000000</f>
        <v>3681.7266989999998</v>
      </c>
      <c r="E13" s="809">
        <f>4161180900/1000000</f>
        <v>4161.1809000000003</v>
      </c>
      <c r="F13" s="809">
        <f>4170526856/1000000</f>
        <v>4170.5268560000004</v>
      </c>
      <c r="G13" s="810"/>
      <c r="H13" s="811"/>
    </row>
    <row r="14" spans="2:9" ht="25.5" customHeight="1" x14ac:dyDescent="0.2">
      <c r="B14" s="808">
        <v>4</v>
      </c>
      <c r="C14" s="802" t="s">
        <v>2623</v>
      </c>
      <c r="D14" s="812"/>
      <c r="E14" s="812"/>
      <c r="F14" s="812"/>
      <c r="G14" s="810"/>
      <c r="H14" s="813"/>
    </row>
    <row r="15" spans="2:9" ht="25.5" customHeight="1" x14ac:dyDescent="0.2">
      <c r="B15" s="806">
        <v>5</v>
      </c>
      <c r="C15" s="803" t="s">
        <v>2624</v>
      </c>
      <c r="D15" s="807"/>
      <c r="E15" s="807"/>
      <c r="F15" s="807"/>
      <c r="G15" s="807"/>
      <c r="H15" s="807"/>
    </row>
  </sheetData>
  <sheetProtection algorithmName="SHA-512" hashValue="IaaNmiptzf7G0RBhEd+BC6Qkm0WaXRa7IYvU1SqXl9PFZwhcx1NXT1TaDaoymYwqzFehTbHIrGfaXaFBxJU1ZA==" saltValue="m4ONO8rF0DnPjAuTjnolCA==" spinCount="100000" sheet="1" objects="1" scenarios="1"/>
  <mergeCells count="4">
    <mergeCell ref="B8:C10"/>
    <mergeCell ref="D9:F9"/>
    <mergeCell ref="G9:G10"/>
    <mergeCell ref="H9:H10"/>
  </mergeCells>
  <hyperlinks>
    <hyperlink ref="B2" location="Contents!A1" display="Back to Contents page" xr:uid="{2E163410-CA49-4EFF-B912-429C461E9172}"/>
  </hyperlinks>
  <pageMargins left="0.7" right="0.7" top="0.75" bottom="0.75" header="0.3" footer="0.3"/>
  <pageSetup paperSize="9" scale="37" orientation="portrait" horizontalDpi="144" verticalDpi="144"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0A9A3-5A38-4619-8AB6-454EF90DD184}">
  <sheetPr>
    <pageSetUpPr fitToPage="1"/>
  </sheetPr>
  <dimension ref="B2:M16"/>
  <sheetViews>
    <sheetView showGridLines="0" showRowColHeaders="0" zoomScale="80" zoomScaleNormal="80" workbookViewId="0">
      <selection activeCell="M15" sqref="M15"/>
    </sheetView>
  </sheetViews>
  <sheetFormatPr baseColWidth="10" defaultColWidth="9.21875" defaultRowHeight="12.75" x14ac:dyDescent="0.2"/>
  <cols>
    <col min="1" max="1" width="3.88671875" style="254" customWidth="1"/>
    <col min="2" max="2" width="4.88671875" style="254" customWidth="1"/>
    <col min="3" max="3" width="19.109375" style="254" customWidth="1"/>
    <col min="4" max="6" width="7.33203125" style="254" customWidth="1"/>
    <col min="7" max="9" width="7.33203125" style="254" hidden="1" customWidth="1"/>
    <col min="10" max="10" width="7.33203125" style="254" customWidth="1"/>
    <col min="11" max="11" width="9.21875" style="254"/>
    <col min="12" max="12" width="13.21875" style="264" customWidth="1"/>
    <col min="13" max="13" width="52.44140625" style="254" customWidth="1"/>
    <col min="14" max="16384" width="9.21875" style="254"/>
  </cols>
  <sheetData>
    <row r="2" spans="2:13" ht="15" x14ac:dyDescent="0.25">
      <c r="B2" s="940" t="s">
        <v>3521</v>
      </c>
    </row>
    <row r="3" spans="2:13" x14ac:dyDescent="0.2">
      <c r="M3" s="265"/>
    </row>
    <row r="4" spans="2:13" s="268" customFormat="1" ht="21" x14ac:dyDescent="0.25">
      <c r="B4" s="367" t="s">
        <v>3332</v>
      </c>
      <c r="D4" s="269"/>
    </row>
    <row r="5" spans="2:13" s="268" customFormat="1" x14ac:dyDescent="0.25"/>
    <row r="6" spans="2:13" s="268" customFormat="1" x14ac:dyDescent="0.2">
      <c r="B6" s="254"/>
    </row>
    <row r="7" spans="2:13" s="268" customFormat="1" x14ac:dyDescent="0.2">
      <c r="B7" s="254"/>
    </row>
    <row r="8" spans="2:13" ht="20.100000000000001" customHeight="1" x14ac:dyDescent="0.2">
      <c r="B8" s="1378" t="s">
        <v>3333</v>
      </c>
      <c r="C8" s="1378"/>
      <c r="D8" s="814" t="s">
        <v>161</v>
      </c>
      <c r="E8" s="814" t="s">
        <v>162</v>
      </c>
      <c r="F8" s="814" t="s">
        <v>163</v>
      </c>
      <c r="G8" s="814" t="s">
        <v>918</v>
      </c>
      <c r="H8" s="814" t="s">
        <v>920</v>
      </c>
      <c r="I8" s="814"/>
      <c r="J8" s="814" t="s">
        <v>200</v>
      </c>
    </row>
    <row r="9" spans="2:13" ht="42" customHeight="1" x14ac:dyDescent="0.2">
      <c r="B9" s="1378"/>
      <c r="C9" s="1378"/>
      <c r="D9" s="1378" t="s">
        <v>3334</v>
      </c>
      <c r="E9" s="1378"/>
      <c r="F9" s="1378" t="s">
        <v>3335</v>
      </c>
      <c r="G9" s="1378"/>
      <c r="H9" s="1378"/>
      <c r="I9" s="1378"/>
      <c r="J9" s="1378"/>
    </row>
    <row r="10" spans="2:13" ht="24.95" customHeight="1" x14ac:dyDescent="0.2">
      <c r="B10" s="1378"/>
      <c r="C10" s="1378"/>
      <c r="D10" s="789" t="s">
        <v>3336</v>
      </c>
      <c r="E10" s="788" t="s">
        <v>3337</v>
      </c>
      <c r="F10" s="789" t="s">
        <v>3336</v>
      </c>
      <c r="G10" s="788" t="s">
        <v>3338</v>
      </c>
      <c r="H10" s="788"/>
      <c r="I10" s="788"/>
      <c r="J10" s="788" t="s">
        <v>3337</v>
      </c>
    </row>
    <row r="11" spans="2:13" ht="20.100000000000001" customHeight="1" x14ac:dyDescent="0.2">
      <c r="B11" s="788">
        <v>1</v>
      </c>
      <c r="C11" s="801" t="s">
        <v>3339</v>
      </c>
      <c r="D11" s="815">
        <v>-27.563494249999998</v>
      </c>
      <c r="E11" s="788" t="s">
        <v>3620</v>
      </c>
      <c r="F11" s="816">
        <v>237.87</v>
      </c>
      <c r="G11" s="788"/>
      <c r="H11" s="788"/>
      <c r="I11" s="788"/>
      <c r="J11" s="788" t="s">
        <v>3620</v>
      </c>
    </row>
    <row r="12" spans="2:13" ht="20.100000000000001" customHeight="1" x14ac:dyDescent="0.2">
      <c r="B12" s="788">
        <v>2</v>
      </c>
      <c r="C12" s="801" t="s">
        <v>3340</v>
      </c>
      <c r="D12" s="815">
        <v>28.058709459999999</v>
      </c>
      <c r="E12" s="788" t="s">
        <v>3620</v>
      </c>
      <c r="F12" s="816">
        <v>-129.87</v>
      </c>
      <c r="G12" s="788"/>
      <c r="H12" s="788"/>
      <c r="I12" s="788"/>
      <c r="J12" s="788" t="s">
        <v>3620</v>
      </c>
    </row>
    <row r="13" spans="2:13" ht="20.100000000000001" customHeight="1" x14ac:dyDescent="0.2">
      <c r="B13" s="788">
        <v>3</v>
      </c>
      <c r="C13" s="801" t="s">
        <v>3341</v>
      </c>
      <c r="D13" s="815">
        <v>36.279114130000011</v>
      </c>
      <c r="E13" s="788" t="s">
        <v>3620</v>
      </c>
      <c r="F13" s="817"/>
      <c r="G13" s="788"/>
      <c r="H13" s="788"/>
      <c r="I13" s="788"/>
      <c r="J13" s="818"/>
    </row>
    <row r="14" spans="2:13" ht="20.100000000000001" customHeight="1" x14ac:dyDescent="0.2">
      <c r="B14" s="788">
        <v>4</v>
      </c>
      <c r="C14" s="801" t="s">
        <v>3342</v>
      </c>
      <c r="D14" s="815">
        <v>-35.374834459999995</v>
      </c>
      <c r="E14" s="788" t="s">
        <v>3620</v>
      </c>
      <c r="F14" s="817"/>
      <c r="G14" s="819"/>
      <c r="H14" s="820"/>
      <c r="I14" s="820"/>
      <c r="J14" s="818"/>
    </row>
    <row r="15" spans="2:13" ht="20.100000000000001" customHeight="1" x14ac:dyDescent="0.2">
      <c r="B15" s="788">
        <v>5</v>
      </c>
      <c r="C15" s="801" t="s">
        <v>3343</v>
      </c>
      <c r="D15" s="815">
        <v>-37.287786799999999</v>
      </c>
      <c r="E15" s="788" t="s">
        <v>3620</v>
      </c>
      <c r="F15" s="817"/>
      <c r="G15" s="819"/>
      <c r="H15" s="820"/>
      <c r="I15" s="820"/>
      <c r="J15" s="818"/>
    </row>
    <row r="16" spans="2:13" ht="20.100000000000001" customHeight="1" x14ac:dyDescent="0.2">
      <c r="B16" s="821">
        <v>6</v>
      </c>
      <c r="C16" s="801" t="s">
        <v>3344</v>
      </c>
      <c r="D16" s="815">
        <v>38.207741630000008</v>
      </c>
      <c r="E16" s="788" t="s">
        <v>3620</v>
      </c>
      <c r="F16" s="817"/>
      <c r="G16" s="820"/>
      <c r="H16" s="820"/>
      <c r="I16" s="820"/>
      <c r="J16" s="818"/>
    </row>
  </sheetData>
  <sheetProtection algorithmName="SHA-512" hashValue="tSHkmbSZm2JXPryEFOacHosUzXgaNwlDtgJI0vymWyCsi6V8C5zmrgLk/fLwP8cW43sQCtAfWRVOzQLC25mrog==" saltValue="inUEJaU4tIsjlTcjAKP3cA==" spinCount="100000" sheet="1" objects="1" scenarios="1"/>
  <mergeCells count="3">
    <mergeCell ref="B8:C10"/>
    <mergeCell ref="D9:E9"/>
    <mergeCell ref="F9:J9"/>
  </mergeCells>
  <hyperlinks>
    <hyperlink ref="B2" location="Contents!A1" display="Back to Contents page" xr:uid="{6D4A9696-0774-4D04-81F3-1B48365DA816}"/>
  </hyperlinks>
  <pageMargins left="0.7" right="0.7" top="0.75" bottom="0.75" header="0.3" footer="0.3"/>
  <pageSetup paperSize="9" scale="51" orientation="portrait" horizontalDpi="144" verticalDpi="14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BD8CE-4E3A-4BAF-B034-5E5BA52A75E1}">
  <sheetPr>
    <tabColor theme="4"/>
  </sheetPr>
  <dimension ref="A3:D11"/>
  <sheetViews>
    <sheetView workbookViewId="0"/>
  </sheetViews>
  <sheetFormatPr baseColWidth="10" defaultColWidth="11.44140625" defaultRowHeight="15" x14ac:dyDescent="0.25"/>
  <cols>
    <col min="1" max="1" width="6.33203125" customWidth="1"/>
    <col min="2" max="2" width="14.77734375" customWidth="1"/>
    <col min="3" max="3" width="13.33203125" customWidth="1"/>
    <col min="4" max="4" width="95.88671875" customWidth="1"/>
  </cols>
  <sheetData>
    <row r="3" spans="1:4" ht="18.75" x14ac:dyDescent="0.25">
      <c r="A3" s="19"/>
      <c r="B3" s="246" t="s">
        <v>3179</v>
      </c>
      <c r="C3" s="19"/>
      <c r="D3" s="246"/>
    </row>
    <row r="4" spans="1:4" x14ac:dyDescent="0.25">
      <c r="B4" t="s">
        <v>3171</v>
      </c>
    </row>
    <row r="7" spans="1:4" x14ac:dyDescent="0.25">
      <c r="B7" s="207" t="s">
        <v>3172</v>
      </c>
      <c r="C7" s="207" t="s">
        <v>3173</v>
      </c>
      <c r="D7" s="11" t="s">
        <v>3174</v>
      </c>
    </row>
    <row r="8" spans="1:4" x14ac:dyDescent="0.25">
      <c r="B8" s="207" t="s">
        <v>3180</v>
      </c>
      <c r="C8" s="207" t="s">
        <v>2651</v>
      </c>
      <c r="D8" s="11" t="s">
        <v>3181</v>
      </c>
    </row>
    <row r="9" spans="1:4" ht="30" x14ac:dyDescent="0.25">
      <c r="B9" s="207" t="s">
        <v>3182</v>
      </c>
      <c r="C9" s="207" t="s">
        <v>30</v>
      </c>
      <c r="D9" s="11" t="s">
        <v>3183</v>
      </c>
    </row>
    <row r="10" spans="1:4" ht="30" x14ac:dyDescent="0.25">
      <c r="B10" s="207" t="s">
        <v>3184</v>
      </c>
      <c r="C10" s="207" t="s">
        <v>2674</v>
      </c>
      <c r="D10" s="11" t="s">
        <v>3185</v>
      </c>
    </row>
    <row r="11" spans="1:4" s="24" customFormat="1" ht="30" x14ac:dyDescent="0.25">
      <c r="B11" s="190" t="s">
        <v>3182</v>
      </c>
      <c r="C11" s="190" t="s">
        <v>3186</v>
      </c>
      <c r="D11" s="169" t="s">
        <v>3187</v>
      </c>
    </row>
  </sheetData>
  <pageMargins left="0.70866141732283472" right="0.70866141732283472" top="0.74803149606299213" bottom="0.74803149606299213" header="0.31496062992125984" footer="0.31496062992125984"/>
  <pageSetup paperSize="9" orientation="landscape" r:id="rId1"/>
  <headerFooter>
    <oddHeader>&amp;CEN
Annex V</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G128"/>
  <sheetViews>
    <sheetView showGridLines="0" showRowColHeaders="0" zoomScale="70" zoomScaleNormal="70" workbookViewId="0">
      <selection activeCell="F19" sqref="F19"/>
    </sheetView>
  </sheetViews>
  <sheetFormatPr baseColWidth="10" defaultColWidth="9.21875" defaultRowHeight="12.75" x14ac:dyDescent="0.2"/>
  <cols>
    <col min="1" max="1" width="3.88671875" style="271" customWidth="1"/>
    <col min="2" max="2" width="7.6640625" style="271" customWidth="1"/>
    <col min="3" max="3" width="62.33203125" style="271" customWidth="1"/>
    <col min="4" max="4" width="11.21875" style="271" customWidth="1"/>
    <col min="5" max="5" width="31.6640625" style="271" customWidth="1"/>
    <col min="6" max="16384" width="9.21875" style="271"/>
  </cols>
  <sheetData>
    <row r="2" spans="2:5" ht="15" x14ac:dyDescent="0.25">
      <c r="B2" s="940" t="s">
        <v>3521</v>
      </c>
    </row>
    <row r="4" spans="2:5" ht="21" x14ac:dyDescent="0.35">
      <c r="B4" s="369" t="s">
        <v>28</v>
      </c>
    </row>
    <row r="8" spans="2:5" x14ac:dyDescent="0.2">
      <c r="D8" s="487" t="s">
        <v>29</v>
      </c>
      <c r="E8" s="301"/>
    </row>
    <row r="9" spans="2:5" x14ac:dyDescent="0.2">
      <c r="B9" s="967"/>
      <c r="C9" s="967"/>
      <c r="D9" s="837" t="s">
        <v>31</v>
      </c>
      <c r="E9" s="301"/>
    </row>
    <row r="10" spans="2:5" ht="20.100000000000001" customHeight="1" x14ac:dyDescent="0.2">
      <c r="B10" s="963" t="s">
        <v>32</v>
      </c>
      <c r="C10" s="963"/>
      <c r="D10" s="963"/>
      <c r="E10" s="301"/>
    </row>
    <row r="11" spans="2:5" ht="20.100000000000001" customHeight="1" x14ac:dyDescent="0.2">
      <c r="B11" s="411">
        <v>1</v>
      </c>
      <c r="C11" s="456" t="s">
        <v>33</v>
      </c>
      <c r="D11" s="726">
        <f>2650432754/1000000</f>
        <v>2650.4327539999999</v>
      </c>
      <c r="E11" s="301"/>
    </row>
    <row r="12" spans="2:5" ht="20.100000000000001" customHeight="1" x14ac:dyDescent="0.2">
      <c r="B12" s="411"/>
      <c r="C12" s="456" t="s">
        <v>35</v>
      </c>
      <c r="D12" s="828">
        <f>1807164288/1000000</f>
        <v>1807.1642879999999</v>
      </c>
      <c r="E12" s="301"/>
    </row>
    <row r="13" spans="2:5" ht="20.100000000000001" customHeight="1" x14ac:dyDescent="0.2">
      <c r="B13" s="411"/>
      <c r="C13" s="456" t="s">
        <v>36</v>
      </c>
      <c r="D13" s="828">
        <f>843268466/1000000</f>
        <v>843.26846599999999</v>
      </c>
      <c r="E13" s="301"/>
    </row>
    <row r="14" spans="2:5" ht="20.100000000000001" customHeight="1" x14ac:dyDescent="0.2">
      <c r="B14" s="411"/>
      <c r="C14" s="456" t="s">
        <v>37</v>
      </c>
      <c r="D14" s="829"/>
      <c r="E14" s="301"/>
    </row>
    <row r="15" spans="2:5" ht="20.100000000000001" customHeight="1" x14ac:dyDescent="0.2">
      <c r="B15" s="411">
        <v>2</v>
      </c>
      <c r="C15" s="456" t="s">
        <v>38</v>
      </c>
      <c r="D15" s="726">
        <f>10813720326/1000000</f>
        <v>10813.720326000001</v>
      </c>
      <c r="E15" s="349"/>
    </row>
    <row r="16" spans="2:5" ht="20.100000000000001" customHeight="1" x14ac:dyDescent="0.2">
      <c r="B16" s="411">
        <v>3</v>
      </c>
      <c r="C16" s="456" t="s">
        <v>39</v>
      </c>
      <c r="D16" s="726">
        <f>-17409466/1000000</f>
        <v>-17.409465999999998</v>
      </c>
    </row>
    <row r="17" spans="2:4" ht="20.100000000000001" customHeight="1" x14ac:dyDescent="0.2">
      <c r="B17" s="411" t="s">
        <v>40</v>
      </c>
      <c r="C17" s="456" t="s">
        <v>41</v>
      </c>
      <c r="D17" s="725"/>
    </row>
    <row r="18" spans="2:4" ht="35.1" customHeight="1" x14ac:dyDescent="0.2">
      <c r="B18" s="411">
        <v>4</v>
      </c>
      <c r="C18" s="456" t="s">
        <v>42</v>
      </c>
      <c r="D18" s="725"/>
    </row>
    <row r="19" spans="2:4" ht="20.100000000000001" customHeight="1" x14ac:dyDescent="0.2">
      <c r="B19" s="411">
        <v>5</v>
      </c>
      <c r="C19" s="456" t="s">
        <v>43</v>
      </c>
      <c r="D19" s="726">
        <f>128443649/1000000</f>
        <v>128.44364899999999</v>
      </c>
    </row>
    <row r="20" spans="2:4" ht="20.100000000000001" customHeight="1" x14ac:dyDescent="0.2">
      <c r="B20" s="411" t="s">
        <v>44</v>
      </c>
      <c r="C20" s="456" t="s">
        <v>45</v>
      </c>
      <c r="D20" s="830">
        <f>75529957/1000000</f>
        <v>75.529956999999996</v>
      </c>
    </row>
    <row r="21" spans="2:4" ht="20.100000000000001" customHeight="1" x14ac:dyDescent="0.2">
      <c r="B21" s="439">
        <v>6</v>
      </c>
      <c r="C21" s="507" t="s">
        <v>46</v>
      </c>
      <c r="D21" s="831">
        <f>13650717220/1000000</f>
        <v>13650.71722</v>
      </c>
    </row>
    <row r="22" spans="2:4" ht="20.100000000000001" customHeight="1" x14ac:dyDescent="0.2">
      <c r="B22" s="963" t="s">
        <v>47</v>
      </c>
      <c r="C22" s="963"/>
      <c r="D22" s="963"/>
    </row>
    <row r="23" spans="2:4" ht="20.100000000000001" customHeight="1" x14ac:dyDescent="0.2">
      <c r="B23" s="411">
        <v>7</v>
      </c>
      <c r="C23" s="456" t="s">
        <v>48</v>
      </c>
      <c r="D23" s="726">
        <f>-38290185/1000000</f>
        <v>-38.290185000000001</v>
      </c>
    </row>
    <row r="24" spans="2:4" ht="20.100000000000001" customHeight="1" x14ac:dyDescent="0.2">
      <c r="B24" s="411">
        <v>8</v>
      </c>
      <c r="C24" s="456" t="s">
        <v>49</v>
      </c>
      <c r="D24" s="726">
        <f>-132490781/1000000</f>
        <v>-132.490781</v>
      </c>
    </row>
    <row r="25" spans="2:4" ht="20.100000000000001" customHeight="1" x14ac:dyDescent="0.2">
      <c r="B25" s="411">
        <v>9</v>
      </c>
      <c r="C25" s="456" t="s">
        <v>50</v>
      </c>
      <c r="D25" s="829"/>
    </row>
    <row r="26" spans="2:4" ht="38.25" x14ac:dyDescent="0.2">
      <c r="B26" s="411">
        <v>10</v>
      </c>
      <c r="C26" s="456" t="s">
        <v>51</v>
      </c>
      <c r="D26" s="725"/>
    </row>
    <row r="27" spans="2:4" ht="24.95" customHeight="1" x14ac:dyDescent="0.2">
      <c r="B27" s="411">
        <v>11</v>
      </c>
      <c r="C27" s="456" t="s">
        <v>52</v>
      </c>
      <c r="D27" s="726">
        <f>-3587842/1000000</f>
        <v>-3.5878420000000002</v>
      </c>
    </row>
    <row r="28" spans="2:4" ht="20.100000000000001" customHeight="1" x14ac:dyDescent="0.2">
      <c r="B28" s="411">
        <v>12</v>
      </c>
      <c r="C28" s="456" t="s">
        <v>53</v>
      </c>
      <c r="D28" s="725"/>
    </row>
    <row r="29" spans="2:4" ht="20.100000000000001" customHeight="1" x14ac:dyDescent="0.2">
      <c r="B29" s="411">
        <v>13</v>
      </c>
      <c r="C29" s="456" t="s">
        <v>54</v>
      </c>
      <c r="D29" s="725"/>
    </row>
    <row r="30" spans="2:4" ht="20.100000000000001" customHeight="1" x14ac:dyDescent="0.2">
      <c r="B30" s="411">
        <v>14</v>
      </c>
      <c r="C30" s="456" t="s">
        <v>55</v>
      </c>
      <c r="D30" s="725"/>
    </row>
    <row r="31" spans="2:4" ht="20.100000000000001" customHeight="1" x14ac:dyDescent="0.2">
      <c r="B31" s="411">
        <v>15</v>
      </c>
      <c r="C31" s="456" t="s">
        <v>56</v>
      </c>
      <c r="D31" s="725"/>
    </row>
    <row r="32" spans="2:4" ht="20.100000000000001" customHeight="1" x14ac:dyDescent="0.2">
      <c r="B32" s="411">
        <v>16</v>
      </c>
      <c r="C32" s="456" t="s">
        <v>57</v>
      </c>
      <c r="D32" s="725"/>
    </row>
    <row r="33" spans="2:4" ht="39.950000000000003" customHeight="1" x14ac:dyDescent="0.2">
      <c r="B33" s="411">
        <v>17</v>
      </c>
      <c r="C33" s="456" t="s">
        <v>58</v>
      </c>
      <c r="D33" s="725"/>
    </row>
    <row r="34" spans="2:4" ht="39.950000000000003" customHeight="1" x14ac:dyDescent="0.2">
      <c r="B34" s="411">
        <v>18</v>
      </c>
      <c r="C34" s="456" t="s">
        <v>59</v>
      </c>
      <c r="D34" s="725"/>
    </row>
    <row r="35" spans="2:4" ht="39.950000000000003" customHeight="1" x14ac:dyDescent="0.2">
      <c r="B35" s="411">
        <v>19</v>
      </c>
      <c r="C35" s="456" t="s">
        <v>60</v>
      </c>
      <c r="D35" s="726">
        <f>-901839978/1000000</f>
        <v>-901.83997799999997</v>
      </c>
    </row>
    <row r="36" spans="2:4" ht="20.100000000000001" customHeight="1" x14ac:dyDescent="0.2">
      <c r="B36" s="411">
        <v>20</v>
      </c>
      <c r="C36" s="456" t="s">
        <v>50</v>
      </c>
      <c r="D36" s="832"/>
    </row>
    <row r="37" spans="2:4" ht="24.95" customHeight="1" x14ac:dyDescent="0.2">
      <c r="B37" s="411" t="s">
        <v>61</v>
      </c>
      <c r="C37" s="456" t="s">
        <v>62</v>
      </c>
      <c r="D37" s="725"/>
    </row>
    <row r="38" spans="2:4" ht="20.100000000000001" customHeight="1" x14ac:dyDescent="0.2">
      <c r="B38" s="411" t="s">
        <v>63</v>
      </c>
      <c r="C38" s="456" t="s">
        <v>64</v>
      </c>
      <c r="D38" s="725"/>
    </row>
    <row r="39" spans="2:4" ht="20.100000000000001" customHeight="1" x14ac:dyDescent="0.2">
      <c r="B39" s="411" t="s">
        <v>65</v>
      </c>
      <c r="C39" s="456" t="s">
        <v>66</v>
      </c>
      <c r="D39" s="725"/>
    </row>
    <row r="40" spans="2:4" ht="20.100000000000001" customHeight="1" x14ac:dyDescent="0.2">
      <c r="B40" s="411" t="s">
        <v>67</v>
      </c>
      <c r="C40" s="456" t="s">
        <v>68</v>
      </c>
      <c r="D40" s="725"/>
    </row>
    <row r="41" spans="2:4" ht="24.95" customHeight="1" x14ac:dyDescent="0.2">
      <c r="B41" s="411">
        <v>21</v>
      </c>
      <c r="C41" s="456" t="s">
        <v>69</v>
      </c>
      <c r="D41" s="725"/>
    </row>
    <row r="42" spans="2:4" ht="20.100000000000001" customHeight="1" x14ac:dyDescent="0.2">
      <c r="B42" s="411">
        <v>22</v>
      </c>
      <c r="C42" s="456" t="s">
        <v>70</v>
      </c>
      <c r="D42" s="725"/>
    </row>
    <row r="43" spans="2:4" ht="24.95" customHeight="1" x14ac:dyDescent="0.2">
      <c r="B43" s="411">
        <v>23</v>
      </c>
      <c r="C43" s="456" t="s">
        <v>71</v>
      </c>
      <c r="D43" s="725"/>
    </row>
    <row r="44" spans="2:4" ht="20.100000000000001" customHeight="1" x14ac:dyDescent="0.2">
      <c r="B44" s="411">
        <v>24</v>
      </c>
      <c r="C44" s="456" t="s">
        <v>50</v>
      </c>
      <c r="D44" s="832"/>
    </row>
    <row r="45" spans="2:4" ht="20.100000000000001" customHeight="1" x14ac:dyDescent="0.2">
      <c r="B45" s="411">
        <v>25</v>
      </c>
      <c r="C45" s="456" t="s">
        <v>72</v>
      </c>
      <c r="D45" s="725"/>
    </row>
    <row r="46" spans="2:4" ht="20.100000000000001" customHeight="1" x14ac:dyDescent="0.2">
      <c r="B46" s="411" t="s">
        <v>73</v>
      </c>
      <c r="C46" s="456" t="s">
        <v>74</v>
      </c>
      <c r="D46" s="726">
        <f>75529957/1000000</f>
        <v>75.529956999999996</v>
      </c>
    </row>
    <row r="47" spans="2:4" ht="39.950000000000003" customHeight="1" x14ac:dyDescent="0.2">
      <c r="B47" s="411" t="s">
        <v>75</v>
      </c>
      <c r="C47" s="456" t="s">
        <v>76</v>
      </c>
      <c r="D47" s="725"/>
    </row>
    <row r="48" spans="2:4" ht="20.100000000000001" customHeight="1" x14ac:dyDescent="0.2">
      <c r="B48" s="411">
        <v>26</v>
      </c>
      <c r="C48" s="456" t="s">
        <v>50</v>
      </c>
      <c r="D48" s="829"/>
    </row>
    <row r="49" spans="2:4" ht="20.100000000000001" customHeight="1" x14ac:dyDescent="0.2">
      <c r="B49" s="411">
        <v>27</v>
      </c>
      <c r="C49" s="456" t="s">
        <v>77</v>
      </c>
      <c r="D49" s="726"/>
    </row>
    <row r="50" spans="2:4" ht="20.100000000000001" customHeight="1" x14ac:dyDescent="0.2">
      <c r="B50" s="411" t="s">
        <v>78</v>
      </c>
      <c r="C50" s="456" t="s">
        <v>79</v>
      </c>
      <c r="D50" s="726">
        <f>-224126488/1000000</f>
        <v>-224.12648799999999</v>
      </c>
    </row>
    <row r="51" spans="2:4" ht="20.100000000000001" customHeight="1" x14ac:dyDescent="0.2">
      <c r="B51" s="411">
        <v>28</v>
      </c>
      <c r="C51" s="408" t="s">
        <v>80</v>
      </c>
      <c r="D51" s="833">
        <f>D23+D24+D27+D35+D46+D50</f>
        <v>-1224.8053169999998</v>
      </c>
    </row>
    <row r="52" spans="2:4" ht="20.100000000000001" customHeight="1" x14ac:dyDescent="0.2">
      <c r="B52" s="421">
        <v>29</v>
      </c>
      <c r="C52" s="507" t="s">
        <v>81</v>
      </c>
      <c r="D52" s="831">
        <f>12350381946/1000000</f>
        <v>12350.381946</v>
      </c>
    </row>
    <row r="53" spans="2:4" ht="20.100000000000001" customHeight="1" x14ac:dyDescent="0.2">
      <c r="B53" s="963" t="s">
        <v>82</v>
      </c>
      <c r="C53" s="963"/>
      <c r="D53" s="963"/>
    </row>
    <row r="54" spans="2:4" ht="20.100000000000001" customHeight="1" x14ac:dyDescent="0.2">
      <c r="B54" s="411">
        <v>30</v>
      </c>
      <c r="C54" s="456" t="s">
        <v>33</v>
      </c>
      <c r="D54" s="726">
        <f>778343307/1000000</f>
        <v>778.34330699999998</v>
      </c>
    </row>
    <row r="55" spans="2:4" ht="20.100000000000001" customHeight="1" x14ac:dyDescent="0.2">
      <c r="B55" s="411">
        <v>31</v>
      </c>
      <c r="C55" s="456" t="s">
        <v>84</v>
      </c>
      <c r="D55" s="725">
        <v>600</v>
      </c>
    </row>
    <row r="56" spans="2:4" ht="20.100000000000001" customHeight="1" x14ac:dyDescent="0.2">
      <c r="B56" s="411">
        <v>32</v>
      </c>
      <c r="C56" s="456" t="s">
        <v>85</v>
      </c>
      <c r="D56" s="725"/>
    </row>
    <row r="57" spans="2:4" ht="24.95" customHeight="1" x14ac:dyDescent="0.2">
      <c r="B57" s="411">
        <v>33</v>
      </c>
      <c r="C57" s="456" t="s">
        <v>86</v>
      </c>
      <c r="D57" s="725"/>
    </row>
    <row r="58" spans="2:4" ht="20.100000000000001" customHeight="1" x14ac:dyDescent="0.2">
      <c r="B58" s="411" t="s">
        <v>87</v>
      </c>
      <c r="C58" s="456" t="s">
        <v>88</v>
      </c>
      <c r="D58" s="725"/>
    </row>
    <row r="59" spans="2:4" ht="20.100000000000001" customHeight="1" x14ac:dyDescent="0.2">
      <c r="B59" s="411" t="s">
        <v>89</v>
      </c>
      <c r="C59" s="456" t="s">
        <v>90</v>
      </c>
      <c r="D59" s="725"/>
    </row>
    <row r="60" spans="2:4" ht="24.95" customHeight="1" x14ac:dyDescent="0.2">
      <c r="B60" s="411">
        <v>34</v>
      </c>
      <c r="C60" s="456" t="s">
        <v>91</v>
      </c>
      <c r="D60" s="725"/>
    </row>
    <row r="61" spans="2:4" ht="20.100000000000001" customHeight="1" x14ac:dyDescent="0.2">
      <c r="B61" s="411">
        <v>35</v>
      </c>
      <c r="C61" s="456" t="s">
        <v>92</v>
      </c>
      <c r="D61" s="725"/>
    </row>
    <row r="62" spans="2:4" ht="20.100000000000001" customHeight="1" x14ac:dyDescent="0.2">
      <c r="B62" s="439">
        <v>36</v>
      </c>
      <c r="C62" s="507" t="s">
        <v>93</v>
      </c>
      <c r="D62" s="831">
        <f>778343307/1000000</f>
        <v>778.34330699999998</v>
      </c>
    </row>
    <row r="63" spans="2:4" ht="20.100000000000001" customHeight="1" x14ac:dyDescent="0.2">
      <c r="B63" s="963" t="s">
        <v>94</v>
      </c>
      <c r="C63" s="963"/>
      <c r="D63" s="963"/>
    </row>
    <row r="64" spans="2:4" ht="20.100000000000001" customHeight="1" x14ac:dyDescent="0.2">
      <c r="B64" s="411">
        <v>37</v>
      </c>
      <c r="C64" s="456" t="s">
        <v>95</v>
      </c>
      <c r="D64" s="725"/>
    </row>
    <row r="65" spans="2:7" ht="39.950000000000003" customHeight="1" x14ac:dyDescent="0.2">
      <c r="B65" s="411">
        <v>38</v>
      </c>
      <c r="C65" s="456" t="s">
        <v>96</v>
      </c>
      <c r="D65" s="725"/>
    </row>
    <row r="66" spans="2:7" ht="39.950000000000003" customHeight="1" x14ac:dyDescent="0.2">
      <c r="B66" s="411">
        <v>39</v>
      </c>
      <c r="C66" s="456" t="s">
        <v>97</v>
      </c>
      <c r="D66" s="725"/>
    </row>
    <row r="67" spans="2:7" ht="38.25" x14ac:dyDescent="0.2">
      <c r="B67" s="411">
        <v>40</v>
      </c>
      <c r="C67" s="456" t="s">
        <v>98</v>
      </c>
      <c r="D67" s="726">
        <f>-47139560/1000000</f>
        <v>-47.139560000000003</v>
      </c>
    </row>
    <row r="68" spans="2:7" ht="20.100000000000001" customHeight="1" x14ac:dyDescent="0.2">
      <c r="B68" s="411">
        <v>41</v>
      </c>
      <c r="C68" s="456" t="s">
        <v>50</v>
      </c>
      <c r="D68" s="832"/>
    </row>
    <row r="69" spans="2:7" ht="20.100000000000001" customHeight="1" x14ac:dyDescent="0.2">
      <c r="B69" s="411">
        <v>42</v>
      </c>
      <c r="C69" s="456" t="s">
        <v>99</v>
      </c>
      <c r="D69" s="725"/>
    </row>
    <row r="70" spans="2:7" ht="20.100000000000001" customHeight="1" x14ac:dyDescent="0.2">
      <c r="B70" s="411" t="s">
        <v>100</v>
      </c>
      <c r="C70" s="456" t="s">
        <v>101</v>
      </c>
      <c r="D70" s="725"/>
    </row>
    <row r="71" spans="2:7" ht="20.100000000000001" customHeight="1" x14ac:dyDescent="0.2">
      <c r="B71" s="488">
        <v>43</v>
      </c>
      <c r="C71" s="408" t="s">
        <v>102</v>
      </c>
      <c r="D71" s="833">
        <f>D67</f>
        <v>-47.139560000000003</v>
      </c>
    </row>
    <row r="72" spans="2:7" ht="20.100000000000001" customHeight="1" x14ac:dyDescent="0.2">
      <c r="B72" s="488">
        <v>44</v>
      </c>
      <c r="C72" s="408" t="s">
        <v>103</v>
      </c>
      <c r="D72" s="833">
        <f>D62+D67</f>
        <v>731.20374700000002</v>
      </c>
      <c r="G72" s="350"/>
    </row>
    <row r="73" spans="2:7" ht="20.100000000000001" customHeight="1" x14ac:dyDescent="0.2">
      <c r="B73" s="439">
        <v>45</v>
      </c>
      <c r="C73" s="507" t="s">
        <v>104</v>
      </c>
      <c r="D73" s="831">
        <f>D52+D72</f>
        <v>13081.585692999999</v>
      </c>
    </row>
    <row r="74" spans="2:7" ht="20.100000000000001" customHeight="1" x14ac:dyDescent="0.2">
      <c r="B74" s="963" t="s">
        <v>105</v>
      </c>
      <c r="C74" s="963"/>
      <c r="D74" s="963"/>
    </row>
    <row r="75" spans="2:7" ht="20.100000000000001" customHeight="1" x14ac:dyDescent="0.2">
      <c r="B75" s="411">
        <v>46</v>
      </c>
      <c r="C75" s="456" t="s">
        <v>106</v>
      </c>
      <c r="D75" s="726">
        <f>1321940025/1000000</f>
        <v>1321.9400250000001</v>
      </c>
    </row>
    <row r="76" spans="2:7" ht="24.95" customHeight="1" x14ac:dyDescent="0.2">
      <c r="B76" s="411">
        <v>47</v>
      </c>
      <c r="C76" s="456" t="s">
        <v>107</v>
      </c>
      <c r="D76" s="725"/>
    </row>
    <row r="77" spans="2:7" ht="20.100000000000001" customHeight="1" x14ac:dyDescent="0.2">
      <c r="B77" s="411" t="s">
        <v>108</v>
      </c>
      <c r="C77" s="456" t="s">
        <v>109</v>
      </c>
      <c r="D77" s="725"/>
    </row>
    <row r="78" spans="2:7" ht="20.100000000000001" customHeight="1" x14ac:dyDescent="0.2">
      <c r="B78" s="411" t="s">
        <v>110</v>
      </c>
      <c r="C78" s="456" t="s">
        <v>111</v>
      </c>
      <c r="D78" s="725"/>
    </row>
    <row r="79" spans="2:7" ht="39.950000000000003" customHeight="1" x14ac:dyDescent="0.2">
      <c r="B79" s="411">
        <v>48</v>
      </c>
      <c r="C79" s="456" t="s">
        <v>112</v>
      </c>
      <c r="D79" s="725"/>
    </row>
    <row r="80" spans="2:7" ht="20.100000000000001" customHeight="1" x14ac:dyDescent="0.2">
      <c r="B80" s="411">
        <v>49</v>
      </c>
      <c r="C80" s="456" t="s">
        <v>113</v>
      </c>
      <c r="D80" s="725"/>
    </row>
    <row r="81" spans="2:4" ht="20.100000000000001" customHeight="1" x14ac:dyDescent="0.2">
      <c r="B81" s="411">
        <v>50</v>
      </c>
      <c r="C81" s="456" t="s">
        <v>114</v>
      </c>
      <c r="D81" s="726">
        <f>44604137/1000000</f>
        <v>44.604137000000001</v>
      </c>
    </row>
    <row r="82" spans="2:4" ht="20.100000000000001" customHeight="1" x14ac:dyDescent="0.2">
      <c r="B82" s="439">
        <v>51</v>
      </c>
      <c r="C82" s="507" t="s">
        <v>115</v>
      </c>
      <c r="D82" s="831">
        <f>1366544162/1000000</f>
        <v>1366.5441619999999</v>
      </c>
    </row>
    <row r="83" spans="2:4" ht="20.100000000000001" customHeight="1" x14ac:dyDescent="0.2">
      <c r="B83" s="963" t="s">
        <v>116</v>
      </c>
      <c r="C83" s="963"/>
      <c r="D83" s="963"/>
    </row>
    <row r="84" spans="2:4" ht="24.95" customHeight="1" x14ac:dyDescent="0.2">
      <c r="B84" s="411">
        <v>52</v>
      </c>
      <c r="C84" s="456" t="s">
        <v>117</v>
      </c>
      <c r="D84" s="725"/>
    </row>
    <row r="85" spans="2:4" ht="39.950000000000003" customHeight="1" x14ac:dyDescent="0.2">
      <c r="B85" s="411">
        <v>53</v>
      </c>
      <c r="C85" s="456" t="s">
        <v>118</v>
      </c>
      <c r="D85" s="725"/>
    </row>
    <row r="86" spans="2:4" ht="39.950000000000003" customHeight="1" x14ac:dyDescent="0.2">
      <c r="B86" s="411">
        <v>54</v>
      </c>
      <c r="C86" s="456" t="s">
        <v>119</v>
      </c>
      <c r="D86" s="725"/>
    </row>
    <row r="87" spans="2:4" ht="20.100000000000001" customHeight="1" x14ac:dyDescent="0.2">
      <c r="B87" s="411" t="s">
        <v>120</v>
      </c>
      <c r="C87" s="456" t="s">
        <v>50</v>
      </c>
      <c r="D87" s="832"/>
    </row>
    <row r="88" spans="2:4" ht="39.950000000000003" customHeight="1" x14ac:dyDescent="0.2">
      <c r="B88" s="411">
        <v>55</v>
      </c>
      <c r="C88" s="456" t="s">
        <v>121</v>
      </c>
      <c r="D88" s="726">
        <f>-218047087/1000000</f>
        <v>-218.047087</v>
      </c>
    </row>
    <row r="89" spans="2:4" ht="20.100000000000001" customHeight="1" x14ac:dyDescent="0.2">
      <c r="B89" s="411">
        <v>56</v>
      </c>
      <c r="C89" s="456" t="s">
        <v>50</v>
      </c>
      <c r="D89" s="725"/>
    </row>
    <row r="90" spans="2:4" ht="24.95" customHeight="1" x14ac:dyDescent="0.2">
      <c r="B90" s="411" t="s">
        <v>3500</v>
      </c>
      <c r="C90" s="456" t="s">
        <v>122</v>
      </c>
      <c r="D90" s="725"/>
    </row>
    <row r="91" spans="2:4" ht="20.100000000000001" customHeight="1" x14ac:dyDescent="0.2">
      <c r="B91" s="411" t="s">
        <v>123</v>
      </c>
      <c r="C91" s="456" t="s">
        <v>124</v>
      </c>
      <c r="D91" s="725"/>
    </row>
    <row r="92" spans="2:4" ht="20.100000000000001" customHeight="1" x14ac:dyDescent="0.2">
      <c r="B92" s="488">
        <v>57</v>
      </c>
      <c r="C92" s="408" t="s">
        <v>125</v>
      </c>
      <c r="D92" s="833">
        <f>D88</f>
        <v>-218.047087</v>
      </c>
    </row>
    <row r="93" spans="2:4" ht="20.100000000000001" customHeight="1" x14ac:dyDescent="0.2">
      <c r="B93" s="488">
        <v>58</v>
      </c>
      <c r="C93" s="408" t="s">
        <v>126</v>
      </c>
      <c r="D93" s="726">
        <f>D82+D92</f>
        <v>1148.497075</v>
      </c>
    </row>
    <row r="94" spans="2:4" ht="20.100000000000001" customHeight="1" x14ac:dyDescent="0.2">
      <c r="B94" s="439">
        <v>59</v>
      </c>
      <c r="C94" s="507" t="s">
        <v>127</v>
      </c>
      <c r="D94" s="831">
        <f>D73+D93</f>
        <v>14230.082767999998</v>
      </c>
    </row>
    <row r="95" spans="2:4" ht="20.100000000000001" customHeight="1" x14ac:dyDescent="0.2">
      <c r="B95" s="439">
        <v>60</v>
      </c>
      <c r="C95" s="507" t="s">
        <v>128</v>
      </c>
      <c r="D95" s="831">
        <f>71399318019/1000000</f>
        <v>71399.318018999998</v>
      </c>
    </row>
    <row r="96" spans="2:4" ht="20.100000000000001" customHeight="1" x14ac:dyDescent="0.2">
      <c r="B96" s="963" t="s">
        <v>129</v>
      </c>
      <c r="C96" s="963"/>
      <c r="D96" s="963"/>
    </row>
    <row r="97" spans="2:4" ht="20.100000000000001" customHeight="1" x14ac:dyDescent="0.2">
      <c r="B97" s="411">
        <v>61</v>
      </c>
      <c r="C97" s="456" t="s">
        <v>130</v>
      </c>
      <c r="D97" s="834">
        <v>0.17297618925034344</v>
      </c>
    </row>
    <row r="98" spans="2:4" ht="20.100000000000001" customHeight="1" x14ac:dyDescent="0.2">
      <c r="B98" s="411">
        <v>62</v>
      </c>
      <c r="C98" s="456" t="s">
        <v>131</v>
      </c>
      <c r="D98" s="834">
        <v>0.18321723590579497</v>
      </c>
    </row>
    <row r="99" spans="2:4" ht="20.100000000000001" customHeight="1" x14ac:dyDescent="0.2">
      <c r="B99" s="411">
        <v>63</v>
      </c>
      <c r="C99" s="456" t="s">
        <v>132</v>
      </c>
      <c r="D99" s="834">
        <v>0.19930278275505722</v>
      </c>
    </row>
    <row r="100" spans="2:4" ht="20.100000000000001" customHeight="1" x14ac:dyDescent="0.2">
      <c r="B100" s="411">
        <v>64</v>
      </c>
      <c r="C100" s="456" t="s">
        <v>133</v>
      </c>
      <c r="D100" s="834">
        <v>0.14949999999999999</v>
      </c>
    </row>
    <row r="101" spans="2:4" ht="20.100000000000001" customHeight="1" x14ac:dyDescent="0.2">
      <c r="B101" s="411">
        <v>65</v>
      </c>
      <c r="C101" s="456" t="s">
        <v>134</v>
      </c>
      <c r="D101" s="835">
        <v>2.5000000000000001E-2</v>
      </c>
    </row>
    <row r="102" spans="2:4" ht="20.100000000000001" customHeight="1" x14ac:dyDescent="0.2">
      <c r="B102" s="411">
        <v>66</v>
      </c>
      <c r="C102" s="456" t="s">
        <v>135</v>
      </c>
      <c r="D102" s="835">
        <v>0.02</v>
      </c>
    </row>
    <row r="103" spans="2:4" ht="20.100000000000001" customHeight="1" x14ac:dyDescent="0.2">
      <c r="B103" s="411">
        <v>67</v>
      </c>
      <c r="C103" s="456" t="s">
        <v>136</v>
      </c>
      <c r="D103" s="835">
        <v>4.4499999999999998E-2</v>
      </c>
    </row>
    <row r="104" spans="2:4" ht="24.95" customHeight="1" x14ac:dyDescent="0.2">
      <c r="B104" s="411" t="s">
        <v>137</v>
      </c>
      <c r="C104" s="456" t="s">
        <v>138</v>
      </c>
      <c r="D104" s="725"/>
    </row>
    <row r="105" spans="2:4" ht="24.95" customHeight="1" x14ac:dyDescent="0.2">
      <c r="B105" s="452" t="s">
        <v>139</v>
      </c>
      <c r="C105" s="457" t="s">
        <v>140</v>
      </c>
      <c r="D105" s="836">
        <v>1.4999999999999999E-2</v>
      </c>
    </row>
    <row r="106" spans="2:4" ht="24.95" customHeight="1" x14ac:dyDescent="0.2">
      <c r="B106" s="411">
        <v>68</v>
      </c>
      <c r="C106" s="408" t="s">
        <v>141</v>
      </c>
      <c r="D106" s="835">
        <v>0.128</v>
      </c>
    </row>
    <row r="107" spans="2:4" ht="20.100000000000001" customHeight="1" x14ac:dyDescent="0.2">
      <c r="B107" s="411">
        <v>69</v>
      </c>
      <c r="C107" s="456" t="s">
        <v>50</v>
      </c>
      <c r="D107" s="832"/>
    </row>
    <row r="108" spans="2:4" ht="20.100000000000001" customHeight="1" x14ac:dyDescent="0.2">
      <c r="B108" s="411">
        <v>70</v>
      </c>
      <c r="C108" s="456" t="s">
        <v>50</v>
      </c>
      <c r="D108" s="832"/>
    </row>
    <row r="109" spans="2:4" ht="20.100000000000001" customHeight="1" x14ac:dyDescent="0.2">
      <c r="B109" s="411">
        <v>71</v>
      </c>
      <c r="C109" s="456" t="s">
        <v>50</v>
      </c>
      <c r="D109" s="832"/>
    </row>
    <row r="110" spans="2:4" ht="20.100000000000001" customHeight="1" x14ac:dyDescent="0.2">
      <c r="B110" s="963" t="s">
        <v>142</v>
      </c>
      <c r="C110" s="963"/>
      <c r="D110" s="963"/>
    </row>
    <row r="111" spans="2:4" ht="39.950000000000003" customHeight="1" x14ac:dyDescent="0.2">
      <c r="B111" s="411">
        <v>72</v>
      </c>
      <c r="C111" s="456" t="s">
        <v>143</v>
      </c>
      <c r="D111" s="726">
        <f>1163729906/1000000</f>
        <v>1163.729906</v>
      </c>
    </row>
    <row r="112" spans="2:4" ht="39.950000000000003" customHeight="1" x14ac:dyDescent="0.2">
      <c r="B112" s="411">
        <v>73</v>
      </c>
      <c r="C112" s="456" t="s">
        <v>144</v>
      </c>
      <c r="D112" s="726">
        <f>1347634892/1000000</f>
        <v>1347.634892</v>
      </c>
    </row>
    <row r="113" spans="2:4" ht="20.100000000000001" customHeight="1" x14ac:dyDescent="0.2">
      <c r="B113" s="411">
        <v>74</v>
      </c>
      <c r="C113" s="456" t="s">
        <v>50</v>
      </c>
      <c r="D113" s="725"/>
    </row>
    <row r="114" spans="2:4" ht="24.95" customHeight="1" x14ac:dyDescent="0.2">
      <c r="B114" s="411">
        <v>75</v>
      </c>
      <c r="C114" s="456" t="s">
        <v>145</v>
      </c>
      <c r="D114" s="725"/>
    </row>
    <row r="115" spans="2:4" ht="20.100000000000001" customHeight="1" x14ac:dyDescent="0.2">
      <c r="B115" s="963" t="s">
        <v>146</v>
      </c>
      <c r="C115" s="963"/>
      <c r="D115" s="963"/>
    </row>
    <row r="116" spans="2:4" ht="24.95" customHeight="1" x14ac:dyDescent="0.2">
      <c r="B116" s="411">
        <v>76</v>
      </c>
      <c r="C116" s="456" t="s">
        <v>147</v>
      </c>
      <c r="D116" s="726">
        <f>44604137/1000000</f>
        <v>44.604137000000001</v>
      </c>
    </row>
    <row r="117" spans="2:4" ht="20.100000000000001" customHeight="1" x14ac:dyDescent="0.2">
      <c r="B117" s="411">
        <v>77</v>
      </c>
      <c r="C117" s="456" t="s">
        <v>148</v>
      </c>
      <c r="D117" s="726">
        <f>557551.7125/1000000</f>
        <v>0.55755171250000002</v>
      </c>
    </row>
    <row r="118" spans="2:4" x14ac:dyDescent="0.2">
      <c r="B118" s="964">
        <v>78</v>
      </c>
      <c r="C118" s="965" t="s">
        <v>149</v>
      </c>
      <c r="D118" s="966">
        <v>45</v>
      </c>
    </row>
    <row r="119" spans="2:4" x14ac:dyDescent="0.2">
      <c r="B119" s="964"/>
      <c r="C119" s="965"/>
      <c r="D119" s="966"/>
    </row>
    <row r="120" spans="2:4" ht="1.5" customHeight="1" x14ac:dyDescent="0.2">
      <c r="B120" s="964"/>
      <c r="C120" s="965"/>
      <c r="D120" s="966"/>
    </row>
    <row r="121" spans="2:4" ht="20.100000000000001" customHeight="1" x14ac:dyDescent="0.2">
      <c r="B121" s="411">
        <v>79</v>
      </c>
      <c r="C121" s="456" t="s">
        <v>150</v>
      </c>
      <c r="D121" s="726">
        <f>271023604.068/1000000</f>
        <v>271.023604068</v>
      </c>
    </row>
    <row r="122" spans="2:4" ht="20.100000000000001" customHeight="1" x14ac:dyDescent="0.2">
      <c r="B122" s="962" t="s">
        <v>151</v>
      </c>
      <c r="C122" s="962"/>
      <c r="D122" s="962"/>
    </row>
    <row r="123" spans="2:4" ht="20.100000000000001" customHeight="1" x14ac:dyDescent="0.2">
      <c r="B123" s="411">
        <v>80</v>
      </c>
      <c r="C123" s="456" t="s">
        <v>152</v>
      </c>
      <c r="D123" s="411"/>
    </row>
    <row r="124" spans="2:4" ht="20.100000000000001" customHeight="1" x14ac:dyDescent="0.2">
      <c r="B124" s="411">
        <v>81</v>
      </c>
      <c r="C124" s="456" t="s">
        <v>153</v>
      </c>
      <c r="D124" s="411"/>
    </row>
    <row r="125" spans="2:4" ht="20.100000000000001" customHeight="1" x14ac:dyDescent="0.2">
      <c r="B125" s="411">
        <v>82</v>
      </c>
      <c r="C125" s="456" t="s">
        <v>154</v>
      </c>
      <c r="D125" s="411"/>
    </row>
    <row r="126" spans="2:4" ht="20.100000000000001" customHeight="1" x14ac:dyDescent="0.2">
      <c r="B126" s="411">
        <v>83</v>
      </c>
      <c r="C126" s="456" t="s">
        <v>155</v>
      </c>
      <c r="D126" s="411"/>
    </row>
    <row r="127" spans="2:4" ht="20.100000000000001" customHeight="1" x14ac:dyDescent="0.2">
      <c r="B127" s="411">
        <v>84</v>
      </c>
      <c r="C127" s="456" t="s">
        <v>156</v>
      </c>
      <c r="D127" s="411"/>
    </row>
    <row r="128" spans="2:4" ht="20.100000000000001" customHeight="1" x14ac:dyDescent="0.2">
      <c r="B128" s="411">
        <v>85</v>
      </c>
      <c r="C128" s="456" t="s">
        <v>157</v>
      </c>
      <c r="D128" s="411"/>
    </row>
  </sheetData>
  <sheetProtection algorithmName="SHA-512" hashValue="GUNN3PTGq1CPIS95JHLX2Fg4ryrh65JZYiwRcKiQqEfqXulTfdfAybf46X8JGraVdzVv6LRIkp6WrCezX1fCJQ==" saltValue="nmpym7IBjsccwYzgYSX45w==" spinCount="100000" sheet="1" objects="1" scenarios="1"/>
  <mergeCells count="14">
    <mergeCell ref="B74:D74"/>
    <mergeCell ref="B9:C9"/>
    <mergeCell ref="B10:D10"/>
    <mergeCell ref="B22:D22"/>
    <mergeCell ref="B53:D53"/>
    <mergeCell ref="B63:D63"/>
    <mergeCell ref="B122:D122"/>
    <mergeCell ref="B83:D83"/>
    <mergeCell ref="B96:D96"/>
    <mergeCell ref="B110:D110"/>
    <mergeCell ref="B115:D115"/>
    <mergeCell ref="B118:B120"/>
    <mergeCell ref="C118:C120"/>
    <mergeCell ref="D118:D120"/>
  </mergeCells>
  <hyperlinks>
    <hyperlink ref="B2" location="Contents!A1" display="Back to Contents page" xr:uid="{7369773E-6359-4D34-945E-CB70132D4AAC}"/>
  </hyperlinks>
  <pageMargins left="0.7" right="0.7" top="0.75" bottom="0.75" header="0.3" footer="0.3"/>
  <pageSetup paperSize="9" scale="20" orientation="portrait" horizontalDpi="144" verticalDpi="14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62711-1DBA-4AFF-AE8A-9D77D4175D30}">
  <sheetPr>
    <pageSetUpPr fitToPage="1"/>
  </sheetPr>
  <dimension ref="B2:S37"/>
  <sheetViews>
    <sheetView showGridLines="0" showRowColHeaders="0" zoomScale="80" zoomScaleNormal="80" workbookViewId="0">
      <selection activeCell="B2" sqref="B2"/>
    </sheetView>
  </sheetViews>
  <sheetFormatPr baseColWidth="10" defaultColWidth="7" defaultRowHeight="12.75" x14ac:dyDescent="0.2"/>
  <cols>
    <col min="1" max="1" width="3.88671875" style="254" customWidth="1"/>
    <col min="2" max="2" width="6.21875" style="254" customWidth="1"/>
    <col min="3" max="3" width="58.88671875" style="254" customWidth="1"/>
    <col min="4" max="5" width="13.88671875" style="254" customWidth="1"/>
    <col min="6" max="16384" width="7" style="254"/>
  </cols>
  <sheetData>
    <row r="2" spans="2:19" ht="15" x14ac:dyDescent="0.25">
      <c r="B2" s="940" t="s">
        <v>3521</v>
      </c>
      <c r="C2" s="348"/>
    </row>
    <row r="3" spans="2:19" x14ac:dyDescent="0.2">
      <c r="B3" s="340"/>
    </row>
    <row r="4" spans="2:19" ht="21" x14ac:dyDescent="0.2">
      <c r="B4" s="374" t="s">
        <v>3495</v>
      </c>
      <c r="C4" s="279"/>
      <c r="D4" s="279"/>
      <c r="E4" s="279"/>
      <c r="F4" s="279"/>
      <c r="G4" s="279"/>
      <c r="H4" s="279"/>
      <c r="I4" s="279"/>
      <c r="J4" s="279"/>
      <c r="K4" s="279"/>
      <c r="L4" s="279"/>
      <c r="M4" s="279"/>
      <c r="N4" s="279"/>
      <c r="O4" s="279"/>
      <c r="P4" s="279"/>
      <c r="Q4" s="279"/>
      <c r="R4" s="279"/>
      <c r="S4" s="279"/>
    </row>
    <row r="5" spans="2:19" x14ac:dyDescent="0.2">
      <c r="C5" s="279"/>
      <c r="D5" s="279"/>
      <c r="E5" s="279"/>
      <c r="F5" s="279"/>
      <c r="G5" s="279"/>
      <c r="H5" s="279"/>
      <c r="I5" s="279"/>
      <c r="J5" s="279"/>
      <c r="K5" s="279"/>
      <c r="L5" s="279"/>
      <c r="M5" s="279"/>
      <c r="N5" s="279"/>
      <c r="O5" s="279"/>
      <c r="P5" s="279"/>
      <c r="Q5" s="279"/>
      <c r="R5" s="279"/>
      <c r="S5" s="279"/>
    </row>
    <row r="6" spans="2:19" x14ac:dyDescent="0.2">
      <c r="B6" s="279"/>
      <c r="C6" s="279"/>
      <c r="D6" s="279"/>
      <c r="E6" s="279"/>
      <c r="F6" s="279"/>
      <c r="G6" s="279"/>
      <c r="H6" s="279"/>
      <c r="I6" s="279"/>
      <c r="J6" s="279"/>
      <c r="K6" s="279"/>
      <c r="L6" s="279"/>
      <c r="M6" s="279"/>
      <c r="N6" s="279"/>
      <c r="O6" s="279"/>
      <c r="P6" s="279"/>
      <c r="Q6" s="279"/>
      <c r="R6" s="279"/>
      <c r="S6" s="279"/>
    </row>
    <row r="7" spans="2:19" x14ac:dyDescent="0.2">
      <c r="D7" s="489" t="s">
        <v>161</v>
      </c>
      <c r="E7" s="489" t="s">
        <v>162</v>
      </c>
    </row>
    <row r="8" spans="2:19" ht="48.75" customHeight="1" x14ac:dyDescent="0.2">
      <c r="C8" s="278"/>
      <c r="D8" s="827" t="s">
        <v>3494</v>
      </c>
      <c r="E8" s="827" t="s">
        <v>3493</v>
      </c>
    </row>
    <row r="9" spans="2:19" ht="20.100000000000001" customHeight="1" x14ac:dyDescent="0.2">
      <c r="C9" s="278"/>
      <c r="D9" s="826">
        <v>44926</v>
      </c>
      <c r="E9" s="826">
        <v>44926</v>
      </c>
    </row>
    <row r="10" spans="2:19" ht="20.100000000000001" customHeight="1" x14ac:dyDescent="0.2">
      <c r="B10" s="968" t="s">
        <v>3517</v>
      </c>
      <c r="C10" s="968"/>
      <c r="D10" s="968"/>
      <c r="E10" s="968"/>
    </row>
    <row r="11" spans="2:19" ht="20.100000000000001" customHeight="1" x14ac:dyDescent="0.2">
      <c r="B11" s="431">
        <v>1</v>
      </c>
      <c r="C11" s="503" t="s">
        <v>3622</v>
      </c>
      <c r="D11" s="823">
        <v>145</v>
      </c>
      <c r="E11" s="823">
        <f>957302762/1000000</f>
        <v>957.30276200000003</v>
      </c>
    </row>
    <row r="12" spans="2:19" ht="20.100000000000001" customHeight="1" x14ac:dyDescent="0.2">
      <c r="B12" s="431">
        <v>2</v>
      </c>
      <c r="C12" s="503" t="s">
        <v>3623</v>
      </c>
      <c r="D12" s="823">
        <v>94637</v>
      </c>
      <c r="E12" s="823">
        <f>138746934558/1000000</f>
        <v>138746.93455800001</v>
      </c>
    </row>
    <row r="13" spans="2:19" ht="20.100000000000001" customHeight="1" x14ac:dyDescent="0.2">
      <c r="B13" s="431">
        <v>3</v>
      </c>
      <c r="C13" s="503" t="s">
        <v>3570</v>
      </c>
      <c r="D13" s="823">
        <v>1528</v>
      </c>
      <c r="E13" s="823">
        <f>1617654791/1000000</f>
        <v>1617.6547909999999</v>
      </c>
    </row>
    <row r="14" spans="2:19" ht="20.100000000000001" customHeight="1" x14ac:dyDescent="0.2">
      <c r="B14" s="431">
        <v>4</v>
      </c>
      <c r="C14" s="503" t="s">
        <v>3624</v>
      </c>
      <c r="D14" s="823">
        <v>18073</v>
      </c>
      <c r="E14" s="823">
        <f>23311723541/1000000</f>
        <v>23311.723540999999</v>
      </c>
    </row>
    <row r="15" spans="2:19" ht="20.100000000000001" customHeight="1" x14ac:dyDescent="0.2">
      <c r="B15" s="431">
        <v>5</v>
      </c>
      <c r="C15" s="503" t="s">
        <v>3572</v>
      </c>
      <c r="D15" s="823">
        <v>1458</v>
      </c>
      <c r="E15" s="823">
        <f>2093832938/1000000</f>
        <v>2093.832938</v>
      </c>
    </row>
    <row r="16" spans="2:19" ht="20.100000000000001" customHeight="1" x14ac:dyDescent="0.2">
      <c r="B16" s="431">
        <v>6</v>
      </c>
      <c r="C16" s="503" t="s">
        <v>3625</v>
      </c>
      <c r="D16" s="823">
        <v>5063</v>
      </c>
      <c r="E16" s="823">
        <f>2441932767/1000000</f>
        <v>2441.9327669999998</v>
      </c>
    </row>
    <row r="17" spans="2:5" ht="20.100000000000001" customHeight="1" x14ac:dyDescent="0.2">
      <c r="B17" s="431">
        <v>7</v>
      </c>
      <c r="C17" s="503" t="s">
        <v>3626</v>
      </c>
      <c r="D17" s="823">
        <v>829</v>
      </c>
      <c r="E17" s="823">
        <f>861856602/1000000</f>
        <v>861.85660199999995</v>
      </c>
    </row>
    <row r="18" spans="2:5" ht="20.100000000000001" customHeight="1" x14ac:dyDescent="0.2">
      <c r="B18" s="431">
        <v>8</v>
      </c>
      <c r="C18" s="503" t="s">
        <v>2946</v>
      </c>
      <c r="D18" s="823">
        <v>788</v>
      </c>
      <c r="E18" s="823">
        <f>934326551/1000000</f>
        <v>934.32655099999999</v>
      </c>
    </row>
    <row r="19" spans="2:5" ht="20.100000000000001" customHeight="1" x14ac:dyDescent="0.2">
      <c r="B19" s="699">
        <v>9</v>
      </c>
      <c r="C19" s="822" t="s">
        <v>3492</v>
      </c>
      <c r="D19" s="824">
        <f>SUM(D11:D18)</f>
        <v>122521</v>
      </c>
      <c r="E19" s="824">
        <f>SUM(E11:E18)</f>
        <v>170965.56451000003</v>
      </c>
    </row>
    <row r="20" spans="2:5" ht="20.100000000000001" customHeight="1" x14ac:dyDescent="0.2">
      <c r="B20" s="968" t="s">
        <v>3518</v>
      </c>
      <c r="C20" s="968"/>
      <c r="D20" s="968"/>
      <c r="E20" s="968"/>
    </row>
    <row r="21" spans="2:5" ht="20.100000000000001" customHeight="1" x14ac:dyDescent="0.2">
      <c r="B21" s="431">
        <v>1</v>
      </c>
      <c r="C21" s="503" t="s">
        <v>3627</v>
      </c>
      <c r="D21" s="823">
        <v>80669</v>
      </c>
      <c r="E21" s="823">
        <f>83969862885/1000000</f>
        <v>83969.862884999995</v>
      </c>
    </row>
    <row r="22" spans="2:5" ht="20.100000000000001" customHeight="1" x14ac:dyDescent="0.2">
      <c r="B22" s="431">
        <v>2</v>
      </c>
      <c r="C22" s="503" t="s">
        <v>3580</v>
      </c>
      <c r="D22" s="823">
        <v>15336</v>
      </c>
      <c r="E22" s="823">
        <f>(63764949749/1000000)-5985</f>
        <v>57779.949748999999</v>
      </c>
    </row>
    <row r="23" spans="2:5" ht="20.100000000000001" customHeight="1" x14ac:dyDescent="0.2">
      <c r="B23" s="431">
        <v>3</v>
      </c>
      <c r="C23" s="503" t="s">
        <v>3572</v>
      </c>
      <c r="D23" s="823">
        <v>1259</v>
      </c>
      <c r="E23" s="823">
        <f>3156989115/1000000</f>
        <v>3156.9891149999999</v>
      </c>
    </row>
    <row r="24" spans="2:5" ht="20.100000000000001" customHeight="1" x14ac:dyDescent="0.2">
      <c r="B24" s="431">
        <v>4</v>
      </c>
      <c r="C24" s="503" t="s">
        <v>3581</v>
      </c>
      <c r="D24" s="823">
        <v>3414</v>
      </c>
      <c r="E24" s="894">
        <v>3712.45</v>
      </c>
    </row>
    <row r="25" spans="2:5" ht="20.100000000000001" customHeight="1" x14ac:dyDescent="0.2">
      <c r="B25" s="431">
        <v>5</v>
      </c>
      <c r="C25" s="503" t="s">
        <v>3628</v>
      </c>
      <c r="D25" s="823">
        <v>5718</v>
      </c>
      <c r="E25" s="823">
        <f>4664+1321</f>
        <v>5985</v>
      </c>
    </row>
    <row r="26" spans="2:5" ht="20.100000000000001" customHeight="1" x14ac:dyDescent="0.2">
      <c r="B26" s="699">
        <v>6</v>
      </c>
      <c r="C26" s="822" t="s">
        <v>3491</v>
      </c>
      <c r="D26" s="824">
        <f>SUM(D21:D25)</f>
        <v>106396</v>
      </c>
      <c r="E26" s="824">
        <f>SUM(E21:E25)</f>
        <v>154604.25174900002</v>
      </c>
    </row>
    <row r="27" spans="2:5" ht="20.100000000000001" customHeight="1" x14ac:dyDescent="0.2">
      <c r="B27" s="969" t="s">
        <v>3490</v>
      </c>
      <c r="C27" s="970"/>
      <c r="D27" s="970"/>
      <c r="E27" s="970"/>
    </row>
    <row r="28" spans="2:5" ht="20.100000000000001" customHeight="1" x14ac:dyDescent="0.2">
      <c r="B28" s="431">
        <v>1</v>
      </c>
      <c r="C28" s="503" t="s">
        <v>3629</v>
      </c>
      <c r="D28" s="823">
        <v>2650</v>
      </c>
      <c r="E28" s="823">
        <v>2650</v>
      </c>
    </row>
    <row r="29" spans="2:5" ht="20.100000000000001" customHeight="1" x14ac:dyDescent="0.2">
      <c r="B29" s="431">
        <v>2</v>
      </c>
      <c r="C29" s="503" t="s">
        <v>3409</v>
      </c>
      <c r="D29" s="823">
        <v>600</v>
      </c>
      <c r="E29" s="823">
        <f>778343307/1000000</f>
        <v>778.34330699999998</v>
      </c>
    </row>
    <row r="30" spans="2:5" ht="20.100000000000001" customHeight="1" x14ac:dyDescent="0.2">
      <c r="B30" s="431">
        <v>3</v>
      </c>
      <c r="C30" s="503" t="s">
        <v>3630</v>
      </c>
      <c r="D30" s="823">
        <v>4441</v>
      </c>
      <c r="E30" s="823">
        <v>4441</v>
      </c>
    </row>
    <row r="31" spans="2:5" ht="20.100000000000001" customHeight="1" x14ac:dyDescent="0.2">
      <c r="B31" s="431">
        <v>4</v>
      </c>
      <c r="C31" s="503" t="s">
        <v>3632</v>
      </c>
      <c r="D31" s="823">
        <v>8203</v>
      </c>
      <c r="E31" s="823">
        <f>8203-80+138</f>
        <v>8261</v>
      </c>
    </row>
    <row r="32" spans="2:5" ht="20.100000000000001" customHeight="1" x14ac:dyDescent="0.2">
      <c r="B32" s="431">
        <v>5</v>
      </c>
      <c r="C32" s="503" t="s">
        <v>3631</v>
      </c>
      <c r="D32" s="823">
        <v>231</v>
      </c>
      <c r="E32" s="825">
        <v>231</v>
      </c>
    </row>
    <row r="33" spans="2:5" ht="20.100000000000001" customHeight="1" x14ac:dyDescent="0.2">
      <c r="B33" s="699">
        <v>6</v>
      </c>
      <c r="C33" s="822" t="s">
        <v>3489</v>
      </c>
      <c r="D33" s="824">
        <f>SUM(D28:D32)</f>
        <v>16125</v>
      </c>
      <c r="E33" s="824">
        <f>SUM(E28:E32)</f>
        <v>16361.343306999999</v>
      </c>
    </row>
    <row r="37" spans="2:5" x14ac:dyDescent="0.2">
      <c r="E37" s="420"/>
    </row>
  </sheetData>
  <sheetProtection algorithmName="SHA-512" hashValue="kvhPMeN+jLpKyeKGsIHKjPB9YsQL9vLcGJqZWNUqFPmc345CvqACNk2YrvaASFZF91Prb4meX9b2LrygQeWbAA==" saltValue="cUQRVg/Vk7w/raJZlCEtVw==" spinCount="100000" sheet="1" objects="1" scenarios="1"/>
  <mergeCells count="3">
    <mergeCell ref="B10:E10"/>
    <mergeCell ref="B20:E20"/>
    <mergeCell ref="B27:E27"/>
  </mergeCells>
  <hyperlinks>
    <hyperlink ref="B2" location="Contents!A1" display="Back to Contents page" xr:uid="{521FB2A5-DA8D-4497-B30B-EABC7329E2DB}"/>
  </hyperlinks>
  <pageMargins left="0.7" right="0.7" top="0.75" bottom="0.75" header="0.3" footer="0.3"/>
  <pageSetup paperSize="9" scale="54" orientation="portrait" horizontalDpi="144" verticalDpi="14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FAA36CB80C35E24FB5ABEF3374BA14B7" ma:contentTypeVersion="14" ma:contentTypeDescription="Opprett et nytt dokument." ma:contentTypeScope="" ma:versionID="45ec62102e6c9d57304d504b5faef0be">
  <xsd:schema xmlns:xsd="http://www.w3.org/2001/XMLSchema" xmlns:xs="http://www.w3.org/2001/XMLSchema" xmlns:p="http://schemas.microsoft.com/office/2006/metadata/properties" xmlns:ns2="dd185039-e2e2-4ace-8c44-e24e49c6f60d" xmlns:ns3="1a32e471-4267-4f64-8fa8-d7c71079202a" targetNamespace="http://schemas.microsoft.com/office/2006/metadata/properties" ma:root="true" ma:fieldsID="2f7ae1b5e6f2f18fb28bc7525b89d92a" ns2:_="" ns3:_="">
    <xsd:import namespace="dd185039-e2e2-4ace-8c44-e24e49c6f60d"/>
    <xsd:import namespace="1a32e471-4267-4f64-8fa8-d7c71079202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185039-e2e2-4ace-8c44-e24e49c6f60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Bildemerkelapper" ma:readOnly="false" ma:fieldId="{5cf76f15-5ced-4ddc-b409-7134ff3c332f}" ma:taxonomyMulti="true" ma:sspId="bf3ceda1-5c79-4704-ba5f-1a39c7e6d07c"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a32e471-4267-4f64-8fa8-d7c71079202a"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internalName="SharedWithDetails" ma:readOnly="true">
      <xsd:simpleType>
        <xsd:restriction base="dms:Note">
          <xsd:maxLength value="255"/>
        </xsd:restriction>
      </xsd:simpleType>
    </xsd:element>
    <xsd:element name="TaxCatchAll" ma:index="16" nillable="true" ma:displayName="Taxonomy Catch All Column" ma:hidden="true" ma:list="{2e00aee6-a039-4e21-808a-13c5a18bda0d}" ma:internalName="TaxCatchAll" ma:showField="CatchAllData" ma:web="1a32e471-4267-4f64-8fa8-d7c7107920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d185039-e2e2-4ace-8c44-e24e49c6f60d">
      <Terms xmlns="http://schemas.microsoft.com/office/infopath/2007/PartnerControls"/>
    </lcf76f155ced4ddcb4097134ff3c332f>
    <TaxCatchAll xmlns="1a32e471-4267-4f64-8fa8-d7c71079202a" xsi:nil="true"/>
  </documentManagement>
</p:properties>
</file>

<file path=customXml/itemProps1.xml><?xml version="1.0" encoding="utf-8"?>
<ds:datastoreItem xmlns:ds="http://schemas.openxmlformats.org/officeDocument/2006/customXml" ds:itemID="{CA81EB74-1492-41FA-B75C-7D5334DE1529}">
  <ds:schemaRefs>
    <ds:schemaRef ds:uri="http://schemas.microsoft.com/sharepoint/v3/contenttype/forms"/>
  </ds:schemaRefs>
</ds:datastoreItem>
</file>

<file path=customXml/itemProps2.xml><?xml version="1.0" encoding="utf-8"?>
<ds:datastoreItem xmlns:ds="http://schemas.openxmlformats.org/officeDocument/2006/customXml" ds:itemID="{670D4535-CE22-4A6E-AB7E-113604AB9D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185039-e2e2-4ace-8c44-e24e49c6f60d"/>
    <ds:schemaRef ds:uri="1a32e471-4267-4f64-8fa8-d7c710792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68FFE6A-84F3-4A2B-BA29-E9663A5138CF}">
  <ds:schemaRefs>
    <ds:schemaRef ds:uri="http://schemas.microsoft.com/office/2006/documentManagement/types"/>
    <ds:schemaRef ds:uri="http://schemas.microsoft.com/office/infopath/2007/PartnerControls"/>
    <ds:schemaRef ds:uri="http://schemas.openxmlformats.org/package/2006/metadata/core-properties"/>
    <ds:schemaRef ds:uri="1a32e471-4267-4f64-8fa8-d7c71079202a"/>
    <ds:schemaRef ds:uri="http://purl.org/dc/terms/"/>
    <ds:schemaRef ds:uri="http://schemas.microsoft.com/office/2006/metadata/properties"/>
    <ds:schemaRef ds:uri="http://purl.org/dc/elements/1.1/"/>
    <ds:schemaRef ds:uri="dd185039-e2e2-4ace-8c44-e24e49c6f60d"/>
    <ds:schemaRef ds:uri="http://www.w3.org/XML/1998/namespace"/>
    <ds:schemaRef ds:uri="http://purl.org/dc/dcmitype/"/>
  </ds:schemaRefs>
</ds:datastoreItem>
</file>

<file path=docMetadata/LabelInfo.xml><?xml version="1.0" encoding="utf-8"?>
<clbl:labelList xmlns:clbl="http://schemas.microsoft.com/office/2020/mipLabelMetadata">
  <clbl:label id="{5c7eb9de-735b-4a68-8fe4-c9c62709b012}" enabled="1" method="Standard" siteId="{3bacb4ff-f1a2-4c92-b96c-e99fec826b6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67</vt:i4>
      </vt:variant>
      <vt:variant>
        <vt:lpstr>Navngitte områder</vt:lpstr>
      </vt:variant>
      <vt:variant>
        <vt:i4>3</vt:i4>
      </vt:variant>
    </vt:vector>
  </HeadingPairs>
  <TitlesOfParts>
    <vt:vector size="70" baseType="lpstr">
      <vt:lpstr>Front</vt:lpstr>
      <vt:lpstr>Contents</vt:lpstr>
      <vt:lpstr>EU LI1 </vt:lpstr>
      <vt:lpstr>EU LI2</vt:lpstr>
      <vt:lpstr>EU LI3</vt:lpstr>
      <vt:lpstr>EU LIA</vt:lpstr>
      <vt:lpstr>EU LIB</vt:lpstr>
      <vt:lpstr>EU CC1</vt:lpstr>
      <vt:lpstr>EU CC2 </vt:lpstr>
      <vt:lpstr>EU CCA</vt:lpstr>
      <vt:lpstr>EU INS1</vt:lpstr>
      <vt:lpstr>EU INS2</vt:lpstr>
      <vt:lpstr>EU KM1</vt:lpstr>
      <vt:lpstr>EU OV1</vt:lpstr>
      <vt:lpstr>EU CQ1</vt:lpstr>
      <vt:lpstr>EU CQ2</vt:lpstr>
      <vt:lpstr>EU CQ3</vt:lpstr>
      <vt:lpstr>EU CQ4</vt:lpstr>
      <vt:lpstr>EU CQ5</vt:lpstr>
      <vt:lpstr>EU CQ6</vt:lpstr>
      <vt:lpstr>EU CQ7</vt:lpstr>
      <vt:lpstr>EU CQ8</vt:lpstr>
      <vt:lpstr>EU CR1</vt:lpstr>
      <vt:lpstr>EU CR1-A</vt:lpstr>
      <vt:lpstr>EU CR2</vt:lpstr>
      <vt:lpstr>EU CR2a</vt:lpstr>
      <vt:lpstr>EU CR3</vt:lpstr>
      <vt:lpstr>EU CR4</vt:lpstr>
      <vt:lpstr>EU CR5</vt:lpstr>
      <vt:lpstr>EU CR6</vt:lpstr>
      <vt:lpstr>EU CR6-A</vt:lpstr>
      <vt:lpstr>EU CR7</vt:lpstr>
      <vt:lpstr>EU CR7-A</vt:lpstr>
      <vt:lpstr>EU CR8</vt:lpstr>
      <vt:lpstr>EU CR9</vt:lpstr>
      <vt:lpstr>EU CR9.1</vt:lpstr>
      <vt:lpstr>EU CR10</vt:lpstr>
      <vt:lpstr>EU CCR1</vt:lpstr>
      <vt:lpstr>EU CCR2</vt:lpstr>
      <vt:lpstr>EU CCR3</vt:lpstr>
      <vt:lpstr>EU CCR4</vt:lpstr>
      <vt:lpstr>EU CCR5</vt:lpstr>
      <vt:lpstr>EU CCR8</vt:lpstr>
      <vt:lpstr>EU CCyB1</vt:lpstr>
      <vt:lpstr>EU CCyB2</vt:lpstr>
      <vt:lpstr>EU CCR6</vt:lpstr>
      <vt:lpstr>EU CCR7</vt:lpstr>
      <vt:lpstr>EU SEC1</vt:lpstr>
      <vt:lpstr>EU SEC2</vt:lpstr>
      <vt:lpstr>EU SEC3</vt:lpstr>
      <vt:lpstr>EU SEC4</vt:lpstr>
      <vt:lpstr>EU SEC5</vt:lpstr>
      <vt:lpstr>EU MR1</vt:lpstr>
      <vt:lpstr>EU MR2-A</vt:lpstr>
      <vt:lpstr>EU MR2-B</vt:lpstr>
      <vt:lpstr>EU MR3</vt:lpstr>
      <vt:lpstr>EU LR1</vt:lpstr>
      <vt:lpstr>EU LR2</vt:lpstr>
      <vt:lpstr>EU LR3</vt:lpstr>
      <vt:lpstr>EU LIQ1</vt:lpstr>
      <vt:lpstr>EU LIQ2</vt:lpstr>
      <vt:lpstr>EU AE1</vt:lpstr>
      <vt:lpstr>EU AE2</vt:lpstr>
      <vt:lpstr>EU AE3</vt:lpstr>
      <vt:lpstr>EU IRRBBA</vt:lpstr>
      <vt:lpstr>EU OR1</vt:lpstr>
      <vt:lpstr>EU IRRBB1</vt:lpstr>
      <vt:lpstr>'EU LI1 '!_Toc483499698</vt:lpstr>
      <vt:lpstr>'EU CCA'!Utskriftsområde</vt:lpstr>
      <vt:lpstr>'EU LI1 '!Utskriftsområde</vt:lpstr>
    </vt:vector>
  </TitlesOfParts>
  <Manager/>
  <Company>Oesterreichische Nationalbank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User7, Teilnehmer</dc:creator>
  <cp:keywords/>
  <dc:description/>
  <cp:lastModifiedBy>Alexander Podolski</cp:lastModifiedBy>
  <cp:revision/>
  <dcterms:created xsi:type="dcterms:W3CDTF">2012-12-18T10:53:22Z</dcterms:created>
  <dcterms:modified xsi:type="dcterms:W3CDTF">2023-03-30T13:54:21Z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{C5265FEA-5BF8-4FAC-87AC-1EDF586886EA}</vt:lpwstr>
  </property>
  <property fmtid="{D5CDD505-2E9C-101B-9397-08002B2CF9AE}" pid="3" name="ContentTypeId">
    <vt:lpwstr>0x010100FAA36CB80C35E24FB5ABEF3374BA14B7</vt:lpwstr>
  </property>
  <property fmtid="{D5CDD505-2E9C-101B-9397-08002B2CF9AE}" pid="4" name="Érvényességi idő">
    <vt:filetime>2027-04-05T08:21:40Z</vt:filetime>
  </property>
  <property fmtid="{D5CDD505-2E9C-101B-9397-08002B2CF9AE}" pid="5" name="Érvényességet beállító">
    <vt:lpwstr>pintercs</vt:lpwstr>
  </property>
  <property fmtid="{D5CDD505-2E9C-101B-9397-08002B2CF9AE}" pid="6" name="Érvényességi idő első beállítása">
    <vt:filetime>2022-04-05T08:21:41Z</vt:filetime>
  </property>
  <property fmtid="{D5CDD505-2E9C-101B-9397-08002B2CF9AE}" pid="7" name="MSIP_Label_b0d11092-50c9-4e74-84b5-b1af078dc3d0_Enabled">
    <vt:lpwstr>True</vt:lpwstr>
  </property>
  <property fmtid="{D5CDD505-2E9C-101B-9397-08002B2CF9AE}" pid="8" name="MSIP_Label_b0d11092-50c9-4e74-84b5-b1af078dc3d0_SiteId">
    <vt:lpwstr>97c01ef8-0264-4eef-9c08-fb4a9ba1c0db</vt:lpwstr>
  </property>
  <property fmtid="{D5CDD505-2E9C-101B-9397-08002B2CF9AE}" pid="9" name="MSIP_Label_b0d11092-50c9-4e74-84b5-b1af078dc3d0_Owner">
    <vt:lpwstr>pintercs@mnb.hu</vt:lpwstr>
  </property>
  <property fmtid="{D5CDD505-2E9C-101B-9397-08002B2CF9AE}" pid="10" name="MSIP_Label_b0d11092-50c9-4e74-84b5-b1af078dc3d0_SetDate">
    <vt:lpwstr>2022-04-05T08:21:57.4259033Z</vt:lpwstr>
  </property>
  <property fmtid="{D5CDD505-2E9C-101B-9397-08002B2CF9AE}" pid="11" name="MSIP_Label_b0d11092-50c9-4e74-84b5-b1af078dc3d0_Name">
    <vt:lpwstr>Protected</vt:lpwstr>
  </property>
  <property fmtid="{D5CDD505-2E9C-101B-9397-08002B2CF9AE}" pid="12" name="MSIP_Label_b0d11092-50c9-4e74-84b5-b1af078dc3d0_Application">
    <vt:lpwstr>Microsoft Azure Information Protection</vt:lpwstr>
  </property>
  <property fmtid="{D5CDD505-2E9C-101B-9397-08002B2CF9AE}" pid="13" name="MSIP_Label_b0d11092-50c9-4e74-84b5-b1af078dc3d0_ActionId">
    <vt:lpwstr>bb2f2f6f-be87-4bf2-9401-6ee38a369ef1</vt:lpwstr>
  </property>
  <property fmtid="{D5CDD505-2E9C-101B-9397-08002B2CF9AE}" pid="14" name="MSIP_Label_b0d11092-50c9-4e74-84b5-b1af078dc3d0_Extended_MSFT_Method">
    <vt:lpwstr>Automatic</vt:lpwstr>
  </property>
  <property fmtid="{D5CDD505-2E9C-101B-9397-08002B2CF9AE}" pid="15" name="MSIP_Label_5c7eb9de-735b-4a68-8fe4-c9c62709b012_Enabled">
    <vt:lpwstr>True</vt:lpwstr>
  </property>
  <property fmtid="{D5CDD505-2E9C-101B-9397-08002B2CF9AE}" pid="16" name="MSIP_Label_5c7eb9de-735b-4a68-8fe4-c9c62709b012_SiteId">
    <vt:lpwstr>3bacb4ff-f1a2-4c92-b96c-e99fec826b68</vt:lpwstr>
  </property>
  <property fmtid="{D5CDD505-2E9C-101B-9397-08002B2CF9AE}" pid="17" name="MSIP_Label_5c7eb9de-735b-4a68-8fe4-c9c62709b012_SetDate">
    <vt:lpwstr>2022-03-28T08:35:44Z</vt:lpwstr>
  </property>
  <property fmtid="{D5CDD505-2E9C-101B-9397-08002B2CF9AE}" pid="18" name="MSIP_Label_5c7eb9de-735b-4a68-8fe4-c9c62709b012_Name">
    <vt:lpwstr>EBA Regular Use</vt:lpwstr>
  </property>
  <property fmtid="{D5CDD505-2E9C-101B-9397-08002B2CF9AE}" pid="19" name="MSIP_Label_5c7eb9de-735b-4a68-8fe4-c9c62709b012_ActionId">
    <vt:lpwstr>25079269-a653-48a4-8f54-9e23e787c910</vt:lpwstr>
  </property>
  <property fmtid="{D5CDD505-2E9C-101B-9397-08002B2CF9AE}" pid="20" name="MSIP_Label_5c7eb9de-735b-4a68-8fe4-c9c62709b012_Extended_MSFT_Method">
    <vt:lpwstr>Automatic</vt:lpwstr>
  </property>
  <property fmtid="{D5CDD505-2E9C-101B-9397-08002B2CF9AE}" pid="21" name="MSIP_Label_e8a0f81f-715f-405e-b89d-b0efe031cb6b_Enabled">
    <vt:lpwstr>true</vt:lpwstr>
  </property>
  <property fmtid="{D5CDD505-2E9C-101B-9397-08002B2CF9AE}" pid="22" name="MSIP_Label_e8a0f81f-715f-405e-b89d-b0efe031cb6b_SetDate">
    <vt:lpwstr>2023-01-30T12:20:38Z</vt:lpwstr>
  </property>
  <property fmtid="{D5CDD505-2E9C-101B-9397-08002B2CF9AE}" pid="23" name="MSIP_Label_e8a0f81f-715f-405e-b89d-b0efe031cb6b_Method">
    <vt:lpwstr>Privileged</vt:lpwstr>
  </property>
  <property fmtid="{D5CDD505-2E9C-101B-9397-08002B2CF9AE}" pid="24" name="MSIP_Label_e8a0f81f-715f-405e-b89d-b0efe031cb6b_Name">
    <vt:lpwstr>e8a0f81f-715f-405e-b89d-b0efe031cb6b</vt:lpwstr>
  </property>
  <property fmtid="{D5CDD505-2E9C-101B-9397-08002B2CF9AE}" pid="25" name="MSIP_Label_e8a0f81f-715f-405e-b89d-b0efe031cb6b_SiteId">
    <vt:lpwstr>2c761b06-a790-48db-a98d-b4035cf6f800</vt:lpwstr>
  </property>
  <property fmtid="{D5CDD505-2E9C-101B-9397-08002B2CF9AE}" pid="26" name="MSIP_Label_e8a0f81f-715f-405e-b89d-b0efe031cb6b_ActionId">
    <vt:lpwstr>e8afad16-b828-43fb-aaa9-b86d77d01fec</vt:lpwstr>
  </property>
  <property fmtid="{D5CDD505-2E9C-101B-9397-08002B2CF9AE}" pid="27" name="MSIP_Label_e8a0f81f-715f-405e-b89d-b0efe031cb6b_ContentBits">
    <vt:lpwstr>0</vt:lpwstr>
  </property>
  <property fmtid="{D5CDD505-2E9C-101B-9397-08002B2CF9AE}" pid="28" name="MediaServiceImageTags">
    <vt:lpwstr/>
  </property>
</Properties>
</file>