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702583\Desktop\Pilar 3\2017\Endelig dok til publisering\"/>
    </mc:Choice>
  </mc:AlternateContent>
  <bookViews>
    <workbookView xWindow="0" yWindow="0" windowWidth="28800" windowHeight="11475"/>
  </bookViews>
  <sheets>
    <sheet name="Forside" sheetId="23" r:id="rId1"/>
    <sheet name="Innhold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6" r:id="rId15"/>
    <sheet name="14" sheetId="17" r:id="rId16"/>
    <sheet name="15" sheetId="18" r:id="rId17"/>
    <sheet name="16" sheetId="19" r:id="rId18"/>
    <sheet name="17" sheetId="20" r:id="rId19"/>
  </sheets>
  <externalReferences>
    <externalReference r:id="rId20"/>
    <externalReference r:id="rId21"/>
  </externalReferences>
  <definedNames>
    <definedName name="sMargin">[1]Forside!$A$3</definedName>
    <definedName name="SpreadsheetBuilder_1" hidden="1">[2]Markedsdata!$A$1:$B$6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3" l="1"/>
  <c r="C188" i="7"/>
  <c r="C183" i="7"/>
  <c r="C178" i="7"/>
  <c r="C112" i="7"/>
  <c r="C113" i="7" s="1"/>
  <c r="C120" i="7" s="1"/>
  <c r="C122" i="7" s="1"/>
  <c r="C124" i="7" s="1"/>
  <c r="C185" i="7" l="1"/>
  <c r="C45" i="20" l="1"/>
  <c r="G20" i="12"/>
  <c r="C80" i="5"/>
  <c r="C79" i="5"/>
  <c r="C78" i="5"/>
  <c r="C4" i="11"/>
  <c r="C5" i="11"/>
  <c r="J9" i="3" l="1"/>
  <c r="I9" i="3"/>
  <c r="H9" i="3"/>
  <c r="D72" i="5" l="1"/>
  <c r="I19" i="12" l="1"/>
  <c r="J19" i="12"/>
  <c r="K19" i="12"/>
  <c r="H19" i="12"/>
  <c r="G19" i="12"/>
  <c r="G17" i="12"/>
  <c r="D19" i="12"/>
  <c r="E19" i="12"/>
  <c r="F19" i="12"/>
  <c r="C19" i="12"/>
  <c r="I17" i="12"/>
  <c r="J17" i="12"/>
  <c r="K17" i="12"/>
  <c r="H17" i="12"/>
  <c r="D17" i="12"/>
  <c r="E17" i="12"/>
  <c r="C17" i="12"/>
  <c r="C68" i="7" l="1"/>
  <c r="C168" i="7" l="1"/>
  <c r="C35" i="12" l="1"/>
  <c r="C37" i="12" s="1"/>
  <c r="G18" i="19" l="1"/>
  <c r="G17" i="19"/>
  <c r="G16" i="19"/>
  <c r="G15" i="19"/>
  <c r="G14" i="19"/>
  <c r="G13" i="19"/>
  <c r="G12" i="19"/>
  <c r="G11" i="19"/>
  <c r="G10" i="19"/>
  <c r="G9" i="19"/>
  <c r="G8" i="19"/>
  <c r="G7" i="19"/>
  <c r="G6" i="19"/>
  <c r="D6" i="17" l="1"/>
  <c r="D16" i="17"/>
  <c r="D15" i="17"/>
  <c r="D14" i="17"/>
  <c r="D12" i="17"/>
  <c r="D11" i="17"/>
  <c r="D8" i="17"/>
  <c r="D7" i="17"/>
  <c r="C52" i="20" l="1"/>
  <c r="C31" i="20"/>
  <c r="C29" i="20"/>
  <c r="C18" i="20"/>
  <c r="C16" i="20"/>
  <c r="C12" i="20"/>
  <c r="H18" i="19"/>
  <c r="F18" i="19"/>
  <c r="D18" i="19"/>
  <c r="C18" i="19"/>
  <c r="H15" i="19"/>
  <c r="F15" i="19"/>
  <c r="D15" i="19"/>
  <c r="C15" i="19"/>
  <c r="H20" i="18"/>
  <c r="D12" i="18"/>
  <c r="C12" i="18"/>
  <c r="C9" i="17"/>
  <c r="D9" i="17" s="1"/>
  <c r="C18" i="16"/>
  <c r="C17" i="16"/>
  <c r="C11" i="16"/>
  <c r="G45" i="14"/>
  <c r="G44" i="14"/>
  <c r="G31" i="14"/>
  <c r="G18" i="14"/>
  <c r="D18" i="14"/>
  <c r="E46" i="12"/>
  <c r="D46" i="12"/>
  <c r="C46" i="12"/>
  <c r="F45" i="12"/>
  <c r="F44" i="12"/>
  <c r="F43" i="12"/>
  <c r="F46" i="12" s="1"/>
  <c r="F20" i="12"/>
  <c r="G16" i="12"/>
  <c r="F16" i="12"/>
  <c r="G15" i="12"/>
  <c r="F15" i="12"/>
  <c r="G14" i="12"/>
  <c r="F14" i="12"/>
  <c r="G13" i="12"/>
  <c r="F13" i="12"/>
  <c r="E11" i="12"/>
  <c r="D11" i="12"/>
  <c r="C11" i="12"/>
  <c r="G10" i="12"/>
  <c r="F10" i="12"/>
  <c r="G9" i="12"/>
  <c r="F9" i="12"/>
  <c r="G8" i="12"/>
  <c r="F8" i="12"/>
  <c r="E16" i="11"/>
  <c r="E14" i="11"/>
  <c r="D14" i="11"/>
  <c r="C14" i="11"/>
  <c r="E13" i="11"/>
  <c r="D13" i="11"/>
  <c r="C13" i="11"/>
  <c r="C23" i="10"/>
  <c r="C206" i="7"/>
  <c r="C197" i="7"/>
  <c r="C198" i="7" s="1"/>
  <c r="C159" i="7"/>
  <c r="C158" i="7"/>
  <c r="C157" i="7"/>
  <c r="C146" i="7"/>
  <c r="C147" i="7" s="1"/>
  <c r="C139" i="7"/>
  <c r="C105" i="7"/>
  <c r="C96" i="7"/>
  <c r="C95" i="7"/>
  <c r="C86" i="7"/>
  <c r="C94" i="7" s="1"/>
  <c r="C97" i="7" s="1"/>
  <c r="H13" i="3" s="1"/>
  <c r="C73" i="7"/>
  <c r="C72" i="7"/>
  <c r="C60" i="7"/>
  <c r="C51" i="7"/>
  <c r="C50" i="7"/>
  <c r="C49" i="7"/>
  <c r="C38" i="7"/>
  <c r="C31" i="7"/>
  <c r="C20" i="7"/>
  <c r="C16" i="7"/>
  <c r="C11" i="7"/>
  <c r="C12" i="7" s="1"/>
  <c r="C17" i="7" s="1"/>
  <c r="C4" i="7"/>
  <c r="C47" i="6"/>
  <c r="C46" i="6"/>
  <c r="C45" i="6"/>
  <c r="C44" i="6"/>
  <c r="C43" i="6"/>
  <c r="C42" i="6"/>
  <c r="C37" i="6"/>
  <c r="C35" i="6"/>
  <c r="C22" i="6"/>
  <c r="D20" i="6"/>
  <c r="C20" i="6"/>
  <c r="C19" i="6"/>
  <c r="D18" i="6"/>
  <c r="C18" i="6"/>
  <c r="C14" i="6"/>
  <c r="D11" i="6"/>
  <c r="C11" i="6"/>
  <c r="C68" i="5"/>
  <c r="C62" i="5"/>
  <c r="C63" i="5" s="1"/>
  <c r="C76" i="5" s="1"/>
  <c r="C52" i="5"/>
  <c r="D33" i="5"/>
  <c r="C33" i="5"/>
  <c r="C28" i="5"/>
  <c r="D27" i="5"/>
  <c r="D29" i="5" s="1"/>
  <c r="D35" i="5" s="1"/>
  <c r="C27" i="5"/>
  <c r="D15" i="5"/>
  <c r="C15" i="5"/>
  <c r="C13" i="3"/>
  <c r="C39" i="7" l="1"/>
  <c r="C89" i="7"/>
  <c r="C77" i="5"/>
  <c r="C81" i="5" s="1"/>
  <c r="C72" i="5"/>
  <c r="C82" i="5" s="1"/>
  <c r="C29" i="5"/>
  <c r="C83" i="5" s="1"/>
  <c r="F17" i="12"/>
  <c r="F11" i="12"/>
  <c r="G11" i="12"/>
  <c r="C19" i="7"/>
  <c r="C48" i="7"/>
  <c r="C52" i="7" s="1"/>
  <c r="H12" i="3" s="1"/>
  <c r="C43" i="7"/>
  <c r="C53" i="7" s="1"/>
  <c r="C156" i="7"/>
  <c r="C160" i="7" s="1"/>
  <c r="H11" i="3" s="1"/>
  <c r="C151" i="7"/>
  <c r="C98" i="7"/>
  <c r="C74" i="7"/>
  <c r="C161" i="7"/>
  <c r="C205" i="7"/>
  <c r="C207" i="7" s="1"/>
  <c r="H14" i="3" s="1"/>
  <c r="C200" i="7"/>
  <c r="C13" i="17"/>
  <c r="C210" i="7" l="1"/>
  <c r="C208" i="7"/>
  <c r="C209" i="7"/>
  <c r="F10" i="11"/>
  <c r="F8" i="11"/>
  <c r="F12" i="11"/>
  <c r="F15" i="11"/>
  <c r="F11" i="11"/>
  <c r="C35" i="5"/>
  <c r="C84" i="5" s="1"/>
  <c r="C162" i="7"/>
  <c r="C21" i="7"/>
  <c r="C54" i="7"/>
  <c r="C76" i="7"/>
  <c r="C99" i="7"/>
  <c r="D13" i="17"/>
  <c r="C17" i="17"/>
  <c r="D17" i="17" s="1"/>
  <c r="F13" i="11" l="1"/>
  <c r="F14" i="11" s="1"/>
  <c r="F16" i="11" s="1"/>
  <c r="F17" i="11" s="1"/>
  <c r="I13" i="3"/>
  <c r="C100" i="7"/>
  <c r="J13" i="3" s="1"/>
  <c r="J14" i="3"/>
  <c r="C55" i="7"/>
  <c r="J12" i="3" s="1"/>
  <c r="I12" i="3"/>
  <c r="C163" i="7"/>
  <c r="J11" i="3" s="1"/>
  <c r="I11" i="3"/>
</calcChain>
</file>

<file path=xl/sharedStrings.xml><?xml version="1.0" encoding="utf-8"?>
<sst xmlns="http://schemas.openxmlformats.org/spreadsheetml/2006/main" count="812" uniqueCount="414">
  <si>
    <t>Arkfane</t>
  </si>
  <si>
    <t>Innhold</t>
  </si>
  <si>
    <t>Konsolidering</t>
  </si>
  <si>
    <t>Selskaper som er fullt- og proporsjonalt konsolidert for kapitaldekningsformål</t>
  </si>
  <si>
    <t>Datter- og tilknyttet selskap</t>
  </si>
  <si>
    <t>Antall aksjer</t>
  </si>
  <si>
    <t>Kostpris</t>
  </si>
  <si>
    <t>Bokført verdi</t>
  </si>
  <si>
    <t>Regnskapsmessig konsolidering</t>
  </si>
  <si>
    <t>Kapitalkrav</t>
  </si>
  <si>
    <t>Ansv.-kapital</t>
  </si>
  <si>
    <t>Kap.-dekning</t>
  </si>
  <si>
    <t>SpareBank 1 Nord-Norge Finans AS</t>
  </si>
  <si>
    <t>SpareBank 1 Nord-Norge Portefølje AS</t>
  </si>
  <si>
    <t>SpareBank 1 Nord-Norge Forvaltning ASA</t>
  </si>
  <si>
    <t>SpareBank 1 Regnskapshuset Nord-Norge AS</t>
  </si>
  <si>
    <t>Nord-Norge Eiendom IV AS</t>
  </si>
  <si>
    <t>Eierandel</t>
  </si>
  <si>
    <t>Alsgården AS</t>
  </si>
  <si>
    <t>BN Bank ASA</t>
  </si>
  <si>
    <t>SpareBank 1 Boligkreditt AS</t>
  </si>
  <si>
    <t>SpareBank1 Næringskreditt AS</t>
  </si>
  <si>
    <t>EiendomsMegler 1 Nord-Norge AS</t>
  </si>
  <si>
    <t>Fredrik Langesgt. 20 AS</t>
  </si>
  <si>
    <t>Oppkjøpsmetoden</t>
  </si>
  <si>
    <t>-</t>
  </si>
  <si>
    <t>Egenkapitalmetoden</t>
  </si>
  <si>
    <t>Selskaper som ikke er konsolidert inn i SNNs konsernregnskap, men hvor det foreligger innskudd av ansvarlig kapital som er fratrukket i ansvarlig kapital i konsernets kapitaldekning</t>
  </si>
  <si>
    <t>Datterselskap</t>
  </si>
  <si>
    <t>SpareBank 1 Gruppen AS</t>
  </si>
  <si>
    <t>SpareBank 1 Kredittkort AS</t>
  </si>
  <si>
    <t>Selskaper som ikke er konsolidert inn i SNNs konsernregnskap, og hvor det ikke foreligger innskudd av ansvarlig kapital som er fratrukket i ansvarlig kapital i konsernets kapitaldekning</t>
  </si>
  <si>
    <t>SpareBank1 Markets AS</t>
  </si>
  <si>
    <t>Bank Tavrichesky, Russland</t>
  </si>
  <si>
    <t>Metoder for beregning av kapitalkravet i SpareBank 1 Nord-Norge</t>
  </si>
  <si>
    <t>Risikotype</t>
  </si>
  <si>
    <t>Portefølje</t>
  </si>
  <si>
    <t>Metode</t>
  </si>
  <si>
    <t>Kredittrisiko</t>
  </si>
  <si>
    <t>Morbank</t>
  </si>
  <si>
    <t>Massemarked</t>
  </si>
  <si>
    <t>A-IRB</t>
  </si>
  <si>
    <t>Foretak</t>
  </si>
  <si>
    <t>Stater og sentralbanker</t>
  </si>
  <si>
    <t>Standardmetoden</t>
  </si>
  <si>
    <t>Institusjoner</t>
  </si>
  <si>
    <t>Borettslag</t>
  </si>
  <si>
    <t>BN-Bank AS</t>
  </si>
  <si>
    <t xml:space="preserve">Massemarked </t>
  </si>
  <si>
    <t>Sparebank 1 Næringskreditt AS</t>
  </si>
  <si>
    <t>SpareBank 1 Finans Nord-Norge AS</t>
  </si>
  <si>
    <t>Markedsrisiko</t>
  </si>
  <si>
    <t>Egenkapitalposisjoner</t>
  </si>
  <si>
    <t>Obligasjoner og sertifikater</t>
  </si>
  <si>
    <t>Valutaposisjoner</t>
  </si>
  <si>
    <t>CVA-risiko</t>
  </si>
  <si>
    <t>Operasjonell risiko</t>
  </si>
  <si>
    <t>Sjablongmetoden</t>
  </si>
  <si>
    <t>Basismetoden</t>
  </si>
  <si>
    <t>Kapitaldekning, konsern</t>
  </si>
  <si>
    <t>Ansvarlig kapital</t>
  </si>
  <si>
    <t>Beløp i millioner kroner</t>
  </si>
  <si>
    <t>Eierkapital</t>
  </si>
  <si>
    <t>Overkursfond</t>
  </si>
  <si>
    <t>Sparebankens Fond</t>
  </si>
  <si>
    <t>Utjevningsfond</t>
  </si>
  <si>
    <t>Gavefond</t>
  </si>
  <si>
    <t>Fond for urealiserte gevinster</t>
  </si>
  <si>
    <t>Annen egenkapital</t>
  </si>
  <si>
    <t>Sum egenkapital</t>
  </si>
  <si>
    <t>Fradrag</t>
  </si>
  <si>
    <t>Justert kjernekapital fra konsolidert finansinstitusjon</t>
  </si>
  <si>
    <t>Avsatt utbytte til eiere og samfunn</t>
  </si>
  <si>
    <t>Justeringer knyttet til regulatoriske filtre</t>
  </si>
  <si>
    <t>Utsatt skatt, goodwill og andre immaterielle eiendeler</t>
  </si>
  <si>
    <t>Forventet tap utover regnskapsmessige avsetninger</t>
  </si>
  <si>
    <t>Overfinansiering av pensjonsforpliktelser</t>
  </si>
  <si>
    <t>Ansvarlig kapital i finansinstitusjoner</t>
  </si>
  <si>
    <t>Sum ren kjernekapital</t>
  </si>
  <si>
    <t>Sum kjernekapital</t>
  </si>
  <si>
    <t>Tidsbegrenset ansvarlig kapital</t>
  </si>
  <si>
    <t>Fradrag for ansvarlig kapital i andre finansinstitusjoner</t>
  </si>
  <si>
    <t>Sum tilleggskapital</t>
  </si>
  <si>
    <t>Risikovektet beregningsgrunnlag</t>
  </si>
  <si>
    <t>Kredittrisiko, standardmetode</t>
  </si>
  <si>
    <t>Lokale og regionale myndigheter (herunder kommuner)</t>
  </si>
  <si>
    <t>Offentlige foretak</t>
  </si>
  <si>
    <t>Massemarkedsengasjementer</t>
  </si>
  <si>
    <t>Engasjementer med pantesikkerhet i eiendom</t>
  </si>
  <si>
    <t>Forfalte engasjementer</t>
  </si>
  <si>
    <t>Obligasjoner med fortrinnsrett</t>
  </si>
  <si>
    <t>Andeler i verdipapirfond</t>
  </si>
  <si>
    <t xml:space="preserve">Egenkapitalposisjoner  </t>
  </si>
  <si>
    <t>Øvrige engasjementer</t>
  </si>
  <si>
    <t>Sum kredittrisiko, standardmetode</t>
  </si>
  <si>
    <t>Kredittrisiko, IRB</t>
  </si>
  <si>
    <t>Foretak - SMB</t>
  </si>
  <si>
    <t>Foretak - Spesialiserte</t>
  </si>
  <si>
    <t>Foretak - Øvrige</t>
  </si>
  <si>
    <t>Massemarked med pantesikkerhet i eiendom  - SMB</t>
  </si>
  <si>
    <t>Massemarked med pantesikkerhet i eiendom  - ikke SMB</t>
  </si>
  <si>
    <t>Massemarked - Øvrige SMB</t>
  </si>
  <si>
    <t xml:space="preserve">Massemarked - Øvrige ikke SMB </t>
  </si>
  <si>
    <t>Egenkapitalposisjoner IRB</t>
  </si>
  <si>
    <t>Sum kredittrisiko, IRB</t>
  </si>
  <si>
    <t>Sum kredittrisiko</t>
  </si>
  <si>
    <t>Gjeldsrisiko</t>
  </si>
  <si>
    <t>Egenkapitalrisiko</t>
  </si>
  <si>
    <t>Valutarisiko</t>
  </si>
  <si>
    <t>Sum markedsrisiko</t>
  </si>
  <si>
    <t>Svekket kredittverdighet hos motpart (CVA-risiko)</t>
  </si>
  <si>
    <t>Tillegg for Basel 1-gulv</t>
  </si>
  <si>
    <t>Sum risikovektet beregningsgrunnlag</t>
  </si>
  <si>
    <t xml:space="preserve">Minimumskrav til ansvarlig kapital </t>
  </si>
  <si>
    <t>Kapitalkrav knyttet til Basel 1-gulv</t>
  </si>
  <si>
    <t>Sum minimumskrav til ansvarlig kapital</t>
  </si>
  <si>
    <t>Ren kjernekapitaldekning</t>
  </si>
  <si>
    <t>Kjernekapitaldekning</t>
  </si>
  <si>
    <t>Kapitaldekning</t>
  </si>
  <si>
    <t>Kapitaldekning, SpareBank 1 Finans Nord-Norge AS</t>
  </si>
  <si>
    <t>Beløp i hele tusen</t>
  </si>
  <si>
    <t>Aksjekapital</t>
  </si>
  <si>
    <t>Avsatt utbytte</t>
  </si>
  <si>
    <t>Tilleggskapital</t>
  </si>
  <si>
    <t>Minimumskrav til ansvarlig kapital</t>
  </si>
  <si>
    <t>Kapitaldekning, SpareBank 1 Boligkreditt AS</t>
  </si>
  <si>
    <t>Immaterielle eiendeler</t>
  </si>
  <si>
    <t>Verdijustering som følge av krav om forsvarlig verdsettelse</t>
  </si>
  <si>
    <t>Annen godkjent kjernekapital</t>
  </si>
  <si>
    <t>Engasjement med pantesikkerhet i eiendom</t>
  </si>
  <si>
    <t>Positive verdier av justert EL etter kapitalkravsforskriften § 15-7</t>
  </si>
  <si>
    <t>Kapitaldekning, SpareBank 1 Næringskreditt</t>
  </si>
  <si>
    <t>Kapitaldekning, BN Bank ASA</t>
  </si>
  <si>
    <t>Annen fradrag</t>
  </si>
  <si>
    <t>Overgangsbestemmelser knyttet til fradrag i ren kjerne</t>
  </si>
  <si>
    <t>Lokale og regionale myndigheter</t>
  </si>
  <si>
    <t>Utvikling kapitaldekning, konsern</t>
  </si>
  <si>
    <t>Minoritetsinteresser</t>
  </si>
  <si>
    <t>Sum  egenkapital</t>
  </si>
  <si>
    <t>Fradrag for fond for urealiserte gevinster</t>
  </si>
  <si>
    <t>Kapitaldekningsreserve (50 %)</t>
  </si>
  <si>
    <r>
      <t>Fondsobligasjon</t>
    </r>
    <r>
      <rPr>
        <vertAlign val="superscript"/>
        <sz val="10"/>
        <color rgb="FF000000"/>
        <rFont val="Calibri"/>
        <family val="2"/>
      </rPr>
      <t xml:space="preserve">   1)</t>
    </r>
  </si>
  <si>
    <t>Fradrag for ansvarlig kapital i andre finansinstitusjoner (50 %)</t>
  </si>
  <si>
    <t>Fradrag for forventet tap utover regnskapsmessige avsetninger (50 %)</t>
  </si>
  <si>
    <t>1) Fondsobligasjoner kan utgjøre inntil 15 prosent av kjernekapitalen, mens overskytende del teller som evigvarende tilleggskapital</t>
  </si>
  <si>
    <t>Kredittrisiko IRB</t>
  </si>
  <si>
    <t>Kredittrisiko unntak- og innføringsportefølje IRB (Standardmetoden)</t>
  </si>
  <si>
    <t>Egenkapitalrisiko (markedsrisiko)</t>
  </si>
  <si>
    <t>Fradrag for forventet tap utover regnskapsmessige avsetninger (100 %)</t>
  </si>
  <si>
    <t>Kapitaldekningsreserve</t>
  </si>
  <si>
    <t>Tidsbegrenset ansvarlig lånekapital</t>
  </si>
  <si>
    <t>Evigvarende fondsobligasjon</t>
  </si>
  <si>
    <t>Sum evigvarende fondsobligasjon</t>
  </si>
  <si>
    <t>Sum tidsbegrenset ansvarlig lånekapital og evigvarende fondsobligasjon</t>
  </si>
  <si>
    <t>Sum tidsbegrenset ansvarlig lånekapital</t>
  </si>
  <si>
    <t>2022 3 mnd Nibor + 275 bp. (Call desember 2017 benyttet)</t>
  </si>
  <si>
    <t>2024 3 mnd Nibor + 150 bp (Call-opsjon i juni 2019)</t>
  </si>
  <si>
    <t>2027 3 mnd Nibor + 154 bp. (Call-opsjon i oktober 2022)</t>
  </si>
  <si>
    <t>2099 3 mnd Nibor + 475 bp. (Call desember 2017 benyttet)</t>
  </si>
  <si>
    <t>2099 3 mnd Nibor + 330 bp (Call-opsjon i år 2022)</t>
  </si>
  <si>
    <t>2099 3 mnd Nibor + 315 bp. (Call-opsjon i år 2022)</t>
  </si>
  <si>
    <t>Kjernekapital</t>
  </si>
  <si>
    <t>Eksponeringsmål</t>
  </si>
  <si>
    <t xml:space="preserve">Obligasjoner med fortrinnsrett </t>
  </si>
  <si>
    <t>Engasjementer med samme risikovekt som stater og sentralbanker</t>
  </si>
  <si>
    <t>Engasjementer med institusjoner</t>
  </si>
  <si>
    <t>Engasjementer med pantesikkerhet i fast eiendom</t>
  </si>
  <si>
    <t xml:space="preserve">Engasjementer med foretak </t>
  </si>
  <si>
    <t>Derivater: Markedsverdi</t>
  </si>
  <si>
    <t>Derivater: Fremtidig eksponering</t>
  </si>
  <si>
    <t>Øvrige utenom balanseposter</t>
  </si>
  <si>
    <t>Uvektet kapitalandel</t>
  </si>
  <si>
    <t>Engasjementer med offentlige foretak</t>
  </si>
  <si>
    <t>Engasjementer med lokale og regionale myndigheter</t>
  </si>
  <si>
    <t>Totalt eksponeringsbeløp</t>
  </si>
  <si>
    <t>Bufferkrav</t>
  </si>
  <si>
    <t xml:space="preserve">Minimumskrav ren kjernekapital </t>
  </si>
  <si>
    <t xml:space="preserve">Bevaringsbuffer </t>
  </si>
  <si>
    <t>Motsyklisk buffer</t>
  </si>
  <si>
    <t xml:space="preserve">Systemrisikobuffer </t>
  </si>
  <si>
    <t>Sum bufferkrav til ren kjernekapital</t>
  </si>
  <si>
    <t>Pilar 2-krav</t>
  </si>
  <si>
    <t>Sum krav til ren kjernekapital</t>
  </si>
  <si>
    <t>Tilgjengelig ren kjernekapital</t>
  </si>
  <si>
    <t>Modeller godkjent for IRB-rapportering</t>
  </si>
  <si>
    <t>PD-modeller</t>
  </si>
  <si>
    <t>Modellbeskrivelse og metode</t>
  </si>
  <si>
    <t>Antall år med datagrunnlag</t>
  </si>
  <si>
    <t>Kalibreringsnivå</t>
  </si>
  <si>
    <t>PD - bedriftsmarkedet</t>
  </si>
  <si>
    <t xml:space="preserve">Modellen består av ulike nøkkeltall fra tradisjonell regnskapsanalyse, kjennetegn ved selskapene og anmerkningshistorikk. Består av flere scorekort der kundene grupperes etter bransjer/felles risikodrivere.  Modellen er utviklet ved hjelp av ekspertkunnskap og  statistisk analyse. </t>
  </si>
  <si>
    <t>&gt; 10 år</t>
  </si>
  <si>
    <t>Nivå satt til beregnet langsiktig utfall, basert på metodikk gitt av Finanstilsynet</t>
  </si>
  <si>
    <t>PD - personmarkedet, boliglånskunder</t>
  </si>
  <si>
    <t>Modellen er basert på informasjon om kundens økonomi, demografi og betalings-/anmerkningshistorikk.  Modellen er utviklet ved hjelp av ekspertkunnskap og  statistisk analyse. Gulv for PD  satt av Finanstilsynet.</t>
  </si>
  <si>
    <t>Langsiktig utfall gitt av metodikk fra Finanstilsynets referansemodell for boliglån</t>
  </si>
  <si>
    <t>PD - personmarkedet, øvrige kunder</t>
  </si>
  <si>
    <t>Modellen er basert på informasjon om kundens økonomi, demografi og betalings-/anmerkningshistorikk. Modellen er utviklet ved hjelp av ekspertkunnskap og  statistisk analyse.  Gulv for PD  satt av Finanstilsynet.</t>
  </si>
  <si>
    <t>LGD-modeller</t>
  </si>
  <si>
    <t>LGD - bedriftsmarkedet</t>
  </si>
  <si>
    <t xml:space="preserve">Modellen hensyntar kundens sannsynlighet for realisasjon, og et anslag på tap der sikkerhetsdekning er den vesentligste variabel.  Modellen er utviklet ved hjelp av ekspertkunnskap og  statistisk analyse. </t>
  </si>
  <si>
    <t>Downturnestimat med sikkerhetsmarginer for verdifall sikkerheter og på totalnivå</t>
  </si>
  <si>
    <t>LGD - personmarkedet</t>
  </si>
  <si>
    <t>Downturnestimat der kalibreringsnivå er fastsatt av Finanstilsynets minimumsnivå for norske boliglånsporteføljer</t>
  </si>
  <si>
    <t>EAD-modeller</t>
  </si>
  <si>
    <t>EAD - bedriftsmarkedet</t>
  </si>
  <si>
    <t xml:space="preserve">Modellen fastsetter konverteringsfaktor for ubenyttede kredittrammer og gir et estimat for kreditteksponering ved framtidig mislighold.  Modellen er utviklet ved hjelp av ekspertkunnskap og  statistisk analyse.  </t>
  </si>
  <si>
    <t>Downturnestimat, som søkes sikret via sikkerhetsmarginer</t>
  </si>
  <si>
    <t>EAD - personmarkedet</t>
  </si>
  <si>
    <t xml:space="preserve">Modellen fastsetter konverteringsfaktor for ubenyttede kredittrammer og gir et estimat for kreditteksponering ved framtidig mislighold.  Modellen er utviklet ved hjelp av ekspertkunnskap og  statistisk analyse. </t>
  </si>
  <si>
    <t>Fondsobligasjon</t>
  </si>
  <si>
    <t>Fondsobligasjoner</t>
  </si>
  <si>
    <t>Egenkapitalbeviskapital</t>
  </si>
  <si>
    <t>Sparebankens fond</t>
  </si>
  <si>
    <t>Urealiserte gevinster på aksjer tilgjengelig for salg</t>
  </si>
  <si>
    <t>Justert kjernekapital fra konsoliderte finansinstitusjoner</t>
  </si>
  <si>
    <t>Goodwill og andre immatrielle eiendeler</t>
  </si>
  <si>
    <t>Fradrag for overfinansiert pensjonsforpliktelse</t>
  </si>
  <si>
    <t>Fradrag for forventet tap IRB utover regnskapsmessige avsetninger</t>
  </si>
  <si>
    <t>Fradrag for vesentlige eierandeler i selskaper i finansiell sektor</t>
  </si>
  <si>
    <t>Fradrag  for beholdning av ren kjernekapital i andre selskaper i finansiell sektor med vesentlig eierandel utover unntaksgrensen</t>
  </si>
  <si>
    <t>Fradrag for ansvarlig kapital i andre selskaper i finansiell sektor med vesentlig eierandel</t>
  </si>
  <si>
    <t>Beregningsgrunnlag</t>
  </si>
  <si>
    <t>Ren kjernekapital</t>
  </si>
  <si>
    <t>Eierandel og stemmeber. kapital</t>
  </si>
  <si>
    <t>Kapitaldekning SpareBank 1 Kredittkort</t>
  </si>
  <si>
    <t>Justeringer i ren kjerkapital knyttet til regulatoriske filtre</t>
  </si>
  <si>
    <t>FVOPL</t>
  </si>
  <si>
    <t>SMB LAB</t>
  </si>
  <si>
    <t>Proaware</t>
  </si>
  <si>
    <t>Kapitalkrav kredittrisiko</t>
  </si>
  <si>
    <t>Foretak-IRB</t>
  </si>
  <si>
    <t>SMB</t>
  </si>
  <si>
    <t>Spesialiserte foretak</t>
  </si>
  <si>
    <t>Øvrige</t>
  </si>
  <si>
    <t>Sum foretak</t>
  </si>
  <si>
    <t>Massemarked-IRB</t>
  </si>
  <si>
    <t>Eiendomsengasjementer- SMB</t>
  </si>
  <si>
    <t>Eiendomsengasjementer-ikke-SMB</t>
  </si>
  <si>
    <t>Øvrige SMB</t>
  </si>
  <si>
    <t>Øvrige ikke-SMB</t>
  </si>
  <si>
    <t>Sum massemarked-IRB</t>
  </si>
  <si>
    <t>Engasjements-
størrelse</t>
  </si>
  <si>
    <t>EAD</t>
  </si>
  <si>
    <t>Beregnings-grunnlag</t>
  </si>
  <si>
    <t>Risikovekt</t>
  </si>
  <si>
    <t>33,1 % </t>
  </si>
  <si>
    <t>Kapitalkrav operasjonell risiko</t>
  </si>
  <si>
    <t>Beløp i tusen kroner</t>
  </si>
  <si>
    <t>Foretaksfinansiering</t>
  </si>
  <si>
    <t>Egenhandel og formidling</t>
  </si>
  <si>
    <t>Megling for massemarkedskunder</t>
  </si>
  <si>
    <t>Banktjenester for bedriftskunder</t>
  </si>
  <si>
    <t>Banktjenester for massemarkedskunder</t>
  </si>
  <si>
    <t>Betalings- og oppgjørstjenester</t>
  </si>
  <si>
    <t>Tilknyttede tjenester</t>
  </si>
  <si>
    <t>Kapitalforvaltning</t>
  </si>
  <si>
    <t>Sum sjablongmetoden</t>
  </si>
  <si>
    <t>Sum basismetoden</t>
  </si>
  <si>
    <t>Sum operasjonell risiko</t>
  </si>
  <si>
    <t>Kapitalkrav for motpartsrisiko for derivater</t>
  </si>
  <si>
    <t>Rente- og valutainstrumenter i handelsporteføljen</t>
  </si>
  <si>
    <t>Rente- og valutainstrumenter, sikring</t>
  </si>
  <si>
    <t>Råvarer</t>
  </si>
  <si>
    <t>Sum</t>
  </si>
  <si>
    <t>Nominell verdi</t>
  </si>
  <si>
    <t>Kredittekvivalent</t>
  </si>
  <si>
    <t>Vektet beløp</t>
  </si>
  <si>
    <t>Massemarked-eiendom</t>
  </si>
  <si>
    <t>Massemarked-øvrige</t>
  </si>
  <si>
    <t>Sum massemarked-øvrige</t>
  </si>
  <si>
    <t>Sum massemarked</t>
  </si>
  <si>
    <t>*) Tall for morbank </t>
  </si>
  <si>
    <t>Risiko-
klasse</t>
  </si>
  <si>
    <t>Samlet       EAD</t>
  </si>
  <si>
    <t>Gjennomsn. risikovekt</t>
  </si>
  <si>
    <t>Gjennomsn.     LGD</t>
  </si>
  <si>
    <t xml:space="preserve"> Ubenyttet ramme* </t>
  </si>
  <si>
    <t>Gjennomsn. KF*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</si>
  <si>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</si>
  <si>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</si>
  <si>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</si>
  <si>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</si>
  <si>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</si>
  <si>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</si>
  <si>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</si>
  <si>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</si>
  <si>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</si>
  <si>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</si>
  <si>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</si>
  <si>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Andel</t>
  </si>
  <si>
    <t>Konsernets samlede engasjementer fordelt på engasjementstype</t>
  </si>
  <si>
    <t>Utlån fordelt på geografisk område og gjenstående løpetid</t>
  </si>
  <si>
    <t>Konsernets engasjementer,  mislighold og tap fordelt på bransjer</t>
  </si>
  <si>
    <t>Mislighold, tap og tapsavsetninger</t>
  </si>
  <si>
    <t>Regnskapsmessig konsern</t>
  </si>
  <si>
    <t>Finnmark</t>
  </si>
  <si>
    <t>Troms inkludert Svalbard</t>
  </si>
  <si>
    <t>Nordland</t>
  </si>
  <si>
    <t xml:space="preserve">Øvrige fylker </t>
  </si>
  <si>
    <t>Utlandet</t>
  </si>
  <si>
    <t xml:space="preserve">Sum brutto utlån </t>
  </si>
  <si>
    <t>Brutto utlån</t>
  </si>
  <si>
    <t>Utlån fordelt på  gjenstående løpetid</t>
  </si>
  <si>
    <t>På forespørsel</t>
  </si>
  <si>
    <t>Under 
3 måneder</t>
  </si>
  <si>
    <t>3-12 måneder</t>
  </si>
  <si>
    <t>1 - 5 år</t>
  </si>
  <si>
    <t>over 5 år</t>
  </si>
  <si>
    <t>Totalt</t>
  </si>
  <si>
    <t>Brutto utlån til kunder 31.12.2016</t>
  </si>
  <si>
    <t>Brutto utlån til kunder 31.12.2015</t>
  </si>
  <si>
    <t>Brutto utlån til kunder 31.12.2017</t>
  </si>
  <si>
    <t>Misligholdte engasjement</t>
  </si>
  <si>
    <t>Øvrig tapsutsatte engasjement</t>
  </si>
  <si>
    <t>Sum misligholdte og tapsutsatte engasjement</t>
  </si>
  <si>
    <t>Individuelle nedskrivninger misligholdte</t>
  </si>
  <si>
    <t>Individuelle nedskrivninger øvrige</t>
  </si>
  <si>
    <t>Sum individuelle nedskrivninger</t>
  </si>
  <si>
    <t>Netto misligholdte og tapsutsatte engasjement</t>
  </si>
  <si>
    <t>Tap</t>
  </si>
  <si>
    <t>Periodens endring i individuelle nedskrivninger</t>
  </si>
  <si>
    <t>Periodens endring i gruppenedskr. og langtidsovervåkning</t>
  </si>
  <si>
    <t>Inngang på tidligere nedskrevet utlån og garantier</t>
  </si>
  <si>
    <t>Periodens tapskostnader</t>
  </si>
  <si>
    <t>Øvrige tap</t>
  </si>
  <si>
    <t>Sum tap</t>
  </si>
  <si>
    <t xml:space="preserve">Utvikling tapsavsetninger </t>
  </si>
  <si>
    <t>Individuelle nedskrivninger</t>
  </si>
  <si>
    <t>Konstaterte tap i perioden på utlån og garantier hvor det tidligere er foretatt 
   individuelle nedskrivninger</t>
  </si>
  <si>
    <t>Tilbakeføring av tidligere års nedskrivninger</t>
  </si>
  <si>
    <t>Økning i nedskrivninger på engasjementer hvor det tidligere er gjort 
  individuelle nedskrivninger</t>
  </si>
  <si>
    <t>Nedskrivninger på engasjementer hvor det tidligere år ikke er gjort individuelle nedskrivninger</t>
  </si>
  <si>
    <t>Gruppevise nedskrivninger</t>
  </si>
  <si>
    <t>Periodens gruppenedskrivning for dekning av tap på utlån og garantier</t>
  </si>
  <si>
    <t>Engasjement</t>
  </si>
  <si>
    <t>Brutto misligholdte og tapsutsatte engasjementer</t>
  </si>
  <si>
    <t>Individuelle nedskrivinger/ avsetninger</t>
  </si>
  <si>
    <t>Netto misligholdte
 og tapsutsatte engasjementer</t>
  </si>
  <si>
    <r>
      <t>Bokførte tap</t>
    </r>
    <r>
      <rPr>
        <vertAlign val="superscript"/>
        <sz val="10"/>
        <color rgb="FF000000"/>
        <rFont val="Calibri"/>
        <family val="2"/>
      </rPr>
      <t>1)</t>
    </r>
  </si>
  <si>
    <t>Industri</t>
  </si>
  <si>
    <t>Sum foretak (næringskunder)</t>
  </si>
  <si>
    <t>Personmarked</t>
  </si>
  <si>
    <t>Engasjementsbeløp pr. 31.12.2016</t>
  </si>
  <si>
    <t>Gjennomsnittlig engasjementsbeløp i 2016</t>
  </si>
  <si>
    <t>Engasjementsbeløp pr. 31.12.2015</t>
  </si>
  <si>
    <t>Gjennomsnittlig engasjementsbeløp i 2015</t>
  </si>
  <si>
    <t>Foretak (næringskunder)</t>
  </si>
  <si>
    <t>Massemarked (personkunder)</t>
  </si>
  <si>
    <t>Offentlig (stat og kommuner)</t>
  </si>
  <si>
    <t>Brutto engasjement kunder</t>
  </si>
  <si>
    <t>Nedskrivninger</t>
  </si>
  <si>
    <t>Individuelle nedskrivinger</t>
  </si>
  <si>
    <t>Netto engasjement kunder</t>
  </si>
  <si>
    <t>Kontanter og fordringer på sentralbanker</t>
  </si>
  <si>
    <t>Utlån og fordringer på kredittinstitusjoner</t>
  </si>
  <si>
    <t>Individuelle nedskrivninger - kredittinstitusjoner</t>
  </si>
  <si>
    <t>Sum engasjementsbeløp</t>
  </si>
  <si>
    <t>Engasjementsbeløp pr. 31.12.2017</t>
  </si>
  <si>
    <t>Gjennomsnittlig engasjementsbeløp i 2017</t>
  </si>
  <si>
    <t>Samlet engasjementsbeløp og andelen som er sikret med pant i fast eiendom, fordelt på IRB-engasjementskategorier</t>
  </si>
  <si>
    <t>Sum IRB</t>
  </si>
  <si>
    <r>
      <t>Herav sikret med pant i fast eiendom</t>
    </r>
    <r>
      <rPr>
        <vertAlign val="superscript"/>
        <sz val="10"/>
        <color rgb="FF000000"/>
        <rFont val="Calibri"/>
        <family val="2"/>
      </rPr>
      <t xml:space="preserve"> </t>
    </r>
    <r>
      <rPr>
        <vertAlign val="superscript"/>
        <sz val="10"/>
        <rFont val="Calibri"/>
        <family val="2"/>
      </rPr>
      <t>1) 2)</t>
    </r>
  </si>
  <si>
    <r>
      <t xml:space="preserve">Herav usikret </t>
    </r>
    <r>
      <rPr>
        <vertAlign val="superscript"/>
        <sz val="10"/>
        <rFont val="Calibri"/>
        <family val="2"/>
      </rPr>
      <t>1)</t>
    </r>
  </si>
  <si>
    <r>
      <t>2)</t>
    </r>
    <r>
      <rPr>
        <sz val="10"/>
        <rFont val="Calibri"/>
        <family val="2"/>
      </rPr>
      <t xml:space="preserve"> Et engasjement der realisasjonsverdi av fast eiendom, vurderes lavere enn 30% av kundens 
    engasjement, kategoriseres ikke som engasjement med fast eiendom.</t>
    </r>
  </si>
  <si>
    <t>Eiendom</t>
  </si>
  <si>
    <t>Finansielle foretak, forsikring og verdipapirforetak</t>
  </si>
  <si>
    <t>Fiske og havbruk</t>
  </si>
  <si>
    <t>Jordbruk og skogbruk</t>
  </si>
  <si>
    <t>Kraft og vannforsyning, bygg og anlegg</t>
  </si>
  <si>
    <t>Offentlig forvaltning</t>
  </si>
  <si>
    <t>Tjenesteytende virksomhet</t>
  </si>
  <si>
    <t>Transport og lagring</t>
  </si>
  <si>
    <t>Varehandel, hotell og restaurantvirksomhet</t>
  </si>
  <si>
    <r>
      <rPr>
        <vertAlign val="superscript"/>
        <sz val="10"/>
        <color rgb="FF000000"/>
        <rFont val="Calibri"/>
        <family val="2"/>
      </rPr>
      <t>1)</t>
    </r>
    <r>
      <rPr>
        <sz val="10"/>
        <color rgb="FF000000"/>
        <rFont val="Calibri"/>
        <family val="2"/>
      </rPr>
      <t xml:space="preserve"> Sum individuelle og gruppevise tap, før inngang tidligere konstaterte 10 MNOK og øvrige tap 144 MNOK</t>
    </r>
  </si>
  <si>
    <t xml:space="preserve">Konstaterte tap som det tidligere er avsatt individuelle nedskrivninger for </t>
  </si>
  <si>
    <t xml:space="preserve">Konstaterte tap som det tidligere ikke er avsatt individuelle nedskrivninger for </t>
  </si>
  <si>
    <t>Nedskrivinger på grupper av utlån og garantier</t>
  </si>
  <si>
    <t>Gjennomsnittlig rente</t>
  </si>
  <si>
    <t>Sum foretak IRB</t>
  </si>
  <si>
    <t>Sum foretak og massemarked-IRB og egenkapitalposisjoner</t>
  </si>
  <si>
    <t>SpareBank 1 Betaling AS</t>
  </si>
  <si>
    <t>SpareBank 1 Banksamarbeidet DA</t>
  </si>
  <si>
    <t>Massemarked, foretak</t>
  </si>
  <si>
    <t>Datterselskaper og tilknyttede selskaper</t>
  </si>
  <si>
    <t>Minimumskrav til ansvarlig kapital og kapitaldekning</t>
  </si>
  <si>
    <t>Ansvarlig lånekapital og fondsobligasjoner, morbank</t>
  </si>
  <si>
    <t>Uvektet kjernkapitalandel (Leverage Ratio), konsern</t>
  </si>
  <si>
    <t>Bufferkrav, konsern</t>
  </si>
  <si>
    <t>Sum pilar 1-krav til ren kjernekapital</t>
  </si>
  <si>
    <t>Kapitalkrav per risikotype, konsern</t>
  </si>
  <si>
    <t>Kreditteksponeringer per engasjementskategori og risikoklasse</t>
  </si>
  <si>
    <t>Sum massemarked-eiendom</t>
  </si>
  <si>
    <t>Sikkerhetsstillelser per IRB-kategori</t>
  </si>
  <si>
    <r>
      <t>1)</t>
    </r>
    <r>
      <rPr>
        <sz val="10"/>
        <rFont val="Calibri"/>
        <family val="2"/>
      </rPr>
      <t xml:space="preserve">  Andel er totalt engasjement med slik sikkerhetsstillelse i forhold til totalt engasjement for gjeldende engasjementskategori.</t>
    </r>
  </si>
  <si>
    <r>
      <t xml:space="preserve">Herav sikret med annen pant/ sikkerhet </t>
    </r>
    <r>
      <rPr>
        <vertAlign val="superscript"/>
        <sz val="10"/>
        <rFont val="Calibri"/>
        <family val="2"/>
      </rPr>
      <t>1)</t>
    </r>
  </si>
  <si>
    <t>Opptjent egenkapital</t>
  </si>
  <si>
    <t>Årets resultat</t>
  </si>
  <si>
    <t>Immaterielle eiendeler, inkl utsatt skattefordel</t>
  </si>
  <si>
    <t>Foreslått utbytte</t>
  </si>
  <si>
    <t>Individuell nedskrivning til dekning av tap på utlån og garantier pr. 01.01</t>
  </si>
  <si>
    <t>Individuell nedskrivning til dekning av tap på utlån og garantier pr. 31.12</t>
  </si>
  <si>
    <t>Gruppenedskrivning til dekning av tap på utlån og garantier pr. 01.01</t>
  </si>
  <si>
    <t>Gruppenedskrivning til dekning av tap på utlån og garantier pr. 31.12</t>
  </si>
  <si>
    <t>Metoder for beregning av kapitalkravet</t>
  </si>
  <si>
    <t>Kapitaldekning, datterselskaper</t>
  </si>
  <si>
    <t>Kapitaldekning, tilknyttede selskaper</t>
  </si>
  <si>
    <t>Ansvarlig lånekapital</t>
  </si>
  <si>
    <t>Uvektet kjernekapitalandel</t>
  </si>
  <si>
    <t>Kapitalkrav pr. risikotype</t>
  </si>
  <si>
    <t>Kreditteksponeringer IRB pr. engasmentskategori og risikoklasse</t>
  </si>
  <si>
    <t>Sikkerhetsstillelser pr. IRB-kategori</t>
  </si>
  <si>
    <t>Konsernets engasjementer, mislighold og tap pr. bransje</t>
  </si>
  <si>
    <t>Utvikling i mislighold, tap og tapsavsetninger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</si>
</sst>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dd/mm/yy;@"/>
    <numFmt numFmtId="168" formatCode="#,##0;[Red]\(#,##0\);0"/>
    <numFmt numFmtId="169" formatCode="0.0\ %"/>
    <numFmt numFmtId="170" formatCode="_ * #,##0.00_ ;_ * \-#,##0.00_ ;_ * &quot;-&quot;??_ ;_ @_ "/>
    <numFmt numFmtId="171" formatCode="_(* #,##0.0_);_(* \(#,##0.0\);_(* &quot;-&quot;??_);_(@_)"/>
    <numFmt numFmtId="172" formatCode="_(* #,##0.0_);_(* \(#,##0.0\);_(* &quot;-&quot;?_);_(@_)"/>
  </numFmts>
  <fonts count="39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3366CC"/>
      <name val="Calibri"/>
      <family val="2"/>
      <scheme val="minor"/>
    </font>
    <font>
      <b/>
      <sz val="10"/>
      <color rgb="FF0066CC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vertAlign val="superscript"/>
      <sz val="10"/>
      <color rgb="FF000000"/>
      <name val="Calibri"/>
      <family val="2"/>
    </font>
    <font>
      <sz val="9"/>
      <name val="Times New Roman"/>
      <family val="1"/>
    </font>
    <font>
      <sz val="9"/>
      <color rgb="FF000000"/>
      <name val="Calibri"/>
      <family val="2"/>
    </font>
    <font>
      <i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2"/>
      <color rgb="FF3366CC"/>
      <name val="Calibri"/>
      <family val="2"/>
      <scheme val="minor"/>
    </font>
    <font>
      <b/>
      <i/>
      <sz val="8"/>
      <color rgb="FF000000"/>
      <name val="Calibri"/>
      <family val="2"/>
    </font>
    <font>
      <b/>
      <sz val="11"/>
      <color rgb="FF005AA4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5AA4"/>
      <name val="Calibri"/>
      <family val="2"/>
      <scheme val="minor"/>
    </font>
    <font>
      <b/>
      <sz val="10"/>
      <color rgb="FF005AA4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14"/>
      <color rgb="FF005AA4"/>
      <name val="Calibri"/>
      <family val="2"/>
    </font>
    <font>
      <b/>
      <sz val="14"/>
      <color rgb="FF005AA4"/>
      <name val="Calibri"/>
      <family val="2"/>
      <scheme val="minor"/>
    </font>
    <font>
      <b/>
      <sz val="12"/>
      <color rgb="FF005AA4"/>
      <name val="Calibri"/>
      <family val="2"/>
      <scheme val="minor"/>
    </font>
    <font>
      <b/>
      <sz val="12"/>
      <color rgb="FF008ED2"/>
      <name val="Calibri"/>
      <family val="2"/>
      <scheme val="minor"/>
    </font>
    <font>
      <sz val="10"/>
      <color rgb="FF005AA4"/>
      <name val="Calibri"/>
      <family val="2"/>
    </font>
    <font>
      <vertAlign val="superscript"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5AA4"/>
        <bgColor indexed="64"/>
      </patternFill>
    </fill>
    <fill>
      <patternFill patternType="solid">
        <fgColor rgb="FF005AA4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9" fillId="0" borderId="0" applyFill="0" applyBorder="0">
      <alignment horizontal="left" vertical="top"/>
    </xf>
    <xf numFmtId="0" fontId="27" fillId="0" borderId="0" applyNumberForma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170" fontId="28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4" fillId="0" borderId="0" xfId="2" applyFont="1" applyAlignment="1">
      <alignment horizontal="left"/>
    </xf>
    <xf numFmtId="0" fontId="6" fillId="0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indent="1"/>
    </xf>
    <xf numFmtId="165" fontId="0" fillId="0" borderId="0" xfId="3" applyNumberFormat="1" applyFont="1"/>
    <xf numFmtId="4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0" fontId="7" fillId="0" borderId="0" xfId="0" applyFont="1"/>
    <xf numFmtId="0" fontId="1" fillId="0" borderId="0" xfId="0" applyFont="1"/>
    <xf numFmtId="0" fontId="5" fillId="2" borderId="0" xfId="2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0" fillId="0" borderId="0" xfId="0" applyBorder="1"/>
    <xf numFmtId="0" fontId="10" fillId="0" borderId="0" xfId="0" applyFont="1"/>
    <xf numFmtId="0" fontId="2" fillId="0" borderId="0" xfId="0" applyFont="1" applyFill="1"/>
    <xf numFmtId="0" fontId="1" fillId="0" borderId="2" xfId="0" applyFont="1" applyBorder="1"/>
    <xf numFmtId="0" fontId="8" fillId="0" borderId="2" xfId="0" applyFont="1" applyBorder="1"/>
    <xf numFmtId="0" fontId="8" fillId="0" borderId="0" xfId="0" applyFont="1"/>
    <xf numFmtId="0" fontId="1" fillId="0" borderId="2" xfId="0" applyFont="1" applyBorder="1" applyAlignment="1">
      <alignment horizontal="left"/>
    </xf>
    <xf numFmtId="0" fontId="1" fillId="0" borderId="0" xfId="0" applyFont="1" applyBorder="1"/>
    <xf numFmtId="0" fontId="8" fillId="0" borderId="0" xfId="0" applyFont="1" applyBorder="1"/>
    <xf numFmtId="0" fontId="1" fillId="0" borderId="0" xfId="0" applyFont="1" applyBorder="1" applyAlignment="1">
      <alignment horizontal="left"/>
    </xf>
    <xf numFmtId="3" fontId="8" fillId="0" borderId="0" xfId="0" applyNumberFormat="1" applyFont="1" applyBorder="1"/>
    <xf numFmtId="166" fontId="13" fillId="0" borderId="0" xfId="3" applyNumberFormat="1" applyFont="1" applyFill="1" applyBorder="1" applyAlignment="1">
      <alignment horizontal="right"/>
    </xf>
    <xf numFmtId="166" fontId="13" fillId="0" borderId="2" xfId="3" applyNumberFormat="1" applyFont="1" applyFill="1" applyBorder="1" applyAlignment="1">
      <alignment horizontal="right"/>
    </xf>
    <xf numFmtId="166" fontId="12" fillId="0" borderId="2" xfId="3" applyNumberFormat="1" applyFont="1" applyFill="1" applyBorder="1" applyAlignment="1">
      <alignment horizontal="right"/>
    </xf>
    <xf numFmtId="0" fontId="13" fillId="0" borderId="0" xfId="0" applyFont="1" applyFill="1" applyBorder="1"/>
    <xf numFmtId="0" fontId="12" fillId="0" borderId="1" xfId="0" applyFont="1" applyFill="1" applyBorder="1"/>
    <xf numFmtId="166" fontId="13" fillId="0" borderId="0" xfId="0" applyNumberFormat="1" applyFont="1" applyFill="1" applyBorder="1"/>
    <xf numFmtId="166" fontId="12" fillId="0" borderId="2" xfId="3" applyNumberFormat="1" applyFont="1" applyFill="1" applyBorder="1"/>
    <xf numFmtId="166" fontId="13" fillId="0" borderId="0" xfId="3" applyNumberFormat="1" applyFont="1" applyFill="1" applyBorder="1"/>
    <xf numFmtId="166" fontId="13" fillId="0" borderId="1" xfId="3" applyNumberFormat="1" applyFont="1" applyFill="1" applyBorder="1"/>
    <xf numFmtId="166" fontId="12" fillId="0" borderId="1" xfId="3" applyNumberFormat="1" applyFont="1" applyFill="1" applyBorder="1"/>
    <xf numFmtId="10" fontId="13" fillId="0" borderId="0" xfId="1" applyNumberFormat="1" applyFont="1" applyFill="1" applyBorder="1"/>
    <xf numFmtId="10" fontId="12" fillId="0" borderId="2" xfId="1" applyNumberFormat="1" applyFont="1" applyFill="1" applyBorder="1"/>
    <xf numFmtId="0" fontId="0" fillId="0" borderId="2" xfId="0" applyBorder="1"/>
    <xf numFmtId="0" fontId="8" fillId="0" borderId="1" xfId="0" applyFont="1" applyBorder="1"/>
    <xf numFmtId="0" fontId="12" fillId="0" borderId="0" xfId="0" applyFont="1" applyFill="1" applyBorder="1"/>
    <xf numFmtId="0" fontId="0" fillId="0" borderId="1" xfId="0" applyBorder="1"/>
    <xf numFmtId="0" fontId="13" fillId="0" borderId="1" xfId="0" applyFont="1" applyFill="1" applyBorder="1"/>
    <xf numFmtId="0" fontId="13" fillId="0" borderId="2" xfId="0" applyFont="1" applyFill="1" applyBorder="1"/>
    <xf numFmtId="0" fontId="13" fillId="0" borderId="0" xfId="0" applyFont="1" applyFill="1" applyBorder="1" applyAlignment="1">
      <alignment horizontal="left" indent="2"/>
    </xf>
    <xf numFmtId="0" fontId="12" fillId="0" borderId="2" xfId="0" applyFont="1" applyFill="1" applyBorder="1"/>
    <xf numFmtId="0" fontId="16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3" fontId="13" fillId="0" borderId="0" xfId="0" applyNumberFormat="1" applyFont="1" applyFill="1" applyBorder="1"/>
    <xf numFmtId="3" fontId="12" fillId="0" borderId="2" xfId="0" applyNumberFormat="1" applyFont="1" applyFill="1" applyBorder="1"/>
    <xf numFmtId="166" fontId="13" fillId="0" borderId="2" xfId="3" applyNumberFormat="1" applyFont="1" applyFill="1" applyBorder="1"/>
    <xf numFmtId="166" fontId="16" fillId="0" borderId="0" xfId="3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13" fillId="0" borderId="2" xfId="0" applyNumberFormat="1" applyFont="1" applyFill="1" applyBorder="1"/>
    <xf numFmtId="3" fontId="13" fillId="0" borderId="1" xfId="0" applyNumberFormat="1" applyFont="1" applyFill="1" applyBorder="1"/>
    <xf numFmtId="3" fontId="12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0" fontId="0" fillId="0" borderId="0" xfId="0" applyFill="1" applyBorder="1"/>
    <xf numFmtId="166" fontId="12" fillId="0" borderId="0" xfId="3" applyNumberFormat="1" applyFont="1" applyFill="1" applyBorder="1"/>
    <xf numFmtId="10" fontId="12" fillId="0" borderId="0" xfId="1" applyNumberFormat="1" applyFont="1" applyFill="1" applyBorder="1"/>
    <xf numFmtId="167" fontId="12" fillId="0" borderId="0" xfId="0" applyNumberFormat="1" applyFont="1" applyFill="1" applyBorder="1" applyAlignment="1">
      <alignment vertical="top"/>
    </xf>
    <xf numFmtId="0" fontId="17" fillId="0" borderId="0" xfId="0" applyFont="1" applyFill="1" applyBorder="1"/>
    <xf numFmtId="167" fontId="12" fillId="0" borderId="1" xfId="0" applyNumberFormat="1" applyFont="1" applyFill="1" applyBorder="1"/>
    <xf numFmtId="168" fontId="13" fillId="0" borderId="0" xfId="0" applyNumberFormat="1" applyFont="1" applyFill="1" applyBorder="1" applyAlignment="1">
      <alignment horizontal="left" indent="2"/>
    </xf>
    <xf numFmtId="168" fontId="13" fillId="0" borderId="2" xfId="0" applyNumberFormat="1" applyFont="1" applyFill="1" applyBorder="1"/>
    <xf numFmtId="168" fontId="14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vertical="top"/>
    </xf>
    <xf numFmtId="166" fontId="13" fillId="0" borderId="0" xfId="3" applyNumberFormat="1" applyFont="1" applyFill="1" applyBorder="1" applyAlignment="1">
      <alignment vertical="top"/>
    </xf>
    <xf numFmtId="168" fontId="13" fillId="0" borderId="0" xfId="0" applyNumberFormat="1" applyFont="1" applyFill="1" applyBorder="1"/>
    <xf numFmtId="166" fontId="12" fillId="0" borderId="2" xfId="0" applyNumberFormat="1" applyFont="1" applyFill="1" applyBorder="1"/>
    <xf numFmtId="169" fontId="13" fillId="0" borderId="0" xfId="0" applyNumberFormat="1" applyFont="1" applyFill="1" applyBorder="1"/>
    <xf numFmtId="169" fontId="12" fillId="0" borderId="2" xfId="0" applyNumberFormat="1" applyFont="1" applyFill="1" applyBorder="1"/>
    <xf numFmtId="14" fontId="12" fillId="0" borderId="1" xfId="0" applyNumberFormat="1" applyFont="1" applyFill="1" applyBorder="1"/>
    <xf numFmtId="0" fontId="8" fillId="0" borderId="0" xfId="0" applyFont="1" applyBorder="1" applyAlignment="1">
      <alignment vertical="top"/>
    </xf>
    <xf numFmtId="0" fontId="1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4" fontId="12" fillId="0" borderId="0" xfId="0" applyNumberFormat="1" applyFont="1" applyFill="1" applyBorder="1"/>
    <xf numFmtId="166" fontId="1" fillId="0" borderId="0" xfId="3" applyNumberFormat="1" applyFont="1" applyAlignment="1">
      <alignment horizontal="right"/>
    </xf>
    <xf numFmtId="165" fontId="13" fillId="0" borderId="2" xfId="3" applyNumberFormat="1" applyFont="1" applyFill="1" applyBorder="1"/>
    <xf numFmtId="164" fontId="13" fillId="0" borderId="0" xfId="3" applyFont="1" applyFill="1" applyBorder="1"/>
    <xf numFmtId="0" fontId="15" fillId="0" borderId="0" xfId="0" applyFont="1" applyFill="1" applyBorder="1" applyAlignment="1">
      <alignment horizontal="left" indent="2"/>
    </xf>
    <xf numFmtId="164" fontId="13" fillId="0" borderId="0" xfId="3" applyFont="1" applyFill="1" applyBorder="1" applyAlignment="1">
      <alignment horizontal="right" indent="2"/>
    </xf>
    <xf numFmtId="164" fontId="13" fillId="0" borderId="0" xfId="3" applyFont="1" applyFill="1" applyBorder="1" applyAlignment="1">
      <alignment horizontal="left" indent="2"/>
    </xf>
    <xf numFmtId="165" fontId="13" fillId="0" borderId="0" xfId="3" applyNumberFormat="1" applyFont="1" applyFill="1" applyBorder="1"/>
    <xf numFmtId="165" fontId="12" fillId="0" borderId="2" xfId="3" applyNumberFormat="1" applyFont="1" applyFill="1" applyBorder="1"/>
    <xf numFmtId="166" fontId="13" fillId="0" borderId="0" xfId="3" applyNumberFormat="1" applyFont="1" applyFill="1" applyBorder="1" applyAlignment="1">
      <alignment horizontal="left" indent="2"/>
    </xf>
    <xf numFmtId="10" fontId="13" fillId="0" borderId="0" xfId="0" applyNumberFormat="1" applyFont="1" applyFill="1" applyBorder="1"/>
    <xf numFmtId="0" fontId="13" fillId="0" borderId="1" xfId="0" applyFont="1" applyFill="1" applyBorder="1" applyAlignment="1">
      <alignment vertical="top"/>
    </xf>
    <xf numFmtId="0" fontId="1" fillId="0" borderId="0" xfId="0" applyFont="1" applyBorder="1" applyAlignment="1"/>
    <xf numFmtId="0" fontId="0" fillId="0" borderId="0" xfId="0" applyAlignment="1">
      <alignment horizontal="left" indent="2"/>
    </xf>
    <xf numFmtId="0" fontId="0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wrapText="1"/>
    </xf>
    <xf numFmtId="3" fontId="13" fillId="0" borderId="0" xfId="0" applyNumberFormat="1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left" wrapText="1" indent="2"/>
    </xf>
    <xf numFmtId="0" fontId="13" fillId="0" borderId="2" xfId="0" applyFont="1" applyFill="1" applyBorder="1" applyAlignment="1">
      <alignment horizontal="left" wrapText="1"/>
    </xf>
    <xf numFmtId="3" fontId="13" fillId="0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0" fontId="12" fillId="0" borderId="2" xfId="0" applyFont="1" applyFill="1" applyBorder="1" applyAlignment="1">
      <alignment horizontal="left"/>
    </xf>
    <xf numFmtId="164" fontId="13" fillId="0" borderId="0" xfId="3" applyFont="1" applyFill="1" applyBorder="1" applyAlignment="1"/>
    <xf numFmtId="164" fontId="0" fillId="0" borderId="0" xfId="3" applyFont="1"/>
    <xf numFmtId="165" fontId="8" fillId="0" borderId="2" xfId="3" applyNumberFormat="1" applyFont="1" applyBorder="1"/>
    <xf numFmtId="0" fontId="13" fillId="0" borderId="0" xfId="0" applyFont="1" applyFill="1" applyBorder="1" applyAlignment="1">
      <alignment wrapText="1"/>
    </xf>
    <xf numFmtId="3" fontId="13" fillId="0" borderId="0" xfId="0" applyNumberFormat="1" applyFont="1" applyFill="1" applyBorder="1" applyAlignment="1">
      <alignment vertical="top"/>
    </xf>
    <xf numFmtId="165" fontId="8" fillId="0" borderId="0" xfId="3" applyNumberFormat="1" applyFont="1" applyBorder="1"/>
    <xf numFmtId="10" fontId="0" fillId="0" borderId="0" xfId="1" applyNumberFormat="1" applyFont="1" applyBorder="1"/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 indent="3"/>
    </xf>
    <xf numFmtId="0" fontId="0" fillId="0" borderId="0" xfId="0" applyBorder="1" applyAlignment="1">
      <alignment horizontal="left" indent="3"/>
    </xf>
    <xf numFmtId="3" fontId="13" fillId="0" borderId="0" xfId="3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 indent="3"/>
    </xf>
    <xf numFmtId="0" fontId="12" fillId="0" borderId="2" xfId="0" applyFont="1" applyFill="1" applyBorder="1" applyAlignment="1">
      <alignment horizontal="left" wrapText="1"/>
    </xf>
    <xf numFmtId="0" fontId="20" fillId="0" borderId="1" xfId="0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left" indent="1"/>
    </xf>
    <xf numFmtId="0" fontId="20" fillId="0" borderId="2" xfId="0" applyFont="1" applyFill="1" applyBorder="1" applyAlignment="1">
      <alignment horizontal="left"/>
    </xf>
    <xf numFmtId="0" fontId="20" fillId="0" borderId="2" xfId="0" applyFont="1" applyFill="1" applyBorder="1"/>
    <xf numFmtId="0" fontId="0" fillId="0" borderId="0" xfId="0" applyFill="1"/>
    <xf numFmtId="0" fontId="21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169" fontId="21" fillId="0" borderId="1" xfId="1" applyNumberFormat="1" applyFont="1" applyFill="1" applyBorder="1" applyAlignment="1">
      <alignment horizontal="left"/>
    </xf>
    <xf numFmtId="169" fontId="21" fillId="0" borderId="0" xfId="1" applyNumberFormat="1" applyFont="1" applyFill="1" applyBorder="1" applyAlignment="1">
      <alignment horizontal="left"/>
    </xf>
    <xf numFmtId="169" fontId="21" fillId="0" borderId="2" xfId="1" applyNumberFormat="1" applyFont="1" applyFill="1" applyBorder="1" applyAlignment="1">
      <alignment horizontal="left"/>
    </xf>
    <xf numFmtId="170" fontId="21" fillId="0" borderId="0" xfId="3" applyNumberFormat="1" applyFont="1" applyFill="1" applyBorder="1" applyAlignment="1">
      <alignment horizontal="left"/>
    </xf>
    <xf numFmtId="3" fontId="20" fillId="0" borderId="1" xfId="3" applyNumberFormat="1" applyFont="1" applyFill="1" applyBorder="1" applyAlignment="1">
      <alignment horizontal="left"/>
    </xf>
    <xf numFmtId="3" fontId="20" fillId="0" borderId="0" xfId="3" applyNumberFormat="1" applyFont="1" applyFill="1" applyBorder="1" applyAlignment="1">
      <alignment horizontal="left"/>
    </xf>
    <xf numFmtId="3" fontId="20" fillId="0" borderId="0" xfId="0" applyNumberFormat="1" applyFont="1" applyFill="1" applyBorder="1" applyAlignment="1">
      <alignment horizontal="left"/>
    </xf>
    <xf numFmtId="3" fontId="20" fillId="0" borderId="2" xfId="3" applyNumberFormat="1" applyFont="1" applyFill="1" applyBorder="1" applyAlignment="1">
      <alignment horizontal="left"/>
    </xf>
    <xf numFmtId="3" fontId="20" fillId="0" borderId="0" xfId="3" quotePrefix="1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23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Font="1" applyBorder="1"/>
    <xf numFmtId="0" fontId="0" fillId="0" borderId="0" xfId="0" applyFont="1" applyFill="1" applyBorder="1"/>
    <xf numFmtId="0" fontId="1" fillId="0" borderId="0" xfId="0" applyFont="1" applyBorder="1" applyAlignment="1">
      <alignment horizontal="left" indent="4"/>
    </xf>
    <xf numFmtId="0" fontId="0" fillId="0" borderId="0" xfId="0" applyFont="1" applyFill="1" applyBorder="1" applyAlignment="1">
      <alignment horizontal="left" indent="4"/>
    </xf>
    <xf numFmtId="0" fontId="4" fillId="0" borderId="0" xfId="0" applyFont="1" applyBorder="1" applyAlignment="1">
      <alignment horizontal="left" indent="4"/>
    </xf>
    <xf numFmtId="0" fontId="0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2" xfId="0" applyFont="1" applyFill="1" applyBorder="1" applyAlignment="1">
      <alignment horizontal="left"/>
    </xf>
    <xf numFmtId="0" fontId="0" fillId="0" borderId="2" xfId="0" applyFont="1" applyBorder="1"/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3" fontId="8" fillId="0" borderId="0" xfId="0" applyNumberFormat="1" applyFont="1"/>
    <xf numFmtId="0" fontId="22" fillId="0" borderId="2" xfId="0" applyFont="1" applyFill="1" applyBorder="1"/>
    <xf numFmtId="3" fontId="22" fillId="0" borderId="2" xfId="3" applyNumberFormat="1" applyFont="1" applyFill="1" applyBorder="1" applyAlignment="1">
      <alignment horizontal="left"/>
    </xf>
    <xf numFmtId="169" fontId="24" fillId="0" borderId="2" xfId="1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3" fontId="20" fillId="0" borderId="2" xfId="0" applyNumberFormat="1" applyFont="1" applyFill="1" applyBorder="1" applyAlignment="1">
      <alignment horizontal="left"/>
    </xf>
    <xf numFmtId="0" fontId="8" fillId="0" borderId="0" xfId="0" applyFont="1" applyAlignment="1"/>
    <xf numFmtId="0" fontId="0" fillId="0" borderId="0" xfId="0" applyAlignment="1"/>
    <xf numFmtId="1" fontId="8" fillId="0" borderId="1" xfId="3" applyNumberFormat="1" applyFont="1" applyBorder="1" applyAlignment="1"/>
    <xf numFmtId="1" fontId="13" fillId="0" borderId="1" xfId="3" applyNumberFormat="1" applyFont="1" applyFill="1" applyBorder="1" applyAlignment="1"/>
    <xf numFmtId="165" fontId="8" fillId="0" borderId="0" xfId="3" applyNumberFormat="1" applyFont="1" applyBorder="1" applyAlignment="1"/>
    <xf numFmtId="166" fontId="13" fillId="0" borderId="0" xfId="3" applyNumberFormat="1" applyFont="1" applyFill="1" applyBorder="1" applyAlignment="1"/>
    <xf numFmtId="3" fontId="8" fillId="0" borderId="2" xfId="3" applyNumberFormat="1" applyFont="1" applyBorder="1" applyAlignment="1"/>
    <xf numFmtId="3" fontId="13" fillId="0" borderId="2" xfId="3" applyNumberFormat="1" applyFont="1" applyFill="1" applyBorder="1" applyAlignment="1"/>
    <xf numFmtId="3" fontId="8" fillId="0" borderId="0" xfId="3" applyNumberFormat="1" applyFont="1" applyBorder="1" applyAlignment="1"/>
    <xf numFmtId="3" fontId="13" fillId="0" borderId="0" xfId="3" applyNumberFormat="1" applyFont="1" applyFill="1" applyBorder="1" applyAlignment="1"/>
    <xf numFmtId="166" fontId="13" fillId="0" borderId="2" xfId="3" applyNumberFormat="1" applyFont="1" applyFill="1" applyBorder="1" applyAlignment="1"/>
    <xf numFmtId="165" fontId="8" fillId="0" borderId="2" xfId="3" applyNumberFormat="1" applyFont="1" applyBorder="1" applyAlignment="1"/>
    <xf numFmtId="165" fontId="1" fillId="0" borderId="2" xfId="3" applyNumberFormat="1" applyFont="1" applyBorder="1" applyAlignment="1"/>
    <xf numFmtId="0" fontId="14" fillId="0" borderId="0" xfId="0" applyFont="1" applyFill="1" applyBorder="1" applyAlignment="1"/>
    <xf numFmtId="166" fontId="13" fillId="0" borderId="0" xfId="0" applyNumberFormat="1" applyFont="1" applyFill="1" applyBorder="1" applyAlignment="1"/>
    <xf numFmtId="3" fontId="12" fillId="0" borderId="0" xfId="0" applyNumberFormat="1" applyFont="1" applyFill="1" applyBorder="1" applyAlignment="1"/>
    <xf numFmtId="3" fontId="16" fillId="0" borderId="0" xfId="0" applyNumberFormat="1" applyFont="1" applyFill="1" applyBorder="1" applyAlignment="1"/>
    <xf numFmtId="3" fontId="15" fillId="0" borderId="2" xfId="0" applyNumberFormat="1" applyFont="1" applyFill="1" applyBorder="1" applyAlignment="1"/>
    <xf numFmtId="3" fontId="15" fillId="0" borderId="0" xfId="3" applyNumberFormat="1" applyFont="1" applyFill="1" applyBorder="1" applyAlignment="1"/>
    <xf numFmtId="3" fontId="12" fillId="0" borderId="2" xfId="3" applyNumberFormat="1" applyFont="1" applyFill="1" applyBorder="1" applyAlignment="1"/>
    <xf numFmtId="0" fontId="0" fillId="0" borderId="0" xfId="0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left" wrapText="1"/>
    </xf>
    <xf numFmtId="3" fontId="0" fillId="0" borderId="0" xfId="0" applyNumberFormat="1"/>
    <xf numFmtId="1" fontId="0" fillId="0" borderId="0" xfId="0" applyNumberFormat="1"/>
    <xf numFmtId="0" fontId="8" fillId="0" borderId="1" xfId="3" applyNumberFormat="1" applyFont="1" applyBorder="1"/>
    <xf numFmtId="3" fontId="0" fillId="0" borderId="0" xfId="3" applyNumberFormat="1" applyFont="1"/>
    <xf numFmtId="3" fontId="0" fillId="0" borderId="2" xfId="3" applyNumberFormat="1" applyFont="1" applyBorder="1"/>
    <xf numFmtId="3" fontId="0" fillId="0" borderId="0" xfId="3" applyNumberFormat="1" applyFont="1" applyBorder="1"/>
    <xf numFmtId="166" fontId="0" fillId="0" borderId="0" xfId="0" applyNumberFormat="1"/>
    <xf numFmtId="10" fontId="13" fillId="0" borderId="2" xfId="1" applyNumberFormat="1" applyFont="1" applyFill="1" applyBorder="1"/>
    <xf numFmtId="3" fontId="8" fillId="0" borderId="2" xfId="3" applyNumberFormat="1" applyFont="1" applyBorder="1"/>
    <xf numFmtId="10" fontId="0" fillId="0" borderId="2" xfId="1" applyNumberFormat="1" applyFont="1" applyBorder="1"/>
    <xf numFmtId="165" fontId="2" fillId="0" borderId="0" xfId="3" applyNumberFormat="1" applyFont="1" applyFill="1"/>
    <xf numFmtId="0" fontId="5" fillId="0" borderId="0" xfId="0" applyFont="1" applyFill="1"/>
    <xf numFmtId="3" fontId="13" fillId="0" borderId="0" xfId="3" applyNumberFormat="1" applyFont="1" applyFill="1" applyBorder="1" applyAlignment="1">
      <alignment horizontal="right" indent="2"/>
    </xf>
    <xf numFmtId="3" fontId="13" fillId="0" borderId="2" xfId="3" applyNumberFormat="1" applyFont="1" applyFill="1" applyBorder="1" applyAlignment="1">
      <alignment horizontal="right"/>
    </xf>
    <xf numFmtId="3" fontId="12" fillId="0" borderId="2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3" fontId="13" fillId="0" borderId="1" xfId="3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right"/>
    </xf>
    <xf numFmtId="10" fontId="13" fillId="0" borderId="0" xfId="1" applyNumberFormat="1" applyFont="1" applyFill="1" applyBorder="1" applyAlignment="1">
      <alignment horizontal="right"/>
    </xf>
    <xf numFmtId="10" fontId="12" fillId="0" borderId="2" xfId="1" applyNumberFormat="1" applyFont="1" applyFill="1" applyBorder="1" applyAlignment="1">
      <alignment horizontal="right"/>
    </xf>
    <xf numFmtId="1" fontId="13" fillId="0" borderId="2" xfId="0" applyNumberFormat="1" applyFont="1" applyFill="1" applyBorder="1"/>
    <xf numFmtId="1" fontId="13" fillId="0" borderId="0" xfId="0" applyNumberFormat="1" applyFont="1" applyFill="1" applyBorder="1"/>
    <xf numFmtId="0" fontId="12" fillId="0" borderId="1" xfId="3" applyNumberFormat="1" applyFont="1" applyFill="1" applyBorder="1" applyAlignment="1">
      <alignment horizontal="right"/>
    </xf>
    <xf numFmtId="3" fontId="13" fillId="0" borderId="1" xfId="3" applyNumberFormat="1" applyFont="1" applyFill="1" applyBorder="1" applyAlignment="1"/>
    <xf numFmtId="165" fontId="13" fillId="0" borderId="0" xfId="0" applyNumberFormat="1" applyFont="1" applyFill="1" applyBorder="1"/>
    <xf numFmtId="165" fontId="13" fillId="0" borderId="1" xfId="0" applyNumberFormat="1" applyFont="1" applyFill="1" applyBorder="1"/>
    <xf numFmtId="165" fontId="12" fillId="0" borderId="1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Border="1"/>
    <xf numFmtId="10" fontId="8" fillId="0" borderId="2" xfId="1" applyNumberFormat="1" applyFont="1" applyBorder="1"/>
    <xf numFmtId="165" fontId="0" fillId="0" borderId="0" xfId="3" applyNumberFormat="1" applyFont="1" applyFill="1" applyAlignment="1">
      <alignment horizontal="right"/>
    </xf>
    <xf numFmtId="165" fontId="0" fillId="0" borderId="0" xfId="3" applyNumberFormat="1" applyFont="1" applyFill="1"/>
    <xf numFmtId="9" fontId="0" fillId="0" borderId="0" xfId="0" applyNumberFormat="1"/>
    <xf numFmtId="0" fontId="25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indent="2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/>
    </xf>
    <xf numFmtId="3" fontId="1" fillId="0" borderId="0" xfId="0" applyNumberFormat="1" applyFont="1"/>
    <xf numFmtId="3" fontId="1" fillId="0" borderId="2" xfId="0" applyNumberFormat="1" applyFont="1" applyBorder="1"/>
    <xf numFmtId="3" fontId="1" fillId="0" borderId="5" xfId="0" applyNumberFormat="1" applyFont="1" applyBorder="1"/>
    <xf numFmtId="3" fontId="1" fillId="0" borderId="7" xfId="0" applyNumberFormat="1" applyFont="1" applyBorder="1"/>
    <xf numFmtId="3" fontId="8" fillId="0" borderId="7" xfId="0" applyNumberFormat="1" applyFont="1" applyBorder="1"/>
    <xf numFmtId="0" fontId="25" fillId="0" borderId="0" xfId="0" applyFont="1" applyBorder="1" applyAlignment="1"/>
    <xf numFmtId="165" fontId="1" fillId="0" borderId="2" xfId="0" applyNumberFormat="1" applyFont="1" applyBorder="1"/>
    <xf numFmtId="165" fontId="8" fillId="0" borderId="2" xfId="0" applyNumberFormat="1" applyFont="1" applyBorder="1"/>
    <xf numFmtId="165" fontId="1" fillId="0" borderId="1" xfId="0" applyNumberFormat="1" applyFont="1" applyBorder="1"/>
    <xf numFmtId="3" fontId="1" fillId="0" borderId="1" xfId="0" applyNumberFormat="1" applyFont="1" applyBorder="1"/>
    <xf numFmtId="3" fontId="0" fillId="0" borderId="8" xfId="0" applyNumberFormat="1" applyBorder="1"/>
    <xf numFmtId="0" fontId="1" fillId="0" borderId="6" xfId="0" applyFont="1" applyBorder="1" applyAlignment="1">
      <alignment horizontal="left"/>
    </xf>
    <xf numFmtId="0" fontId="0" fillId="0" borderId="4" xfId="0" applyBorder="1"/>
    <xf numFmtId="9" fontId="0" fillId="0" borderId="0" xfId="1" applyFont="1"/>
    <xf numFmtId="169" fontId="0" fillId="0" borderId="0" xfId="1" applyNumberFormat="1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169" fontId="0" fillId="0" borderId="6" xfId="1" applyNumberFormat="1" applyFont="1" applyBorder="1"/>
    <xf numFmtId="169" fontId="8" fillId="0" borderId="6" xfId="1" applyNumberFormat="1" applyFont="1" applyBorder="1"/>
    <xf numFmtId="0" fontId="10" fillId="0" borderId="1" xfId="0" applyFont="1" applyBorder="1" applyAlignment="1">
      <alignment wrapText="1"/>
    </xf>
    <xf numFmtId="0" fontId="11" fillId="0" borderId="0" xfId="0" applyFont="1"/>
    <xf numFmtId="0" fontId="1" fillId="0" borderId="1" xfId="0" applyFont="1" applyBorder="1" applyAlignment="1">
      <alignment wrapText="1"/>
    </xf>
    <xf numFmtId="171" fontId="0" fillId="0" borderId="0" xfId="3" applyNumberFormat="1" applyFont="1"/>
    <xf numFmtId="171" fontId="0" fillId="0" borderId="0" xfId="0" applyNumberFormat="1"/>
    <xf numFmtId="172" fontId="0" fillId="0" borderId="0" xfId="0" applyNumberFormat="1"/>
    <xf numFmtId="165" fontId="0" fillId="0" borderId="2" xfId="0" applyNumberFormat="1" applyBorder="1"/>
    <xf numFmtId="164" fontId="0" fillId="0" borderId="2" xfId="0" applyNumberFormat="1" applyBorder="1"/>
    <xf numFmtId="165" fontId="0" fillId="0" borderId="0" xfId="0" applyNumberFormat="1"/>
    <xf numFmtId="1" fontId="0" fillId="0" borderId="2" xfId="0" applyNumberFormat="1" applyBorder="1"/>
    <xf numFmtId="9" fontId="0" fillId="0" borderId="2" xfId="1" applyFont="1" applyBorder="1"/>
    <xf numFmtId="9" fontId="0" fillId="0" borderId="2" xfId="0" applyNumberFormat="1" applyBorder="1"/>
    <xf numFmtId="169" fontId="0" fillId="0" borderId="2" xfId="0" applyNumberFormat="1" applyBorder="1"/>
    <xf numFmtId="9" fontId="0" fillId="0" borderId="2" xfId="1" applyNumberFormat="1" applyFont="1" applyBorder="1"/>
    <xf numFmtId="0" fontId="29" fillId="4" borderId="0" xfId="0" applyFont="1" applyFill="1" applyBorder="1" applyAlignment="1">
      <alignment vertical="top"/>
    </xf>
    <xf numFmtId="0" fontId="30" fillId="5" borderId="0" xfId="0" applyFont="1" applyFill="1" applyBorder="1" applyAlignment="1">
      <alignment vertical="top"/>
    </xf>
    <xf numFmtId="0" fontId="1" fillId="4" borderId="1" xfId="6" applyFont="1" applyFill="1" applyBorder="1"/>
    <xf numFmtId="14" fontId="1" fillId="4" borderId="1" xfId="6" applyNumberFormat="1" applyFont="1" applyFill="1" applyBorder="1" applyAlignment="1">
      <alignment horizontal="right"/>
    </xf>
    <xf numFmtId="166" fontId="1" fillId="4" borderId="2" xfId="8" applyNumberFormat="1" applyFont="1" applyFill="1" applyBorder="1"/>
    <xf numFmtId="0" fontId="17" fillId="5" borderId="0" xfId="0" applyFont="1" applyFill="1" applyBorder="1"/>
    <xf numFmtId="0" fontId="13" fillId="5" borderId="1" xfId="6" applyFont="1" applyFill="1" applyBorder="1"/>
    <xf numFmtId="14" fontId="13" fillId="5" borderId="1" xfId="6" applyNumberFormat="1" applyFont="1" applyFill="1" applyBorder="1" applyAlignment="1">
      <alignment horizontal="right"/>
    </xf>
    <xf numFmtId="14" fontId="13" fillId="5" borderId="9" xfId="6" applyNumberFormat="1" applyFont="1" applyFill="1" applyBorder="1" applyAlignment="1">
      <alignment horizontal="right" indent="1"/>
    </xf>
    <xf numFmtId="14" fontId="13" fillId="5" borderId="10" xfId="6" applyNumberFormat="1" applyFont="1" applyFill="1" applyBorder="1" applyAlignment="1">
      <alignment horizontal="right"/>
    </xf>
    <xf numFmtId="0" fontId="13" fillId="5" borderId="0" xfId="6" applyFont="1" applyFill="1" applyBorder="1"/>
    <xf numFmtId="166" fontId="13" fillId="5" borderId="0" xfId="8" applyNumberFormat="1" applyFont="1" applyFill="1" applyBorder="1"/>
    <xf numFmtId="9" fontId="13" fillId="5" borderId="4" xfId="1" applyFont="1" applyFill="1" applyBorder="1"/>
    <xf numFmtId="166" fontId="13" fillId="5" borderId="5" xfId="8" applyNumberFormat="1" applyFont="1" applyFill="1" applyBorder="1"/>
    <xf numFmtId="166" fontId="13" fillId="5" borderId="2" xfId="8" applyNumberFormat="1" applyFont="1" applyFill="1" applyBorder="1"/>
    <xf numFmtId="9" fontId="13" fillId="5" borderId="6" xfId="1" applyFont="1" applyFill="1" applyBorder="1"/>
    <xf numFmtId="166" fontId="13" fillId="5" borderId="7" xfId="8" applyNumberFormat="1" applyFont="1" applyFill="1" applyBorder="1"/>
    <xf numFmtId="0" fontId="0" fillId="0" borderId="9" xfId="0" applyBorder="1"/>
    <xf numFmtId="0" fontId="13" fillId="5" borderId="2" xfId="6" applyFont="1" applyFill="1" applyBorder="1"/>
    <xf numFmtId="165" fontId="0" fillId="0" borderId="0" xfId="3" applyNumberFormat="1" applyFont="1" applyBorder="1"/>
    <xf numFmtId="9" fontId="0" fillId="0" borderId="4" xfId="1" applyFont="1" applyBorder="1"/>
    <xf numFmtId="9" fontId="0" fillId="0" borderId="6" xfId="0" applyNumberFormat="1" applyBorder="1"/>
    <xf numFmtId="0" fontId="33" fillId="5" borderId="0" xfId="0" applyFont="1" applyFill="1" applyBorder="1"/>
    <xf numFmtId="14" fontId="13" fillId="5" borderId="0" xfId="6" applyNumberFormat="1" applyFont="1" applyFill="1" applyBorder="1" applyAlignment="1"/>
    <xf numFmtId="14" fontId="13" fillId="5" borderId="0" xfId="0" applyNumberFormat="1" applyFont="1" applyFill="1" applyBorder="1" applyAlignment="1"/>
    <xf numFmtId="0" fontId="13" fillId="5" borderId="1" xfId="6" applyFont="1" applyFill="1" applyBorder="1" applyAlignment="1">
      <alignment wrapText="1"/>
    </xf>
    <xf numFmtId="14" fontId="13" fillId="5" borderId="1" xfId="6" applyNumberFormat="1" applyFont="1" applyFill="1" applyBorder="1" applyAlignment="1">
      <alignment horizontal="right" wrapText="1"/>
    </xf>
    <xf numFmtId="166" fontId="13" fillId="5" borderId="0" xfId="3" applyNumberFormat="1" applyFont="1" applyFill="1" applyBorder="1"/>
    <xf numFmtId="166" fontId="13" fillId="5" borderId="1" xfId="3" applyNumberFormat="1" applyFont="1" applyFill="1" applyBorder="1"/>
    <xf numFmtId="0" fontId="0" fillId="4" borderId="0" xfId="0" applyFont="1" applyFill="1"/>
    <xf numFmtId="0" fontId="34" fillId="4" borderId="0" xfId="0" applyFont="1" applyFill="1" applyBorder="1" applyAlignment="1">
      <alignment vertical="top"/>
    </xf>
    <xf numFmtId="0" fontId="35" fillId="4" borderId="0" xfId="0" applyFont="1" applyFill="1"/>
    <xf numFmtId="0" fontId="1" fillId="4" borderId="1" xfId="6" applyFont="1" applyFill="1" applyBorder="1" applyAlignment="1">
      <alignment wrapText="1"/>
    </xf>
    <xf numFmtId="14" fontId="1" fillId="4" borderId="1" xfId="6" applyNumberFormat="1" applyFont="1" applyFill="1" applyBorder="1" applyAlignment="1">
      <alignment horizontal="right" wrapText="1"/>
    </xf>
    <xf numFmtId="0" fontId="1" fillId="4" borderId="0" xfId="6" applyFont="1" applyFill="1"/>
    <xf numFmtId="166" fontId="1" fillId="4" borderId="0" xfId="8" applyNumberFormat="1" applyFont="1" applyFill="1"/>
    <xf numFmtId="166" fontId="1" fillId="4" borderId="1" xfId="8" applyNumberFormat="1" applyFont="1" applyFill="1" applyBorder="1"/>
    <xf numFmtId="0" fontId="1" fillId="4" borderId="2" xfId="6" applyFont="1" applyFill="1" applyBorder="1"/>
    <xf numFmtId="0" fontId="1" fillId="4" borderId="1" xfId="6" applyNumberFormat="1" applyFont="1" applyFill="1" applyBorder="1" applyAlignment="1">
      <alignment horizontal="right" wrapText="1"/>
    </xf>
    <xf numFmtId="0" fontId="1" fillId="4" borderId="0" xfId="6" applyFont="1" applyFill="1" applyAlignment="1">
      <alignment wrapText="1"/>
    </xf>
    <xf numFmtId="0" fontId="1" fillId="4" borderId="0" xfId="6" quotePrefix="1" applyFont="1" applyFill="1" applyAlignment="1">
      <alignment wrapText="1"/>
    </xf>
    <xf numFmtId="166" fontId="1" fillId="4" borderId="0" xfId="8" applyNumberFormat="1" applyFont="1" applyFill="1" applyAlignment="1"/>
    <xf numFmtId="166" fontId="1" fillId="4" borderId="0" xfId="0" applyNumberFormat="1" applyFont="1" applyFill="1"/>
    <xf numFmtId="0" fontId="36" fillId="4" borderId="0" xfId="0" applyFont="1" applyFill="1"/>
    <xf numFmtId="0" fontId="13" fillId="5" borderId="1" xfId="6" applyFont="1" applyFill="1" applyBorder="1" applyAlignment="1">
      <alignment horizontal="right"/>
    </xf>
    <xf numFmtId="0" fontId="13" fillId="5" borderId="1" xfId="6" applyFont="1" applyFill="1" applyBorder="1" applyAlignment="1">
      <alignment horizontal="right" wrapText="1"/>
    </xf>
    <xf numFmtId="170" fontId="13" fillId="5" borderId="2" xfId="8" applyFont="1" applyFill="1" applyBorder="1"/>
    <xf numFmtId="0" fontId="13" fillId="5" borderId="3" xfId="6" applyFont="1" applyFill="1" applyBorder="1"/>
    <xf numFmtId="0" fontId="13" fillId="0" borderId="1" xfId="6" applyFont="1" applyFill="1" applyBorder="1" applyAlignment="1">
      <alignment wrapText="1"/>
    </xf>
    <xf numFmtId="0" fontId="13" fillId="0" borderId="1" xfId="6" applyFont="1" applyFill="1" applyBorder="1" applyAlignment="1">
      <alignment horizontal="right" vertical="top" wrapText="1"/>
    </xf>
    <xf numFmtId="0" fontId="13" fillId="0" borderId="9" xfId="6" applyFont="1" applyFill="1" applyBorder="1" applyAlignment="1">
      <alignment horizontal="right" vertical="top" wrapText="1"/>
    </xf>
    <xf numFmtId="0" fontId="13" fillId="0" borderId="0" xfId="6" applyFont="1" applyFill="1" applyBorder="1"/>
    <xf numFmtId="166" fontId="13" fillId="0" borderId="0" xfId="8" applyNumberFormat="1" applyFont="1" applyFill="1" applyBorder="1"/>
    <xf numFmtId="166" fontId="13" fillId="0" borderId="4" xfId="8" applyNumberFormat="1" applyFont="1" applyFill="1" applyBorder="1"/>
    <xf numFmtId="0" fontId="13" fillId="0" borderId="2" xfId="6" applyFont="1" applyFill="1" applyBorder="1"/>
    <xf numFmtId="166" fontId="13" fillId="0" borderId="2" xfId="8" applyNumberFormat="1" applyFont="1" applyFill="1" applyBorder="1"/>
    <xf numFmtId="166" fontId="13" fillId="0" borderId="6" xfId="8" applyNumberFormat="1" applyFont="1" applyFill="1" applyBorder="1"/>
    <xf numFmtId="0" fontId="13" fillId="0" borderId="0" xfId="6" applyFont="1" applyFill="1" applyBorder="1" applyAlignment="1">
      <alignment horizontal="left" indent="2"/>
    </xf>
    <xf numFmtId="0" fontId="12" fillId="0" borderId="2" xfId="6" applyFont="1" applyFill="1" applyBorder="1"/>
    <xf numFmtId="166" fontId="12" fillId="0" borderId="2" xfId="8" applyNumberFormat="1" applyFont="1" applyFill="1" applyBorder="1"/>
    <xf numFmtId="166" fontId="12" fillId="0" borderId="6" xfId="8" applyNumberFormat="1" applyFont="1" applyFill="1" applyBorder="1"/>
    <xf numFmtId="0" fontId="13" fillId="0" borderId="10" xfId="6" applyFont="1" applyFill="1" applyBorder="1" applyAlignment="1">
      <alignment horizontal="right" vertical="top" wrapText="1"/>
    </xf>
    <xf numFmtId="166" fontId="13" fillId="0" borderId="5" xfId="8" applyNumberFormat="1" applyFont="1" applyFill="1" applyBorder="1"/>
    <xf numFmtId="166" fontId="13" fillId="0" borderId="7" xfId="8" applyNumberFormat="1" applyFont="1" applyFill="1" applyBorder="1"/>
    <xf numFmtId="166" fontId="12" fillId="0" borderId="7" xfId="8" applyNumberFormat="1" applyFont="1" applyFill="1" applyBorder="1"/>
    <xf numFmtId="0" fontId="37" fillId="0" borderId="0" xfId="0" applyFont="1" applyFill="1" applyBorder="1" applyAlignment="1">
      <alignment wrapText="1"/>
    </xf>
    <xf numFmtId="0" fontId="33" fillId="0" borderId="0" xfId="0" applyFont="1" applyFill="1" applyBorder="1"/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right" wrapText="1"/>
    </xf>
    <xf numFmtId="9" fontId="13" fillId="0" borderId="0" xfId="1" applyFont="1" applyFill="1" applyBorder="1"/>
    <xf numFmtId="9" fontId="13" fillId="0" borderId="2" xfId="1" applyFont="1" applyFill="1" applyBorder="1"/>
    <xf numFmtId="0" fontId="12" fillId="5" borderId="0" xfId="6" applyFont="1" applyFill="1" applyBorder="1"/>
    <xf numFmtId="165" fontId="12" fillId="0" borderId="0" xfId="3" applyNumberFormat="1" applyFont="1" applyFill="1" applyBorder="1" applyAlignment="1">
      <alignment horizontal="right" wrapText="1"/>
    </xf>
    <xf numFmtId="165" fontId="0" fillId="0" borderId="3" xfId="3" applyNumberFormat="1" applyFont="1" applyBorder="1"/>
    <xf numFmtId="165" fontId="0" fillId="0" borderId="2" xfId="3" applyNumberFormat="1" applyFont="1" applyBorder="1"/>
    <xf numFmtId="3" fontId="0" fillId="0" borderId="3" xfId="3" applyNumberFormat="1" applyFont="1" applyBorder="1"/>
    <xf numFmtId="0" fontId="35" fillId="0" borderId="0" xfId="0" applyFont="1" applyFill="1"/>
    <xf numFmtId="0" fontId="36" fillId="0" borderId="0" xfId="0" applyFont="1" applyFill="1"/>
    <xf numFmtId="0" fontId="8" fillId="0" borderId="1" xfId="6" applyFont="1" applyFill="1" applyBorder="1" applyAlignment="1">
      <alignment wrapText="1"/>
    </xf>
    <xf numFmtId="0" fontId="8" fillId="0" borderId="2" xfId="6" applyFont="1" applyFill="1" applyBorder="1" applyAlignment="1">
      <alignment wrapText="1"/>
    </xf>
    <xf numFmtId="14" fontId="8" fillId="0" borderId="1" xfId="6" applyNumberFormat="1" applyFont="1" applyFill="1" applyBorder="1" applyAlignment="1">
      <alignment wrapText="1"/>
    </xf>
    <xf numFmtId="0" fontId="8" fillId="0" borderId="0" xfId="6" applyFont="1" applyFill="1" applyAlignment="1">
      <alignment wrapText="1"/>
    </xf>
    <xf numFmtId="0" fontId="8" fillId="0" borderId="0" xfId="6" quotePrefix="1" applyFont="1" applyFill="1" applyAlignment="1">
      <alignment wrapText="1"/>
    </xf>
    <xf numFmtId="0" fontId="8" fillId="0" borderId="0" xfId="6" applyFont="1" applyFill="1" applyAlignment="1"/>
    <xf numFmtId="0" fontId="8" fillId="0" borderId="1" xfId="6" applyFont="1" applyFill="1" applyBorder="1" applyAlignment="1"/>
    <xf numFmtId="0" fontId="8" fillId="0" borderId="2" xfId="6" applyFont="1" applyFill="1" applyBorder="1" applyAlignment="1"/>
    <xf numFmtId="166" fontId="8" fillId="0" borderId="0" xfId="6" applyNumberFormat="1" applyFont="1" applyFill="1" applyAlignment="1"/>
    <xf numFmtId="166" fontId="35" fillId="0" borderId="0" xfId="0" applyNumberFormat="1" applyFont="1" applyFill="1" applyAlignment="1"/>
    <xf numFmtId="0" fontId="35" fillId="0" borderId="0" xfId="0" applyFont="1" applyFill="1" applyAlignment="1"/>
    <xf numFmtId="166" fontId="8" fillId="0" borderId="2" xfId="6" applyNumberFormat="1" applyFont="1" applyFill="1" applyBorder="1" applyAlignment="1"/>
    <xf numFmtId="9" fontId="17" fillId="0" borderId="0" xfId="1" applyFont="1" applyFill="1" applyBorder="1"/>
    <xf numFmtId="165" fontId="0" fillId="0" borderId="3" xfId="3" applyNumberFormat="1" applyFont="1" applyFill="1" applyBorder="1"/>
    <xf numFmtId="165" fontId="0" fillId="0" borderId="2" xfId="3" applyNumberFormat="1" applyFont="1" applyFill="1" applyBorder="1"/>
    <xf numFmtId="0" fontId="5" fillId="6" borderId="0" xfId="0" applyFont="1" applyFill="1"/>
    <xf numFmtId="0" fontId="2" fillId="6" borderId="0" xfId="0" applyFont="1" applyFill="1"/>
    <xf numFmtId="0" fontId="29" fillId="0" borderId="0" xfId="0" applyFont="1"/>
    <xf numFmtId="169" fontId="0" fillId="0" borderId="0" xfId="0" applyNumberFormat="1"/>
    <xf numFmtId="0" fontId="9" fillId="6" borderId="0" xfId="0" applyFont="1" applyFill="1"/>
    <xf numFmtId="0" fontId="2" fillId="6" borderId="0" xfId="0" applyFont="1" applyFill="1" applyAlignment="1"/>
    <xf numFmtId="166" fontId="13" fillId="0" borderId="1" xfId="0" applyNumberFormat="1" applyFont="1" applyFill="1" applyBorder="1"/>
    <xf numFmtId="165" fontId="2" fillId="6" borderId="0" xfId="3" applyNumberFormat="1" applyFont="1" applyFill="1"/>
    <xf numFmtId="0" fontId="29" fillId="0" borderId="0" xfId="0" applyFont="1" applyFill="1"/>
    <xf numFmtId="10" fontId="29" fillId="0" borderId="0" xfId="0" applyNumberFormat="1" applyFont="1"/>
    <xf numFmtId="0" fontId="30" fillId="0" borderId="0" xfId="0" applyFont="1" applyFill="1" applyBorder="1"/>
    <xf numFmtId="0" fontId="5" fillId="0" borderId="0" xfId="0" applyFont="1" applyFill="1" applyAlignment="1"/>
    <xf numFmtId="0" fontId="8" fillId="0" borderId="11" xfId="0" applyFont="1" applyBorder="1"/>
    <xf numFmtId="0" fontId="31" fillId="7" borderId="0" xfId="0" applyFont="1" applyFill="1" applyBorder="1"/>
    <xf numFmtId="0" fontId="32" fillId="7" borderId="0" xfId="0" applyFont="1" applyFill="1" applyBorder="1"/>
    <xf numFmtId="166" fontId="26" fillId="6" borderId="0" xfId="8" applyNumberFormat="1" applyFont="1" applyFill="1"/>
    <xf numFmtId="1" fontId="8" fillId="0" borderId="1" xfId="0" applyNumberFormat="1" applyFont="1" applyBorder="1" applyAlignment="1"/>
    <xf numFmtId="1" fontId="0" fillId="0" borderId="1" xfId="0" applyNumberFormat="1" applyBorder="1" applyAlignment="1"/>
    <xf numFmtId="1" fontId="12" fillId="0" borderId="1" xfId="3" applyNumberFormat="1" applyFont="1" applyFill="1" applyBorder="1" applyAlignment="1">
      <alignment horizontal="right"/>
    </xf>
    <xf numFmtId="1" fontId="8" fillId="0" borderId="1" xfId="3" applyNumberFormat="1" applyFont="1" applyBorder="1"/>
    <xf numFmtId="169" fontId="0" fillId="0" borderId="6" xfId="1" applyNumberFormat="1" applyFont="1" applyBorder="1" applyAlignment="1">
      <alignment horizontal="right"/>
    </xf>
    <xf numFmtId="169" fontId="1" fillId="0" borderId="4" xfId="0" applyNumberFormat="1" applyFont="1" applyBorder="1" applyAlignment="1">
      <alignment horizontal="right"/>
    </xf>
    <xf numFmtId="169" fontId="1" fillId="0" borderId="6" xfId="0" applyNumberFormat="1" applyFont="1" applyBorder="1" applyAlignment="1">
      <alignment horizontal="right"/>
    </xf>
    <xf numFmtId="169" fontId="8" fillId="0" borderId="6" xfId="0" applyNumberFormat="1" applyFont="1" applyBorder="1" applyAlignment="1">
      <alignment horizontal="right"/>
    </xf>
    <xf numFmtId="0" fontId="0" fillId="0" borderId="0" xfId="0" applyFont="1"/>
    <xf numFmtId="14" fontId="0" fillId="0" borderId="0" xfId="0" applyNumberFormat="1" applyFont="1"/>
    <xf numFmtId="3" fontId="0" fillId="0" borderId="0" xfId="0" applyNumberFormat="1" applyFill="1"/>
    <xf numFmtId="10" fontId="0" fillId="0" borderId="0" xfId="0" applyNumberFormat="1" applyFill="1"/>
    <xf numFmtId="169" fontId="13" fillId="0" borderId="0" xfId="1" applyNumberFormat="1" applyFont="1" applyFill="1" applyBorder="1"/>
    <xf numFmtId="169" fontId="12" fillId="0" borderId="2" xfId="1" applyNumberFormat="1" applyFont="1" applyFill="1" applyBorder="1"/>
    <xf numFmtId="169" fontId="8" fillId="0" borderId="11" xfId="1" applyNumberFormat="1" applyFont="1" applyBorder="1"/>
    <xf numFmtId="3" fontId="8" fillId="0" borderId="0" xfId="0" applyNumberFormat="1" applyFont="1" applyFill="1"/>
    <xf numFmtId="0" fontId="29" fillId="0" borderId="0" xfId="0" applyFont="1" applyFill="1" applyBorder="1" applyAlignment="1">
      <alignment vertical="top"/>
    </xf>
    <xf numFmtId="0" fontId="8" fillId="0" borderId="0" xfId="0" applyFont="1" applyFill="1" applyAlignment="1"/>
    <xf numFmtId="10" fontId="0" fillId="0" borderId="0" xfId="1" applyNumberFormat="1" applyFont="1" applyFill="1"/>
    <xf numFmtId="10" fontId="8" fillId="0" borderId="2" xfId="1" applyNumberFormat="1" applyFont="1" applyFill="1" applyBorder="1"/>
    <xf numFmtId="3" fontId="8" fillId="0" borderId="2" xfId="0" applyNumberFormat="1" applyFont="1" applyFill="1" applyBorder="1"/>
    <xf numFmtId="1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1" xfId="0" applyFont="1" applyBorder="1" applyAlignment="1">
      <alignment horizontal="right"/>
    </xf>
    <xf numFmtId="0" fontId="0" fillId="4" borderId="0" xfId="6" applyFont="1" applyFill="1" applyAlignment="1">
      <alignment wrapText="1"/>
    </xf>
    <xf numFmtId="0" fontId="0" fillId="4" borderId="2" xfId="6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3" fontId="1" fillId="0" borderId="0" xfId="0" applyNumberFormat="1" applyFont="1" applyFill="1"/>
    <xf numFmtId="0" fontId="3" fillId="0" borderId="0" xfId="2"/>
    <xf numFmtId="0" fontId="8" fillId="3" borderId="0" xfId="0" applyFont="1" applyFill="1" applyAlignment="1">
      <alignment horizontal="center" vertical="top"/>
    </xf>
    <xf numFmtId="0" fontId="8" fillId="3" borderId="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left" wrapText="1"/>
    </xf>
    <xf numFmtId="14" fontId="13" fillId="5" borderId="0" xfId="0" applyNumberFormat="1" applyFont="1" applyFill="1" applyBorder="1" applyAlignment="1">
      <alignment horizontal="center"/>
    </xf>
    <xf numFmtId="14" fontId="13" fillId="5" borderId="4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9">
    <cellStyle name="EYtext" xfId="4"/>
    <cellStyle name="Hyperkobling" xfId="2" builtinId="8"/>
    <cellStyle name="Hyperkobling 2" xfId="5"/>
    <cellStyle name="Komma" xfId="3" builtinId="3"/>
    <cellStyle name="Komma 2" xfId="8"/>
    <cellStyle name="Normal" xfId="0" builtinId="0"/>
    <cellStyle name="Normal 2" xfId="6"/>
    <cellStyle name="Prosent" xfId="1" builtinId="5"/>
    <cellStyle name="Prosent 2" xfId="7"/>
  </cellStyles>
  <dxfs count="0"/>
  <tableStyles count="0" defaultTableStyle="TableStyleMedium2" defaultPivotStyle="PivotStyleLight16"/>
  <colors>
    <mruColors>
      <color rgb="FF005AA4"/>
      <color rgb="FFF2F2F2"/>
      <color rgb="FF008ED2"/>
      <color rgb="FF3366CC"/>
      <color rgb="FF0066CC"/>
      <color rgb="FF0066FF"/>
      <color rgb="FF0099FF"/>
      <color rgb="FF33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590550</xdr:colOff>
      <xdr:row>44</xdr:row>
      <xdr:rowOff>86709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00550" cy="7211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konomi\Rapportering\Kapitaldekning\Parallellrapportering\&#197;r%202017\4Q%202017\Innsendt%20finanstilsynet\20171229_4702_9999_Konsern_4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nsikt-snn.sb1a.sparebank1.no/Avd/Risk/Delte%20dokumenter/01_Rapportering/9_Pilar%203/2017/Arbeidsfiler/Ansvarlig%20l&#229;n%20og%20fonds/Fundingko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"/>
      <sheetName val="Index"/>
      <sheetName val="Valg"/>
      <sheetName val="C 01.00"/>
      <sheetName val="C 02.00"/>
      <sheetName val="C 03.00"/>
      <sheetName val="C 04.00"/>
      <sheetName val="C 05.01"/>
      <sheetName val="C 05.02"/>
      <sheetName val="C 06.02"/>
      <sheetName val="C 07.00 (mal)"/>
      <sheetName val="C 07.00 (002)"/>
      <sheetName val="C 07.00 (003)"/>
      <sheetName val="C 07.00 (004)"/>
      <sheetName val="C 07.00 (005)"/>
      <sheetName val="C 07.00 (006)"/>
      <sheetName val="C 07.00 (007)"/>
      <sheetName val="C 07.00 (008)"/>
      <sheetName val="C 07.00 (009)"/>
      <sheetName val="C 07.00 (010)"/>
      <sheetName val="C 07.00 (011)"/>
      <sheetName val="C 07.00 (012)"/>
      <sheetName val="C 07.00 (013)"/>
      <sheetName val="C 07.00 (014)"/>
      <sheetName val="C 07.00 (015)"/>
      <sheetName val="C 07.00 (016)"/>
      <sheetName val="C 07.00 (017)"/>
      <sheetName val="C 07.00 (001)"/>
      <sheetName val="C 08.01 (mal)"/>
      <sheetName val="C 08.01 (007)"/>
      <sheetName val="C 08.01 (008)"/>
      <sheetName val="C 08.01 (009)"/>
      <sheetName val="C 08.01 (010)"/>
      <sheetName val="C 08.01 (011)"/>
      <sheetName val="C 08.01 (012)"/>
      <sheetName val="C 08.01 (013)"/>
      <sheetName val="C 08.01 (014)"/>
      <sheetName val="C 08.01 (016)"/>
      <sheetName val="C 08.01 (017)"/>
      <sheetName val="C 08.01 (001)"/>
      <sheetName val="C 08.01 (002)"/>
      <sheetName val="C 08.02 (mal)"/>
      <sheetName val="C 08.02 (007)"/>
      <sheetName val="C 08.02 (008)"/>
      <sheetName val="C 08.02 (009)"/>
      <sheetName val="C 08.02 (010)"/>
      <sheetName val="C 08.02 (011)"/>
      <sheetName val="C 08.02 (012)"/>
      <sheetName val="C 08.02 (013)"/>
      <sheetName val="C 08.02 (014)"/>
      <sheetName val="C 08.02 (016)"/>
      <sheetName val="C 08.02 (017)"/>
      <sheetName val="C 08.02 (001)"/>
      <sheetName val="C 08.02 (002)"/>
      <sheetName val="C 09.01 (mal)"/>
      <sheetName val="C 09.04"/>
      <sheetName val="C 09.02 (mal)"/>
      <sheetName val="C 10.01"/>
      <sheetName val="C 10.02"/>
      <sheetName val="C 11.00"/>
      <sheetName val="C 12.00"/>
      <sheetName val="C 13.00"/>
      <sheetName val="C 14.00"/>
      <sheetName val="C 15.00"/>
      <sheetName val="C 16.00"/>
      <sheetName val="C 17.00"/>
      <sheetName val="C 18.00 (001)"/>
      <sheetName val="C 18.00 (mal)"/>
      <sheetName val="C 19.00"/>
      <sheetName val="C 20.00"/>
      <sheetName val="C 21.00 (001)"/>
      <sheetName val="C 21.00 (mal)"/>
      <sheetName val="C 22.00"/>
      <sheetName val="C 23.00"/>
      <sheetName val="C 24.00"/>
      <sheetName val="C 25.00"/>
      <sheetName val="C 40.00"/>
      <sheetName val="C 41.00"/>
      <sheetName val="C 42.00"/>
      <sheetName val="C 43.00.a"/>
      <sheetName val="C 43.00.bc"/>
      <sheetName val="C 44.00"/>
      <sheetName val="C 47.00"/>
    </sheetNames>
    <sheetDataSet>
      <sheetData sheetId="0">
        <row r="3">
          <cell r="A3">
            <v>1E-3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dsdata"/>
      <sheetName val="Ark1"/>
    </sheetNames>
    <sheetDataSet>
      <sheetData sheetId="0">
        <row r="1">
          <cell r="A1" t="str">
            <v>Start Date</v>
          </cell>
          <cell r="B1">
            <v>42736</v>
          </cell>
        </row>
        <row r="2">
          <cell r="A2" t="str">
            <v>End Date</v>
          </cell>
          <cell r="B2">
            <v>43100</v>
          </cell>
        </row>
        <row r="3">
          <cell r="A3" t="str">
            <v>Volumvektet gjennomsnittlig rentekostnad i 2017</v>
          </cell>
        </row>
        <row r="4">
          <cell r="B4" t="str">
            <v>NIBOR3M Index</v>
          </cell>
        </row>
        <row r="5">
          <cell r="A5" t="str">
            <v>Dates</v>
          </cell>
        </row>
        <row r="6">
          <cell r="A6">
            <v>42737</v>
          </cell>
          <cell r="B6">
            <v>1.1599999999999999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/>
  </sheetViews>
  <sheetFormatPr baseColWidth="10" defaultRowHeight="12.75" x14ac:dyDescent="0.2"/>
  <sheetData>
    <row r="1" spans="1:1" x14ac:dyDescent="0.2">
      <c r="A1" s="381"/>
    </row>
    <row r="18" spans="10:10" x14ac:dyDescent="0.2">
      <c r="J18" s="381"/>
    </row>
  </sheetData>
  <sheetProtection algorithmName="SHA-512" hashValue="MUb8Ki1ZAI5byDnW/wShQ4GhMYEBLNnLlQt1k0PxUWyJkonc4tY7LMesVq60t5jcgRjqE1XpyeI0kd7dIagViQ==" saltValue="fI2WuI+WDRE1scqsGQAWFg==" spinCount="100000" sheet="1" objects="1" scenarios="1"/>
  <pageMargins left="0.7" right="0.7" top="0.75" bottom="0.75" header="0.3" footer="0.3"/>
  <pageSetup paperSize="9" orientation="portrait" verticalDpi="0" r:id="rId1"/>
  <headerFooter>
    <oddHeader>&amp;R&amp;"Calibri"&amp;12 I N T E R N&amp;1#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B2:S26"/>
  <sheetViews>
    <sheetView showGridLines="0" workbookViewId="0"/>
  </sheetViews>
  <sheetFormatPr baseColWidth="10" defaultRowHeight="12.75" x14ac:dyDescent="0.2"/>
  <cols>
    <col min="2" max="2" width="43.5703125" bestFit="1" customWidth="1"/>
    <col min="3" max="3" width="17.42578125" customWidth="1"/>
  </cols>
  <sheetData>
    <row r="2" spans="2:19" ht="18.75" x14ac:dyDescent="0.3">
      <c r="B2" s="361" t="s">
        <v>387</v>
      </c>
      <c r="C2" s="36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129"/>
    </row>
    <row r="4" spans="2:19" x14ac:dyDescent="0.2">
      <c r="C4" s="37"/>
      <c r="D4" s="19"/>
      <c r="E4" s="19"/>
    </row>
    <row r="5" spans="2:19" x14ac:dyDescent="0.2">
      <c r="B5" s="112" t="s">
        <v>61</v>
      </c>
      <c r="D5" s="19"/>
      <c r="E5" s="19"/>
    </row>
    <row r="6" spans="2:19" x14ac:dyDescent="0.2">
      <c r="B6" s="123" t="s">
        <v>161</v>
      </c>
      <c r="C6" s="54">
        <v>10857.509894300001</v>
      </c>
      <c r="D6" s="19"/>
      <c r="E6" s="19"/>
    </row>
    <row r="7" spans="2:19" x14ac:dyDescent="0.2">
      <c r="D7" s="19"/>
      <c r="E7" s="19"/>
    </row>
    <row r="8" spans="2:19" ht="12.75" customHeight="1" x14ac:dyDescent="0.2">
      <c r="B8" s="116" t="s">
        <v>162</v>
      </c>
      <c r="C8" s="113"/>
      <c r="D8" s="19"/>
      <c r="E8" s="19"/>
    </row>
    <row r="9" spans="2:19" ht="12.75" customHeight="1" x14ac:dyDescent="0.2">
      <c r="B9" s="117" t="s">
        <v>163</v>
      </c>
      <c r="C9" s="62">
        <v>13940.624832400001</v>
      </c>
      <c r="D9" s="19"/>
      <c r="E9" s="19"/>
    </row>
    <row r="10" spans="2:19" ht="12.75" customHeight="1" x14ac:dyDescent="0.2">
      <c r="B10" s="117" t="s">
        <v>164</v>
      </c>
      <c r="C10" s="62">
        <v>7711.1067302400006</v>
      </c>
      <c r="D10" s="19"/>
      <c r="E10" s="19"/>
    </row>
    <row r="11" spans="2:19" ht="12.75" customHeight="1" x14ac:dyDescent="0.2">
      <c r="B11" s="117" t="s">
        <v>172</v>
      </c>
      <c r="C11" s="62">
        <v>43.158999999999999</v>
      </c>
      <c r="D11" s="19"/>
      <c r="E11" s="19"/>
    </row>
    <row r="12" spans="2:19" ht="12.75" customHeight="1" x14ac:dyDescent="0.2">
      <c r="B12" s="117" t="s">
        <v>173</v>
      </c>
      <c r="C12" s="62">
        <v>1990.8406829999999</v>
      </c>
      <c r="D12" s="115"/>
      <c r="E12" s="19"/>
    </row>
    <row r="13" spans="2:19" ht="12.75" customHeight="1" x14ac:dyDescent="0.2">
      <c r="B13" s="117" t="s">
        <v>165</v>
      </c>
      <c r="C13" s="62">
        <v>1701.8163834000002</v>
      </c>
      <c r="D13" s="19"/>
      <c r="E13" s="19"/>
    </row>
    <row r="14" spans="2:19" ht="12.75" customHeight="1" x14ac:dyDescent="0.2">
      <c r="B14" s="117" t="s">
        <v>166</v>
      </c>
      <c r="C14" s="62">
        <v>79069.683901422977</v>
      </c>
      <c r="D14" s="19"/>
      <c r="E14" s="19"/>
    </row>
    <row r="15" spans="2:19" ht="12.75" customHeight="1" x14ac:dyDescent="0.2">
      <c r="B15" s="117" t="s">
        <v>87</v>
      </c>
      <c r="C15" s="62">
        <v>5278.5906943206855</v>
      </c>
      <c r="D15" s="19"/>
      <c r="E15" s="19"/>
    </row>
    <row r="16" spans="2:19" ht="12.75" customHeight="1" x14ac:dyDescent="0.2">
      <c r="B16" s="117" t="s">
        <v>167</v>
      </c>
      <c r="C16" s="62">
        <v>29084.133787001123</v>
      </c>
      <c r="D16" s="60"/>
      <c r="E16" s="19"/>
    </row>
    <row r="17" spans="2:5" ht="12.75" customHeight="1" x14ac:dyDescent="0.2">
      <c r="B17" s="117" t="s">
        <v>93</v>
      </c>
      <c r="C17" s="62">
        <v>4907.5138646000005</v>
      </c>
      <c r="D17" s="67"/>
      <c r="E17" s="19"/>
    </row>
    <row r="18" spans="2:5" ht="12.75" customHeight="1" x14ac:dyDescent="0.2">
      <c r="B18" s="117" t="s">
        <v>168</v>
      </c>
      <c r="C18" s="62">
        <v>5570.5074359000009</v>
      </c>
      <c r="D18" s="19"/>
      <c r="E18" s="19"/>
    </row>
    <row r="19" spans="2:5" ht="12.75" customHeight="1" x14ac:dyDescent="0.2">
      <c r="B19" s="117" t="s">
        <v>169</v>
      </c>
      <c r="C19" s="119">
        <v>3076.7645123000002</v>
      </c>
    </row>
    <row r="20" spans="2:5" ht="12.75" customHeight="1" x14ac:dyDescent="0.2">
      <c r="B20" s="118" t="s">
        <v>170</v>
      </c>
      <c r="C20" s="120">
        <v>4486.1196073086148</v>
      </c>
    </row>
    <row r="21" spans="2:5" ht="12.75" customHeight="1" x14ac:dyDescent="0.2">
      <c r="B21" s="122" t="s">
        <v>70</v>
      </c>
      <c r="C21" s="121">
        <v>-5206.4479527000003</v>
      </c>
    </row>
    <row r="22" spans="2:5" ht="12.75" customHeight="1" x14ac:dyDescent="0.2">
      <c r="B22" t="s">
        <v>174</v>
      </c>
      <c r="C22" s="121">
        <v>151654.41347919343</v>
      </c>
    </row>
    <row r="23" spans="2:5" ht="12.75" customHeight="1" thickBot="1" x14ac:dyDescent="0.25">
      <c r="B23" s="369" t="s">
        <v>171</v>
      </c>
      <c r="C23" s="387">
        <f>C6/C22</f>
        <v>7.1593761402727801E-2</v>
      </c>
    </row>
    <row r="24" spans="2:5" ht="12.75" customHeight="1" x14ac:dyDescent="0.2"/>
    <row r="25" spans="2:5" ht="12.75" customHeight="1" x14ac:dyDescent="0.2"/>
    <row r="26" spans="2:5" ht="12.75" customHeight="1" x14ac:dyDescent="0.2"/>
  </sheetData>
  <sheetProtection algorithmName="SHA-512" hashValue="QxNkZEzJwby+Qwcp4R/7pDSFrT/JDrWvt+gMbo2OVEhraCzWEEZIjhEQW1Rw9z3g+i/MQ9NkmGDtnx4DriCr1w==" saltValue="JQ2xkUbXBLw6UEgh9ZQmo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B2:R17"/>
  <sheetViews>
    <sheetView showGridLines="0" workbookViewId="0"/>
  </sheetViews>
  <sheetFormatPr baseColWidth="10" defaultRowHeight="12.75" x14ac:dyDescent="0.2"/>
  <cols>
    <col min="2" max="2" width="41" bestFit="1" customWidth="1"/>
  </cols>
  <sheetData>
    <row r="2" spans="2:18" ht="18.75" x14ac:dyDescent="0.3">
      <c r="B2" s="361" t="s">
        <v>388</v>
      </c>
      <c r="C2" s="361"/>
      <c r="D2" s="361"/>
      <c r="E2" s="361"/>
      <c r="F2" s="361"/>
      <c r="G2" s="36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4" spans="2:18" x14ac:dyDescent="0.2">
      <c r="B4" s="24" t="s">
        <v>222</v>
      </c>
      <c r="C4" s="388">
        <f ca="1">INDIRECT("'3'!C72")</f>
        <v>67222.843999999997</v>
      </c>
    </row>
    <row r="5" spans="2:18" x14ac:dyDescent="0.2">
      <c r="B5" s="24" t="s">
        <v>223</v>
      </c>
      <c r="C5" s="160">
        <f ca="1">INDIRECT("'3'!C27")</f>
        <v>9992</v>
      </c>
    </row>
    <row r="7" spans="2:18" x14ac:dyDescent="0.2">
      <c r="B7" s="124" t="s">
        <v>61</v>
      </c>
      <c r="C7" s="130">
        <v>2015</v>
      </c>
      <c r="D7" s="130">
        <v>2016</v>
      </c>
      <c r="E7" s="130">
        <v>2017</v>
      </c>
      <c r="F7" s="131">
        <v>2017</v>
      </c>
      <c r="G7" s="131">
        <v>2016</v>
      </c>
    </row>
    <row r="8" spans="2:18" x14ac:dyDescent="0.2">
      <c r="B8" s="124" t="s">
        <v>176</v>
      </c>
      <c r="C8" s="132">
        <v>4.4999999999999998E-2</v>
      </c>
      <c r="D8" s="132">
        <v>4.4999999999999998E-2</v>
      </c>
      <c r="E8" s="132">
        <v>4.4999999999999998E-2</v>
      </c>
      <c r="F8" s="136">
        <f ca="1">E8*C4</f>
        <v>3025.0279799999998</v>
      </c>
      <c r="G8" s="136">
        <v>2750.3775000000001</v>
      </c>
    </row>
    <row r="9" spans="2:18" x14ac:dyDescent="0.2">
      <c r="B9" s="125" t="s">
        <v>175</v>
      </c>
      <c r="C9" s="133"/>
      <c r="D9" s="133"/>
      <c r="E9" s="133"/>
      <c r="F9" s="137"/>
      <c r="G9" s="138"/>
    </row>
    <row r="10" spans="2:18" x14ac:dyDescent="0.2">
      <c r="B10" s="126" t="s">
        <v>177</v>
      </c>
      <c r="C10" s="133">
        <v>2.5000000000000001E-2</v>
      </c>
      <c r="D10" s="133">
        <v>2.5000000000000001E-2</v>
      </c>
      <c r="E10" s="133">
        <v>2.5000000000000001E-2</v>
      </c>
      <c r="F10" s="140">
        <f ca="1">E10*$C$4</f>
        <v>1680.5711000000001</v>
      </c>
      <c r="G10" s="137">
        <v>1527.9875000000002</v>
      </c>
    </row>
    <row r="11" spans="2:18" x14ac:dyDescent="0.2">
      <c r="B11" s="126" t="s">
        <v>178</v>
      </c>
      <c r="C11" s="133">
        <v>0.01</v>
      </c>
      <c r="D11" s="133">
        <v>1.4999999999999999E-2</v>
      </c>
      <c r="E11" s="133">
        <v>0.02</v>
      </c>
      <c r="F11" s="140">
        <f ca="1">E11*$C$4</f>
        <v>1344.45688</v>
      </c>
      <c r="G11" s="137">
        <v>916.79250000000002</v>
      </c>
    </row>
    <row r="12" spans="2:18" x14ac:dyDescent="0.2">
      <c r="B12" s="126" t="s">
        <v>179</v>
      </c>
      <c r="C12" s="133">
        <v>0.03</v>
      </c>
      <c r="D12" s="133">
        <v>0.03</v>
      </c>
      <c r="E12" s="133">
        <v>0.03</v>
      </c>
      <c r="F12" s="140">
        <f ca="1">E12*$C$4</f>
        <v>2016.6853199999998</v>
      </c>
      <c r="G12" s="137">
        <v>1833.585</v>
      </c>
    </row>
    <row r="13" spans="2:18" x14ac:dyDescent="0.2">
      <c r="B13" s="127" t="s">
        <v>180</v>
      </c>
      <c r="C13" s="134">
        <f>SUM(C10:C12)</f>
        <v>6.5000000000000002E-2</v>
      </c>
      <c r="D13" s="134">
        <f>SUM(D10:D12)</f>
        <v>7.0000000000000007E-2</v>
      </c>
      <c r="E13" s="134">
        <f>SUM(E10:E12)</f>
        <v>7.4999999999999997E-2</v>
      </c>
      <c r="F13" s="139">
        <f ca="1">SUM(F10:F12)</f>
        <v>5041.7132999999994</v>
      </c>
      <c r="G13" s="139">
        <v>4278.3649999999998</v>
      </c>
    </row>
    <row r="14" spans="2:18" x14ac:dyDescent="0.2">
      <c r="B14" s="128" t="s">
        <v>389</v>
      </c>
      <c r="C14" s="134">
        <f>C13+C8</f>
        <v>0.11</v>
      </c>
      <c r="D14" s="134">
        <f>D13+D8</f>
        <v>0.115</v>
      </c>
      <c r="E14" s="134">
        <f>E13+E8</f>
        <v>0.12</v>
      </c>
      <c r="F14" s="139">
        <f ca="1">F13+F8</f>
        <v>8066.7412799999993</v>
      </c>
      <c r="G14" s="139">
        <v>7028.7424999999994</v>
      </c>
    </row>
    <row r="15" spans="2:18" x14ac:dyDescent="0.2">
      <c r="B15" s="125" t="s">
        <v>181</v>
      </c>
      <c r="C15" s="135">
        <v>0</v>
      </c>
      <c r="D15" s="133">
        <v>1.4999999999999999E-2</v>
      </c>
      <c r="E15" s="133">
        <v>1.4999999999999999E-2</v>
      </c>
      <c r="F15" s="137">
        <f ca="1">C4*E15</f>
        <v>1008.3426599999999</v>
      </c>
      <c r="G15" s="137">
        <v>917</v>
      </c>
    </row>
    <row r="16" spans="2:18" x14ac:dyDescent="0.2">
      <c r="B16" s="161" t="s">
        <v>182</v>
      </c>
      <c r="C16" s="163">
        <v>0.10999999999999999</v>
      </c>
      <c r="D16" s="163">
        <v>0.13</v>
      </c>
      <c r="E16" s="163">
        <f>E15+E14</f>
        <v>0.13500000000000001</v>
      </c>
      <c r="F16" s="162">
        <f ca="1">F15+F14</f>
        <v>9075.0839399999986</v>
      </c>
      <c r="G16" s="162">
        <v>7945.7424999999994</v>
      </c>
    </row>
    <row r="17" spans="2:7" x14ac:dyDescent="0.2">
      <c r="B17" s="128" t="s">
        <v>183</v>
      </c>
      <c r="C17" s="164"/>
      <c r="D17" s="164"/>
      <c r="E17" s="164"/>
      <c r="F17" s="139">
        <f ca="1">C5-F16</f>
        <v>916.91606000000138</v>
      </c>
      <c r="G17" s="165">
        <v>1209</v>
      </c>
    </row>
  </sheetData>
  <sheetProtection algorithmName="SHA-512" hashValue="jccD0u8CYqbbEdy69eQB+iA1E5+m5um8NpH9b2iGYzM+fZULIy6Fcp+I9F1kBtFrrDQObD9CkCn56ockr7OnNA==" saltValue="2oZTezbYrUnbSpZGQLH/8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B2:R46"/>
  <sheetViews>
    <sheetView showGridLines="0" workbookViewId="0"/>
  </sheetViews>
  <sheetFormatPr baseColWidth="10" defaultRowHeight="12.75" x14ac:dyDescent="0.2"/>
  <cols>
    <col min="2" max="2" width="47.85546875" bestFit="1" customWidth="1"/>
    <col min="3" max="3" width="12.5703125" bestFit="1" customWidth="1"/>
    <col min="4" max="4" width="14.28515625" bestFit="1" customWidth="1"/>
    <col min="5" max="5" width="10.5703125" customWidth="1"/>
    <col min="6" max="6" width="10.140625" customWidth="1"/>
  </cols>
  <sheetData>
    <row r="2" spans="2:18" ht="18.75" x14ac:dyDescent="0.3">
      <c r="B2" s="361" t="s">
        <v>390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21"/>
      <c r="N2" s="21"/>
      <c r="O2" s="21"/>
      <c r="P2" s="21"/>
      <c r="Q2" s="21"/>
      <c r="R2" s="21"/>
    </row>
    <row r="4" spans="2:18" ht="15" x14ac:dyDescent="0.25">
      <c r="B4" s="223" t="s">
        <v>230</v>
      </c>
    </row>
    <row r="5" spans="2:18" x14ac:dyDescent="0.2">
      <c r="D5" s="24">
        <v>2017</v>
      </c>
      <c r="E5" s="24"/>
      <c r="F5" s="24"/>
      <c r="G5" s="24"/>
      <c r="H5" s="24"/>
      <c r="I5" s="24">
        <v>2016</v>
      </c>
    </row>
    <row r="6" spans="2:18" ht="38.25" x14ac:dyDescent="0.2">
      <c r="B6" s="25" t="s">
        <v>61</v>
      </c>
      <c r="C6" s="243" t="s">
        <v>242</v>
      </c>
      <c r="D6" s="244" t="s">
        <v>243</v>
      </c>
      <c r="E6" s="243" t="s">
        <v>244</v>
      </c>
      <c r="F6" s="245" t="s">
        <v>9</v>
      </c>
      <c r="G6" s="246" t="s">
        <v>245</v>
      </c>
      <c r="H6" s="226" t="s">
        <v>242</v>
      </c>
      <c r="I6" s="227" t="s">
        <v>243</v>
      </c>
      <c r="J6" s="226" t="s">
        <v>244</v>
      </c>
      <c r="K6" s="226" t="s">
        <v>9</v>
      </c>
      <c r="L6" s="239" t="s">
        <v>245</v>
      </c>
    </row>
    <row r="7" spans="2:18" x14ac:dyDescent="0.2">
      <c r="B7" s="13" t="s">
        <v>231</v>
      </c>
      <c r="H7" s="238"/>
      <c r="I7" s="190"/>
      <c r="J7" s="190"/>
      <c r="K7" s="190"/>
      <c r="L7" s="240"/>
    </row>
    <row r="8" spans="2:18" x14ac:dyDescent="0.2">
      <c r="B8" s="225" t="s">
        <v>232</v>
      </c>
      <c r="C8" s="190">
        <v>6506.0619999999999</v>
      </c>
      <c r="D8" s="190">
        <v>5916.0529999999999</v>
      </c>
      <c r="E8" s="190">
        <v>3825.12</v>
      </c>
      <c r="F8" s="190">
        <f>E8*0.08</f>
        <v>306.00959999999998</v>
      </c>
      <c r="G8" s="242">
        <f>E8/D8</f>
        <v>0.64656621568468031</v>
      </c>
      <c r="H8" s="230">
        <v>6462</v>
      </c>
      <c r="I8" s="228">
        <v>5898</v>
      </c>
      <c r="J8" s="228">
        <v>4006</v>
      </c>
      <c r="K8" s="228">
        <v>320.48</v>
      </c>
      <c r="L8" s="378">
        <v>0.67900000000000005</v>
      </c>
    </row>
    <row r="9" spans="2:18" x14ac:dyDescent="0.2">
      <c r="B9" s="225" t="s">
        <v>233</v>
      </c>
      <c r="C9" s="190">
        <v>21151.884999999998</v>
      </c>
      <c r="D9" s="190">
        <v>20714.952000000001</v>
      </c>
      <c r="E9" s="190">
        <v>12824.763000000001</v>
      </c>
      <c r="F9" s="190">
        <f>E9*0.08</f>
        <v>1025.9810400000001</v>
      </c>
      <c r="G9" s="242">
        <f>E9/D9</f>
        <v>0.61910657577193517</v>
      </c>
      <c r="H9" s="230">
        <v>18304</v>
      </c>
      <c r="I9" s="228">
        <v>17894</v>
      </c>
      <c r="J9" s="228">
        <v>10971</v>
      </c>
      <c r="K9" s="228">
        <v>877.68000000000006</v>
      </c>
      <c r="L9" s="378">
        <v>0.61299999999999999</v>
      </c>
    </row>
    <row r="10" spans="2:18" x14ac:dyDescent="0.2">
      <c r="B10" s="225" t="s">
        <v>234</v>
      </c>
      <c r="C10" s="190">
        <v>1410.6959999999999</v>
      </c>
      <c r="D10" s="190">
        <v>1305.9970000000001</v>
      </c>
      <c r="E10" s="190">
        <v>1928.7170000000001</v>
      </c>
      <c r="F10" s="190">
        <f>0.08*E10</f>
        <v>154.29736</v>
      </c>
      <c r="G10" s="241">
        <f>E10/D10</f>
        <v>1.4768157966672206</v>
      </c>
      <c r="H10" s="230">
        <v>1397</v>
      </c>
      <c r="I10" s="228">
        <v>1367</v>
      </c>
      <c r="J10" s="228">
        <v>1536</v>
      </c>
      <c r="K10" s="228">
        <v>122.88</v>
      </c>
      <c r="L10" s="378">
        <v>1.123</v>
      </c>
    </row>
    <row r="11" spans="2:18" x14ac:dyDescent="0.2">
      <c r="B11" s="22" t="s">
        <v>379</v>
      </c>
      <c r="C11" s="217">
        <f>SUM(C8:C10)</f>
        <v>29068.643</v>
      </c>
      <c r="D11" s="217">
        <f>SUM(D8:D10)</f>
        <v>27937.002</v>
      </c>
      <c r="E11" s="217">
        <f>SUM(E8:E10)</f>
        <v>18578.600000000002</v>
      </c>
      <c r="F11" s="217">
        <f>SUM(F8:F10)</f>
        <v>1486.288</v>
      </c>
      <c r="G11" s="247">
        <f>E11/D11</f>
        <v>0.66501767082953289</v>
      </c>
      <c r="H11" s="231">
        <v>26164</v>
      </c>
      <c r="I11" s="229">
        <v>25159</v>
      </c>
      <c r="J11" s="229">
        <v>16513</v>
      </c>
      <c r="K11" s="229">
        <v>1321.04</v>
      </c>
      <c r="L11" s="379">
        <v>0.65600000000000003</v>
      </c>
    </row>
    <row r="12" spans="2:18" x14ac:dyDescent="0.2">
      <c r="B12" s="13" t="s">
        <v>236</v>
      </c>
      <c r="C12" s="190"/>
      <c r="D12" s="190"/>
      <c r="E12" s="190"/>
      <c r="F12" s="190"/>
      <c r="G12" s="190"/>
      <c r="H12" s="230"/>
      <c r="I12" s="57"/>
      <c r="J12" s="57"/>
      <c r="K12" s="57"/>
      <c r="L12" s="378"/>
    </row>
    <row r="13" spans="2:18" x14ac:dyDescent="0.2">
      <c r="B13" s="225" t="s">
        <v>237</v>
      </c>
      <c r="C13" s="190">
        <v>2120.9987096782352</v>
      </c>
      <c r="D13" s="190">
        <v>2111.7786011782355</v>
      </c>
      <c r="E13" s="190">
        <v>632.34473907856773</v>
      </c>
      <c r="F13" s="190">
        <f>0.08*E13</f>
        <v>50.587579126285419</v>
      </c>
      <c r="G13" s="241">
        <f t="shared" ref="G13:G16" si="0">E13/D13</f>
        <v>0.29943704265483151</v>
      </c>
      <c r="H13" s="230">
        <v>1880</v>
      </c>
      <c r="I13" s="228">
        <v>1875</v>
      </c>
      <c r="J13" s="228">
        <v>525</v>
      </c>
      <c r="K13" s="228">
        <v>42</v>
      </c>
      <c r="L13" s="378">
        <v>0.28000000000000003</v>
      </c>
    </row>
    <row r="14" spans="2:18" x14ac:dyDescent="0.2">
      <c r="B14" s="225" t="s">
        <v>238</v>
      </c>
      <c r="C14" s="190">
        <v>80418.045216157436</v>
      </c>
      <c r="D14" s="190">
        <v>80413.947099657453</v>
      </c>
      <c r="E14" s="190">
        <v>16701.217886430393</v>
      </c>
      <c r="F14" s="190">
        <f>0.08*E14</f>
        <v>1336.0974309144315</v>
      </c>
      <c r="G14" s="242">
        <f t="shared" si="0"/>
        <v>0.20769056225697366</v>
      </c>
      <c r="H14" s="230">
        <v>74671</v>
      </c>
      <c r="I14" s="228">
        <v>74668</v>
      </c>
      <c r="J14" s="228">
        <v>15676</v>
      </c>
      <c r="K14" s="228">
        <v>1254.08</v>
      </c>
      <c r="L14" s="378">
        <v>0.21</v>
      </c>
    </row>
    <row r="15" spans="2:18" x14ac:dyDescent="0.2">
      <c r="B15" s="225" t="s">
        <v>239</v>
      </c>
      <c r="C15" s="190">
        <v>202.61785585632504</v>
      </c>
      <c r="D15" s="190">
        <v>197.079247856325</v>
      </c>
      <c r="E15" s="190">
        <v>61.421611065371856</v>
      </c>
      <c r="F15" s="190">
        <f>0.08*E15</f>
        <v>4.9137288852297489</v>
      </c>
      <c r="G15" s="242">
        <f t="shared" si="0"/>
        <v>0.31165945543972001</v>
      </c>
      <c r="H15" s="230">
        <v>186</v>
      </c>
      <c r="I15" s="228">
        <v>183</v>
      </c>
      <c r="J15" s="228">
        <v>54</v>
      </c>
      <c r="K15" s="228">
        <v>4.32</v>
      </c>
      <c r="L15" s="378">
        <v>0.29699999999999999</v>
      </c>
    </row>
    <row r="16" spans="2:18" x14ac:dyDescent="0.2">
      <c r="B16" s="225" t="s">
        <v>240</v>
      </c>
      <c r="C16" s="190">
        <v>1938.9612295881948</v>
      </c>
      <c r="D16" s="190">
        <v>1934.7566080881945</v>
      </c>
      <c r="E16" s="190">
        <v>828.82923621829525</v>
      </c>
      <c r="F16" s="190">
        <f>0.08*E16</f>
        <v>66.306338897463618</v>
      </c>
      <c r="G16" s="242">
        <f t="shared" si="0"/>
        <v>0.4283894070982357</v>
      </c>
      <c r="H16" s="230">
        <v>2014</v>
      </c>
      <c r="I16" s="228">
        <v>2012</v>
      </c>
      <c r="J16" s="228">
        <v>889</v>
      </c>
      <c r="K16" s="228">
        <v>71.12</v>
      </c>
      <c r="L16" s="378">
        <v>0.442</v>
      </c>
    </row>
    <row r="17" spans="2:12" x14ac:dyDescent="0.2">
      <c r="B17" s="22" t="s">
        <v>241</v>
      </c>
      <c r="C17" s="217">
        <f>SUM(C13:C16)</f>
        <v>84680.623011280186</v>
      </c>
      <c r="D17" s="217">
        <f t="shared" ref="D17:F17" si="1">SUM(D13:D16)</f>
        <v>84657.561556780201</v>
      </c>
      <c r="E17" s="217">
        <f t="shared" si="1"/>
        <v>18223.813472792626</v>
      </c>
      <c r="F17" s="217">
        <f t="shared" si="1"/>
        <v>1457.9050778234102</v>
      </c>
      <c r="G17" s="247">
        <f>E17/D17</f>
        <v>0.21526504115724895</v>
      </c>
      <c r="H17" s="229">
        <f>SUM(H13:H16)</f>
        <v>78751</v>
      </c>
      <c r="I17" s="229">
        <f t="shared" ref="I17:K17" si="2">SUM(I13:I16)</f>
        <v>78738</v>
      </c>
      <c r="J17" s="229">
        <f t="shared" si="2"/>
        <v>17144</v>
      </c>
      <c r="K17" s="229">
        <f t="shared" si="2"/>
        <v>1371.52</v>
      </c>
      <c r="L17" s="379">
        <v>0.218</v>
      </c>
    </row>
    <row r="18" spans="2:12" x14ac:dyDescent="0.2">
      <c r="B18" t="s">
        <v>52</v>
      </c>
      <c r="C18" s="191">
        <v>83.528999999999996</v>
      </c>
      <c r="D18" s="191">
        <v>83.528999999999996</v>
      </c>
      <c r="E18" s="191">
        <v>167.14599999999999</v>
      </c>
      <c r="F18" s="191">
        <v>13.37168</v>
      </c>
      <c r="G18" s="247">
        <v>2.0010535263202001</v>
      </c>
      <c r="H18" s="191">
        <v>69.92</v>
      </c>
      <c r="I18" s="191">
        <v>69.92</v>
      </c>
      <c r="J18" s="191">
        <v>147.71299999999999</v>
      </c>
      <c r="K18" s="191">
        <v>11.81704</v>
      </c>
      <c r="L18" s="377">
        <v>2.1126001144164759</v>
      </c>
    </row>
    <row r="19" spans="2:12" x14ac:dyDescent="0.2">
      <c r="B19" s="23" t="s">
        <v>380</v>
      </c>
      <c r="C19" s="218">
        <f>C17+C11+C18</f>
        <v>113832.79501128018</v>
      </c>
      <c r="D19" s="218">
        <f t="shared" ref="D19:F19" si="3">D17+D11+D18</f>
        <v>112678.09255678019</v>
      </c>
      <c r="E19" s="218">
        <f t="shared" si="3"/>
        <v>36969.559472792629</v>
      </c>
      <c r="F19" s="218">
        <f t="shared" si="3"/>
        <v>2957.5647578234102</v>
      </c>
      <c r="G19" s="248">
        <f>E19/D19</f>
        <v>0.32809891110078127</v>
      </c>
      <c r="H19" s="232">
        <f>H17+H11+H18</f>
        <v>104984.92</v>
      </c>
      <c r="I19" s="218">
        <f t="shared" ref="I19:K19" si="4">I17+I11+I18</f>
        <v>103966.92</v>
      </c>
      <c r="J19" s="218">
        <f t="shared" si="4"/>
        <v>33804.713000000003</v>
      </c>
      <c r="K19" s="218">
        <f t="shared" si="4"/>
        <v>2704.3770399999999</v>
      </c>
      <c r="L19" s="380">
        <v>0.32400000000000001</v>
      </c>
    </row>
    <row r="20" spans="2:12" x14ac:dyDescent="0.2">
      <c r="B20" s="23" t="s">
        <v>44</v>
      </c>
      <c r="C20" s="218">
        <v>54126.667202709999</v>
      </c>
      <c r="D20" s="218">
        <v>54035.408000000003</v>
      </c>
      <c r="E20" s="218">
        <v>14375.308999999999</v>
      </c>
      <c r="F20" s="218">
        <f>0.08*E20</f>
        <v>1150.0247199999999</v>
      </c>
      <c r="G20" s="248">
        <f>E20/D20</f>
        <v>0.26603498580042179</v>
      </c>
      <c r="H20" s="232">
        <v>44085</v>
      </c>
      <c r="I20" s="218">
        <v>44007</v>
      </c>
      <c r="J20" s="218">
        <v>14565</v>
      </c>
      <c r="K20" s="218">
        <v>1165.2</v>
      </c>
      <c r="L20" s="380" t="s">
        <v>246</v>
      </c>
    </row>
    <row r="23" spans="2:12" ht="15" x14ac:dyDescent="0.25">
      <c r="B23" s="233" t="s">
        <v>247</v>
      </c>
    </row>
    <row r="24" spans="2:12" x14ac:dyDescent="0.2">
      <c r="H24" s="190"/>
      <c r="K24" s="8"/>
    </row>
    <row r="25" spans="2:12" x14ac:dyDescent="0.2">
      <c r="B25" s="4" t="s">
        <v>248</v>
      </c>
      <c r="C25" s="43">
        <v>2017</v>
      </c>
      <c r="D25" s="43">
        <v>2016</v>
      </c>
      <c r="E25" s="43">
        <v>2015</v>
      </c>
      <c r="H25" s="190"/>
    </row>
    <row r="26" spans="2:12" x14ac:dyDescent="0.2">
      <c r="B26" s="26" t="s">
        <v>57</v>
      </c>
    </row>
    <row r="27" spans="2:12" x14ac:dyDescent="0.2">
      <c r="B27" s="225" t="s">
        <v>249</v>
      </c>
      <c r="C27" s="228"/>
      <c r="D27" s="228">
        <v>0</v>
      </c>
      <c r="E27" s="228">
        <v>-1.9799999999999998</v>
      </c>
    </row>
    <row r="28" spans="2:12" x14ac:dyDescent="0.2">
      <c r="B28" s="225" t="s">
        <v>250</v>
      </c>
      <c r="C28" s="228">
        <v>21323.7</v>
      </c>
      <c r="D28" s="228">
        <v>-6416.7599999999993</v>
      </c>
      <c r="E28" s="228">
        <v>-8592</v>
      </c>
      <c r="H28" s="190"/>
    </row>
    <row r="29" spans="2:12" x14ac:dyDescent="0.2">
      <c r="B29" s="225" t="s">
        <v>251</v>
      </c>
      <c r="C29" s="228">
        <v>3335.68</v>
      </c>
      <c r="D29" s="228">
        <v>3428.32</v>
      </c>
      <c r="E29" s="228">
        <v>3608.64</v>
      </c>
      <c r="H29" s="190"/>
    </row>
    <row r="30" spans="2:12" x14ac:dyDescent="0.2">
      <c r="B30" s="225" t="s">
        <v>252</v>
      </c>
      <c r="C30" s="228">
        <v>190550.88</v>
      </c>
      <c r="D30" s="228">
        <v>78893.849999999991</v>
      </c>
      <c r="E30" s="228">
        <v>68228.549999999988</v>
      </c>
      <c r="H30" s="190"/>
    </row>
    <row r="31" spans="2:12" x14ac:dyDescent="0.2">
      <c r="B31" s="225" t="s">
        <v>253</v>
      </c>
      <c r="C31" s="228">
        <v>76316.45</v>
      </c>
      <c r="D31" s="228">
        <v>182546.52</v>
      </c>
      <c r="E31" s="228">
        <v>177689.52</v>
      </c>
      <c r="H31" s="190"/>
    </row>
    <row r="32" spans="2:12" x14ac:dyDescent="0.2">
      <c r="B32" s="225" t="s">
        <v>254</v>
      </c>
      <c r="C32" s="228">
        <v>36550.14</v>
      </c>
      <c r="D32" s="228">
        <v>34413</v>
      </c>
      <c r="E32" s="228">
        <v>32280</v>
      </c>
      <c r="H32" s="190"/>
    </row>
    <row r="33" spans="2:8" x14ac:dyDescent="0.2">
      <c r="B33" s="225" t="s">
        <v>255</v>
      </c>
      <c r="C33" s="228">
        <v>-6639</v>
      </c>
      <c r="D33" s="228">
        <v>339.24999999999994</v>
      </c>
      <c r="E33" s="228">
        <v>386.89999999999992</v>
      </c>
      <c r="H33" s="190"/>
    </row>
    <row r="34" spans="2:8" x14ac:dyDescent="0.2">
      <c r="B34" s="225" t="s">
        <v>256</v>
      </c>
      <c r="C34" s="228">
        <v>627.91999999999996</v>
      </c>
      <c r="D34" s="228">
        <v>399.55999999999995</v>
      </c>
      <c r="E34" s="228">
        <v>291.83999999999997</v>
      </c>
      <c r="H34" s="190"/>
    </row>
    <row r="35" spans="2:8" x14ac:dyDescent="0.2">
      <c r="B35" s="234" t="s">
        <v>257</v>
      </c>
      <c r="C35" s="229">
        <f>SUM(C28:C34)</f>
        <v>322065.77</v>
      </c>
      <c r="D35" s="229">
        <v>293603.74</v>
      </c>
      <c r="E35" s="229">
        <v>273891.47000000003</v>
      </c>
    </row>
    <row r="36" spans="2:8" x14ac:dyDescent="0.2">
      <c r="B36" s="236" t="s">
        <v>258</v>
      </c>
      <c r="C36" s="237">
        <v>0</v>
      </c>
      <c r="D36" s="237">
        <v>2887.65</v>
      </c>
      <c r="E36" s="237">
        <v>9102.9</v>
      </c>
    </row>
    <row r="37" spans="2:8" x14ac:dyDescent="0.2">
      <c r="B37" s="235" t="s">
        <v>259</v>
      </c>
      <c r="C37" s="218">
        <f>C35+C36</f>
        <v>322065.77</v>
      </c>
      <c r="D37" s="218">
        <v>296491.39</v>
      </c>
      <c r="E37" s="218">
        <v>282994.37000000005</v>
      </c>
    </row>
    <row r="40" spans="2:8" ht="15" x14ac:dyDescent="0.25">
      <c r="B40" s="233" t="s">
        <v>260</v>
      </c>
    </row>
    <row r="42" spans="2:8" x14ac:dyDescent="0.2">
      <c r="B42" s="4" t="s">
        <v>248</v>
      </c>
      <c r="C42" s="224" t="s">
        <v>265</v>
      </c>
      <c r="D42" s="224" t="s">
        <v>266</v>
      </c>
      <c r="E42" s="224" t="s">
        <v>267</v>
      </c>
      <c r="F42" s="399" t="s">
        <v>9</v>
      </c>
    </row>
    <row r="43" spans="2:8" x14ac:dyDescent="0.2">
      <c r="B43" s="13" t="s">
        <v>261</v>
      </c>
      <c r="C43" s="228">
        <v>11147503</v>
      </c>
      <c r="D43" s="228">
        <v>131105</v>
      </c>
      <c r="E43" s="228">
        <v>21174</v>
      </c>
      <c r="F43" s="400">
        <f>E43*0.08</f>
        <v>1693.92</v>
      </c>
    </row>
    <row r="44" spans="2:8" x14ac:dyDescent="0.2">
      <c r="B44" s="13" t="s">
        <v>262</v>
      </c>
      <c r="C44" s="228">
        <v>28444829</v>
      </c>
      <c r="D44" s="228">
        <v>1190832.605</v>
      </c>
      <c r="E44" s="228">
        <v>362765.902</v>
      </c>
      <c r="F44" s="400">
        <f>E44*0.08</f>
        <v>29021.27216</v>
      </c>
    </row>
    <row r="45" spans="2:8" x14ac:dyDescent="0.2">
      <c r="B45" s="13" t="s">
        <v>263</v>
      </c>
      <c r="C45" s="228">
        <v>353198</v>
      </c>
      <c r="D45" s="228">
        <v>49974</v>
      </c>
      <c r="E45" s="228">
        <v>16952</v>
      </c>
      <c r="F45" s="400">
        <f>E45*0.08</f>
        <v>1356.16</v>
      </c>
    </row>
    <row r="46" spans="2:8" x14ac:dyDescent="0.2">
      <c r="B46" s="23" t="s">
        <v>264</v>
      </c>
      <c r="C46" s="218">
        <f>SUM(C43:C45)</f>
        <v>39945530</v>
      </c>
      <c r="D46" s="218">
        <f>SUM(D43:D45)</f>
        <v>1371911.605</v>
      </c>
      <c r="E46" s="218">
        <f>SUM(E43:E45)</f>
        <v>400891.902</v>
      </c>
      <c r="F46" s="393">
        <f>SUM(F43:F45)</f>
        <v>32071.352159999999</v>
      </c>
    </row>
  </sheetData>
  <sheetProtection algorithmName="SHA-512" hashValue="L9j3NjQZG26ZtSFyp4VAYUjIsI0Tb3cvl1av91xsRnk1ctvnsgsTQAbRuYrDidjTaWGL7I3RQHKFuFPxeP7+IQ==" saltValue="8AoJe1GuoIGwSxRig80QMw==" spinCount="100000" sheet="1" objects="1" scenarios="1"/>
  <pageMargins left="0.7" right="0.7" top="0.75" bottom="0.75" header="0.3" footer="0.3"/>
  <pageSetup paperSize="9" orientation="portrait" verticalDpi="0" r:id="rId1"/>
  <ignoredErrors>
    <ignoredError sqref="G19 G1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B2:R22"/>
  <sheetViews>
    <sheetView showGridLines="0" workbookViewId="0"/>
  </sheetViews>
  <sheetFormatPr baseColWidth="10" defaultRowHeight="12.75" x14ac:dyDescent="0.2"/>
  <cols>
    <col min="2" max="2" width="40.28515625" bestFit="1" customWidth="1"/>
    <col min="3" max="3" width="46.85546875" customWidth="1"/>
    <col min="4" max="4" width="17.140625" customWidth="1"/>
    <col min="5" max="5" width="93.28515625" bestFit="1" customWidth="1"/>
  </cols>
  <sheetData>
    <row r="2" spans="2:18" ht="18.75" x14ac:dyDescent="0.3">
      <c r="B2" s="361" t="s">
        <v>184</v>
      </c>
      <c r="C2" s="358"/>
      <c r="D2" s="358"/>
      <c r="E2" s="358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4" spans="2:18" x14ac:dyDescent="0.2">
      <c r="B4" s="3"/>
    </row>
    <row r="6" spans="2:18" ht="15.75" x14ac:dyDescent="0.25">
      <c r="B6" s="142" t="s">
        <v>185</v>
      </c>
    </row>
    <row r="7" spans="2:18" ht="25.5" x14ac:dyDescent="0.2">
      <c r="B7" s="45"/>
      <c r="C7" s="143" t="s">
        <v>186</v>
      </c>
      <c r="D7" s="143" t="s">
        <v>187</v>
      </c>
      <c r="E7" s="45" t="s">
        <v>188</v>
      </c>
    </row>
    <row r="8" spans="2:18" ht="76.5" x14ac:dyDescent="0.2">
      <c r="B8" s="187" t="s">
        <v>189</v>
      </c>
      <c r="C8" s="144" t="s">
        <v>190</v>
      </c>
      <c r="D8" s="42" t="s">
        <v>191</v>
      </c>
      <c r="E8" s="42" t="s">
        <v>192</v>
      </c>
    </row>
    <row r="9" spans="2:18" ht="51" x14ac:dyDescent="0.2">
      <c r="B9" s="187" t="s">
        <v>193</v>
      </c>
      <c r="C9" s="144" t="s">
        <v>194</v>
      </c>
      <c r="D9" s="42" t="s">
        <v>191</v>
      </c>
      <c r="E9" s="42" t="s">
        <v>195</v>
      </c>
    </row>
    <row r="10" spans="2:18" ht="51" x14ac:dyDescent="0.2">
      <c r="B10" s="187" t="s">
        <v>196</v>
      </c>
      <c r="C10" s="144" t="s">
        <v>197</v>
      </c>
      <c r="D10" s="42" t="s">
        <v>191</v>
      </c>
      <c r="E10" s="42" t="s">
        <v>192</v>
      </c>
    </row>
    <row r="11" spans="2:18" x14ac:dyDescent="0.2">
      <c r="C11" s="141"/>
    </row>
    <row r="12" spans="2:18" x14ac:dyDescent="0.2">
      <c r="C12" s="141"/>
    </row>
    <row r="13" spans="2:18" ht="15.75" x14ac:dyDescent="0.25">
      <c r="B13" s="142" t="s">
        <v>198</v>
      </c>
      <c r="C13" s="141"/>
    </row>
    <row r="14" spans="2:18" ht="25.5" x14ac:dyDescent="0.2">
      <c r="B14" s="45"/>
      <c r="C14" s="143" t="s">
        <v>186</v>
      </c>
      <c r="D14" s="143" t="s">
        <v>187</v>
      </c>
      <c r="E14" s="45" t="s">
        <v>188</v>
      </c>
    </row>
    <row r="15" spans="2:18" ht="51" x14ac:dyDescent="0.2">
      <c r="B15" s="187" t="s">
        <v>199</v>
      </c>
      <c r="C15" s="144" t="s">
        <v>200</v>
      </c>
      <c r="D15" s="42" t="s">
        <v>191</v>
      </c>
      <c r="E15" s="42" t="s">
        <v>201</v>
      </c>
    </row>
    <row r="16" spans="2:18" ht="51" x14ac:dyDescent="0.2">
      <c r="B16" s="188" t="s">
        <v>202</v>
      </c>
      <c r="C16" s="146" t="s">
        <v>200</v>
      </c>
      <c r="D16" s="145" t="s">
        <v>191</v>
      </c>
      <c r="E16" s="145" t="s">
        <v>203</v>
      </c>
    </row>
    <row r="17" spans="2:5" x14ac:dyDescent="0.2">
      <c r="B17" s="45"/>
      <c r="C17" s="143"/>
      <c r="D17" s="45"/>
      <c r="E17" s="45"/>
    </row>
    <row r="18" spans="2:5" x14ac:dyDescent="0.2">
      <c r="C18" s="141"/>
    </row>
    <row r="19" spans="2:5" ht="15.75" x14ac:dyDescent="0.25">
      <c r="B19" s="142" t="s">
        <v>204</v>
      </c>
      <c r="C19" s="141"/>
    </row>
    <row r="20" spans="2:5" ht="25.5" x14ac:dyDescent="0.2">
      <c r="B20" s="45"/>
      <c r="C20" s="143" t="s">
        <v>186</v>
      </c>
      <c r="D20" s="143" t="s">
        <v>187</v>
      </c>
      <c r="E20" s="45" t="s">
        <v>188</v>
      </c>
    </row>
    <row r="21" spans="2:5" ht="51" x14ac:dyDescent="0.2">
      <c r="B21" s="187" t="s">
        <v>205</v>
      </c>
      <c r="C21" s="144" t="s">
        <v>206</v>
      </c>
      <c r="D21" s="42" t="s">
        <v>191</v>
      </c>
      <c r="E21" s="42" t="s">
        <v>207</v>
      </c>
    </row>
    <row r="22" spans="2:5" ht="51" x14ac:dyDescent="0.2">
      <c r="B22" s="187" t="s">
        <v>208</v>
      </c>
      <c r="C22" s="144" t="s">
        <v>209</v>
      </c>
      <c r="D22" s="42" t="s">
        <v>191</v>
      </c>
      <c r="E22" s="42" t="s">
        <v>207</v>
      </c>
    </row>
  </sheetData>
  <sheetProtection algorithmName="SHA-512" hashValue="8zuJIPGHhLFR/m38OXM6ROQ6A/7GekhmgNyFkxXctMiEeXxsJ0lGmQJk0Fo/dbOBSeMsOX2JzW7NQGUdZpkBLg==" saltValue="44WlSuhzAC1OMamOAfylu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B2:U76"/>
  <sheetViews>
    <sheetView showGridLines="0" workbookViewId="0"/>
  </sheetViews>
  <sheetFormatPr baseColWidth="10" defaultRowHeight="12.75" x14ac:dyDescent="0.2"/>
  <cols>
    <col min="2" max="2" width="62.5703125" bestFit="1" customWidth="1"/>
    <col min="4" max="4" width="12.42578125" bestFit="1" customWidth="1"/>
    <col min="10" max="10" width="11.7109375" bestFit="1" customWidth="1"/>
    <col min="11" max="12" width="12.42578125" bestFit="1" customWidth="1"/>
    <col min="18" max="18" width="12.42578125" bestFit="1" customWidth="1"/>
  </cols>
  <sheetData>
    <row r="2" spans="2:21" ht="18.75" x14ac:dyDescent="0.3">
      <c r="B2" s="361" t="s">
        <v>391</v>
      </c>
      <c r="C2" s="358"/>
      <c r="D2" s="358"/>
      <c r="E2" s="358"/>
      <c r="F2" s="358"/>
      <c r="G2" s="358"/>
      <c r="H2" s="358"/>
      <c r="I2" s="21"/>
      <c r="J2" s="21"/>
      <c r="K2" s="21"/>
      <c r="L2" s="21"/>
      <c r="M2" s="21"/>
      <c r="N2" s="21"/>
      <c r="O2" s="21"/>
      <c r="P2" s="21"/>
      <c r="Q2" s="21"/>
      <c r="R2" s="21"/>
    </row>
    <row r="4" spans="2:21" x14ac:dyDescent="0.2">
      <c r="B4" s="3"/>
    </row>
    <row r="5" spans="2:21" ht="25.5" x14ac:dyDescent="0.2">
      <c r="B5" s="249" t="s">
        <v>61</v>
      </c>
      <c r="C5" s="251" t="s">
        <v>273</v>
      </c>
      <c r="D5" s="6" t="s">
        <v>274</v>
      </c>
      <c r="E5" s="6" t="s">
        <v>275</v>
      </c>
      <c r="F5" s="6" t="s">
        <v>276</v>
      </c>
      <c r="G5" s="6" t="s">
        <v>277</v>
      </c>
      <c r="H5" s="6" t="s">
        <v>278</v>
      </c>
    </row>
    <row r="6" spans="2:21" x14ac:dyDescent="0.2">
      <c r="B6" s="13" t="s">
        <v>42</v>
      </c>
    </row>
    <row r="7" spans="2:21" x14ac:dyDescent="0.2">
      <c r="B7" s="13"/>
      <c r="C7" s="13" t="s">
        <v>279</v>
      </c>
      <c r="D7" s="8">
        <v>39.612367150000004</v>
      </c>
      <c r="E7" s="222">
        <v>0.23251262404014139</v>
      </c>
      <c r="F7" s="222">
        <v>0.34939471789623278</v>
      </c>
      <c r="G7" s="8">
        <v>5</v>
      </c>
      <c r="H7" s="241">
        <v>0.6</v>
      </c>
    </row>
    <row r="8" spans="2:21" x14ac:dyDescent="0.2">
      <c r="B8" s="13"/>
      <c r="C8" s="13" t="s">
        <v>280</v>
      </c>
      <c r="D8" s="8">
        <v>1255.2451247050001</v>
      </c>
      <c r="E8" s="222">
        <v>0.28252953428627264</v>
      </c>
      <c r="F8" s="222">
        <v>0.29284636283154375</v>
      </c>
      <c r="G8" s="8">
        <v>168.17296625999998</v>
      </c>
      <c r="H8" s="241">
        <v>0.81092550249223405</v>
      </c>
    </row>
    <row r="9" spans="2:21" x14ac:dyDescent="0.2">
      <c r="B9" s="13"/>
      <c r="C9" s="13" t="s">
        <v>281</v>
      </c>
      <c r="D9" s="8">
        <v>6308.9153414499997</v>
      </c>
      <c r="E9" s="222">
        <v>0.42183507442692914</v>
      </c>
      <c r="F9" s="222">
        <v>0.29293372540669116</v>
      </c>
      <c r="G9" s="8">
        <v>657.49564117</v>
      </c>
      <c r="H9" s="241">
        <v>0.67510033855149598</v>
      </c>
    </row>
    <row r="10" spans="2:21" x14ac:dyDescent="0.2">
      <c r="B10" s="13"/>
      <c r="C10" s="13" t="s">
        <v>282</v>
      </c>
      <c r="D10" s="8">
        <v>3485.0698766300002</v>
      </c>
      <c r="E10" s="222">
        <v>0.47136100223456678</v>
      </c>
      <c r="F10" s="222">
        <v>0.2781425201871337</v>
      </c>
      <c r="G10" s="8">
        <v>277.14589281000002</v>
      </c>
      <c r="H10" s="241">
        <v>0.72067196203022099</v>
      </c>
    </row>
    <row r="11" spans="2:21" x14ac:dyDescent="0.2">
      <c r="B11" s="13"/>
      <c r="C11" s="13" t="s">
        <v>283</v>
      </c>
      <c r="D11" s="8">
        <v>5575.752817659999</v>
      </c>
      <c r="E11" s="222">
        <v>0.5630246065076745</v>
      </c>
      <c r="F11" s="222">
        <v>0.2761982052589691</v>
      </c>
      <c r="G11" s="8">
        <v>646.32401435999998</v>
      </c>
      <c r="H11" s="241">
        <v>0.62782929537564902</v>
      </c>
    </row>
    <row r="12" spans="2:21" x14ac:dyDescent="0.2">
      <c r="B12" s="13"/>
      <c r="C12" s="13" t="s">
        <v>284</v>
      </c>
      <c r="D12" s="8">
        <v>4454.6485248750005</v>
      </c>
      <c r="E12" s="222">
        <v>0.70304461124349549</v>
      </c>
      <c r="F12" s="222">
        <v>0.31405460500085142</v>
      </c>
      <c r="G12" s="8">
        <v>565.89974285000005</v>
      </c>
      <c r="H12" s="241">
        <v>0.940989983134078</v>
      </c>
    </row>
    <row r="13" spans="2:21" x14ac:dyDescent="0.2">
      <c r="B13" s="13"/>
      <c r="C13" s="13" t="s">
        <v>285</v>
      </c>
      <c r="D13" s="8">
        <v>5039.7698627999998</v>
      </c>
      <c r="E13" s="222">
        <v>0.87394320130146397</v>
      </c>
      <c r="F13" s="222">
        <v>0.33834761122920087</v>
      </c>
      <c r="G13" s="8">
        <v>497.00337995999996</v>
      </c>
      <c r="H13" s="241">
        <v>0.93300809245466398</v>
      </c>
      <c r="I13" s="167"/>
      <c r="K13" s="167"/>
      <c r="L13" s="167"/>
      <c r="M13" s="167"/>
      <c r="N13" s="167"/>
      <c r="P13" s="406"/>
      <c r="Q13" s="406"/>
      <c r="R13" s="406"/>
      <c r="S13" s="406"/>
      <c r="T13" s="406"/>
      <c r="U13" s="406"/>
    </row>
    <row r="14" spans="2:21" x14ac:dyDescent="0.2">
      <c r="B14" s="13"/>
      <c r="C14" s="13" t="s">
        <v>286</v>
      </c>
      <c r="D14" s="8">
        <v>926.46351670500007</v>
      </c>
      <c r="E14" s="222">
        <v>1.0547558591374493</v>
      </c>
      <c r="F14" s="222">
        <v>0.33416481201649834</v>
      </c>
      <c r="G14" s="8">
        <v>138.549733</v>
      </c>
      <c r="H14" s="241">
        <v>0.98365387892880296</v>
      </c>
    </row>
    <row r="15" spans="2:21" x14ac:dyDescent="0.2">
      <c r="B15" s="13"/>
      <c r="C15" s="13" t="s">
        <v>287</v>
      </c>
      <c r="D15" s="8">
        <v>194.76903439999998</v>
      </c>
      <c r="E15" s="222">
        <v>1.4863113320121384</v>
      </c>
      <c r="F15" s="222">
        <v>0.3356543607130783</v>
      </c>
      <c r="G15" s="8">
        <v>16.810969530000001</v>
      </c>
      <c r="H15" s="241">
        <v>0.94730096093392901</v>
      </c>
      <c r="I15" s="13"/>
      <c r="K15" s="252"/>
      <c r="L15" s="252"/>
      <c r="M15" s="241"/>
      <c r="N15" s="241"/>
      <c r="P15" s="13"/>
      <c r="Q15" s="241"/>
      <c r="R15" s="8"/>
      <c r="S15" s="8"/>
      <c r="T15" s="241"/>
      <c r="U15" s="241"/>
    </row>
    <row r="16" spans="2:21" x14ac:dyDescent="0.2">
      <c r="B16" s="13"/>
      <c r="C16" s="13" t="s">
        <v>288</v>
      </c>
      <c r="D16" s="8">
        <v>6.2621280200000005</v>
      </c>
      <c r="E16" s="222">
        <v>1.0041272559258536</v>
      </c>
      <c r="F16" s="222">
        <v>0.35105303865600468</v>
      </c>
      <c r="G16" s="8">
        <v>1.9999999999999999E-6</v>
      </c>
      <c r="H16" s="241">
        <v>1</v>
      </c>
      <c r="I16" s="13"/>
      <c r="K16" s="252"/>
      <c r="L16" s="252"/>
      <c r="M16" s="241"/>
      <c r="N16" s="241"/>
      <c r="P16" s="13"/>
      <c r="Q16" s="241"/>
      <c r="R16" s="8"/>
      <c r="S16" s="8"/>
      <c r="T16" s="241"/>
      <c r="U16" s="241"/>
    </row>
    <row r="17" spans="2:21" x14ac:dyDescent="0.2">
      <c r="B17" s="13"/>
      <c r="C17" s="13" t="s">
        <v>289</v>
      </c>
      <c r="D17" s="8">
        <v>650.49353645499991</v>
      </c>
      <c r="E17" s="222">
        <v>3.0164079202237897</v>
      </c>
      <c r="F17" s="222">
        <v>5.0442892102514569E-2</v>
      </c>
      <c r="G17" s="8">
        <v>15.348599439999999</v>
      </c>
      <c r="H17" s="241">
        <v>1</v>
      </c>
      <c r="I17" s="13"/>
      <c r="K17" s="252"/>
      <c r="L17" s="252"/>
      <c r="M17" s="241"/>
      <c r="N17" s="241"/>
      <c r="P17" s="13"/>
      <c r="Q17" s="241"/>
      <c r="R17" s="8"/>
      <c r="S17" s="8"/>
      <c r="T17" s="241"/>
      <c r="U17" s="241"/>
    </row>
    <row r="18" spans="2:21" x14ac:dyDescent="0.2">
      <c r="B18" s="22" t="s">
        <v>235</v>
      </c>
      <c r="C18" s="42"/>
      <c r="D18" s="255">
        <f>SUM(D7:D17)</f>
        <v>27937.00213085</v>
      </c>
      <c r="E18" s="259">
        <v>0.66501764469968949</v>
      </c>
      <c r="F18" s="262">
        <v>0.29541688368992874</v>
      </c>
      <c r="G18" s="255">
        <f>SUM(G7:G17)</f>
        <v>2987.7509413799999</v>
      </c>
      <c r="H18" s="259">
        <v>0.78739377693021406</v>
      </c>
      <c r="I18" s="13"/>
      <c r="J18" s="241"/>
      <c r="K18" s="252"/>
      <c r="L18" s="252"/>
      <c r="M18" s="241"/>
      <c r="N18" s="241"/>
      <c r="P18" s="13"/>
      <c r="Q18" s="241"/>
      <c r="R18" s="8"/>
      <c r="S18" s="8"/>
      <c r="T18" s="241"/>
      <c r="U18" s="241"/>
    </row>
    <row r="19" spans="2:21" x14ac:dyDescent="0.2">
      <c r="B19" s="13" t="s">
        <v>268</v>
      </c>
      <c r="I19" s="13"/>
      <c r="J19" s="241"/>
      <c r="K19" s="252"/>
      <c r="L19" s="252"/>
      <c r="M19" s="241"/>
      <c r="N19" s="241"/>
      <c r="P19" s="13"/>
      <c r="Q19" s="241"/>
      <c r="R19" s="8"/>
      <c r="S19" s="8"/>
      <c r="T19" s="241"/>
      <c r="U19" s="241"/>
    </row>
    <row r="20" spans="2:21" x14ac:dyDescent="0.2">
      <c r="B20" s="13"/>
      <c r="C20" s="13" t="s">
        <v>279</v>
      </c>
      <c r="D20" s="110">
        <v>0</v>
      </c>
      <c r="E20" s="110">
        <v>0</v>
      </c>
      <c r="F20" s="110">
        <v>0</v>
      </c>
      <c r="G20" s="8">
        <v>0</v>
      </c>
      <c r="I20" s="13"/>
      <c r="J20" s="241"/>
      <c r="K20" s="252"/>
      <c r="L20" s="252"/>
      <c r="M20" s="241"/>
      <c r="N20" s="241"/>
      <c r="P20" s="13"/>
      <c r="Q20" s="241"/>
      <c r="R20" s="8"/>
      <c r="S20" s="8"/>
      <c r="T20" s="241"/>
      <c r="U20" s="241"/>
    </row>
    <row r="21" spans="2:21" x14ac:dyDescent="0.2">
      <c r="B21" s="13"/>
      <c r="C21" s="13" t="s">
        <v>280</v>
      </c>
      <c r="D21" s="254">
        <v>22365.450756394359</v>
      </c>
      <c r="E21" s="222">
        <v>6.7476604351251954E-2</v>
      </c>
      <c r="F21" s="222">
        <v>0.15439849256472346</v>
      </c>
      <c r="G21" s="8">
        <v>1472.35416257</v>
      </c>
      <c r="H21" s="241">
        <v>1</v>
      </c>
      <c r="I21" s="13"/>
      <c r="J21" s="241"/>
      <c r="K21" s="252"/>
      <c r="L21" s="252"/>
      <c r="M21" s="241"/>
      <c r="N21" s="241"/>
      <c r="P21" s="13"/>
      <c r="Q21" s="241"/>
      <c r="R21" s="8"/>
      <c r="S21" s="8"/>
      <c r="T21" s="241"/>
      <c r="U21" s="241"/>
    </row>
    <row r="22" spans="2:21" x14ac:dyDescent="0.2">
      <c r="B22" s="13"/>
      <c r="C22" s="13" t="s">
        <v>281</v>
      </c>
      <c r="D22" s="254">
        <v>22643.28762105016</v>
      </c>
      <c r="E22" s="222">
        <v>0.13171009221585819</v>
      </c>
      <c r="F22" s="222">
        <v>0.19793357323233415</v>
      </c>
      <c r="G22" s="8">
        <v>303.84711095999995</v>
      </c>
      <c r="H22" s="241">
        <v>1</v>
      </c>
      <c r="I22" s="13"/>
      <c r="J22" s="241"/>
      <c r="K22" s="252"/>
      <c r="L22" s="252"/>
      <c r="M22" s="241"/>
      <c r="N22" s="241"/>
      <c r="P22" s="13"/>
      <c r="Q22" s="241"/>
      <c r="R22" s="8"/>
      <c r="S22" s="8"/>
      <c r="T22" s="241"/>
      <c r="U22" s="241"/>
    </row>
    <row r="23" spans="2:21" x14ac:dyDescent="0.2">
      <c r="B23" s="13"/>
      <c r="C23" s="13" t="s">
        <v>282</v>
      </c>
      <c r="D23" s="254">
        <v>15532.053687055331</v>
      </c>
      <c r="E23" s="222">
        <v>0.21700248935886132</v>
      </c>
      <c r="F23" s="222">
        <v>0.22695482691154684</v>
      </c>
      <c r="G23" s="8">
        <v>39.556172119999999</v>
      </c>
      <c r="H23" s="241">
        <v>1</v>
      </c>
      <c r="I23" s="13"/>
      <c r="J23" s="241"/>
      <c r="K23" s="252"/>
      <c r="L23" s="252"/>
      <c r="M23" s="241"/>
      <c r="N23" s="241"/>
      <c r="P23" s="13"/>
      <c r="Q23" s="241"/>
      <c r="R23" s="8"/>
      <c r="S23" s="8"/>
      <c r="T23" s="241"/>
      <c r="U23" s="241"/>
    </row>
    <row r="24" spans="2:21" x14ac:dyDescent="0.2">
      <c r="B24" s="13"/>
      <c r="C24" s="13" t="s">
        <v>283</v>
      </c>
      <c r="D24" s="254">
        <v>13284.193083317032</v>
      </c>
      <c r="E24" s="222">
        <v>0.30879980210693908</v>
      </c>
      <c r="F24" s="222">
        <v>0.24107347025876913</v>
      </c>
      <c r="G24" s="8">
        <v>13.522630730000001</v>
      </c>
      <c r="H24" s="241">
        <v>1</v>
      </c>
      <c r="I24" s="13"/>
      <c r="J24" s="241"/>
      <c r="K24" s="252"/>
      <c r="L24" s="252"/>
      <c r="M24" s="241"/>
      <c r="N24" s="241"/>
      <c r="P24" s="13"/>
      <c r="Q24" s="241"/>
      <c r="R24" s="8"/>
      <c r="S24" s="8"/>
      <c r="T24" s="241"/>
      <c r="U24" s="241"/>
    </row>
    <row r="25" spans="2:21" x14ac:dyDescent="0.2">
      <c r="B25" s="13"/>
      <c r="C25" s="13" t="s">
        <v>284</v>
      </c>
      <c r="D25" s="254">
        <v>5322.9808222932861</v>
      </c>
      <c r="E25" s="222">
        <v>0.42253900415836004</v>
      </c>
      <c r="F25" s="222">
        <v>0.23468231830263311</v>
      </c>
      <c r="G25" s="8">
        <v>6.4038964500000004</v>
      </c>
      <c r="H25" s="241">
        <v>1</v>
      </c>
      <c r="I25" s="13"/>
      <c r="J25" s="241"/>
      <c r="K25" s="252"/>
      <c r="L25" s="252"/>
      <c r="M25" s="241"/>
      <c r="N25" s="241"/>
      <c r="P25" s="13"/>
      <c r="Q25" s="241"/>
      <c r="R25" s="8"/>
      <c r="S25" s="8"/>
      <c r="T25" s="241"/>
      <c r="U25" s="241"/>
    </row>
    <row r="26" spans="2:21" x14ac:dyDescent="0.2">
      <c r="B26" s="13"/>
      <c r="C26" s="13" t="s">
        <v>285</v>
      </c>
      <c r="D26" s="254">
        <v>1219.9324473858801</v>
      </c>
      <c r="E26" s="222">
        <v>0.62269355201202126</v>
      </c>
      <c r="F26" s="222">
        <v>0.21616427824059248</v>
      </c>
      <c r="G26" s="8">
        <v>0.90686822</v>
      </c>
      <c r="H26" s="241">
        <v>1</v>
      </c>
      <c r="J26" s="241"/>
      <c r="K26" s="252"/>
      <c r="L26" s="252"/>
    </row>
    <row r="27" spans="2:21" x14ac:dyDescent="0.2">
      <c r="B27" s="13"/>
      <c r="C27" s="13" t="s">
        <v>286</v>
      </c>
      <c r="D27" s="254">
        <v>887.36346415318997</v>
      </c>
      <c r="E27" s="222">
        <v>0.96634506953778998</v>
      </c>
      <c r="F27" s="222">
        <v>0.23604561089797471</v>
      </c>
      <c r="G27" s="8">
        <v>0.36633442999999999</v>
      </c>
      <c r="H27" s="241">
        <v>1</v>
      </c>
      <c r="I27" s="406"/>
      <c r="J27" s="406"/>
      <c r="K27" s="406"/>
      <c r="L27" s="406"/>
      <c r="M27" s="406"/>
      <c r="N27" s="406"/>
      <c r="P27" s="406"/>
      <c r="Q27" s="406"/>
      <c r="R27" s="406"/>
      <c r="S27" s="406"/>
      <c r="T27" s="406"/>
      <c r="U27" s="406"/>
    </row>
    <row r="28" spans="2:21" x14ac:dyDescent="0.2">
      <c r="B28" s="13"/>
      <c r="C28" s="13" t="s">
        <v>287</v>
      </c>
      <c r="D28" s="254">
        <v>1097.1997070678649</v>
      </c>
      <c r="E28" s="222">
        <v>1.2666061109478366</v>
      </c>
      <c r="F28" s="222">
        <v>0.22180191268203428</v>
      </c>
      <c r="G28" s="8">
        <v>0.78737339000000006</v>
      </c>
      <c r="H28" s="241">
        <v>1</v>
      </c>
      <c r="I28" s="13"/>
      <c r="J28" s="242"/>
      <c r="K28" s="252"/>
      <c r="L28" s="252"/>
      <c r="M28" s="241"/>
      <c r="N28" s="241"/>
      <c r="P28" s="13"/>
      <c r="Q28" s="242"/>
      <c r="R28" s="8"/>
      <c r="S28" s="8"/>
      <c r="T28" s="241"/>
      <c r="U28" s="241"/>
    </row>
    <row r="29" spans="2:21" x14ac:dyDescent="0.2">
      <c r="B29" s="13"/>
      <c r="C29" s="13" t="s">
        <v>288</v>
      </c>
      <c r="D29" s="254">
        <v>141.81981577157501</v>
      </c>
      <c r="E29" s="222">
        <v>0.25026272420096007</v>
      </c>
      <c r="F29" s="222">
        <v>0.24948388005356315</v>
      </c>
      <c r="G29" s="8">
        <v>3.4547790000000002E-2</v>
      </c>
      <c r="H29" s="241">
        <v>1</v>
      </c>
      <c r="I29" s="13"/>
      <c r="J29" s="242"/>
      <c r="K29" s="252"/>
      <c r="L29" s="252"/>
      <c r="M29" s="241"/>
      <c r="N29" s="241"/>
      <c r="P29" s="13"/>
      <c r="Q29" s="242"/>
      <c r="R29" s="8"/>
      <c r="S29" s="8"/>
      <c r="T29" s="241"/>
      <c r="U29" s="241"/>
    </row>
    <row r="30" spans="2:21" x14ac:dyDescent="0.2">
      <c r="B30" s="13"/>
      <c r="C30" s="13" t="s">
        <v>289</v>
      </c>
      <c r="D30" s="254">
        <v>31.444296347000002</v>
      </c>
      <c r="E30" s="222">
        <v>2.4772531545992011</v>
      </c>
      <c r="F30" s="222">
        <v>0.22857793156309072</v>
      </c>
      <c r="G30" s="8">
        <v>0.2242035</v>
      </c>
      <c r="H30" s="241">
        <v>1</v>
      </c>
      <c r="I30" s="13"/>
      <c r="J30" s="242"/>
      <c r="K30" s="252"/>
      <c r="L30" s="252"/>
      <c r="M30" s="241"/>
      <c r="N30" s="241"/>
      <c r="P30" s="13"/>
      <c r="Q30" s="242"/>
      <c r="R30" s="8"/>
      <c r="S30" s="8"/>
      <c r="T30" s="241"/>
      <c r="U30" s="241"/>
    </row>
    <row r="31" spans="2:21" x14ac:dyDescent="0.2">
      <c r="B31" s="155" t="s">
        <v>392</v>
      </c>
      <c r="C31" s="42"/>
      <c r="D31" s="256">
        <v>82525.725700835712</v>
      </c>
      <c r="E31" s="261">
        <v>0.21003829385693523</v>
      </c>
      <c r="F31" s="260">
        <v>0.20200856669837144</v>
      </c>
      <c r="G31" s="255">
        <f>SUM(G20:G30)</f>
        <v>1838.00330016</v>
      </c>
      <c r="H31" s="259">
        <v>1</v>
      </c>
      <c r="I31" s="13"/>
      <c r="J31" s="242"/>
      <c r="K31" s="252"/>
      <c r="L31" s="252"/>
      <c r="M31" s="241"/>
      <c r="N31" s="241"/>
      <c r="P31" s="13"/>
      <c r="Q31" s="242"/>
      <c r="R31" s="8"/>
      <c r="S31" s="8"/>
      <c r="T31" s="241"/>
      <c r="U31" s="241"/>
    </row>
    <row r="32" spans="2:21" x14ac:dyDescent="0.2">
      <c r="B32" s="13" t="s">
        <v>269</v>
      </c>
      <c r="I32" s="13"/>
      <c r="J32" s="242"/>
      <c r="K32" s="252"/>
      <c r="L32" s="252"/>
      <c r="M32" s="241"/>
      <c r="N32" s="241"/>
      <c r="P32" s="13"/>
      <c r="Q32" s="242"/>
      <c r="R32" s="8"/>
      <c r="S32" s="8"/>
      <c r="T32" s="241"/>
      <c r="U32" s="241"/>
    </row>
    <row r="33" spans="2:21" x14ac:dyDescent="0.2">
      <c r="B33" s="13"/>
      <c r="C33" s="13" t="s">
        <v>279</v>
      </c>
      <c r="D33" s="257">
        <v>0</v>
      </c>
      <c r="E33" s="110">
        <v>0</v>
      </c>
      <c r="F33" s="110">
        <v>0</v>
      </c>
      <c r="G33" s="110">
        <v>0</v>
      </c>
      <c r="I33" s="13"/>
      <c r="J33" s="242"/>
      <c r="K33" s="252"/>
      <c r="L33" s="252"/>
      <c r="M33" s="241"/>
      <c r="N33" s="241"/>
      <c r="P33" s="13"/>
      <c r="Q33" s="242"/>
      <c r="R33" s="8"/>
      <c r="S33" s="8"/>
      <c r="T33" s="241"/>
      <c r="U33" s="241"/>
    </row>
    <row r="34" spans="2:21" x14ac:dyDescent="0.2">
      <c r="B34" s="13"/>
      <c r="C34" s="13" t="s">
        <v>280</v>
      </c>
      <c r="D34" s="257">
        <v>420.22917140532496</v>
      </c>
      <c r="E34" s="222">
        <v>0.21490117902574321</v>
      </c>
      <c r="F34" s="241">
        <v>0.48803701292459489</v>
      </c>
      <c r="G34" s="8">
        <v>160.70626999999999</v>
      </c>
      <c r="H34" s="241">
        <v>1</v>
      </c>
      <c r="I34" s="13"/>
      <c r="J34" s="242"/>
      <c r="K34" s="252"/>
      <c r="L34" s="252"/>
      <c r="M34" s="241"/>
      <c r="N34" s="241"/>
      <c r="P34" s="13"/>
      <c r="Q34" s="242"/>
      <c r="R34" s="8"/>
      <c r="S34" s="8"/>
      <c r="T34" s="241"/>
      <c r="U34" s="241"/>
    </row>
    <row r="35" spans="2:21" x14ac:dyDescent="0.2">
      <c r="B35" s="13"/>
      <c r="C35" s="13" t="s">
        <v>281</v>
      </c>
      <c r="D35" s="257">
        <v>528.21890409548996</v>
      </c>
      <c r="E35" s="222">
        <v>0.31166767613814844</v>
      </c>
      <c r="F35" s="241">
        <v>0.49420249822496864</v>
      </c>
      <c r="G35" s="8">
        <v>65.456042749999995</v>
      </c>
      <c r="H35" s="241">
        <v>1</v>
      </c>
      <c r="I35" s="13"/>
      <c r="J35" s="242"/>
      <c r="K35" s="252"/>
      <c r="L35" s="252"/>
      <c r="M35" s="241"/>
      <c r="N35" s="241"/>
      <c r="P35" s="13"/>
      <c r="Q35" s="242"/>
      <c r="R35" s="8"/>
      <c r="S35" s="8"/>
      <c r="T35" s="241"/>
      <c r="U35" s="241"/>
    </row>
    <row r="36" spans="2:21" x14ac:dyDescent="0.2">
      <c r="B36" s="13"/>
      <c r="C36" s="13" t="s">
        <v>282</v>
      </c>
      <c r="D36" s="257">
        <v>443.52775542643997</v>
      </c>
      <c r="E36" s="222">
        <v>0.4231043046338534</v>
      </c>
      <c r="F36" s="241">
        <v>0.49510929872277071</v>
      </c>
      <c r="G36" s="8">
        <v>27.759082579999998</v>
      </c>
      <c r="H36" s="241">
        <v>1</v>
      </c>
      <c r="I36" s="13"/>
      <c r="J36" s="242"/>
      <c r="K36" s="252"/>
      <c r="L36" s="252"/>
      <c r="M36" s="241"/>
      <c r="N36" s="241"/>
      <c r="P36" s="13"/>
      <c r="Q36" s="242"/>
      <c r="R36" s="8"/>
      <c r="S36" s="8"/>
      <c r="T36" s="241"/>
      <c r="U36" s="241"/>
    </row>
    <row r="37" spans="2:21" x14ac:dyDescent="0.2">
      <c r="B37" s="13"/>
      <c r="C37" s="13" t="s">
        <v>283</v>
      </c>
      <c r="D37" s="257">
        <v>366.72187056664495</v>
      </c>
      <c r="E37" s="222">
        <v>0.51727447028595797</v>
      </c>
      <c r="F37" s="241">
        <v>0.49512289621784389</v>
      </c>
      <c r="G37" s="8">
        <v>16.0146564</v>
      </c>
      <c r="H37" s="241">
        <v>1</v>
      </c>
      <c r="I37" s="13"/>
      <c r="J37" s="242"/>
      <c r="K37" s="252"/>
      <c r="L37" s="252"/>
      <c r="M37" s="241"/>
      <c r="N37" s="241"/>
      <c r="P37" s="13"/>
      <c r="Q37" s="242"/>
      <c r="R37" s="8"/>
      <c r="S37" s="8"/>
      <c r="T37" s="241"/>
      <c r="U37" s="241"/>
    </row>
    <row r="38" spans="2:21" x14ac:dyDescent="0.2">
      <c r="B38" s="13"/>
      <c r="C38" s="13" t="s">
        <v>284</v>
      </c>
      <c r="D38" s="257">
        <v>179.33077797300501</v>
      </c>
      <c r="E38" s="222">
        <v>0.6232291216367648</v>
      </c>
      <c r="F38" s="241">
        <v>0.48282355098921825</v>
      </c>
      <c r="G38" s="8">
        <v>4.1795659799999996</v>
      </c>
      <c r="H38" s="241">
        <v>1</v>
      </c>
      <c r="I38" s="13"/>
      <c r="J38" s="242"/>
      <c r="K38" s="252"/>
      <c r="L38" s="252"/>
      <c r="M38" s="241"/>
      <c r="N38" s="241"/>
      <c r="P38" s="13"/>
      <c r="Q38" s="242"/>
      <c r="R38" s="8"/>
      <c r="S38" s="8"/>
      <c r="T38" s="241"/>
      <c r="U38" s="241"/>
    </row>
    <row r="39" spans="2:21" x14ac:dyDescent="0.2">
      <c r="B39" s="13"/>
      <c r="C39" s="13" t="s">
        <v>285</v>
      </c>
      <c r="D39" s="257">
        <v>83.233908903379984</v>
      </c>
      <c r="E39" s="222">
        <v>0.73858049279800775</v>
      </c>
      <c r="F39" s="241">
        <v>0.48783924621303854</v>
      </c>
      <c r="G39" s="8">
        <v>4.0768627100000003</v>
      </c>
      <c r="H39" s="241">
        <v>1</v>
      </c>
      <c r="J39" s="241"/>
      <c r="K39" s="253"/>
      <c r="L39" s="253"/>
    </row>
    <row r="40" spans="2:21" x14ac:dyDescent="0.2">
      <c r="B40" s="13"/>
      <c r="C40" s="13" t="s">
        <v>286</v>
      </c>
      <c r="D40" s="257">
        <v>56.648856738300005</v>
      </c>
      <c r="E40" s="222">
        <v>0.81055352067143416</v>
      </c>
      <c r="F40" s="241">
        <v>0.49842384840892184</v>
      </c>
      <c r="G40" s="8">
        <v>0.6146855699999999</v>
      </c>
      <c r="H40" s="241">
        <v>1</v>
      </c>
      <c r="I40" s="406"/>
      <c r="J40" s="406"/>
      <c r="K40" s="406"/>
      <c r="L40" s="406"/>
      <c r="M40" s="406"/>
      <c r="N40" s="406"/>
    </row>
    <row r="41" spans="2:21" x14ac:dyDescent="0.2">
      <c r="B41" s="13"/>
      <c r="C41" s="13" t="s">
        <v>287</v>
      </c>
      <c r="D41" s="257">
        <v>34.413594999434999</v>
      </c>
      <c r="E41" s="222">
        <v>1.1141442008254732</v>
      </c>
      <c r="F41" s="241">
        <v>0.47388554656666754</v>
      </c>
      <c r="G41" s="8">
        <v>0.97391748</v>
      </c>
      <c r="H41" s="241">
        <v>1</v>
      </c>
      <c r="I41" s="13"/>
      <c r="J41" s="241"/>
      <c r="K41" s="252"/>
      <c r="L41" s="252"/>
    </row>
    <row r="42" spans="2:21" x14ac:dyDescent="0.2">
      <c r="B42" s="13"/>
      <c r="C42" s="13" t="s">
        <v>288</v>
      </c>
      <c r="D42" s="257">
        <v>11.8722480065</v>
      </c>
      <c r="E42" s="222">
        <v>2.8204167493357024E-2</v>
      </c>
      <c r="F42" s="241">
        <v>0.49787511809681806</v>
      </c>
      <c r="G42" s="8">
        <v>4.0924730000000006E-2</v>
      </c>
      <c r="H42" s="241">
        <v>1</v>
      </c>
      <c r="I42" s="13"/>
      <c r="J42" s="241"/>
      <c r="K42" s="252"/>
      <c r="L42" s="252"/>
      <c r="M42" s="241"/>
      <c r="N42" s="241"/>
    </row>
    <row r="43" spans="2:21" x14ac:dyDescent="0.2">
      <c r="B43" s="13"/>
      <c r="C43" s="13" t="s">
        <v>289</v>
      </c>
      <c r="D43" s="257">
        <v>7.638767829999999</v>
      </c>
      <c r="E43" s="222">
        <v>1.667697448320013E-2</v>
      </c>
      <c r="F43" s="241">
        <v>0.70124219497792084</v>
      </c>
      <c r="G43" s="8">
        <v>0.19424179999999999</v>
      </c>
      <c r="H43" s="241">
        <v>1</v>
      </c>
      <c r="I43" s="13"/>
      <c r="J43" s="241"/>
      <c r="K43" s="252"/>
      <c r="L43" s="252"/>
      <c r="M43" s="241"/>
      <c r="N43" s="241"/>
    </row>
    <row r="44" spans="2:21" x14ac:dyDescent="0.2">
      <c r="B44" s="22" t="s">
        <v>270</v>
      </c>
      <c r="C44" s="42"/>
      <c r="D44" s="258">
        <v>2131.8358559445196</v>
      </c>
      <c r="E44" s="259">
        <v>0.41759821460983804</v>
      </c>
      <c r="F44" s="259">
        <v>0.49267501497117444</v>
      </c>
      <c r="G44" s="255">
        <f>SUM(G33:G43)</f>
        <v>280.01624999999996</v>
      </c>
      <c r="H44" s="259">
        <v>1</v>
      </c>
      <c r="I44" s="13"/>
      <c r="J44" s="241"/>
      <c r="K44" s="252"/>
      <c r="L44" s="252"/>
      <c r="M44" s="241"/>
      <c r="N44" s="241"/>
    </row>
    <row r="45" spans="2:21" x14ac:dyDescent="0.2">
      <c r="B45" s="22" t="s">
        <v>271</v>
      </c>
      <c r="C45" s="42"/>
      <c r="D45" s="256">
        <v>84657.561556780231</v>
      </c>
      <c r="E45" s="260">
        <v>0.21526504115724887</v>
      </c>
      <c r="F45" s="260">
        <v>0.2093280919144668</v>
      </c>
      <c r="G45" s="255">
        <f>G31+G44</f>
        <v>2118.0195501600001</v>
      </c>
      <c r="H45" s="259">
        <v>1</v>
      </c>
      <c r="I45" s="13"/>
      <c r="J45" s="241"/>
      <c r="K45" s="252"/>
      <c r="L45" s="252"/>
      <c r="M45" s="241"/>
      <c r="N45" s="241"/>
    </row>
    <row r="46" spans="2:21" x14ac:dyDescent="0.2">
      <c r="B46" s="250" t="s">
        <v>272</v>
      </c>
      <c r="I46" s="13"/>
      <c r="J46" s="241"/>
      <c r="K46" s="252"/>
      <c r="L46" s="252"/>
      <c r="M46" s="241"/>
      <c r="N46" s="241"/>
    </row>
    <row r="47" spans="2:21" x14ac:dyDescent="0.2">
      <c r="I47" s="13"/>
      <c r="J47" s="241"/>
      <c r="K47" s="252"/>
      <c r="L47" s="252"/>
      <c r="M47" s="241"/>
      <c r="N47" s="241"/>
    </row>
    <row r="48" spans="2:21" x14ac:dyDescent="0.2">
      <c r="I48" s="13"/>
      <c r="J48" s="241"/>
      <c r="K48" s="252"/>
      <c r="L48" s="252"/>
      <c r="M48" s="241"/>
      <c r="N48" s="241"/>
    </row>
    <row r="49" spans="4:14" x14ac:dyDescent="0.2">
      <c r="I49" s="13"/>
      <c r="J49" s="241"/>
      <c r="K49" s="252"/>
      <c r="L49" s="252"/>
      <c r="M49" s="241"/>
      <c r="N49" s="241"/>
    </row>
    <row r="50" spans="4:14" x14ac:dyDescent="0.2">
      <c r="D50" s="241"/>
      <c r="E50" s="8"/>
      <c r="F50" s="8"/>
      <c r="I50" s="13"/>
      <c r="J50" s="241"/>
      <c r="K50" s="252"/>
      <c r="L50" s="252"/>
      <c r="M50" s="241"/>
    </row>
    <row r="51" spans="4:14" x14ac:dyDescent="0.2">
      <c r="D51" s="241"/>
      <c r="E51" s="8"/>
      <c r="F51" s="8"/>
      <c r="I51" s="13"/>
      <c r="J51" s="241"/>
      <c r="K51" s="252"/>
      <c r="L51" s="252"/>
      <c r="M51" s="241"/>
      <c r="N51" s="241"/>
    </row>
    <row r="52" spans="4:14" x14ac:dyDescent="0.2">
      <c r="D52" s="241"/>
      <c r="E52" s="8"/>
      <c r="F52" s="8"/>
    </row>
    <row r="53" spans="4:14" x14ac:dyDescent="0.2">
      <c r="D53" s="241"/>
      <c r="E53" s="8"/>
      <c r="F53" s="8"/>
    </row>
    <row r="54" spans="4:14" x14ac:dyDescent="0.2">
      <c r="D54" s="241"/>
      <c r="E54" s="8"/>
      <c r="F54" s="8"/>
    </row>
    <row r="55" spans="4:14" x14ac:dyDescent="0.2">
      <c r="D55" s="241"/>
      <c r="E55" s="8"/>
      <c r="F55" s="8"/>
    </row>
    <row r="56" spans="4:14" x14ac:dyDescent="0.2">
      <c r="D56" s="241"/>
      <c r="E56" s="8"/>
      <c r="F56" s="8"/>
    </row>
    <row r="57" spans="4:14" x14ac:dyDescent="0.2">
      <c r="D57" s="241"/>
      <c r="E57" s="8"/>
      <c r="F57" s="8"/>
    </row>
    <row r="58" spans="4:14" x14ac:dyDescent="0.2">
      <c r="D58" s="241"/>
      <c r="E58" s="8"/>
      <c r="F58" s="8"/>
    </row>
    <row r="59" spans="4:14" x14ac:dyDescent="0.2">
      <c r="D59" s="241"/>
      <c r="E59" s="8"/>
      <c r="F59" s="8"/>
    </row>
    <row r="60" spans="4:14" x14ac:dyDescent="0.2">
      <c r="D60" s="241"/>
      <c r="E60" s="8"/>
      <c r="F60" s="8"/>
    </row>
    <row r="61" spans="4:14" x14ac:dyDescent="0.2">
      <c r="D61" s="241"/>
    </row>
    <row r="65" spans="4:6" x14ac:dyDescent="0.2">
      <c r="D65" s="241"/>
      <c r="E65" s="8"/>
      <c r="F65" s="8"/>
    </row>
    <row r="66" spans="4:6" x14ac:dyDescent="0.2">
      <c r="D66" s="241"/>
      <c r="E66" s="8"/>
      <c r="F66" s="8"/>
    </row>
    <row r="67" spans="4:6" x14ac:dyDescent="0.2">
      <c r="D67" s="241"/>
      <c r="E67" s="8"/>
      <c r="F67" s="8"/>
    </row>
    <row r="68" spans="4:6" x14ac:dyDescent="0.2">
      <c r="D68" s="241"/>
      <c r="E68" s="8"/>
      <c r="F68" s="8"/>
    </row>
    <row r="69" spans="4:6" x14ac:dyDescent="0.2">
      <c r="D69" s="241"/>
      <c r="E69" s="8"/>
      <c r="F69" s="8"/>
    </row>
    <row r="70" spans="4:6" x14ac:dyDescent="0.2">
      <c r="D70" s="241"/>
      <c r="E70" s="8"/>
      <c r="F70" s="8"/>
    </row>
    <row r="71" spans="4:6" x14ac:dyDescent="0.2">
      <c r="D71" s="241"/>
      <c r="E71" s="8"/>
      <c r="F71" s="8"/>
    </row>
    <row r="72" spans="4:6" x14ac:dyDescent="0.2">
      <c r="D72" s="241"/>
      <c r="E72" s="8"/>
      <c r="F72" s="8"/>
    </row>
    <row r="73" spans="4:6" x14ac:dyDescent="0.2">
      <c r="D73" s="241"/>
      <c r="E73" s="8"/>
      <c r="F73" s="8"/>
    </row>
    <row r="74" spans="4:6" x14ac:dyDescent="0.2">
      <c r="D74" s="241"/>
      <c r="E74" s="8"/>
      <c r="F74" s="8"/>
    </row>
    <row r="75" spans="4:6" x14ac:dyDescent="0.2">
      <c r="D75" s="241"/>
      <c r="E75" s="8"/>
      <c r="F75" s="8"/>
    </row>
    <row r="76" spans="4:6" x14ac:dyDescent="0.2">
      <c r="D76" s="241"/>
      <c r="E76" s="257"/>
      <c r="F76" s="257"/>
    </row>
  </sheetData>
  <sheetProtection algorithmName="SHA-512" hashValue="+GeGDjj5583mvm2Mg4v1U5dhiD7HcZkpZ2+TYzsqO2lH3oU3sXnInPOcZAM9cfSLROIg/z/kDMiVwh5TVMErZQ==" saltValue="bB/LuNXtgZ/dddui+m5kyQ==" spinCount="100000" sheet="1" objects="1" scenarios="1"/>
  <mergeCells count="4">
    <mergeCell ref="I27:N27"/>
    <mergeCell ref="I40:N40"/>
    <mergeCell ref="P13:U13"/>
    <mergeCell ref="P27:U27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B2:R22"/>
  <sheetViews>
    <sheetView showGridLines="0" workbookViewId="0"/>
  </sheetViews>
  <sheetFormatPr baseColWidth="10" defaultRowHeight="12.75" x14ac:dyDescent="0.2"/>
  <cols>
    <col min="2" max="2" width="32.42578125" customWidth="1"/>
    <col min="4" max="4" width="13.85546875" customWidth="1"/>
    <col min="5" max="5" width="15.5703125" customWidth="1"/>
    <col min="7" max="7" width="24.28515625" customWidth="1"/>
  </cols>
  <sheetData>
    <row r="2" spans="2:18" ht="15.75" x14ac:dyDescent="0.25">
      <c r="B2" s="357" t="s">
        <v>393</v>
      </c>
      <c r="C2" s="358"/>
      <c r="D2" s="358"/>
      <c r="E2" s="358"/>
      <c r="F2" s="358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4" spans="2:18" ht="39.75" x14ac:dyDescent="0.3">
      <c r="B4" s="328" t="s">
        <v>360</v>
      </c>
      <c r="C4" s="329"/>
      <c r="D4" s="329"/>
      <c r="E4" s="329"/>
      <c r="F4" s="329"/>
      <c r="G4" s="329"/>
    </row>
    <row r="5" spans="2:18" ht="15" x14ac:dyDescent="0.25">
      <c r="B5" s="69"/>
      <c r="C5" s="69"/>
      <c r="D5" s="69"/>
      <c r="E5" s="69"/>
      <c r="F5" s="69"/>
      <c r="G5" s="69"/>
    </row>
    <row r="6" spans="2:18" ht="41.25" x14ac:dyDescent="0.25">
      <c r="B6" s="330" t="s">
        <v>61</v>
      </c>
      <c r="C6" s="331" t="s">
        <v>335</v>
      </c>
      <c r="D6" s="332" t="s">
        <v>362</v>
      </c>
      <c r="E6" s="332" t="s">
        <v>395</v>
      </c>
      <c r="F6" s="332" t="s">
        <v>363</v>
      </c>
      <c r="G6" s="69"/>
    </row>
    <row r="7" spans="2:18" ht="15" x14ac:dyDescent="0.25">
      <c r="B7" s="33" t="s">
        <v>231</v>
      </c>
      <c r="C7" s="33"/>
      <c r="D7" s="69"/>
      <c r="E7" s="69"/>
      <c r="F7" s="69"/>
      <c r="G7" s="69"/>
    </row>
    <row r="8" spans="2:18" ht="15" x14ac:dyDescent="0.25">
      <c r="B8" s="48" t="s">
        <v>232</v>
      </c>
      <c r="C8" s="53">
        <v>6506.0619999999999</v>
      </c>
      <c r="D8" s="333">
        <v>0.67008573382545</v>
      </c>
      <c r="E8" s="333">
        <v>0.32122686897284702</v>
      </c>
      <c r="F8" s="333">
        <v>8.6873972017033601E-3</v>
      </c>
      <c r="G8" s="354"/>
    </row>
    <row r="9" spans="2:18" ht="15" x14ac:dyDescent="0.25">
      <c r="B9" s="48" t="s">
        <v>233</v>
      </c>
      <c r="C9" s="53">
        <v>21151.884999999998</v>
      </c>
      <c r="D9" s="333">
        <v>0.72387748493954496</v>
      </c>
      <c r="E9" s="333">
        <v>0.26701448977886799</v>
      </c>
      <c r="F9" s="333">
        <v>9.1080252815862097E-3</v>
      </c>
      <c r="G9" s="354"/>
    </row>
    <row r="10" spans="2:18" ht="15" x14ac:dyDescent="0.25">
      <c r="B10" s="48" t="s">
        <v>234</v>
      </c>
      <c r="C10" s="53">
        <v>1410.6959999999999</v>
      </c>
      <c r="D10" s="333">
        <v>0.98182021805284603</v>
      </c>
      <c r="E10" s="333">
        <v>1.8168589915822399E-2</v>
      </c>
      <c r="F10" s="333">
        <v>1.11920313312158E-5</v>
      </c>
      <c r="G10" s="354"/>
    </row>
    <row r="11" spans="2:18" ht="15" x14ac:dyDescent="0.25">
      <c r="B11" s="47" t="s">
        <v>235</v>
      </c>
      <c r="C11" s="58">
        <f>SUM(C8:C10)</f>
        <v>29068.643</v>
      </c>
      <c r="D11" s="334">
        <v>0.724355880645706</v>
      </c>
      <c r="E11" s="334">
        <v>0.26707170554399118</v>
      </c>
      <c r="F11" s="334">
        <v>8.5724138103021701E-3</v>
      </c>
      <c r="G11" s="354"/>
    </row>
    <row r="12" spans="2:18" ht="15" x14ac:dyDescent="0.25">
      <c r="B12" s="33" t="s">
        <v>236</v>
      </c>
      <c r="C12" s="53"/>
      <c r="D12" s="333"/>
      <c r="E12" s="333"/>
      <c r="F12" s="333"/>
      <c r="G12" s="354"/>
    </row>
    <row r="13" spans="2:18" ht="15" x14ac:dyDescent="0.25">
      <c r="B13" s="48" t="s">
        <v>237</v>
      </c>
      <c r="C13" s="93">
        <v>2120.9987096782352</v>
      </c>
      <c r="D13" s="333">
        <v>1</v>
      </c>
      <c r="E13" s="333">
        <v>0</v>
      </c>
      <c r="F13" s="333">
        <v>0</v>
      </c>
      <c r="G13" s="354"/>
      <c r="H13" s="241"/>
    </row>
    <row r="14" spans="2:18" ht="15" x14ac:dyDescent="0.25">
      <c r="B14" s="48" t="s">
        <v>238</v>
      </c>
      <c r="C14" s="93">
        <v>80418.045216157436</v>
      </c>
      <c r="D14" s="333">
        <v>1</v>
      </c>
      <c r="E14" s="333">
        <v>0</v>
      </c>
      <c r="F14" s="333">
        <v>0</v>
      </c>
      <c r="G14" s="354"/>
      <c r="H14" s="241"/>
    </row>
    <row r="15" spans="2:18" x14ac:dyDescent="0.2">
      <c r="B15" s="48" t="s">
        <v>239</v>
      </c>
      <c r="C15" s="93">
        <v>202.61785585632504</v>
      </c>
      <c r="D15" s="333">
        <v>0.30056973973608198</v>
      </c>
      <c r="E15" s="333">
        <v>0.54327923714436399</v>
      </c>
      <c r="F15" s="333">
        <v>0.15615102311955401</v>
      </c>
      <c r="H15" s="241"/>
    </row>
    <row r="16" spans="2:18" x14ac:dyDescent="0.2">
      <c r="B16" s="48" t="s">
        <v>240</v>
      </c>
      <c r="C16" s="93">
        <v>1938.9612295881948</v>
      </c>
      <c r="D16" s="333">
        <v>0.16325033264977401</v>
      </c>
      <c r="E16" s="333">
        <v>0.325850569368204</v>
      </c>
      <c r="F16" s="333">
        <v>0.51089909798202304</v>
      </c>
      <c r="H16" s="241"/>
    </row>
    <row r="17" spans="2:7" ht="15" x14ac:dyDescent="0.25">
      <c r="B17" s="47" t="s">
        <v>241</v>
      </c>
      <c r="C17" s="58">
        <f>SUM(C13:C16)</f>
        <v>84680.623011280186</v>
      </c>
      <c r="D17" s="334">
        <v>0.97916710859243894</v>
      </c>
      <c r="E17" s="334">
        <v>8.7610325529467476E-3</v>
      </c>
      <c r="F17" s="334">
        <v>1.2071858854614304E-2</v>
      </c>
      <c r="G17" s="69"/>
    </row>
    <row r="18" spans="2:7" ht="15" x14ac:dyDescent="0.25">
      <c r="B18" s="47" t="s">
        <v>361</v>
      </c>
      <c r="C18" s="58">
        <f>C17+C11</f>
        <v>113749.26601128018</v>
      </c>
      <c r="D18" s="334">
        <v>0.9140500588099757</v>
      </c>
      <c r="E18" s="334">
        <v>7.4772366072424518E-2</v>
      </c>
      <c r="F18" s="334">
        <v>1.1177575117599765E-2</v>
      </c>
      <c r="G18" s="69"/>
    </row>
    <row r="19" spans="2:7" ht="15" x14ac:dyDescent="0.25">
      <c r="B19" s="69"/>
      <c r="C19" s="69"/>
      <c r="D19" s="69"/>
      <c r="E19" s="69"/>
      <c r="F19" s="69"/>
      <c r="G19" s="69"/>
    </row>
    <row r="20" spans="2:7" ht="15" x14ac:dyDescent="0.2">
      <c r="B20" s="407" t="s">
        <v>394</v>
      </c>
      <c r="C20" s="407"/>
      <c r="D20" s="407"/>
      <c r="E20" s="407"/>
      <c r="F20" s="407"/>
      <c r="G20" s="407"/>
    </row>
    <row r="21" spans="2:7" ht="31.5" customHeight="1" x14ac:dyDescent="0.2">
      <c r="B21" s="408" t="s">
        <v>364</v>
      </c>
      <c r="C21" s="408"/>
      <c r="D21" s="408"/>
      <c r="E21" s="408"/>
      <c r="F21" s="408"/>
      <c r="G21" s="408"/>
    </row>
    <row r="22" spans="2:7" ht="15" x14ac:dyDescent="0.25">
      <c r="B22" s="69"/>
      <c r="C22" s="69"/>
      <c r="D22" s="69"/>
      <c r="E22" s="69"/>
      <c r="F22" s="69"/>
      <c r="G22" s="69"/>
    </row>
  </sheetData>
  <sheetProtection algorithmName="SHA-512" hashValue="QKzRNlbopEsujn9unTpC+22ChBcFwQI1HS/45zHcQXBn52bOaxk/5H5mkK7krrEB3QyNlwXtP2+S9rfRpfJJkg==" saltValue="RxGGnBzvyBZbaCtfbX4a3g==" spinCount="100000" sheet="1" objects="1" scenarios="1"/>
  <mergeCells count="2">
    <mergeCell ref="B20:G20"/>
    <mergeCell ref="B21:G2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B2:T22"/>
  <sheetViews>
    <sheetView showGridLines="0" workbookViewId="0"/>
  </sheetViews>
  <sheetFormatPr baseColWidth="10" defaultRowHeight="12.75" x14ac:dyDescent="0.2"/>
  <cols>
    <col min="2" max="2" width="41" customWidth="1"/>
    <col min="3" max="3" width="22.85546875" customWidth="1"/>
    <col min="4" max="4" width="17.5703125" customWidth="1"/>
    <col min="6" max="6" width="19.85546875" customWidth="1"/>
    <col min="8" max="8" width="25.42578125" customWidth="1"/>
  </cols>
  <sheetData>
    <row r="2" spans="2:20" ht="18.75" x14ac:dyDescent="0.3">
      <c r="B2" s="361" t="s">
        <v>291</v>
      </c>
      <c r="C2" s="361"/>
      <c r="D2" s="361"/>
      <c r="E2" s="361"/>
      <c r="F2" s="361"/>
      <c r="G2" s="361"/>
      <c r="H2" s="36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2:20" x14ac:dyDescent="0.2">
      <c r="B3" s="389" t="s">
        <v>295</v>
      </c>
    </row>
    <row r="4" spans="2:20" x14ac:dyDescent="0.2">
      <c r="B4" s="3"/>
      <c r="C4" s="3"/>
      <c r="D4" s="3"/>
    </row>
    <row r="5" spans="2:20" ht="38.25" x14ac:dyDescent="0.2">
      <c r="B5" s="311" t="s">
        <v>61</v>
      </c>
      <c r="C5" s="312" t="s">
        <v>358</v>
      </c>
      <c r="D5" s="312" t="s">
        <v>359</v>
      </c>
      <c r="E5" s="324" t="s">
        <v>343</v>
      </c>
      <c r="F5" s="313" t="s">
        <v>344</v>
      </c>
      <c r="G5" s="312" t="s">
        <v>345</v>
      </c>
      <c r="H5" s="313" t="s">
        <v>346</v>
      </c>
    </row>
    <row r="6" spans="2:20" x14ac:dyDescent="0.2">
      <c r="B6" s="314" t="s">
        <v>347</v>
      </c>
      <c r="C6" s="325">
        <v>33090</v>
      </c>
      <c r="D6" s="325">
        <f>+(C6+E6)/2</f>
        <v>31554</v>
      </c>
      <c r="E6" s="325">
        <v>30018</v>
      </c>
      <c r="F6" s="316">
        <v>29231.5</v>
      </c>
      <c r="G6" s="315">
        <v>28445</v>
      </c>
      <c r="H6" s="316">
        <v>28824</v>
      </c>
    </row>
    <row r="7" spans="2:20" x14ac:dyDescent="0.2">
      <c r="B7" s="314" t="s">
        <v>348</v>
      </c>
      <c r="C7" s="325">
        <v>47579</v>
      </c>
      <c r="D7" s="325">
        <f t="shared" ref="D7:D9" si="0">+(C7+E7)/2</f>
        <v>46865.5</v>
      </c>
      <c r="E7" s="325">
        <v>46152</v>
      </c>
      <c r="F7" s="316">
        <v>43510</v>
      </c>
      <c r="G7" s="315">
        <v>40868</v>
      </c>
      <c r="H7" s="316">
        <v>39024.5</v>
      </c>
    </row>
    <row r="8" spans="2:20" x14ac:dyDescent="0.2">
      <c r="B8" s="314" t="s">
        <v>349</v>
      </c>
      <c r="C8" s="325">
        <v>616</v>
      </c>
      <c r="D8" s="325">
        <f t="shared" si="0"/>
        <v>715.5</v>
      </c>
      <c r="E8" s="325">
        <v>815</v>
      </c>
      <c r="F8" s="316">
        <v>1012</v>
      </c>
      <c r="G8" s="315">
        <v>1209</v>
      </c>
      <c r="H8" s="316">
        <v>1237.5</v>
      </c>
    </row>
    <row r="9" spans="2:20" x14ac:dyDescent="0.2">
      <c r="B9" s="317" t="s">
        <v>350</v>
      </c>
      <c r="C9" s="326">
        <f>SUM(C6:C8)</f>
        <v>81285</v>
      </c>
      <c r="D9" s="326">
        <f t="shared" si="0"/>
        <v>79135</v>
      </c>
      <c r="E9" s="326">
        <v>76985</v>
      </c>
      <c r="F9" s="319">
        <v>73753.5</v>
      </c>
      <c r="G9" s="318">
        <v>70522</v>
      </c>
      <c r="H9" s="319">
        <v>69086</v>
      </c>
    </row>
    <row r="10" spans="2:20" x14ac:dyDescent="0.2">
      <c r="B10" s="314" t="s">
        <v>351</v>
      </c>
      <c r="C10" s="325"/>
      <c r="D10" s="325"/>
      <c r="E10" s="325"/>
      <c r="F10" s="316"/>
      <c r="G10" s="315"/>
      <c r="H10" s="316"/>
    </row>
    <row r="11" spans="2:20" x14ac:dyDescent="0.2">
      <c r="B11" s="320" t="s">
        <v>352</v>
      </c>
      <c r="C11" s="325">
        <v>216</v>
      </c>
      <c r="D11" s="325">
        <f t="shared" ref="D11:D17" si="1">+(C11+E11)/2</f>
        <v>185</v>
      </c>
      <c r="E11" s="325">
        <v>154</v>
      </c>
      <c r="F11" s="316"/>
      <c r="G11" s="315">
        <v>169</v>
      </c>
      <c r="H11" s="316"/>
    </row>
    <row r="12" spans="2:20" x14ac:dyDescent="0.2">
      <c r="B12" s="320" t="s">
        <v>377</v>
      </c>
      <c r="C12" s="325">
        <v>300</v>
      </c>
      <c r="D12" s="325">
        <f t="shared" si="1"/>
        <v>336.51</v>
      </c>
      <c r="E12" s="325">
        <v>373.02</v>
      </c>
      <c r="F12" s="316"/>
      <c r="G12" s="315">
        <v>247.02</v>
      </c>
      <c r="H12" s="316"/>
    </row>
    <row r="13" spans="2:20" x14ac:dyDescent="0.2">
      <c r="B13" s="317" t="s">
        <v>353</v>
      </c>
      <c r="C13" s="326">
        <f>C9-C11-C12</f>
        <v>80769</v>
      </c>
      <c r="D13" s="326">
        <f t="shared" si="1"/>
        <v>78613.399999999994</v>
      </c>
      <c r="E13" s="326">
        <v>76457.8</v>
      </c>
      <c r="F13" s="319">
        <v>73281.8</v>
      </c>
      <c r="G13" s="318">
        <v>70105.8</v>
      </c>
      <c r="H13" s="319">
        <v>68674.3</v>
      </c>
    </row>
    <row r="14" spans="2:20" x14ac:dyDescent="0.2">
      <c r="B14" s="314" t="s">
        <v>354</v>
      </c>
      <c r="C14" s="325">
        <v>775</v>
      </c>
      <c r="D14" s="325">
        <f t="shared" si="1"/>
        <v>775</v>
      </c>
      <c r="E14" s="325">
        <v>775</v>
      </c>
      <c r="F14" s="316">
        <v>524.5</v>
      </c>
      <c r="G14" s="315">
        <v>274</v>
      </c>
      <c r="H14" s="316">
        <v>479.5</v>
      </c>
    </row>
    <row r="15" spans="2:20" x14ac:dyDescent="0.2">
      <c r="B15" s="314" t="s">
        <v>355</v>
      </c>
      <c r="C15" s="325">
        <v>2656</v>
      </c>
      <c r="D15" s="325">
        <f t="shared" si="1"/>
        <v>2301</v>
      </c>
      <c r="E15" s="325">
        <v>1946</v>
      </c>
      <c r="F15" s="316">
        <v>2035</v>
      </c>
      <c r="G15" s="315">
        <v>2124</v>
      </c>
      <c r="H15" s="316">
        <v>2922</v>
      </c>
    </row>
    <row r="16" spans="2:20" x14ac:dyDescent="0.2">
      <c r="B16" s="314" t="s">
        <v>356</v>
      </c>
      <c r="C16" s="325">
        <v>0</v>
      </c>
      <c r="D16" s="325">
        <f t="shared" si="1"/>
        <v>0</v>
      </c>
      <c r="E16" s="325"/>
      <c r="F16" s="316">
        <v>0</v>
      </c>
      <c r="G16" s="315"/>
      <c r="H16" s="316">
        <v>78.5</v>
      </c>
    </row>
    <row r="17" spans="2:8" x14ac:dyDescent="0.2">
      <c r="B17" s="321" t="s">
        <v>357</v>
      </c>
      <c r="C17" s="327">
        <f>C13+SUM(C14:C16)</f>
        <v>84200</v>
      </c>
      <c r="D17" s="327">
        <f t="shared" si="1"/>
        <v>81689.399999999994</v>
      </c>
      <c r="E17" s="327">
        <v>79178.8</v>
      </c>
      <c r="F17" s="323">
        <v>75841.3</v>
      </c>
      <c r="G17" s="322">
        <v>72503.8</v>
      </c>
      <c r="H17" s="323">
        <v>72075.8</v>
      </c>
    </row>
    <row r="19" spans="2:8" x14ac:dyDescent="0.2">
      <c r="C19" s="196"/>
    </row>
    <row r="20" spans="2:8" x14ac:dyDescent="0.2">
      <c r="C20" s="196"/>
    </row>
    <row r="22" spans="2:8" x14ac:dyDescent="0.2">
      <c r="C22" s="196"/>
    </row>
  </sheetData>
  <sheetProtection algorithmName="SHA-512" hashValue="YRjPV4fjlXimlk307GMWWaZyKGGezX6n5lYWayo1pWueB5LvawfFFbUEYw6flyRj/BQlTlmZTu7gkgkOqaRR2g==" saltValue="uxb2HyiFTZhf4XU63jv3f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B2:P22"/>
  <sheetViews>
    <sheetView showGridLines="0" workbookViewId="0"/>
  </sheetViews>
  <sheetFormatPr baseColWidth="10" defaultRowHeight="12.75" x14ac:dyDescent="0.2"/>
  <cols>
    <col min="2" max="2" width="39.140625" customWidth="1"/>
  </cols>
  <sheetData>
    <row r="2" spans="2:16" ht="18.75" x14ac:dyDescent="0.3">
      <c r="B2" s="361" t="s">
        <v>292</v>
      </c>
      <c r="C2" s="358"/>
      <c r="D2" s="358"/>
      <c r="E2" s="358"/>
      <c r="F2" s="358"/>
      <c r="G2" s="358"/>
      <c r="H2" s="358"/>
      <c r="I2" s="21"/>
      <c r="J2" s="21"/>
      <c r="K2" s="21"/>
      <c r="L2" s="21"/>
      <c r="M2" s="21"/>
      <c r="N2" s="21"/>
      <c r="O2" s="21"/>
      <c r="P2" s="21"/>
    </row>
    <row r="3" spans="2:16" x14ac:dyDescent="0.2">
      <c r="B3" s="264" t="s">
        <v>295</v>
      </c>
    </row>
    <row r="4" spans="2:16" x14ac:dyDescent="0.2">
      <c r="B4" s="3"/>
      <c r="G4" s="409">
        <v>42369</v>
      </c>
      <c r="H4" s="409"/>
    </row>
    <row r="5" spans="2:16" ht="15" x14ac:dyDescent="0.25">
      <c r="B5" s="268"/>
      <c r="C5" s="411">
        <v>43100</v>
      </c>
      <c r="D5" s="412"/>
      <c r="E5" s="409">
        <v>42735</v>
      </c>
      <c r="F5" s="410"/>
      <c r="G5" s="409"/>
      <c r="H5" s="409"/>
    </row>
    <row r="6" spans="2:16" x14ac:dyDescent="0.2">
      <c r="B6" s="269" t="s">
        <v>61</v>
      </c>
      <c r="C6" s="45" t="s">
        <v>302</v>
      </c>
      <c r="D6" s="280" t="s">
        <v>290</v>
      </c>
      <c r="E6" s="270" t="s">
        <v>302</v>
      </c>
      <c r="F6" s="271" t="s">
        <v>290</v>
      </c>
      <c r="G6" s="272" t="s">
        <v>302</v>
      </c>
      <c r="H6" s="271" t="s">
        <v>290</v>
      </c>
    </row>
    <row r="7" spans="2:16" x14ac:dyDescent="0.2">
      <c r="B7" s="273" t="s">
        <v>296</v>
      </c>
      <c r="C7" s="282">
        <v>12313.896757479999</v>
      </c>
      <c r="D7" s="283">
        <v>0.16417854962337652</v>
      </c>
      <c r="E7" s="274">
        <v>12128</v>
      </c>
      <c r="F7" s="275">
        <v>0.17138900272741403</v>
      </c>
      <c r="G7" s="276">
        <v>10608</v>
      </c>
      <c r="H7" s="275">
        <v>0.16561285185705588</v>
      </c>
    </row>
    <row r="8" spans="2:16" x14ac:dyDescent="0.2">
      <c r="B8" s="273" t="s">
        <v>297</v>
      </c>
      <c r="C8" s="282">
        <v>28713.717372150102</v>
      </c>
      <c r="D8" s="283">
        <v>0.3828338474245821</v>
      </c>
      <c r="E8" s="274">
        <v>22133</v>
      </c>
      <c r="F8" s="275">
        <v>0.31277645097013979</v>
      </c>
      <c r="G8" s="276">
        <v>19425</v>
      </c>
      <c r="H8" s="275">
        <v>0.30326448409910545</v>
      </c>
    </row>
    <row r="9" spans="2:16" x14ac:dyDescent="0.2">
      <c r="B9" s="273" t="s">
        <v>298</v>
      </c>
      <c r="C9" s="282">
        <v>25601.759851590101</v>
      </c>
      <c r="D9" s="283">
        <v>0.3413427839312369</v>
      </c>
      <c r="E9" s="274">
        <v>27651</v>
      </c>
      <c r="F9" s="275">
        <v>0.39075505560815682</v>
      </c>
      <c r="G9" s="276">
        <v>25353</v>
      </c>
      <c r="H9" s="275">
        <v>0.39581284248981313</v>
      </c>
    </row>
    <row r="10" spans="2:16" x14ac:dyDescent="0.2">
      <c r="B10" s="273" t="s">
        <v>299</v>
      </c>
      <c r="C10" s="282">
        <v>8270.7593557600012</v>
      </c>
      <c r="D10" s="283">
        <v>0.11027226409770023</v>
      </c>
      <c r="E10" s="274">
        <v>8801</v>
      </c>
      <c r="F10" s="275">
        <v>0.12437290674505037</v>
      </c>
      <c r="G10" s="276">
        <v>8613</v>
      </c>
      <c r="H10" s="275">
        <v>0.13446676970633695</v>
      </c>
    </row>
    <row r="11" spans="2:16" x14ac:dyDescent="0.2">
      <c r="B11" s="273" t="s">
        <v>300</v>
      </c>
      <c r="C11" s="282">
        <v>102.94584558000001</v>
      </c>
      <c r="D11" s="283">
        <v>1.3725549231042382E-3</v>
      </c>
      <c r="E11" s="274">
        <v>50</v>
      </c>
      <c r="F11" s="275">
        <v>7.0658394923900911E-4</v>
      </c>
      <c r="G11" s="276">
        <v>54</v>
      </c>
      <c r="H11" s="275">
        <v>8.4305184768863287E-4</v>
      </c>
    </row>
    <row r="12" spans="2:16" x14ac:dyDescent="0.2">
      <c r="B12" s="281" t="s">
        <v>301</v>
      </c>
      <c r="C12" s="255">
        <f>SUM(C7:C11)</f>
        <v>75003.079182560206</v>
      </c>
      <c r="D12" s="284">
        <f>SUM(D7:D11)</f>
        <v>0.99999999999999989</v>
      </c>
      <c r="E12" s="277">
        <v>70763</v>
      </c>
      <c r="F12" s="278">
        <v>1</v>
      </c>
      <c r="G12" s="279">
        <v>64053</v>
      </c>
      <c r="H12" s="278">
        <v>1</v>
      </c>
    </row>
    <row r="16" spans="2:16" ht="18.75" x14ac:dyDescent="0.3">
      <c r="B16" s="370" t="s">
        <v>303</v>
      </c>
      <c r="C16" s="370"/>
      <c r="D16" s="370"/>
      <c r="E16" s="371"/>
      <c r="F16" s="371"/>
      <c r="G16" s="371"/>
      <c r="H16" s="371"/>
    </row>
    <row r="17" spans="2:8" ht="18.75" x14ac:dyDescent="0.3">
      <c r="B17" s="264" t="s">
        <v>295</v>
      </c>
      <c r="C17" s="285"/>
      <c r="D17" s="285"/>
      <c r="E17" s="268"/>
      <c r="F17" s="268"/>
      <c r="G17" s="268"/>
      <c r="H17" s="268"/>
    </row>
    <row r="18" spans="2:8" x14ac:dyDescent="0.2">
      <c r="B18" s="273"/>
      <c r="C18" s="286"/>
      <c r="D18" s="286"/>
      <c r="E18" s="287"/>
      <c r="F18" s="287"/>
      <c r="G18" s="409"/>
      <c r="H18" s="409"/>
    </row>
    <row r="19" spans="2:8" ht="25.5" x14ac:dyDescent="0.2">
      <c r="B19" s="288" t="s">
        <v>61</v>
      </c>
      <c r="C19" s="289" t="s">
        <v>304</v>
      </c>
      <c r="D19" s="289" t="s">
        <v>305</v>
      </c>
      <c r="E19" s="289" t="s">
        <v>306</v>
      </c>
      <c r="F19" s="289" t="s">
        <v>307</v>
      </c>
      <c r="G19" s="289" t="s">
        <v>308</v>
      </c>
      <c r="H19" s="289" t="s">
        <v>309</v>
      </c>
    </row>
    <row r="20" spans="2:8" x14ac:dyDescent="0.2">
      <c r="B20" s="335" t="s">
        <v>312</v>
      </c>
      <c r="C20" s="336">
        <v>8038</v>
      </c>
      <c r="D20" s="336">
        <v>835</v>
      </c>
      <c r="E20" s="336">
        <v>2727</v>
      </c>
      <c r="F20" s="336">
        <v>12653</v>
      </c>
      <c r="G20" s="336">
        <v>50750</v>
      </c>
      <c r="H20" s="336">
        <f>SUM(C20:G20)</f>
        <v>75003</v>
      </c>
    </row>
    <row r="21" spans="2:8" x14ac:dyDescent="0.2">
      <c r="B21" s="273" t="s">
        <v>310</v>
      </c>
      <c r="C21" s="290">
        <v>9082</v>
      </c>
      <c r="D21" s="290">
        <v>1623</v>
      </c>
      <c r="E21" s="290">
        <v>3414</v>
      </c>
      <c r="F21" s="290">
        <v>9987</v>
      </c>
      <c r="G21" s="290">
        <v>46657</v>
      </c>
      <c r="H21" s="290">
        <v>70763</v>
      </c>
    </row>
    <row r="22" spans="2:8" x14ac:dyDescent="0.2">
      <c r="B22" s="269" t="s">
        <v>311</v>
      </c>
      <c r="C22" s="291">
        <v>8865</v>
      </c>
      <c r="D22" s="291">
        <v>701</v>
      </c>
      <c r="E22" s="291">
        <v>2698</v>
      </c>
      <c r="F22" s="291">
        <v>10400</v>
      </c>
      <c r="G22" s="291">
        <v>41389</v>
      </c>
      <c r="H22" s="291">
        <v>64053</v>
      </c>
    </row>
  </sheetData>
  <sheetProtection algorithmName="SHA-512" hashValue="ohNUxqm918kGVKvK50H472hYX8gGM+PgiOh51Lh4BcJOooI5/xh+/+faUCvSZVxAfukWhY1KDN90hUrc/Ymflw==" saltValue="arKn4xAElXFNu5MqASunzw==" spinCount="100000" sheet="1" objects="1" scenarios="1"/>
  <mergeCells count="4">
    <mergeCell ref="G18:H18"/>
    <mergeCell ref="E5:F5"/>
    <mergeCell ref="G4:H5"/>
    <mergeCell ref="C5:D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B2:S19"/>
  <sheetViews>
    <sheetView showGridLines="0" workbookViewId="0"/>
  </sheetViews>
  <sheetFormatPr baseColWidth="10" defaultRowHeight="12.75" x14ac:dyDescent="0.2"/>
  <cols>
    <col min="2" max="2" width="61.7109375" customWidth="1"/>
    <col min="3" max="3" width="15" customWidth="1"/>
    <col min="4" max="4" width="15.28515625" customWidth="1"/>
    <col min="5" max="5" width="16.7109375" customWidth="1"/>
    <col min="6" max="8" width="14.140625" customWidth="1"/>
  </cols>
  <sheetData>
    <row r="2" spans="2:19" ht="18.75" x14ac:dyDescent="0.3">
      <c r="B2" s="361" t="s">
        <v>293</v>
      </c>
      <c r="C2" s="357"/>
      <c r="D2" s="358"/>
      <c r="E2" s="358"/>
      <c r="F2" s="358"/>
      <c r="G2" s="358"/>
      <c r="H2" s="358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2:19" x14ac:dyDescent="0.2">
      <c r="B3" s="263" t="s">
        <v>295</v>
      </c>
      <c r="C3" s="263"/>
      <c r="D3" s="292"/>
      <c r="E3" s="292"/>
      <c r="F3" s="292"/>
      <c r="G3" s="292"/>
      <c r="H3" s="292"/>
    </row>
    <row r="4" spans="2:19" ht="18.75" x14ac:dyDescent="0.2">
      <c r="B4" s="293"/>
      <c r="C4" s="293"/>
      <c r="D4" s="292"/>
      <c r="E4" s="292"/>
      <c r="F4" s="292"/>
      <c r="G4" s="292"/>
      <c r="H4" s="292"/>
    </row>
    <row r="5" spans="2:19" ht="66.75" customHeight="1" x14ac:dyDescent="0.2">
      <c r="B5" s="288" t="s">
        <v>61</v>
      </c>
      <c r="C5" s="307" t="s">
        <v>302</v>
      </c>
      <c r="D5" s="307" t="s">
        <v>335</v>
      </c>
      <c r="E5" s="308" t="s">
        <v>336</v>
      </c>
      <c r="F5" s="308" t="s">
        <v>337</v>
      </c>
      <c r="G5" s="308" t="s">
        <v>338</v>
      </c>
      <c r="H5" s="308" t="s">
        <v>339</v>
      </c>
    </row>
    <row r="6" spans="2:19" x14ac:dyDescent="0.2">
      <c r="B6" s="273" t="s">
        <v>365</v>
      </c>
      <c r="C6" s="8">
        <v>10234</v>
      </c>
      <c r="D6" s="8">
        <v>11585</v>
      </c>
      <c r="E6" s="221">
        <v>61.523271560000005</v>
      </c>
      <c r="F6" s="8">
        <v>11</v>
      </c>
      <c r="G6" s="8">
        <f>+E6-F6</f>
        <v>50.523271560000005</v>
      </c>
      <c r="H6" s="193">
        <v>3</v>
      </c>
    </row>
    <row r="7" spans="2:19" x14ac:dyDescent="0.2">
      <c r="B7" s="273" t="s">
        <v>366</v>
      </c>
      <c r="C7" s="8">
        <v>1607</v>
      </c>
      <c r="D7" s="8">
        <v>1665</v>
      </c>
      <c r="E7" s="221">
        <v>2.0649220000000003E-2</v>
      </c>
      <c r="F7" s="8">
        <v>0</v>
      </c>
      <c r="G7" s="8">
        <f t="shared" ref="G7:G18" si="0">+E7-F7</f>
        <v>2.0649220000000003E-2</v>
      </c>
      <c r="H7" s="193">
        <v>5</v>
      </c>
    </row>
    <row r="8" spans="2:19" x14ac:dyDescent="0.2">
      <c r="B8" s="273" t="s">
        <v>367</v>
      </c>
      <c r="C8" s="8">
        <v>4205</v>
      </c>
      <c r="D8" s="8">
        <v>4597</v>
      </c>
      <c r="E8" s="221">
        <v>3.5819694599999998</v>
      </c>
      <c r="F8" s="8">
        <v>0</v>
      </c>
      <c r="G8" s="8">
        <f t="shared" si="0"/>
        <v>3.5819694599999998</v>
      </c>
      <c r="H8" s="193">
        <v>-26</v>
      </c>
    </row>
    <row r="9" spans="2:19" x14ac:dyDescent="0.2">
      <c r="B9" s="273" t="s">
        <v>340</v>
      </c>
      <c r="C9" s="8">
        <v>1960</v>
      </c>
      <c r="D9" s="8">
        <v>2443</v>
      </c>
      <c r="E9" s="221">
        <v>506.46216520000002</v>
      </c>
      <c r="F9" s="8">
        <v>122</v>
      </c>
      <c r="G9" s="8">
        <f t="shared" si="0"/>
        <v>384.46216520000002</v>
      </c>
      <c r="H9" s="193">
        <v>-10</v>
      </c>
    </row>
    <row r="10" spans="2:19" x14ac:dyDescent="0.2">
      <c r="B10" s="273" t="s">
        <v>368</v>
      </c>
      <c r="C10" s="8">
        <v>1185</v>
      </c>
      <c r="D10" s="8">
        <v>1288</v>
      </c>
      <c r="E10" s="221">
        <v>51.133781009999993</v>
      </c>
      <c r="F10" s="8">
        <v>16</v>
      </c>
      <c r="G10" s="8">
        <f t="shared" si="0"/>
        <v>35.133781009999993</v>
      </c>
      <c r="H10" s="193">
        <v>2</v>
      </c>
    </row>
    <row r="11" spans="2:19" x14ac:dyDescent="0.2">
      <c r="B11" s="273" t="s">
        <v>369</v>
      </c>
      <c r="C11" s="8">
        <v>1951</v>
      </c>
      <c r="D11" s="8">
        <v>2531</v>
      </c>
      <c r="E11" s="221">
        <v>63.656022919999998</v>
      </c>
      <c r="F11" s="8">
        <v>25</v>
      </c>
      <c r="G11" s="8">
        <f t="shared" si="0"/>
        <v>38.656022919999998</v>
      </c>
      <c r="H11" s="193">
        <v>8</v>
      </c>
    </row>
    <row r="12" spans="2:19" x14ac:dyDescent="0.2">
      <c r="B12" s="273" t="s">
        <v>371</v>
      </c>
      <c r="C12" s="8">
        <v>2080</v>
      </c>
      <c r="D12" s="8">
        <v>2390</v>
      </c>
      <c r="E12" s="221">
        <v>27.178312219999995</v>
      </c>
      <c r="F12" s="8">
        <v>13</v>
      </c>
      <c r="G12" s="8">
        <f t="shared" si="0"/>
        <v>14.178312219999995</v>
      </c>
      <c r="H12" s="193">
        <v>1</v>
      </c>
    </row>
    <row r="13" spans="2:19" x14ac:dyDescent="0.2">
      <c r="B13" s="273" t="s">
        <v>372</v>
      </c>
      <c r="C13" s="8">
        <v>4132</v>
      </c>
      <c r="D13" s="8">
        <v>4331</v>
      </c>
      <c r="E13" s="221">
        <v>4.4699804099999998</v>
      </c>
      <c r="F13" s="8">
        <v>2</v>
      </c>
      <c r="G13" s="8">
        <f t="shared" si="0"/>
        <v>2.4699804099999998</v>
      </c>
      <c r="H13" s="193">
        <v>21</v>
      </c>
    </row>
    <row r="14" spans="2:19" x14ac:dyDescent="0.2">
      <c r="B14" s="273" t="s">
        <v>373</v>
      </c>
      <c r="C14" s="8">
        <v>1809</v>
      </c>
      <c r="D14" s="8">
        <v>2260</v>
      </c>
      <c r="E14" s="221">
        <v>2.2451678099999999</v>
      </c>
      <c r="F14" s="8">
        <v>1</v>
      </c>
      <c r="G14" s="8">
        <f t="shared" si="0"/>
        <v>1.2451678099999999</v>
      </c>
      <c r="H14" s="193">
        <v>1</v>
      </c>
    </row>
    <row r="15" spans="2:19" x14ac:dyDescent="0.2">
      <c r="B15" s="310" t="s">
        <v>341</v>
      </c>
      <c r="C15" s="337">
        <f>SUM(C6:C14)</f>
        <v>29163</v>
      </c>
      <c r="D15" s="337">
        <f>SUM(D6:D14)</f>
        <v>33090</v>
      </c>
      <c r="E15" s="355">
        <v>720.27131981000002</v>
      </c>
      <c r="F15" s="337">
        <f>SUM(F6:F14)</f>
        <v>190</v>
      </c>
      <c r="G15" s="337">
        <f t="shared" si="0"/>
        <v>530.27131981000002</v>
      </c>
      <c r="H15" s="339">
        <f>SUM(H6:H14)</f>
        <v>5</v>
      </c>
    </row>
    <row r="16" spans="2:19" x14ac:dyDescent="0.2">
      <c r="B16" s="281" t="s">
        <v>370</v>
      </c>
      <c r="C16" s="338">
        <v>164</v>
      </c>
      <c r="D16" s="338">
        <v>616</v>
      </c>
      <c r="E16" s="356">
        <v>5.2999999999999998E-4</v>
      </c>
      <c r="F16" s="338">
        <v>0</v>
      </c>
      <c r="G16" s="338">
        <f t="shared" si="0"/>
        <v>5.2999999999999998E-4</v>
      </c>
      <c r="H16" s="194">
        <v>0</v>
      </c>
    </row>
    <row r="17" spans="2:8" x14ac:dyDescent="0.2">
      <c r="B17" s="273" t="s">
        <v>342</v>
      </c>
      <c r="C17" s="8">
        <v>45676</v>
      </c>
      <c r="D17" s="8">
        <v>47579</v>
      </c>
      <c r="E17" s="221">
        <v>188.02526897999999</v>
      </c>
      <c r="F17" s="8">
        <v>26</v>
      </c>
      <c r="G17" s="8">
        <f t="shared" si="0"/>
        <v>162.02526897999999</v>
      </c>
      <c r="H17" s="193">
        <v>45</v>
      </c>
    </row>
    <row r="18" spans="2:8" x14ac:dyDescent="0.2">
      <c r="B18" s="309" t="s">
        <v>309</v>
      </c>
      <c r="C18" s="338">
        <f>C17+C16+C15</f>
        <v>75003</v>
      </c>
      <c r="D18" s="338">
        <f>D17+D16+D15</f>
        <v>81285</v>
      </c>
      <c r="E18" s="356">
        <v>908.29711879000001</v>
      </c>
      <c r="F18" s="338">
        <f>F17+F16+F15</f>
        <v>216</v>
      </c>
      <c r="G18" s="338">
        <f t="shared" si="0"/>
        <v>692.29711879000001</v>
      </c>
      <c r="H18" s="194">
        <f>H17+H16+H15</f>
        <v>50</v>
      </c>
    </row>
    <row r="19" spans="2:8" ht="15" x14ac:dyDescent="0.2">
      <c r="B19" s="273" t="s">
        <v>374</v>
      </c>
    </row>
  </sheetData>
  <sheetProtection algorithmName="SHA-512" hashValue="yw1ReauD/l2Mt2Lw0VoOw6jXPdxOwwhtlHckplu6Qi2akS2SWDzjvcEVKC1gJwi+YtZzMXpcwk3STihJHCz84A==" saltValue="eaf+VyfZ0Orz8CfQB5OoJ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B2:R53"/>
  <sheetViews>
    <sheetView showGridLines="0" workbookViewId="0"/>
  </sheetViews>
  <sheetFormatPr baseColWidth="10" defaultRowHeight="12.75" x14ac:dyDescent="0.2"/>
  <cols>
    <col min="2" max="2" width="47.5703125" bestFit="1" customWidth="1"/>
  </cols>
  <sheetData>
    <row r="2" spans="2:18" ht="18.75" x14ac:dyDescent="0.3">
      <c r="B2" s="361" t="s">
        <v>294</v>
      </c>
      <c r="C2" s="358"/>
      <c r="D2" s="358"/>
      <c r="E2" s="358"/>
      <c r="F2" s="358"/>
      <c r="G2" s="358"/>
      <c r="H2" s="358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2:18" x14ac:dyDescent="0.2">
      <c r="B3" s="263" t="s">
        <v>295</v>
      </c>
      <c r="C3" s="21"/>
      <c r="D3" s="21"/>
      <c r="E3" s="21"/>
      <c r="F3" s="21"/>
      <c r="G3" s="21"/>
      <c r="H3" s="21"/>
    </row>
    <row r="4" spans="2:18" ht="15.75" x14ac:dyDescent="0.25">
      <c r="B4" s="201"/>
      <c r="C4" s="21"/>
      <c r="D4" s="21"/>
      <c r="E4" s="21"/>
      <c r="F4" s="21"/>
      <c r="G4" s="21"/>
      <c r="H4" s="21"/>
    </row>
    <row r="5" spans="2:18" ht="15.75" x14ac:dyDescent="0.25">
      <c r="B5" s="201"/>
      <c r="C5" s="21"/>
      <c r="D5" s="21"/>
      <c r="E5" s="21"/>
      <c r="F5" s="21"/>
      <c r="G5" s="21"/>
      <c r="H5" s="21"/>
    </row>
    <row r="6" spans="2:18" ht="15.75" x14ac:dyDescent="0.25">
      <c r="B6" s="201"/>
      <c r="C6" s="21"/>
      <c r="D6" s="21"/>
      <c r="E6" s="21"/>
      <c r="F6" s="21"/>
      <c r="G6" s="21"/>
      <c r="H6" s="21"/>
    </row>
    <row r="7" spans="2:18" ht="15.75" x14ac:dyDescent="0.25">
      <c r="B7" s="294" t="s">
        <v>313</v>
      </c>
      <c r="C7" s="294"/>
      <c r="D7" s="292"/>
      <c r="E7" s="292"/>
      <c r="F7" s="292"/>
      <c r="G7" s="292"/>
      <c r="H7" s="292"/>
    </row>
    <row r="8" spans="2:18" ht="15.75" x14ac:dyDescent="0.25">
      <c r="B8" s="294"/>
      <c r="C8" s="294"/>
      <c r="D8" s="292"/>
      <c r="E8" s="292"/>
      <c r="F8" s="292"/>
      <c r="G8" s="292"/>
      <c r="H8" s="292"/>
    </row>
    <row r="9" spans="2:18" x14ac:dyDescent="0.2">
      <c r="B9" s="295" t="s">
        <v>61</v>
      </c>
      <c r="C9" s="344">
        <v>43100</v>
      </c>
      <c r="D9" s="266">
        <v>42735</v>
      </c>
      <c r="E9" s="266">
        <v>42369</v>
      </c>
      <c r="F9" s="296">
        <v>42004</v>
      </c>
      <c r="G9" s="296">
        <v>41639</v>
      </c>
      <c r="H9" s="296">
        <v>41274</v>
      </c>
    </row>
    <row r="10" spans="2:18" x14ac:dyDescent="0.2">
      <c r="B10" s="297" t="s">
        <v>313</v>
      </c>
      <c r="C10" s="347">
        <v>265</v>
      </c>
      <c r="D10" s="298">
        <v>301</v>
      </c>
      <c r="E10" s="298">
        <v>270</v>
      </c>
      <c r="F10" s="298">
        <v>457</v>
      </c>
      <c r="G10" s="298">
        <v>486</v>
      </c>
      <c r="H10" s="298">
        <v>397</v>
      </c>
    </row>
    <row r="11" spans="2:18" x14ac:dyDescent="0.2">
      <c r="B11" s="265" t="s">
        <v>314</v>
      </c>
      <c r="C11" s="348">
        <v>644</v>
      </c>
      <c r="D11" s="299">
        <v>211</v>
      </c>
      <c r="E11" s="299">
        <v>245</v>
      </c>
      <c r="F11" s="299">
        <v>90</v>
      </c>
      <c r="G11" s="299">
        <v>373</v>
      </c>
      <c r="H11" s="299">
        <v>592</v>
      </c>
    </row>
    <row r="12" spans="2:18" x14ac:dyDescent="0.2">
      <c r="B12" s="300" t="s">
        <v>315</v>
      </c>
      <c r="C12" s="349">
        <f>SUM(C10:C11)</f>
        <v>909</v>
      </c>
      <c r="D12" s="267">
        <v>512</v>
      </c>
      <c r="E12" s="267">
        <v>515</v>
      </c>
      <c r="F12" s="267">
        <v>547</v>
      </c>
      <c r="G12" s="267">
        <v>859</v>
      </c>
      <c r="H12" s="267">
        <v>989</v>
      </c>
    </row>
    <row r="13" spans="2:18" x14ac:dyDescent="0.2">
      <c r="B13" s="297"/>
      <c r="C13" s="347"/>
      <c r="D13" s="298"/>
      <c r="E13" s="298"/>
      <c r="F13" s="298"/>
      <c r="G13" s="298"/>
      <c r="H13" s="298"/>
    </row>
    <row r="14" spans="2:18" x14ac:dyDescent="0.2">
      <c r="B14" s="297" t="s">
        <v>316</v>
      </c>
      <c r="C14" s="347">
        <v>58</v>
      </c>
      <c r="D14" s="298">
        <v>93</v>
      </c>
      <c r="E14" s="298">
        <v>69</v>
      </c>
      <c r="F14" s="298">
        <v>218</v>
      </c>
      <c r="G14" s="298">
        <v>194</v>
      </c>
      <c r="H14" s="298">
        <v>120</v>
      </c>
    </row>
    <row r="15" spans="2:18" x14ac:dyDescent="0.2">
      <c r="B15" s="265" t="s">
        <v>317</v>
      </c>
      <c r="C15" s="348">
        <v>158</v>
      </c>
      <c r="D15" s="299">
        <v>61</v>
      </c>
      <c r="E15" s="299">
        <v>100</v>
      </c>
      <c r="F15" s="299">
        <v>-47</v>
      </c>
      <c r="G15" s="299">
        <v>50</v>
      </c>
      <c r="H15" s="299">
        <v>183</v>
      </c>
    </row>
    <row r="16" spans="2:18" x14ac:dyDescent="0.2">
      <c r="B16" s="300" t="s">
        <v>318</v>
      </c>
      <c r="C16" s="349">
        <f>SUM(C14:C15)</f>
        <v>216</v>
      </c>
      <c r="D16" s="267">
        <v>154</v>
      </c>
      <c r="E16" s="267">
        <v>169</v>
      </c>
      <c r="F16" s="267">
        <v>171</v>
      </c>
      <c r="G16" s="267">
        <v>244</v>
      </c>
      <c r="H16" s="267">
        <v>303</v>
      </c>
    </row>
    <row r="17" spans="2:8" x14ac:dyDescent="0.2">
      <c r="B17" s="297"/>
      <c r="C17" s="347"/>
      <c r="D17" s="298"/>
      <c r="E17" s="298"/>
      <c r="F17" s="298"/>
      <c r="G17" s="298"/>
      <c r="H17" s="298"/>
    </row>
    <row r="18" spans="2:8" x14ac:dyDescent="0.2">
      <c r="B18" s="265" t="s">
        <v>319</v>
      </c>
      <c r="C18" s="348">
        <f>C12-C16</f>
        <v>693</v>
      </c>
      <c r="D18" s="299">
        <v>358</v>
      </c>
      <c r="E18" s="299">
        <v>346</v>
      </c>
      <c r="F18" s="299">
        <v>376</v>
      </c>
      <c r="G18" s="299">
        <v>615</v>
      </c>
      <c r="H18" s="299">
        <v>686</v>
      </c>
    </row>
    <row r="19" spans="2:8" x14ac:dyDescent="0.2">
      <c r="B19" s="297"/>
      <c r="C19" s="347"/>
      <c r="D19" s="298"/>
      <c r="E19" s="298"/>
      <c r="F19" s="298"/>
      <c r="G19" s="298"/>
      <c r="H19" s="298"/>
    </row>
    <row r="20" spans="2:8" x14ac:dyDescent="0.2">
      <c r="B20" s="297"/>
      <c r="C20" s="350"/>
      <c r="D20" s="298"/>
      <c r="E20" s="298"/>
      <c r="F20" s="298"/>
      <c r="G20" s="298"/>
      <c r="H20" s="298"/>
    </row>
    <row r="21" spans="2:8" ht="15.75" x14ac:dyDescent="0.25">
      <c r="B21" s="294" t="s">
        <v>320</v>
      </c>
      <c r="C21" s="351"/>
      <c r="D21" s="298"/>
      <c r="E21" s="298"/>
      <c r="F21" s="298"/>
      <c r="G21" s="298"/>
      <c r="H21" s="298"/>
    </row>
    <row r="22" spans="2:8" ht="15.75" x14ac:dyDescent="0.25">
      <c r="B22" s="294"/>
      <c r="C22" s="352"/>
      <c r="D22" s="298"/>
      <c r="E22" s="298"/>
      <c r="F22" s="298"/>
      <c r="G22" s="298"/>
      <c r="H22" s="298"/>
    </row>
    <row r="23" spans="2:8" x14ac:dyDescent="0.2">
      <c r="B23" s="295" t="s">
        <v>61</v>
      </c>
      <c r="C23" s="342">
        <v>2017</v>
      </c>
      <c r="D23" s="301">
        <v>2016</v>
      </c>
      <c r="E23" s="301">
        <v>2015</v>
      </c>
      <c r="F23" s="301">
        <v>2014</v>
      </c>
      <c r="G23" s="301">
        <v>2013</v>
      </c>
      <c r="H23" s="301">
        <v>2012</v>
      </c>
    </row>
    <row r="24" spans="2:8" x14ac:dyDescent="0.2">
      <c r="B24" s="297" t="s">
        <v>321</v>
      </c>
      <c r="C24" s="350">
        <v>66</v>
      </c>
      <c r="D24" s="298">
        <v>-15</v>
      </c>
      <c r="E24" s="298">
        <v>-3</v>
      </c>
      <c r="F24" s="298">
        <v>30</v>
      </c>
      <c r="G24" s="298">
        <v>40</v>
      </c>
      <c r="H24" s="298">
        <v>97</v>
      </c>
    </row>
    <row r="25" spans="2:8" x14ac:dyDescent="0.2">
      <c r="B25" s="297" t="s">
        <v>322</v>
      </c>
      <c r="C25" s="347">
        <v>-77</v>
      </c>
      <c r="D25" s="298">
        <v>125</v>
      </c>
      <c r="E25" s="298">
        <v>54</v>
      </c>
      <c r="F25" s="298">
        <v>30</v>
      </c>
      <c r="G25" s="298">
        <v>12</v>
      </c>
      <c r="H25" s="298">
        <v>-40</v>
      </c>
    </row>
    <row r="26" spans="2:8" ht="25.5" x14ac:dyDescent="0.2">
      <c r="B26" s="302" t="s">
        <v>375</v>
      </c>
      <c r="C26" s="347">
        <v>52</v>
      </c>
      <c r="D26" s="298">
        <v>82</v>
      </c>
      <c r="E26" s="298">
        <v>92</v>
      </c>
      <c r="F26" s="298">
        <v>109</v>
      </c>
      <c r="G26" s="298">
        <v>117</v>
      </c>
      <c r="H26" s="298">
        <v>144</v>
      </c>
    </row>
    <row r="27" spans="2:8" ht="25.5" x14ac:dyDescent="0.2">
      <c r="B27" s="302" t="s">
        <v>376</v>
      </c>
      <c r="C27" s="390">
        <v>9</v>
      </c>
      <c r="D27" s="298">
        <v>11</v>
      </c>
      <c r="E27" s="298">
        <v>64</v>
      </c>
      <c r="F27" s="298">
        <v>5</v>
      </c>
      <c r="G27" s="298">
        <v>11</v>
      </c>
      <c r="H27" s="298">
        <v>5</v>
      </c>
    </row>
    <row r="28" spans="2:8" x14ac:dyDescent="0.2">
      <c r="B28" s="265" t="s">
        <v>323</v>
      </c>
      <c r="C28" s="348">
        <v>-10</v>
      </c>
      <c r="D28" s="299">
        <v>-11</v>
      </c>
      <c r="E28" s="299">
        <v>-7</v>
      </c>
      <c r="F28" s="299">
        <v>-10</v>
      </c>
      <c r="G28" s="299">
        <v>-8</v>
      </c>
      <c r="H28" s="299">
        <v>-11</v>
      </c>
    </row>
    <row r="29" spans="2:8" x14ac:dyDescent="0.2">
      <c r="B29" s="300" t="s">
        <v>324</v>
      </c>
      <c r="C29" s="353">
        <f>SUM(C24:C28)</f>
        <v>40</v>
      </c>
      <c r="D29" s="267">
        <v>192</v>
      </c>
      <c r="E29" s="267">
        <v>200</v>
      </c>
      <c r="F29" s="267">
        <v>164</v>
      </c>
      <c r="G29" s="267">
        <v>172</v>
      </c>
      <c r="H29" s="267">
        <v>195</v>
      </c>
    </row>
    <row r="30" spans="2:8" x14ac:dyDescent="0.2">
      <c r="B30" s="297" t="s">
        <v>325</v>
      </c>
      <c r="C30" s="347">
        <v>144</v>
      </c>
      <c r="D30" s="298">
        <v>21</v>
      </c>
      <c r="E30" s="298"/>
      <c r="F30" s="298">
        <v>157</v>
      </c>
      <c r="G30" s="298"/>
      <c r="H30" s="298"/>
    </row>
    <row r="31" spans="2:8" x14ac:dyDescent="0.2">
      <c r="B31" s="300" t="s">
        <v>326</v>
      </c>
      <c r="C31" s="353">
        <f>C29+C30</f>
        <v>184</v>
      </c>
      <c r="D31" s="267">
        <v>213</v>
      </c>
      <c r="E31" s="267">
        <v>200</v>
      </c>
      <c r="F31" s="267">
        <v>321</v>
      </c>
      <c r="G31" s="267">
        <v>172</v>
      </c>
      <c r="H31" s="267">
        <v>195</v>
      </c>
    </row>
    <row r="32" spans="2:8" x14ac:dyDescent="0.2">
      <c r="B32" s="297"/>
      <c r="C32" s="297"/>
      <c r="D32" s="298"/>
      <c r="E32" s="298"/>
      <c r="F32" s="298"/>
      <c r="G32" s="298"/>
      <c r="H32" s="298"/>
    </row>
    <row r="33" spans="2:8" x14ac:dyDescent="0.2">
      <c r="B33" s="292"/>
      <c r="C33" s="292"/>
      <c r="D33" s="298"/>
      <c r="E33" s="298"/>
      <c r="F33" s="298"/>
      <c r="G33" s="298"/>
      <c r="H33" s="298"/>
    </row>
    <row r="34" spans="2:8" x14ac:dyDescent="0.2">
      <c r="B34" s="297"/>
      <c r="C34" s="297"/>
      <c r="D34" s="298"/>
      <c r="E34" s="298"/>
      <c r="F34" s="298"/>
      <c r="G34" s="298"/>
      <c r="H34" s="298"/>
    </row>
    <row r="35" spans="2:8" ht="18.75" x14ac:dyDescent="0.3">
      <c r="B35" s="361" t="s">
        <v>327</v>
      </c>
      <c r="C35" s="361"/>
      <c r="D35" s="372"/>
      <c r="E35" s="372"/>
      <c r="F35" s="372"/>
      <c r="G35" s="372"/>
      <c r="H35" s="372"/>
    </row>
    <row r="36" spans="2:8" ht="15.75" x14ac:dyDescent="0.25">
      <c r="B36" s="294"/>
      <c r="C36" s="294"/>
      <c r="D36" s="298"/>
      <c r="E36" s="298"/>
      <c r="F36" s="298"/>
      <c r="G36" s="298"/>
      <c r="H36" s="298"/>
    </row>
    <row r="37" spans="2:8" ht="15.75" x14ac:dyDescent="0.25">
      <c r="B37" s="294" t="s">
        <v>328</v>
      </c>
      <c r="C37" s="294"/>
      <c r="D37" s="298"/>
      <c r="E37" s="298"/>
      <c r="F37" s="298"/>
      <c r="G37" s="298"/>
      <c r="H37" s="298"/>
    </row>
    <row r="38" spans="2:8" ht="15.75" x14ac:dyDescent="0.25">
      <c r="B38" s="294"/>
      <c r="C38" s="340"/>
      <c r="D38" s="298"/>
      <c r="E38" s="298"/>
      <c r="F38" s="298"/>
      <c r="G38" s="298"/>
      <c r="H38" s="298"/>
    </row>
    <row r="39" spans="2:8" x14ac:dyDescent="0.2">
      <c r="B39" s="295" t="s">
        <v>61</v>
      </c>
      <c r="C39" s="342">
        <v>2017</v>
      </c>
      <c r="D39" s="301">
        <v>2016</v>
      </c>
      <c r="E39" s="301">
        <v>2015</v>
      </c>
      <c r="F39" s="301">
        <v>2014</v>
      </c>
      <c r="G39" s="301">
        <v>2013</v>
      </c>
      <c r="H39" s="301">
        <v>2012</v>
      </c>
    </row>
    <row r="40" spans="2:8" ht="25.5" x14ac:dyDescent="0.2">
      <c r="B40" s="397" t="s">
        <v>400</v>
      </c>
      <c r="C40" s="345">
        <v>154</v>
      </c>
      <c r="D40" s="298">
        <v>169</v>
      </c>
      <c r="E40" s="298">
        <v>171</v>
      </c>
      <c r="F40" s="298">
        <v>244</v>
      </c>
      <c r="G40" s="298">
        <v>303</v>
      </c>
      <c r="H40" s="298">
        <v>208</v>
      </c>
    </row>
    <row r="41" spans="2:8" ht="38.25" x14ac:dyDescent="0.2">
      <c r="B41" s="303" t="s">
        <v>329</v>
      </c>
      <c r="C41" s="346">
        <v>-55</v>
      </c>
      <c r="D41" s="304">
        <v>-82</v>
      </c>
      <c r="E41" s="304">
        <v>-132</v>
      </c>
      <c r="F41" s="304">
        <v>-125</v>
      </c>
      <c r="G41" s="304">
        <v>-117</v>
      </c>
      <c r="H41" s="304">
        <v>-144</v>
      </c>
    </row>
    <row r="42" spans="2:8" x14ac:dyDescent="0.2">
      <c r="B42" s="302" t="s">
        <v>330</v>
      </c>
      <c r="C42" s="345">
        <v>-15</v>
      </c>
      <c r="D42" s="298">
        <v>-11</v>
      </c>
      <c r="E42" s="298"/>
      <c r="F42" s="298">
        <v>-66</v>
      </c>
      <c r="G42" s="298">
        <v>-12</v>
      </c>
      <c r="H42" s="298">
        <v>-24</v>
      </c>
    </row>
    <row r="43" spans="2:8" ht="38.25" x14ac:dyDescent="0.2">
      <c r="B43" s="302" t="s">
        <v>331</v>
      </c>
      <c r="C43" s="345">
        <v>123</v>
      </c>
      <c r="D43" s="298">
        <v>31</v>
      </c>
      <c r="E43" s="298">
        <v>38</v>
      </c>
      <c r="F43" s="298">
        <v>22</v>
      </c>
      <c r="G43" s="298">
        <v>30</v>
      </c>
      <c r="H43" s="298">
        <v>9</v>
      </c>
    </row>
    <row r="44" spans="2:8" ht="25.5" x14ac:dyDescent="0.2">
      <c r="B44" s="302" t="s">
        <v>332</v>
      </c>
      <c r="C44" s="345">
        <v>9</v>
      </c>
      <c r="D44" s="298">
        <v>47</v>
      </c>
      <c r="E44" s="298">
        <v>92</v>
      </c>
      <c r="F44" s="298">
        <v>96</v>
      </c>
      <c r="G44" s="298">
        <v>40</v>
      </c>
      <c r="H44" s="298">
        <v>254</v>
      </c>
    </row>
    <row r="45" spans="2:8" ht="25.5" x14ac:dyDescent="0.2">
      <c r="B45" s="398" t="s">
        <v>401</v>
      </c>
      <c r="C45" s="343">
        <f>SUM(C40:C44)</f>
        <v>216</v>
      </c>
      <c r="D45" s="267">
        <v>154</v>
      </c>
      <c r="E45" s="267">
        <v>169</v>
      </c>
      <c r="F45" s="267">
        <v>171</v>
      </c>
      <c r="G45" s="267">
        <v>244</v>
      </c>
      <c r="H45" s="267">
        <v>303</v>
      </c>
    </row>
    <row r="46" spans="2:8" x14ac:dyDescent="0.2">
      <c r="B46" s="302"/>
      <c r="C46" s="345"/>
      <c r="D46" s="305"/>
      <c r="E46" s="305"/>
      <c r="F46" s="305"/>
      <c r="G46" s="305"/>
      <c r="H46" s="305"/>
    </row>
    <row r="47" spans="2:8" ht="15.75" x14ac:dyDescent="0.25">
      <c r="B47" s="294" t="s">
        <v>333</v>
      </c>
      <c r="C47" s="340"/>
      <c r="D47" s="298"/>
      <c r="E47" s="298"/>
      <c r="F47" s="298"/>
      <c r="G47" s="298"/>
      <c r="H47" s="298"/>
    </row>
    <row r="48" spans="2:8" ht="15.75" x14ac:dyDescent="0.25">
      <c r="B48" s="306"/>
      <c r="C48" s="341"/>
      <c r="D48" s="298"/>
      <c r="E48" s="298"/>
      <c r="F48" s="298"/>
      <c r="G48" s="298"/>
      <c r="H48" s="298"/>
    </row>
    <row r="49" spans="2:8" x14ac:dyDescent="0.2">
      <c r="B49" s="295" t="s">
        <v>61</v>
      </c>
      <c r="C49" s="342">
        <v>2017</v>
      </c>
      <c r="D49" s="301">
        <v>2016</v>
      </c>
      <c r="E49" s="301">
        <v>2015</v>
      </c>
      <c r="F49" s="301">
        <v>2014</v>
      </c>
      <c r="G49" s="301">
        <v>2013</v>
      </c>
      <c r="H49" s="301">
        <v>2012</v>
      </c>
    </row>
    <row r="50" spans="2:8" ht="25.5" x14ac:dyDescent="0.2">
      <c r="B50" s="397" t="s">
        <v>402</v>
      </c>
      <c r="C50" s="345">
        <v>373</v>
      </c>
      <c r="D50" s="298">
        <v>247</v>
      </c>
      <c r="E50" s="298">
        <v>236</v>
      </c>
      <c r="F50" s="298">
        <v>209</v>
      </c>
      <c r="G50" s="298">
        <v>198</v>
      </c>
      <c r="H50" s="298">
        <v>226</v>
      </c>
    </row>
    <row r="51" spans="2:8" ht="25.5" x14ac:dyDescent="0.2">
      <c r="B51" s="302" t="s">
        <v>334</v>
      </c>
      <c r="C51" s="345">
        <v>-73</v>
      </c>
      <c r="D51" s="298">
        <v>126</v>
      </c>
      <c r="E51" s="298">
        <v>11</v>
      </c>
      <c r="F51" s="298">
        <v>27</v>
      </c>
      <c r="G51" s="298">
        <v>11</v>
      </c>
      <c r="H51" s="298">
        <v>-28</v>
      </c>
    </row>
    <row r="52" spans="2:8" ht="25.5" x14ac:dyDescent="0.2">
      <c r="B52" s="398" t="s">
        <v>403</v>
      </c>
      <c r="C52" s="343">
        <f>SUM(C50:C51)</f>
        <v>300</v>
      </c>
      <c r="D52" s="267">
        <v>373</v>
      </c>
      <c r="E52" s="267">
        <v>247</v>
      </c>
      <c r="F52" s="267">
        <v>236</v>
      </c>
      <c r="G52" s="267">
        <v>209</v>
      </c>
      <c r="H52" s="267">
        <v>198</v>
      </c>
    </row>
    <row r="53" spans="2:8" x14ac:dyDescent="0.2">
      <c r="C53" s="24"/>
    </row>
  </sheetData>
  <sheetProtection algorithmName="SHA-512" hashValue="NAtFwiPrgOvYT9L5Md1W3VIHUFs7n0t28rNpXLqPeCw6taNnM4a55dWiLO8Lb18O7jIcR5B6UNtC4G1EjF4Euw==" saltValue="r56zqUDobxHIVYEYMNnRPg==" spinCount="100000" sheet="1" objects="1" scenarios="1"/>
  <pageMargins left="0.7" right="0.7" top="0.75" bottom="0.75" header="0.3" footer="0.3"/>
  <pageSetup paperSize="9" orientation="portrait" verticalDpi="0" r:id="rId1"/>
  <ignoredErrors>
    <ignoredError sqref="C12 C29 C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B2:C39"/>
  <sheetViews>
    <sheetView workbookViewId="0"/>
  </sheetViews>
  <sheetFormatPr baseColWidth="10" defaultRowHeight="12.75" x14ac:dyDescent="0.2"/>
  <cols>
    <col min="3" max="3" width="62.7109375" bestFit="1" customWidth="1"/>
    <col min="9" max="9" width="15.28515625" customWidth="1"/>
  </cols>
  <sheetData>
    <row r="2" spans="2:3" ht="15.75" x14ac:dyDescent="0.25">
      <c r="B2" s="14" t="s">
        <v>0</v>
      </c>
      <c r="C2" s="15" t="s">
        <v>1</v>
      </c>
    </row>
    <row r="3" spans="2:3" x14ac:dyDescent="0.2">
      <c r="B3" s="2">
        <v>1</v>
      </c>
      <c r="C3" s="401" t="s">
        <v>2</v>
      </c>
    </row>
    <row r="4" spans="2:3" x14ac:dyDescent="0.2">
      <c r="B4" s="2">
        <v>2</v>
      </c>
      <c r="C4" s="401" t="s">
        <v>404</v>
      </c>
    </row>
    <row r="5" spans="2:3" x14ac:dyDescent="0.2">
      <c r="B5" s="2">
        <v>3</v>
      </c>
      <c r="C5" s="401" t="s">
        <v>59</v>
      </c>
    </row>
    <row r="6" spans="2:3" x14ac:dyDescent="0.2">
      <c r="B6" s="2">
        <v>4</v>
      </c>
      <c r="C6" s="401" t="s">
        <v>405</v>
      </c>
    </row>
    <row r="7" spans="2:3" x14ac:dyDescent="0.2">
      <c r="B7" s="2">
        <v>5</v>
      </c>
      <c r="C7" s="401" t="s">
        <v>406</v>
      </c>
    </row>
    <row r="8" spans="2:3" x14ac:dyDescent="0.2">
      <c r="B8" s="2">
        <v>6</v>
      </c>
      <c r="C8" s="401" t="s">
        <v>136</v>
      </c>
    </row>
    <row r="9" spans="2:3" x14ac:dyDescent="0.2">
      <c r="B9" s="2">
        <v>7</v>
      </c>
      <c r="C9" s="401" t="s">
        <v>407</v>
      </c>
    </row>
    <row r="10" spans="2:3" x14ac:dyDescent="0.2">
      <c r="B10" s="2">
        <v>8</v>
      </c>
      <c r="C10" s="401" t="s">
        <v>408</v>
      </c>
    </row>
    <row r="11" spans="2:3" x14ac:dyDescent="0.2">
      <c r="B11" s="2">
        <v>9</v>
      </c>
      <c r="C11" s="401" t="s">
        <v>175</v>
      </c>
    </row>
    <row r="12" spans="2:3" x14ac:dyDescent="0.2">
      <c r="B12" s="2">
        <v>10</v>
      </c>
      <c r="C12" s="401" t="s">
        <v>409</v>
      </c>
    </row>
    <row r="13" spans="2:3" x14ac:dyDescent="0.2">
      <c r="B13" s="2">
        <v>11</v>
      </c>
      <c r="C13" s="401" t="s">
        <v>184</v>
      </c>
    </row>
    <row r="14" spans="2:3" x14ac:dyDescent="0.2">
      <c r="B14" s="2">
        <v>12</v>
      </c>
      <c r="C14" s="401" t="s">
        <v>410</v>
      </c>
    </row>
    <row r="15" spans="2:3" x14ac:dyDescent="0.2">
      <c r="B15" s="2">
        <v>13</v>
      </c>
      <c r="C15" s="401" t="s">
        <v>411</v>
      </c>
    </row>
    <row r="16" spans="2:3" x14ac:dyDescent="0.2">
      <c r="B16" s="2">
        <v>14</v>
      </c>
      <c r="C16" s="401" t="s">
        <v>291</v>
      </c>
    </row>
    <row r="17" spans="2:3" x14ac:dyDescent="0.2">
      <c r="B17" s="2">
        <v>15</v>
      </c>
      <c r="C17" s="401" t="s">
        <v>292</v>
      </c>
    </row>
    <row r="18" spans="2:3" x14ac:dyDescent="0.2">
      <c r="B18" s="2">
        <v>16</v>
      </c>
      <c r="C18" s="401" t="s">
        <v>412</v>
      </c>
    </row>
    <row r="19" spans="2:3" x14ac:dyDescent="0.2">
      <c r="B19" s="2">
        <v>17</v>
      </c>
      <c r="C19" s="401" t="s">
        <v>413</v>
      </c>
    </row>
    <row r="20" spans="2:3" x14ac:dyDescent="0.2">
      <c r="B20" s="1"/>
      <c r="C20" s="1"/>
    </row>
    <row r="21" spans="2:3" x14ac:dyDescent="0.2">
      <c r="B21" s="1"/>
      <c r="C21" s="1"/>
    </row>
    <row r="22" spans="2:3" x14ac:dyDescent="0.2">
      <c r="B22" s="1"/>
      <c r="C22" s="1"/>
    </row>
    <row r="23" spans="2:3" x14ac:dyDescent="0.2">
      <c r="B23" s="1"/>
      <c r="C23" s="1"/>
    </row>
    <row r="24" spans="2:3" x14ac:dyDescent="0.2">
      <c r="B24" s="1"/>
      <c r="C24" s="1"/>
    </row>
    <row r="25" spans="2:3" x14ac:dyDescent="0.2">
      <c r="B25" s="1"/>
      <c r="C25" s="1"/>
    </row>
    <row r="26" spans="2:3" x14ac:dyDescent="0.2">
      <c r="B26" s="1"/>
      <c r="C26" s="1"/>
    </row>
    <row r="27" spans="2:3" x14ac:dyDescent="0.2">
      <c r="B27" s="1"/>
      <c r="C27" s="1"/>
    </row>
    <row r="28" spans="2:3" x14ac:dyDescent="0.2">
      <c r="B28" s="1"/>
      <c r="C28" s="1"/>
    </row>
    <row r="29" spans="2:3" x14ac:dyDescent="0.2">
      <c r="B29" s="1"/>
      <c r="C29" s="1"/>
    </row>
    <row r="30" spans="2:3" x14ac:dyDescent="0.2">
      <c r="B30" s="1"/>
      <c r="C30" s="1"/>
    </row>
    <row r="31" spans="2:3" x14ac:dyDescent="0.2">
      <c r="B31" s="1"/>
      <c r="C31" s="1"/>
    </row>
    <row r="32" spans="2:3" x14ac:dyDescent="0.2">
      <c r="B32" s="1"/>
      <c r="C32" s="1"/>
    </row>
    <row r="33" spans="2:3" x14ac:dyDescent="0.2">
      <c r="B33" s="1"/>
      <c r="C33" s="1"/>
    </row>
    <row r="34" spans="2:3" x14ac:dyDescent="0.2">
      <c r="B34" s="1"/>
      <c r="C34" s="1"/>
    </row>
    <row r="35" spans="2:3" x14ac:dyDescent="0.2">
      <c r="B35" s="1"/>
      <c r="C35" s="1"/>
    </row>
    <row r="36" spans="2:3" x14ac:dyDescent="0.2">
      <c r="B36" s="1"/>
      <c r="C36" s="1"/>
    </row>
    <row r="37" spans="2:3" x14ac:dyDescent="0.2">
      <c r="B37" s="1"/>
      <c r="C37" s="1"/>
    </row>
    <row r="38" spans="2:3" x14ac:dyDescent="0.2">
      <c r="B38" s="1"/>
      <c r="C38" s="1"/>
    </row>
    <row r="39" spans="2:3" x14ac:dyDescent="0.2">
      <c r="B39" s="1"/>
      <c r="C39" s="1"/>
    </row>
  </sheetData>
  <sheetProtection algorithmName="SHA-512" hashValue="E1snJojgyXq6/hfn92At0rX9FR4Exf4djW8Cqa5JfDOvygGUu898Ezcb9wGBnehgBfrTcibXvAvkRV1mKOSOTw==" saltValue="My0sEq+ptCrN0pp8FcAEHQ==" spinCount="100000" sheet="1" objects="1" scenarios="1"/>
  <hyperlinks>
    <hyperlink ref="C3" location="'1'!A1" display="Konsolidering"/>
    <hyperlink ref="C4" location="'2'!A1" display="Metoder for beregning av kapitalkravet"/>
    <hyperlink ref="C5" location="'3'!A1" display="Kapitaldekning, konsern"/>
    <hyperlink ref="C6" location="'4'!A1" display="Kapitaldekning, datterselskaper"/>
    <hyperlink ref="C7" location="'5'!A1" display="Kapitaldekning, tilknyttede selskaper"/>
    <hyperlink ref="C8" location="'6'!A1" display="Utvikling kapitaldekning, konsern"/>
    <hyperlink ref="C9" location="'7'!A1" display="Ansvarlig lånekapital"/>
    <hyperlink ref="C10:C19" location="'7'!A1" display="Ansvarlig lånekapital"/>
    <hyperlink ref="C10" location="'8'!A1" display="Uvektet kjernekapitalandel"/>
    <hyperlink ref="C11" location="'9'!A1" display="Bufferkrav"/>
    <hyperlink ref="C12" location="'10'!A1" display="Kapitalkrav pr. risikotype"/>
    <hyperlink ref="C13" location="'11'!A1" display="Modeller godkjent for IRB-rapportering"/>
    <hyperlink ref="C14" location="'12'!A1" display="Kreditteksponeringer IRB pr. engasmentskategori og risikoklasse"/>
    <hyperlink ref="C15" location="'13'!A1" display="Sikkerhetsstillelser pr. IRB-kategori"/>
    <hyperlink ref="C16" location="'14'!A1" display="Konsernets samlede engasjementer fordelt på engasjementstype"/>
    <hyperlink ref="C17" location="'15'!A1" display="Utlån fordelt på geografisk område og gjenstående løpetid"/>
    <hyperlink ref="C18" location="'16'!A1" display="Konsernets engasjementer, mislighold og tap pr. bransje"/>
    <hyperlink ref="C19" location="'17'!A1" display="Utvikling i mislighold, tap og tapsavsetninger"/>
  </hyperlinks>
  <pageMargins left="0.7" right="0.7" top="0.75" bottom="0.75" header="0.3" footer="0.3"/>
  <pageSetup paperSize="9" orientation="portrait" verticalDpi="0" r:id="rId1"/>
  <headerFooter>
    <oddHeader>&amp;R&amp;"Calibri"&amp;12 I N T E R N&amp;1#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B2:R40"/>
  <sheetViews>
    <sheetView showGridLines="0" workbookViewId="0"/>
  </sheetViews>
  <sheetFormatPr baseColWidth="10" defaultRowHeight="12.75" x14ac:dyDescent="0.2"/>
  <cols>
    <col min="2" max="2" width="62.7109375" bestFit="1" customWidth="1"/>
    <col min="3" max="4" width="14.42578125" bestFit="1" customWidth="1"/>
    <col min="5" max="5" width="27" bestFit="1" customWidth="1"/>
    <col min="6" max="6" width="31.7109375" customWidth="1"/>
    <col min="7" max="7" width="27.7109375" bestFit="1" customWidth="1"/>
    <col min="8" max="8" width="13.28515625" bestFit="1" customWidth="1"/>
    <col min="9" max="9" width="15.85546875" bestFit="1" customWidth="1"/>
  </cols>
  <sheetData>
    <row r="2" spans="2:18" ht="18.75" x14ac:dyDescent="0.3">
      <c r="B2" s="361" t="s">
        <v>2</v>
      </c>
      <c r="C2" s="358"/>
      <c r="D2" s="358"/>
      <c r="E2" s="358"/>
      <c r="F2" s="358"/>
      <c r="G2" s="358"/>
      <c r="H2" s="358"/>
      <c r="I2" s="358"/>
      <c r="J2" s="358"/>
      <c r="K2" s="21"/>
      <c r="L2" s="21"/>
      <c r="M2" s="21"/>
      <c r="N2" s="21"/>
      <c r="O2" s="21"/>
      <c r="P2" s="21"/>
      <c r="Q2" s="21"/>
      <c r="R2" s="21"/>
    </row>
    <row r="4" spans="2:18" x14ac:dyDescent="0.2">
      <c r="B4" s="359" t="s">
        <v>3</v>
      </c>
    </row>
    <row r="6" spans="2:18" x14ac:dyDescent="0.2">
      <c r="B6" s="1" t="s">
        <v>61</v>
      </c>
    </row>
    <row r="8" spans="2:18" x14ac:dyDescent="0.2">
      <c r="B8" s="4" t="s">
        <v>4</v>
      </c>
      <c r="C8" s="4" t="s">
        <v>5</v>
      </c>
      <c r="D8" s="5" t="s">
        <v>6</v>
      </c>
      <c r="E8" s="6" t="s">
        <v>7</v>
      </c>
      <c r="F8" s="189" t="s">
        <v>224</v>
      </c>
      <c r="G8" s="7" t="s">
        <v>8</v>
      </c>
      <c r="H8" s="5" t="s">
        <v>9</v>
      </c>
      <c r="I8" s="5" t="s">
        <v>10</v>
      </c>
      <c r="J8" s="5" t="s">
        <v>11</v>
      </c>
    </row>
    <row r="9" spans="2:18" x14ac:dyDescent="0.2">
      <c r="B9" s="381" t="s">
        <v>12</v>
      </c>
      <c r="C9" s="8">
        <v>126400</v>
      </c>
      <c r="D9" s="8">
        <v>691</v>
      </c>
      <c r="E9" s="220">
        <v>691</v>
      </c>
      <c r="F9" s="10">
        <v>1</v>
      </c>
      <c r="G9" t="s">
        <v>24</v>
      </c>
      <c r="H9" s="383">
        <f>'4'!C44/1000</f>
        <v>412.356832</v>
      </c>
      <c r="I9" s="383">
        <f>'4'!C22/1000</f>
        <v>941.78399999999999</v>
      </c>
      <c r="J9" s="384">
        <f>'4'!C47</f>
        <v>0.18271243290568298</v>
      </c>
    </row>
    <row r="10" spans="2:18" x14ac:dyDescent="0.2">
      <c r="B10" s="381" t="s">
        <v>14</v>
      </c>
      <c r="C10" s="8">
        <v>0</v>
      </c>
      <c r="D10" s="8">
        <v>0</v>
      </c>
      <c r="E10" s="221">
        <v>0</v>
      </c>
      <c r="F10" s="10">
        <v>0</v>
      </c>
      <c r="G10" t="s">
        <v>25</v>
      </c>
      <c r="H10" t="s">
        <v>25</v>
      </c>
      <c r="I10" t="s">
        <v>25</v>
      </c>
      <c r="J10" t="s">
        <v>25</v>
      </c>
    </row>
    <row r="11" spans="2:18" x14ac:dyDescent="0.2">
      <c r="B11" s="381" t="s">
        <v>19</v>
      </c>
      <c r="C11" s="8">
        <v>3317338</v>
      </c>
      <c r="D11" s="8">
        <v>208.892</v>
      </c>
      <c r="E11" s="221">
        <v>818.3</v>
      </c>
      <c r="F11" s="10">
        <v>0.23499999999999999</v>
      </c>
      <c r="G11" t="s">
        <v>26</v>
      </c>
      <c r="H11" s="8">
        <f>'5'!C160</f>
        <v>1075.4864799999998</v>
      </c>
      <c r="I11" s="190">
        <f>'5'!C124</f>
        <v>3975.5200000000004</v>
      </c>
      <c r="J11" s="360">
        <f>'5'!C163</f>
        <v>0.29571882670249844</v>
      </c>
    </row>
    <row r="12" spans="2:18" x14ac:dyDescent="0.2">
      <c r="B12" s="381" t="s">
        <v>20</v>
      </c>
      <c r="C12" s="8">
        <v>11409991</v>
      </c>
      <c r="D12" s="8">
        <v>1712.5609999999999</v>
      </c>
      <c r="E12" s="221">
        <v>1710.441</v>
      </c>
      <c r="F12" s="10">
        <v>0.16850000000000001</v>
      </c>
      <c r="G12" t="s">
        <v>26</v>
      </c>
      <c r="H12" s="190">
        <f>'5'!C52</f>
        <v>5960.6949600000007</v>
      </c>
      <c r="I12" s="190">
        <f>'5'!C21</f>
        <v>12428.096999999998</v>
      </c>
      <c r="J12" s="360">
        <f>'5'!C55</f>
        <v>0.16680064433292183</v>
      </c>
    </row>
    <row r="13" spans="2:18" x14ac:dyDescent="0.2">
      <c r="B13" s="381" t="s">
        <v>21</v>
      </c>
      <c r="C13" s="8">
        <f>158826+1954698</f>
        <v>2113524</v>
      </c>
      <c r="D13" s="8">
        <v>264.31337252000003</v>
      </c>
      <c r="E13" s="221">
        <v>266.34899999999999</v>
      </c>
      <c r="F13" s="10">
        <v>0.14480000000000001</v>
      </c>
      <c r="G13" t="s">
        <v>26</v>
      </c>
      <c r="H13" s="190">
        <f>'5'!C97</f>
        <v>819.37079999999992</v>
      </c>
      <c r="I13" s="190">
        <f>'5'!C76</f>
        <v>2342.6680000000001</v>
      </c>
      <c r="J13" s="360">
        <f>'5'!C100</f>
        <v>0.2287284828797902</v>
      </c>
    </row>
    <row r="14" spans="2:18" x14ac:dyDescent="0.2">
      <c r="B14" s="381" t="s">
        <v>30</v>
      </c>
      <c r="C14" s="8">
        <v>499460</v>
      </c>
      <c r="D14" s="8">
        <v>154.80119400000001</v>
      </c>
      <c r="E14" s="8">
        <v>210.851</v>
      </c>
      <c r="F14" s="10">
        <v>0.1729</v>
      </c>
      <c r="G14" t="s">
        <v>26</v>
      </c>
      <c r="H14" s="190">
        <f>'5'!C207</f>
        <v>400.7944</v>
      </c>
      <c r="I14" s="190">
        <f>'5'!C188</f>
        <v>998.22</v>
      </c>
      <c r="J14" s="360">
        <f>'5'!C210</f>
        <v>0.19924829289031981</v>
      </c>
    </row>
    <row r="15" spans="2:18" x14ac:dyDescent="0.2">
      <c r="B15" s="381" t="s">
        <v>22</v>
      </c>
      <c r="C15" s="8">
        <v>21100</v>
      </c>
      <c r="D15" s="8">
        <v>28</v>
      </c>
      <c r="E15" s="220">
        <v>29.635999999999999</v>
      </c>
      <c r="F15" s="10">
        <v>1</v>
      </c>
      <c r="G15" t="s">
        <v>24</v>
      </c>
    </row>
    <row r="16" spans="2:18" x14ac:dyDescent="0.2">
      <c r="B16" s="381" t="s">
        <v>15</v>
      </c>
      <c r="C16" s="8">
        <v>2350</v>
      </c>
      <c r="D16" s="8">
        <v>43.61</v>
      </c>
      <c r="E16" s="8">
        <v>43.61</v>
      </c>
      <c r="F16" s="11">
        <v>1</v>
      </c>
      <c r="G16" t="s">
        <v>24</v>
      </c>
    </row>
    <row r="17" spans="2:9" x14ac:dyDescent="0.2">
      <c r="B17" s="381" t="s">
        <v>13</v>
      </c>
      <c r="C17" s="8">
        <v>1000</v>
      </c>
      <c r="D17" s="8">
        <v>25</v>
      </c>
      <c r="E17" s="220">
        <v>25</v>
      </c>
      <c r="F17" s="10">
        <v>1</v>
      </c>
      <c r="G17" t="s">
        <v>24</v>
      </c>
      <c r="I17" s="8"/>
    </row>
    <row r="18" spans="2:9" x14ac:dyDescent="0.2">
      <c r="B18" s="381" t="s">
        <v>23</v>
      </c>
      <c r="C18" s="8">
        <v>242</v>
      </c>
      <c r="D18" s="8">
        <v>50.392000000000003</v>
      </c>
      <c r="E18" s="8">
        <v>50.392000000000003</v>
      </c>
      <c r="F18" s="11">
        <v>1</v>
      </c>
      <c r="G18" t="s">
        <v>24</v>
      </c>
    </row>
    <row r="19" spans="2:9" x14ac:dyDescent="0.2">
      <c r="B19" t="s">
        <v>16</v>
      </c>
      <c r="C19" s="8">
        <v>1685</v>
      </c>
      <c r="D19" s="8">
        <v>20.036999999999999</v>
      </c>
      <c r="E19" s="8">
        <v>20.036999999999999</v>
      </c>
      <c r="F19" s="10">
        <v>1</v>
      </c>
      <c r="G19" t="s">
        <v>24</v>
      </c>
    </row>
    <row r="20" spans="2:9" x14ac:dyDescent="0.2">
      <c r="B20" t="s">
        <v>18</v>
      </c>
      <c r="C20" s="8">
        <v>513</v>
      </c>
      <c r="D20" s="8">
        <v>77.825999999999993</v>
      </c>
      <c r="E20" s="8">
        <v>77.825999999999993</v>
      </c>
      <c r="F20" s="11">
        <v>1</v>
      </c>
      <c r="G20" t="s">
        <v>24</v>
      </c>
    </row>
    <row r="24" spans="2:9" x14ac:dyDescent="0.2">
      <c r="B24" s="359" t="s">
        <v>27</v>
      </c>
      <c r="C24" s="12"/>
      <c r="D24" s="12"/>
      <c r="E24" s="12"/>
      <c r="F24" s="12"/>
      <c r="G24" s="12"/>
      <c r="H24" s="12"/>
      <c r="I24" s="12"/>
    </row>
    <row r="26" spans="2:9" x14ac:dyDescent="0.2">
      <c r="B26" s="4" t="s">
        <v>28</v>
      </c>
      <c r="C26" s="5" t="s">
        <v>5</v>
      </c>
      <c r="D26" s="5" t="s">
        <v>6</v>
      </c>
      <c r="E26" s="5" t="s">
        <v>7</v>
      </c>
      <c r="F26" s="189" t="s">
        <v>224</v>
      </c>
      <c r="G26" s="7" t="s">
        <v>8</v>
      </c>
    </row>
    <row r="27" spans="2:9" x14ac:dyDescent="0.2">
      <c r="B27" s="381" t="s">
        <v>29</v>
      </c>
      <c r="C27" s="8">
        <v>381498</v>
      </c>
      <c r="D27" s="8">
        <v>714.58138499999995</v>
      </c>
      <c r="E27" s="8">
        <v>1647.318</v>
      </c>
      <c r="F27" s="10">
        <v>0.19500000000000001</v>
      </c>
      <c r="G27" t="s">
        <v>26</v>
      </c>
    </row>
    <row r="29" spans="2:9" x14ac:dyDescent="0.2">
      <c r="E29" s="9"/>
    </row>
    <row r="30" spans="2:9" x14ac:dyDescent="0.2">
      <c r="D30" s="9"/>
    </row>
    <row r="31" spans="2:9" x14ac:dyDescent="0.2">
      <c r="B31" s="359" t="s">
        <v>31</v>
      </c>
      <c r="E31" s="9"/>
    </row>
    <row r="33" spans="2:13" x14ac:dyDescent="0.2">
      <c r="B33" s="4" t="s">
        <v>28</v>
      </c>
      <c r="C33" s="5" t="s">
        <v>5</v>
      </c>
      <c r="D33" s="396" t="s">
        <v>6</v>
      </c>
      <c r="E33" s="5" t="s">
        <v>7</v>
      </c>
      <c r="F33" s="189" t="s">
        <v>224</v>
      </c>
      <c r="G33" s="7" t="s">
        <v>8</v>
      </c>
    </row>
    <row r="34" spans="2:13" x14ac:dyDescent="0.2">
      <c r="B34" s="381" t="s">
        <v>382</v>
      </c>
      <c r="C34" s="8">
        <v>2</v>
      </c>
      <c r="D34" s="221">
        <v>18.369</v>
      </c>
      <c r="E34" s="220">
        <v>23</v>
      </c>
      <c r="F34" s="11">
        <v>0.17730000000000001</v>
      </c>
      <c r="G34" s="129" t="s">
        <v>26</v>
      </c>
    </row>
    <row r="35" spans="2:13" x14ac:dyDescent="0.2">
      <c r="B35" s="381" t="s">
        <v>381</v>
      </c>
      <c r="C35" s="8">
        <v>1635</v>
      </c>
      <c r="D35" s="221">
        <v>63</v>
      </c>
      <c r="E35" s="220">
        <v>56</v>
      </c>
      <c r="F35" s="11">
        <v>0.19700000000000001</v>
      </c>
      <c r="G35" s="129" t="s">
        <v>26</v>
      </c>
    </row>
    <row r="36" spans="2:13" x14ac:dyDescent="0.2">
      <c r="B36" s="381" t="s">
        <v>32</v>
      </c>
      <c r="C36" s="8">
        <v>386516</v>
      </c>
      <c r="D36" s="394">
        <v>11.148</v>
      </c>
      <c r="E36" s="220">
        <v>79.738</v>
      </c>
      <c r="F36" s="11">
        <v>0.12920000000000001</v>
      </c>
      <c r="G36" s="129" t="s">
        <v>227</v>
      </c>
    </row>
    <row r="37" spans="2:13" x14ac:dyDescent="0.2">
      <c r="B37" s="381" t="s">
        <v>33</v>
      </c>
      <c r="C37" s="8">
        <v>104821999</v>
      </c>
      <c r="D37" s="394">
        <v>122.28400000000001</v>
      </c>
      <c r="E37" s="220">
        <v>0</v>
      </c>
      <c r="F37" s="11">
        <v>9.35E-2</v>
      </c>
      <c r="G37" s="129" t="s">
        <v>24</v>
      </c>
    </row>
    <row r="38" spans="2:13" x14ac:dyDescent="0.2">
      <c r="B38" s="381" t="s">
        <v>228</v>
      </c>
      <c r="C38" s="8">
        <v>20000</v>
      </c>
      <c r="D38" s="129">
        <v>20</v>
      </c>
      <c r="E38" s="220">
        <v>20</v>
      </c>
      <c r="F38" s="222">
        <v>0.2</v>
      </c>
      <c r="G38" s="129" t="s">
        <v>26</v>
      </c>
      <c r="H38" s="9"/>
    </row>
    <row r="39" spans="2:13" x14ac:dyDescent="0.2">
      <c r="B39" s="382" t="s">
        <v>229</v>
      </c>
      <c r="C39" s="8">
        <v>83133</v>
      </c>
      <c r="D39" s="221">
        <v>3.0092660000000002</v>
      </c>
      <c r="E39" s="395">
        <v>3</v>
      </c>
      <c r="F39" s="222">
        <v>0.2</v>
      </c>
      <c r="G39" s="129" t="s">
        <v>26</v>
      </c>
      <c r="H39" s="190"/>
      <c r="I39" s="9"/>
      <c r="J39" s="9"/>
      <c r="K39" s="9"/>
      <c r="L39" s="9"/>
      <c r="M39" s="9"/>
    </row>
    <row r="40" spans="2:13" x14ac:dyDescent="0.2">
      <c r="D40" s="129"/>
      <c r="E40" s="129"/>
    </row>
  </sheetData>
  <sheetProtection algorithmName="SHA-512" hashValue="wY3mE3APrRd1+Dt6A9IyxagDeMy4yi08AK+dTzuPeXVMtWyjd4vQIWWztIF9r1EgWb90yqOzH0u1wSdA+1Cgng==" saltValue="vRNSqi9GjqVEuW6AkciqPw==" spinCount="100000" sheet="1" objects="1" scenarios="1"/>
  <sortState ref="B10:J21">
    <sortCondition ref="G10:G21"/>
    <sortCondition ref="B10:B21"/>
  </sortState>
  <pageMargins left="0.7" right="0.7" top="0.75" bottom="0.75" header="0.3" footer="0.3"/>
  <pageSetup paperSize="9" orientation="portrait" verticalDpi="0" r:id="rId1"/>
  <headerFooter>
    <oddHeader>&amp;R&amp;"Calibri"&amp;12 I N T E R N&amp;1#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B2:R24"/>
  <sheetViews>
    <sheetView showGridLines="0" workbookViewId="0"/>
  </sheetViews>
  <sheetFormatPr baseColWidth="10" defaultRowHeight="12.75" x14ac:dyDescent="0.2"/>
  <cols>
    <col min="2" max="2" width="19.140625" customWidth="1"/>
    <col min="3" max="3" width="33.42578125" bestFit="1" customWidth="1"/>
    <col min="4" max="4" width="22.7109375" bestFit="1" customWidth="1"/>
    <col min="5" max="5" width="15" bestFit="1" customWidth="1"/>
  </cols>
  <sheetData>
    <row r="2" spans="2:18" ht="18.75" x14ac:dyDescent="0.3">
      <c r="B2" s="361" t="s">
        <v>34</v>
      </c>
      <c r="C2" s="358"/>
      <c r="D2" s="358"/>
      <c r="E2" s="358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2:18" x14ac:dyDescent="0.2">
      <c r="B3" s="18"/>
      <c r="C3" s="18"/>
      <c r="D3" s="18"/>
      <c r="E3" s="18"/>
    </row>
    <row r="4" spans="2:18" x14ac:dyDescent="0.2">
      <c r="B4" s="16" t="s">
        <v>35</v>
      </c>
      <c r="C4" s="16"/>
      <c r="D4" s="16" t="s">
        <v>36</v>
      </c>
      <c r="E4" s="16" t="s">
        <v>37</v>
      </c>
    </row>
    <row r="5" spans="2:18" x14ac:dyDescent="0.2">
      <c r="B5" s="17" t="s">
        <v>38</v>
      </c>
      <c r="C5" s="17"/>
      <c r="D5" s="17"/>
      <c r="E5" s="17"/>
    </row>
    <row r="6" spans="2:18" x14ac:dyDescent="0.2">
      <c r="B6" s="20"/>
      <c r="C6" s="20" t="s">
        <v>39</v>
      </c>
      <c r="D6" s="20" t="s">
        <v>40</v>
      </c>
      <c r="E6" s="20" t="s">
        <v>41</v>
      </c>
    </row>
    <row r="7" spans="2:18" x14ac:dyDescent="0.2">
      <c r="B7" s="20"/>
      <c r="C7" s="20" t="s">
        <v>39</v>
      </c>
      <c r="D7" s="20" t="s">
        <v>42</v>
      </c>
      <c r="E7" s="20" t="s">
        <v>41</v>
      </c>
    </row>
    <row r="8" spans="2:18" x14ac:dyDescent="0.2">
      <c r="B8" s="20"/>
      <c r="C8" s="20" t="s">
        <v>39</v>
      </c>
      <c r="D8" s="20" t="s">
        <v>43</v>
      </c>
      <c r="E8" s="20" t="s">
        <v>44</v>
      </c>
    </row>
    <row r="9" spans="2:18" x14ac:dyDescent="0.2">
      <c r="B9" s="20"/>
      <c r="C9" s="20" t="s">
        <v>39</v>
      </c>
      <c r="D9" s="20" t="s">
        <v>45</v>
      </c>
      <c r="E9" s="20" t="s">
        <v>44</v>
      </c>
    </row>
    <row r="10" spans="2:18" x14ac:dyDescent="0.2">
      <c r="B10" s="20"/>
      <c r="C10" s="20" t="s">
        <v>39</v>
      </c>
      <c r="D10" s="20" t="s">
        <v>46</v>
      </c>
      <c r="E10" s="20" t="s">
        <v>44</v>
      </c>
    </row>
    <row r="11" spans="2:18" x14ac:dyDescent="0.2">
      <c r="B11" s="20"/>
      <c r="C11" s="20" t="s">
        <v>47</v>
      </c>
      <c r="D11" s="20" t="s">
        <v>40</v>
      </c>
      <c r="E11" s="20" t="s">
        <v>41</v>
      </c>
    </row>
    <row r="12" spans="2:18" x14ac:dyDescent="0.2">
      <c r="B12" s="20"/>
      <c r="C12" s="20" t="s">
        <v>47</v>
      </c>
      <c r="D12" s="20" t="s">
        <v>42</v>
      </c>
      <c r="E12" s="20" t="s">
        <v>41</v>
      </c>
    </row>
    <row r="13" spans="2:18" x14ac:dyDescent="0.2">
      <c r="B13" s="20"/>
      <c r="C13" s="20" t="s">
        <v>20</v>
      </c>
      <c r="D13" s="20" t="s">
        <v>48</v>
      </c>
      <c r="E13" s="20" t="s">
        <v>41</v>
      </c>
    </row>
    <row r="14" spans="2:18" x14ac:dyDescent="0.2">
      <c r="B14" s="20"/>
      <c r="C14" s="13" t="s">
        <v>49</v>
      </c>
      <c r="D14" s="20" t="s">
        <v>42</v>
      </c>
      <c r="E14" s="20" t="s">
        <v>44</v>
      </c>
    </row>
    <row r="15" spans="2:18" x14ac:dyDescent="0.2">
      <c r="B15" s="20"/>
      <c r="C15" s="13" t="s">
        <v>50</v>
      </c>
      <c r="D15" s="20" t="s">
        <v>383</v>
      </c>
      <c r="E15" s="20" t="s">
        <v>44</v>
      </c>
    </row>
    <row r="16" spans="2:18" x14ac:dyDescent="0.2">
      <c r="B16" s="16" t="s">
        <v>51</v>
      </c>
      <c r="C16" s="16"/>
      <c r="D16" s="16"/>
      <c r="E16" s="16"/>
    </row>
    <row r="17" spans="2:5" x14ac:dyDescent="0.2">
      <c r="B17" s="20"/>
      <c r="C17" s="20" t="s">
        <v>39</v>
      </c>
      <c r="D17" s="20" t="s">
        <v>52</v>
      </c>
      <c r="E17" s="20" t="s">
        <v>44</v>
      </c>
    </row>
    <row r="18" spans="2:5" x14ac:dyDescent="0.2">
      <c r="B18" s="20"/>
      <c r="C18" s="20" t="s">
        <v>39</v>
      </c>
      <c r="D18" s="20" t="s">
        <v>53</v>
      </c>
      <c r="E18" s="20" t="s">
        <v>44</v>
      </c>
    </row>
    <row r="19" spans="2:5" x14ac:dyDescent="0.2">
      <c r="B19" s="20"/>
      <c r="C19" s="20" t="s">
        <v>39</v>
      </c>
      <c r="D19" s="20" t="s">
        <v>54</v>
      </c>
      <c r="E19" s="20" t="s">
        <v>44</v>
      </c>
    </row>
    <row r="20" spans="2:5" x14ac:dyDescent="0.2">
      <c r="B20" s="20"/>
      <c r="C20" s="20" t="s">
        <v>39</v>
      </c>
      <c r="D20" s="20" t="s">
        <v>55</v>
      </c>
      <c r="E20" s="20" t="s">
        <v>44</v>
      </c>
    </row>
    <row r="21" spans="2:5" x14ac:dyDescent="0.2">
      <c r="B21" s="20"/>
      <c r="C21" s="20" t="s">
        <v>384</v>
      </c>
      <c r="D21" s="20"/>
      <c r="E21" s="20" t="s">
        <v>44</v>
      </c>
    </row>
    <row r="22" spans="2:5" x14ac:dyDescent="0.2">
      <c r="B22" s="16" t="s">
        <v>56</v>
      </c>
      <c r="C22" s="16"/>
      <c r="D22" s="16"/>
      <c r="E22" s="16"/>
    </row>
    <row r="23" spans="2:5" x14ac:dyDescent="0.2">
      <c r="B23" s="20"/>
      <c r="C23" s="20" t="s">
        <v>39</v>
      </c>
      <c r="D23" s="20"/>
      <c r="E23" s="20" t="s">
        <v>57</v>
      </c>
    </row>
    <row r="24" spans="2:5" x14ac:dyDescent="0.2">
      <c r="C24" s="20" t="s">
        <v>384</v>
      </c>
      <c r="D24" s="20"/>
      <c r="E24" s="20" t="s">
        <v>58</v>
      </c>
    </row>
  </sheetData>
  <sheetProtection algorithmName="SHA-512" hashValue="XIY9+J7hTwxfoHnpvtRh9XQkE//786S0kJZHxtrfgYgtMEZYJgyxSF8U58YbtZulJ4wto9oHOryRdesN2ztvug==" saltValue="6Zvkc5Mq+rsb9UZCxB5mW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R200"/>
  <sheetViews>
    <sheetView showGridLines="0" workbookViewId="0"/>
  </sheetViews>
  <sheetFormatPr baseColWidth="10" defaultRowHeight="15" customHeight="1" x14ac:dyDescent="0.2"/>
  <cols>
    <col min="2" max="2" width="109.140625" style="19" bestFit="1" customWidth="1"/>
    <col min="3" max="3" width="11.85546875" style="170" bestFit="1" customWidth="1"/>
    <col min="4" max="4" width="11.42578125" style="186"/>
  </cols>
  <sheetData>
    <row r="1" spans="2:18" ht="15" customHeight="1" x14ac:dyDescent="0.2">
      <c r="B1"/>
      <c r="C1" s="166"/>
      <c r="D1" s="167"/>
    </row>
    <row r="2" spans="2:18" ht="18.75" x14ac:dyDescent="0.3">
      <c r="B2" s="361" t="s">
        <v>59</v>
      </c>
      <c r="C2" s="362"/>
      <c r="D2" s="362"/>
      <c r="E2" s="21"/>
      <c r="F2" s="3"/>
      <c r="G2" s="21" t="s">
        <v>59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2:18" ht="15" customHeight="1" x14ac:dyDescent="0.2">
      <c r="B3"/>
      <c r="C3" s="166"/>
      <c r="D3" s="167"/>
    </row>
    <row r="4" spans="2:18" ht="15" customHeight="1" x14ac:dyDescent="0.2">
      <c r="B4" s="402" t="s">
        <v>60</v>
      </c>
      <c r="C4" s="402"/>
      <c r="D4" s="402"/>
    </row>
    <row r="5" spans="2:18" ht="15" customHeight="1" x14ac:dyDescent="0.2">
      <c r="B5" s="4" t="s">
        <v>61</v>
      </c>
      <c r="C5" s="168">
        <v>2017</v>
      </c>
      <c r="D5" s="169">
        <v>2016</v>
      </c>
    </row>
    <row r="6" spans="2:18" ht="15" customHeight="1" x14ac:dyDescent="0.2">
      <c r="B6" s="26"/>
      <c r="D6" s="171"/>
    </row>
    <row r="7" spans="2:18" ht="15" customHeight="1" x14ac:dyDescent="0.2">
      <c r="B7" s="147" t="s">
        <v>212</v>
      </c>
      <c r="C7" s="170">
        <v>1807</v>
      </c>
      <c r="D7" s="171">
        <v>1807</v>
      </c>
    </row>
    <row r="8" spans="2:18" ht="15" customHeight="1" x14ac:dyDescent="0.2">
      <c r="B8" s="148" t="s">
        <v>63</v>
      </c>
      <c r="C8" s="170">
        <v>843</v>
      </c>
      <c r="D8" s="171">
        <v>843</v>
      </c>
    </row>
    <row r="9" spans="2:18" ht="15" customHeight="1" x14ac:dyDescent="0.2">
      <c r="B9" s="148" t="s">
        <v>65</v>
      </c>
      <c r="C9" s="170">
        <v>1980</v>
      </c>
      <c r="D9" s="171">
        <v>1657</v>
      </c>
    </row>
    <row r="10" spans="2:18" ht="15" customHeight="1" x14ac:dyDescent="0.2">
      <c r="B10" s="148" t="s">
        <v>213</v>
      </c>
      <c r="C10" s="170">
        <v>5235</v>
      </c>
      <c r="D10" s="171">
        <v>4459</v>
      </c>
    </row>
    <row r="11" spans="2:18" ht="15" customHeight="1" x14ac:dyDescent="0.2">
      <c r="B11" s="148" t="s">
        <v>66</v>
      </c>
      <c r="C11" s="170">
        <v>120</v>
      </c>
      <c r="D11" s="171">
        <v>521</v>
      </c>
    </row>
    <row r="12" spans="2:18" ht="15" customHeight="1" x14ac:dyDescent="0.2">
      <c r="B12" s="148" t="s">
        <v>214</v>
      </c>
      <c r="C12" s="170">
        <v>35</v>
      </c>
      <c r="D12" s="171">
        <v>20</v>
      </c>
    </row>
    <row r="13" spans="2:18" ht="15" customHeight="1" x14ac:dyDescent="0.2">
      <c r="B13" s="148" t="s">
        <v>68</v>
      </c>
      <c r="C13" s="170">
        <v>1749</v>
      </c>
      <c r="D13" s="171">
        <v>1704</v>
      </c>
    </row>
    <row r="14" spans="2:18" ht="15" customHeight="1" x14ac:dyDescent="0.2">
      <c r="B14" s="148" t="s">
        <v>211</v>
      </c>
      <c r="C14" s="170">
        <v>530</v>
      </c>
      <c r="D14" s="171">
        <v>0</v>
      </c>
    </row>
    <row r="15" spans="2:18" ht="15" customHeight="1" x14ac:dyDescent="0.2">
      <c r="B15" s="25" t="s">
        <v>69</v>
      </c>
      <c r="C15" s="172">
        <f>SUM(C7:C14)</f>
        <v>12299</v>
      </c>
      <c r="D15" s="173">
        <f>SUM(D7:D14)</f>
        <v>11011</v>
      </c>
    </row>
    <row r="16" spans="2:18" ht="15" customHeight="1" x14ac:dyDescent="0.2">
      <c r="B16" s="82"/>
      <c r="C16" s="174"/>
      <c r="D16" s="175"/>
    </row>
    <row r="17" spans="2:4" ht="15" customHeight="1" x14ac:dyDescent="0.2">
      <c r="B17" s="28" t="s">
        <v>70</v>
      </c>
      <c r="C17" s="174"/>
      <c r="D17" s="175"/>
    </row>
    <row r="18" spans="2:4" ht="15" customHeight="1" x14ac:dyDescent="0.2">
      <c r="B18" s="153" t="s">
        <v>211</v>
      </c>
      <c r="C18" s="174">
        <v>-530</v>
      </c>
      <c r="D18" s="175">
        <v>0</v>
      </c>
    </row>
    <row r="19" spans="2:4" ht="15" customHeight="1" x14ac:dyDescent="0.2">
      <c r="B19" s="149" t="s">
        <v>122</v>
      </c>
      <c r="C19" s="174">
        <v>-866</v>
      </c>
      <c r="D19" s="175">
        <v>-750</v>
      </c>
    </row>
    <row r="20" spans="2:4" ht="15" customHeight="1" x14ac:dyDescent="0.2">
      <c r="B20" s="149" t="s">
        <v>215</v>
      </c>
      <c r="C20" s="174">
        <v>-36</v>
      </c>
      <c r="D20" s="175">
        <v>-116</v>
      </c>
    </row>
    <row r="21" spans="2:4" ht="15" customHeight="1" x14ac:dyDescent="0.2">
      <c r="B21" s="149" t="s">
        <v>216</v>
      </c>
      <c r="C21" s="174">
        <v>-87</v>
      </c>
      <c r="D21" s="175">
        <v>-67</v>
      </c>
    </row>
    <row r="22" spans="2:4" ht="15" customHeight="1" x14ac:dyDescent="0.2">
      <c r="B22" s="149" t="s">
        <v>73</v>
      </c>
      <c r="C22" s="174">
        <v>-27</v>
      </c>
      <c r="D22" s="175">
        <v>-33</v>
      </c>
    </row>
    <row r="23" spans="2:4" ht="15" customHeight="1" x14ac:dyDescent="0.2">
      <c r="B23" s="151" t="s">
        <v>217</v>
      </c>
      <c r="C23" s="174">
        <v>-136</v>
      </c>
      <c r="D23" s="171">
        <v>-99</v>
      </c>
    </row>
    <row r="24" spans="2:4" ht="15" customHeight="1" x14ac:dyDescent="0.2">
      <c r="B24" s="150" t="s">
        <v>218</v>
      </c>
      <c r="C24" s="174">
        <v>-36</v>
      </c>
      <c r="D24" s="171">
        <v>-64</v>
      </c>
    </row>
    <row r="25" spans="2:4" ht="15" customHeight="1" x14ac:dyDescent="0.2">
      <c r="B25" s="149" t="s">
        <v>219</v>
      </c>
      <c r="C25" s="174">
        <v>-589</v>
      </c>
      <c r="D25" s="171">
        <v>-727</v>
      </c>
    </row>
    <row r="26" spans="2:4" ht="15" customHeight="1" x14ac:dyDescent="0.2">
      <c r="B26" s="149" t="s">
        <v>220</v>
      </c>
      <c r="C26" s="174">
        <v>0</v>
      </c>
      <c r="D26" s="171">
        <v>0</v>
      </c>
    </row>
    <row r="27" spans="2:4" ht="15" customHeight="1" x14ac:dyDescent="0.2">
      <c r="B27" s="154" t="s">
        <v>78</v>
      </c>
      <c r="C27" s="172">
        <f>C15+SUM(C18:C26)</f>
        <v>9992</v>
      </c>
      <c r="D27" s="176">
        <f>D15+SUM(D18:D26)</f>
        <v>9155</v>
      </c>
    </row>
    <row r="28" spans="2:4" ht="15" customHeight="1" x14ac:dyDescent="0.2">
      <c r="B28" s="152" t="s">
        <v>210</v>
      </c>
      <c r="C28" s="170">
        <f>869-4</f>
        <v>865</v>
      </c>
      <c r="D28" s="171">
        <v>796</v>
      </c>
    </row>
    <row r="29" spans="2:4" ht="15" customHeight="1" x14ac:dyDescent="0.2">
      <c r="B29" s="155" t="s">
        <v>79</v>
      </c>
      <c r="C29" s="177">
        <f>C27+C28</f>
        <v>10857</v>
      </c>
      <c r="D29" s="178">
        <f>D27+D28</f>
        <v>9951</v>
      </c>
    </row>
    <row r="30" spans="2:4" ht="15" customHeight="1" x14ac:dyDescent="0.2">
      <c r="B30" s="156" t="s">
        <v>123</v>
      </c>
      <c r="D30" s="179"/>
    </row>
    <row r="31" spans="2:4" ht="15" customHeight="1" x14ac:dyDescent="0.2">
      <c r="B31" s="157" t="s">
        <v>80</v>
      </c>
      <c r="C31" s="170">
        <v>1328</v>
      </c>
      <c r="D31" s="103">
        <v>1361</v>
      </c>
    </row>
    <row r="32" spans="2:4" ht="15" customHeight="1" x14ac:dyDescent="0.2">
      <c r="B32" s="158" t="s">
        <v>221</v>
      </c>
      <c r="C32" s="174">
        <v>-44</v>
      </c>
      <c r="D32" s="175">
        <v>-83</v>
      </c>
    </row>
    <row r="33" spans="1:4" ht="15" customHeight="1" x14ac:dyDescent="0.2">
      <c r="B33" s="22" t="s">
        <v>82</v>
      </c>
      <c r="C33" s="177">
        <f>C31+C32</f>
        <v>1284</v>
      </c>
      <c r="D33" s="178">
        <f>D31+D32</f>
        <v>1278</v>
      </c>
    </row>
    <row r="34" spans="1:4" ht="15" customHeight="1" x14ac:dyDescent="0.2">
      <c r="B34" s="26"/>
      <c r="D34" s="171"/>
    </row>
    <row r="35" spans="1:4" ht="15" customHeight="1" x14ac:dyDescent="0.2">
      <c r="B35" s="159" t="s">
        <v>60</v>
      </c>
      <c r="C35" s="177">
        <f>C33+C29</f>
        <v>12141</v>
      </c>
      <c r="D35" s="178">
        <f>D33+D29</f>
        <v>11229</v>
      </c>
    </row>
    <row r="36" spans="1:4" ht="15" customHeight="1" x14ac:dyDescent="0.2">
      <c r="B36" s="82"/>
      <c r="D36" s="180"/>
    </row>
    <row r="37" spans="1:4" ht="15" customHeight="1" x14ac:dyDescent="0.2">
      <c r="B37" s="403" t="s">
        <v>83</v>
      </c>
      <c r="C37" s="403"/>
      <c r="D37" s="403"/>
    </row>
    <row r="38" spans="1:4" ht="15" customHeight="1" x14ac:dyDescent="0.2">
      <c r="A38" s="114"/>
      <c r="B38" s="363" t="s">
        <v>61</v>
      </c>
      <c r="C38" s="373">
        <v>2017</v>
      </c>
      <c r="D38" s="374">
        <v>2016</v>
      </c>
    </row>
    <row r="39" spans="1:4" ht="15" customHeight="1" x14ac:dyDescent="0.2">
      <c r="A39" s="114"/>
      <c r="B39" s="33" t="s">
        <v>84</v>
      </c>
      <c r="C39" s="181"/>
      <c r="D39" s="175"/>
    </row>
    <row r="40" spans="1:4" ht="15" customHeight="1" x14ac:dyDescent="0.2">
      <c r="A40" s="114"/>
      <c r="B40" s="48" t="s">
        <v>43</v>
      </c>
      <c r="C40" s="181">
        <v>59.371000000000002</v>
      </c>
      <c r="D40" s="102">
        <v>58.611139450000003</v>
      </c>
    </row>
    <row r="41" spans="1:4" ht="15" customHeight="1" x14ac:dyDescent="0.2">
      <c r="A41" s="114"/>
      <c r="B41" s="48" t="s">
        <v>85</v>
      </c>
      <c r="C41" s="181">
        <v>294.55900000000003</v>
      </c>
      <c r="D41" s="102">
        <v>230.36882919999999</v>
      </c>
    </row>
    <row r="42" spans="1:4" ht="15" customHeight="1" x14ac:dyDescent="0.2">
      <c r="A42" s="114"/>
      <c r="B42" s="48" t="s">
        <v>86</v>
      </c>
      <c r="C42" s="181">
        <v>43.158999999999999</v>
      </c>
      <c r="D42" s="102">
        <v>41.366999999999997</v>
      </c>
    </row>
    <row r="43" spans="1:4" ht="15" customHeight="1" x14ac:dyDescent="0.2">
      <c r="A43" s="114"/>
      <c r="B43" s="48" t="s">
        <v>45</v>
      </c>
      <c r="C43" s="181">
        <v>785.904</v>
      </c>
      <c r="D43" s="102">
        <v>1809.7510287400003</v>
      </c>
    </row>
    <row r="44" spans="1:4" ht="15" customHeight="1" x14ac:dyDescent="0.2">
      <c r="A44" s="114"/>
      <c r="B44" s="48" t="s">
        <v>42</v>
      </c>
      <c r="C44" s="181">
        <v>5213.9799999999996</v>
      </c>
      <c r="D44" s="102">
        <v>3536.4503012165001</v>
      </c>
    </row>
    <row r="45" spans="1:4" ht="15" customHeight="1" x14ac:dyDescent="0.2">
      <c r="A45" s="114"/>
      <c r="B45" s="48" t="s">
        <v>87</v>
      </c>
      <c r="C45" s="181">
        <v>2554.5929999999998</v>
      </c>
      <c r="D45" s="102">
        <v>1630.4472524999999</v>
      </c>
    </row>
    <row r="46" spans="1:4" ht="15" customHeight="1" x14ac:dyDescent="0.2">
      <c r="A46" s="114"/>
      <c r="B46" s="48" t="s">
        <v>88</v>
      </c>
      <c r="C46" s="181">
        <v>1107.8630000000001</v>
      </c>
      <c r="D46" s="102">
        <v>1983.8496231250001</v>
      </c>
    </row>
    <row r="47" spans="1:4" ht="15" customHeight="1" x14ac:dyDescent="0.2">
      <c r="A47" s="114"/>
      <c r="B47" s="48" t="s">
        <v>89</v>
      </c>
      <c r="C47" s="181">
        <v>88.834999999999994</v>
      </c>
      <c r="D47" s="102">
        <v>99.628500000000003</v>
      </c>
    </row>
    <row r="48" spans="1:4" ht="15" customHeight="1" x14ac:dyDescent="0.2">
      <c r="A48" s="114"/>
      <c r="B48" s="48" t="s">
        <v>90</v>
      </c>
      <c r="C48" s="181">
        <v>1394.0619999999999</v>
      </c>
      <c r="D48" s="102">
        <v>1152.3296146600003</v>
      </c>
    </row>
    <row r="49" spans="1:4" ht="15" customHeight="1" x14ac:dyDescent="0.2">
      <c r="A49" s="114"/>
      <c r="B49" s="48" t="s">
        <v>91</v>
      </c>
      <c r="C49" s="181">
        <v>26.297000000000001</v>
      </c>
      <c r="D49" s="102">
        <v>22.779876000000002</v>
      </c>
    </row>
    <row r="50" spans="1:4" ht="15" customHeight="1" x14ac:dyDescent="0.2">
      <c r="A50" s="114"/>
      <c r="B50" s="90" t="s">
        <v>92</v>
      </c>
      <c r="C50" s="182">
        <v>1271.7750000000001</v>
      </c>
      <c r="D50" s="102">
        <v>2719.8079780000003</v>
      </c>
    </row>
    <row r="51" spans="1:4" ht="15" customHeight="1" x14ac:dyDescent="0.2">
      <c r="A51" s="114"/>
      <c r="B51" s="48" t="s">
        <v>93</v>
      </c>
      <c r="C51" s="181">
        <v>1534.91</v>
      </c>
      <c r="D51" s="102">
        <v>1279.4380238799999</v>
      </c>
    </row>
    <row r="52" spans="1:4" ht="15" customHeight="1" x14ac:dyDescent="0.2">
      <c r="A52" s="114"/>
      <c r="B52" s="52" t="s">
        <v>94</v>
      </c>
      <c r="C52" s="107">
        <f>SUM(C40:C51)</f>
        <v>14375.307999999997</v>
      </c>
      <c r="D52" s="183">
        <v>14564.829166771504</v>
      </c>
    </row>
    <row r="53" spans="1:4" ht="15" customHeight="1" x14ac:dyDescent="0.2">
      <c r="A53" s="114"/>
      <c r="B53" s="51" t="s">
        <v>95</v>
      </c>
      <c r="C53" s="181"/>
      <c r="D53" s="102"/>
    </row>
    <row r="54" spans="1:4" ht="15" customHeight="1" x14ac:dyDescent="0.2">
      <c r="A54" s="114"/>
      <c r="B54" s="48" t="s">
        <v>96</v>
      </c>
      <c r="C54" s="181">
        <v>3825.12</v>
      </c>
      <c r="D54" s="102">
        <v>4005.6566676699999</v>
      </c>
    </row>
    <row r="55" spans="1:4" ht="15" customHeight="1" x14ac:dyDescent="0.2">
      <c r="A55" s="114"/>
      <c r="B55" s="48" t="s">
        <v>97</v>
      </c>
      <c r="C55" s="181">
        <v>12824.763000000001</v>
      </c>
      <c r="D55" s="102">
        <v>10971.426271100001</v>
      </c>
    </row>
    <row r="56" spans="1:4" ht="15" customHeight="1" x14ac:dyDescent="0.2">
      <c r="A56" s="114"/>
      <c r="B56" s="48" t="s">
        <v>98</v>
      </c>
      <c r="C56" s="181">
        <v>1928.7170000000001</v>
      </c>
      <c r="D56" s="102">
        <v>1535.5660394299998</v>
      </c>
    </row>
    <row r="57" spans="1:4" ht="15" customHeight="1" x14ac:dyDescent="0.2">
      <c r="A57" s="114"/>
      <c r="B57" s="48" t="s">
        <v>99</v>
      </c>
      <c r="C57" s="181">
        <v>632.34500000000003</v>
      </c>
      <c r="D57" s="102">
        <v>525.14561802875494</v>
      </c>
    </row>
    <row r="58" spans="1:4" ht="15" customHeight="1" x14ac:dyDescent="0.2">
      <c r="A58" s="114"/>
      <c r="B58" s="48" t="s">
        <v>100</v>
      </c>
      <c r="C58" s="181">
        <v>16701.218000000001</v>
      </c>
      <c r="D58" s="102">
        <v>15676.077584592222</v>
      </c>
    </row>
    <row r="59" spans="1:4" ht="15" customHeight="1" x14ac:dyDescent="0.2">
      <c r="A59" s="114"/>
      <c r="B59" s="48" t="s">
        <v>101</v>
      </c>
      <c r="C59" s="181">
        <v>61.421999999999997</v>
      </c>
      <c r="D59" s="102">
        <v>54.241923717375002</v>
      </c>
    </row>
    <row r="60" spans="1:4" ht="15" customHeight="1" x14ac:dyDescent="0.2">
      <c r="A60" s="114"/>
      <c r="B60" s="48" t="s">
        <v>102</v>
      </c>
      <c r="C60" s="181">
        <v>828.82899999999995</v>
      </c>
      <c r="D60" s="102">
        <v>889.41849371573403</v>
      </c>
    </row>
    <row r="61" spans="1:4" ht="15" customHeight="1" x14ac:dyDescent="0.2">
      <c r="A61" s="114"/>
      <c r="B61" s="48" t="s">
        <v>103</v>
      </c>
      <c r="C61" s="181">
        <v>167.14599999999999</v>
      </c>
      <c r="D61" s="102">
        <v>147.712728</v>
      </c>
    </row>
    <row r="62" spans="1:4" ht="15" customHeight="1" x14ac:dyDescent="0.2">
      <c r="A62" s="114"/>
      <c r="B62" s="52" t="s">
        <v>104</v>
      </c>
      <c r="C62" s="107">
        <f>SUM(C54:C61)</f>
        <v>36969.56</v>
      </c>
      <c r="D62" s="106">
        <v>33805.245326254088</v>
      </c>
    </row>
    <row r="63" spans="1:4" ht="15" customHeight="1" x14ac:dyDescent="0.2">
      <c r="A63" s="114"/>
      <c r="B63" s="52" t="s">
        <v>105</v>
      </c>
      <c r="C63" s="107">
        <f>C62+C52</f>
        <v>51344.867999999995</v>
      </c>
      <c r="D63" s="106">
        <v>48370.07449302559</v>
      </c>
    </row>
    <row r="64" spans="1:4" ht="15" customHeight="1" x14ac:dyDescent="0.2">
      <c r="A64" s="114"/>
      <c r="B64" s="51" t="s">
        <v>51</v>
      </c>
      <c r="C64" s="181"/>
      <c r="D64" s="102"/>
    </row>
    <row r="65" spans="1:4" ht="15" customHeight="1" x14ac:dyDescent="0.2">
      <c r="A65" s="114"/>
      <c r="B65" s="48" t="s">
        <v>106</v>
      </c>
      <c r="C65" s="181">
        <v>93.783000000000001</v>
      </c>
      <c r="D65" s="102">
        <v>145.605615</v>
      </c>
    </row>
    <row r="66" spans="1:4" ht="15" customHeight="1" x14ac:dyDescent="0.2">
      <c r="A66" s="114"/>
      <c r="B66" s="48" t="s">
        <v>107</v>
      </c>
      <c r="C66" s="181">
        <v>67.534000000000006</v>
      </c>
      <c r="D66" s="102">
        <v>73.336421999999999</v>
      </c>
    </row>
    <row r="67" spans="1:4" ht="15" customHeight="1" x14ac:dyDescent="0.2">
      <c r="A67" s="114"/>
      <c r="B67" s="48" t="s">
        <v>108</v>
      </c>
      <c r="C67" s="181">
        <v>0</v>
      </c>
      <c r="D67" s="102">
        <v>0</v>
      </c>
    </row>
    <row r="68" spans="1:4" ht="15" customHeight="1" x14ac:dyDescent="0.2">
      <c r="A68" s="114"/>
      <c r="B68" s="52" t="s">
        <v>109</v>
      </c>
      <c r="C68" s="107">
        <f>SUM(C65:C67)</f>
        <v>161.31700000000001</v>
      </c>
      <c r="D68" s="106">
        <v>218.942037</v>
      </c>
    </row>
    <row r="69" spans="1:4" ht="15" customHeight="1" x14ac:dyDescent="0.2">
      <c r="A69" s="114"/>
      <c r="B69" s="47" t="s">
        <v>56</v>
      </c>
      <c r="C69" s="107">
        <v>4025.8249999999998</v>
      </c>
      <c r="D69" s="106">
        <v>3706.1456250000001</v>
      </c>
    </row>
    <row r="70" spans="1:4" ht="15" customHeight="1" x14ac:dyDescent="0.2">
      <c r="A70" s="114"/>
      <c r="B70" s="33" t="s">
        <v>110</v>
      </c>
      <c r="C70" s="181">
        <v>1035.9649999999999</v>
      </c>
      <c r="D70" s="102">
        <v>587.82948375000001</v>
      </c>
    </row>
    <row r="71" spans="1:4" ht="15" customHeight="1" x14ac:dyDescent="0.2">
      <c r="A71" s="114"/>
      <c r="B71" s="33" t="s">
        <v>111</v>
      </c>
      <c r="C71" s="181">
        <v>10654.869000000001</v>
      </c>
      <c r="D71" s="184">
        <v>8236.7019999999993</v>
      </c>
    </row>
    <row r="72" spans="1:4" ht="15" customHeight="1" x14ac:dyDescent="0.2">
      <c r="A72" s="114"/>
      <c r="B72" s="49" t="s">
        <v>112</v>
      </c>
      <c r="C72" s="107">
        <f>C71+C70+C69+C68+C63</f>
        <v>67222.843999999997</v>
      </c>
      <c r="D72" s="107">
        <f>D71+D70+D69+D68+D63</f>
        <v>61119.693638775585</v>
      </c>
    </row>
    <row r="73" spans="1:4" ht="15" customHeight="1" x14ac:dyDescent="0.2">
      <c r="A73" s="114"/>
      <c r="B73" s="37"/>
      <c r="C73" s="167"/>
      <c r="D73" s="167"/>
    </row>
    <row r="74" spans="1:4" ht="15" customHeight="1" x14ac:dyDescent="0.2">
      <c r="A74" s="114"/>
      <c r="B74" s="403" t="s">
        <v>385</v>
      </c>
      <c r="C74" s="403"/>
      <c r="D74" s="403"/>
    </row>
    <row r="75" spans="1:4" ht="15" customHeight="1" x14ac:dyDescent="0.2">
      <c r="A75" s="114"/>
      <c r="B75" s="46" t="s">
        <v>61</v>
      </c>
      <c r="C75" s="34">
        <v>2017</v>
      </c>
      <c r="D75" s="34">
        <v>2016</v>
      </c>
    </row>
    <row r="76" spans="1:4" ht="15" customHeight="1" x14ac:dyDescent="0.2">
      <c r="A76" s="114"/>
      <c r="B76" s="33" t="s">
        <v>38</v>
      </c>
      <c r="C76" s="37">
        <f>C63*0.08</f>
        <v>4107.5894399999997</v>
      </c>
      <c r="D76" s="37">
        <v>3869.6059594420472</v>
      </c>
    </row>
    <row r="77" spans="1:4" ht="15" customHeight="1" x14ac:dyDescent="0.2">
      <c r="A77" s="114"/>
      <c r="B77" s="33" t="s">
        <v>51</v>
      </c>
      <c r="C77" s="37">
        <f>C68*0.08</f>
        <v>12.905360000000002</v>
      </c>
      <c r="D77" s="37">
        <v>17.515362960000001</v>
      </c>
    </row>
    <row r="78" spans="1:4" ht="15" customHeight="1" x14ac:dyDescent="0.2">
      <c r="A78" s="114"/>
      <c r="B78" s="33" t="s">
        <v>56</v>
      </c>
      <c r="C78" s="37">
        <f>C69*0.08</f>
        <v>322.06599999999997</v>
      </c>
      <c r="D78" s="37">
        <v>296.49164999999999</v>
      </c>
    </row>
    <row r="79" spans="1:4" ht="15" customHeight="1" x14ac:dyDescent="0.2">
      <c r="A79" s="114"/>
      <c r="B79" s="33" t="s">
        <v>110</v>
      </c>
      <c r="C79" s="37">
        <f>C70*0.08</f>
        <v>82.877200000000002</v>
      </c>
      <c r="D79" s="37">
        <v>47.026358700000003</v>
      </c>
    </row>
    <row r="80" spans="1:4" ht="15" customHeight="1" x14ac:dyDescent="0.2">
      <c r="A80" s="114"/>
      <c r="B80" s="46" t="s">
        <v>114</v>
      </c>
      <c r="C80" s="38">
        <f>C71*0.08</f>
        <v>852.38952000000006</v>
      </c>
      <c r="D80" s="38">
        <v>658.93615999999997</v>
      </c>
    </row>
    <row r="81" spans="1:4" ht="15" customHeight="1" x14ac:dyDescent="0.2">
      <c r="A81" s="114"/>
      <c r="B81" s="49" t="s">
        <v>115</v>
      </c>
      <c r="C81" s="39">
        <f>SUM(C76:C80)</f>
        <v>5377.8275199999989</v>
      </c>
      <c r="D81" s="39">
        <v>4889.5754911020467</v>
      </c>
    </row>
    <row r="82" spans="1:4" ht="15" customHeight="1" x14ac:dyDescent="0.2">
      <c r="A82" s="114"/>
      <c r="B82" s="33" t="s">
        <v>116</v>
      </c>
      <c r="C82" s="385">
        <f>C27/C72</f>
        <v>0.1486399474559571</v>
      </c>
      <c r="D82" s="40">
        <v>0.14978805447074231</v>
      </c>
    </row>
    <row r="83" spans="1:4" ht="15" customHeight="1" x14ac:dyDescent="0.2">
      <c r="A83" s="114"/>
      <c r="B83" s="53" t="s">
        <v>117</v>
      </c>
      <c r="C83" s="385">
        <f>C29/C72</f>
        <v>0.16150759703055706</v>
      </c>
      <c r="D83" s="40">
        <v>0.16281167996049775</v>
      </c>
    </row>
    <row r="84" spans="1:4" ht="15" customHeight="1" x14ac:dyDescent="0.2">
      <c r="A84" s="114"/>
      <c r="B84" s="54" t="s">
        <v>118</v>
      </c>
      <c r="C84" s="386">
        <f>C35/C72</f>
        <v>0.18060824680372048</v>
      </c>
      <c r="D84" s="41">
        <v>0.18372147063374827</v>
      </c>
    </row>
    <row r="85" spans="1:4" ht="15" customHeight="1" x14ac:dyDescent="0.2">
      <c r="A85" s="114"/>
      <c r="C85" s="167"/>
      <c r="D85" s="167"/>
    </row>
    <row r="86" spans="1:4" ht="15" customHeight="1" x14ac:dyDescent="0.2">
      <c r="A86" s="114"/>
      <c r="C86" s="167"/>
      <c r="D86" s="167"/>
    </row>
    <row r="87" spans="1:4" ht="15" customHeight="1" x14ac:dyDescent="0.2">
      <c r="A87" s="114"/>
      <c r="C87" s="167"/>
      <c r="D87" s="167"/>
    </row>
    <row r="88" spans="1:4" ht="15" customHeight="1" x14ac:dyDescent="0.2">
      <c r="A88" s="114"/>
      <c r="C88" s="167"/>
      <c r="D88" s="167"/>
    </row>
    <row r="89" spans="1:4" ht="15" customHeight="1" x14ac:dyDescent="0.2">
      <c r="A89" s="114"/>
      <c r="C89" s="167"/>
      <c r="D89" s="167"/>
    </row>
    <row r="90" spans="1:4" ht="15" customHeight="1" x14ac:dyDescent="0.2">
      <c r="A90" s="114"/>
      <c r="C90" s="167"/>
      <c r="D90" s="167"/>
    </row>
    <row r="91" spans="1:4" ht="15" customHeight="1" x14ac:dyDescent="0.2">
      <c r="A91" s="114"/>
      <c r="C91" s="167"/>
      <c r="D91" s="167"/>
    </row>
    <row r="92" spans="1:4" ht="15" customHeight="1" x14ac:dyDescent="0.2">
      <c r="A92" s="114"/>
      <c r="C92" s="167"/>
      <c r="D92" s="167"/>
    </row>
    <row r="93" spans="1:4" ht="15" customHeight="1" x14ac:dyDescent="0.2">
      <c r="A93" s="114"/>
      <c r="C93" s="167"/>
      <c r="D93" s="167"/>
    </row>
    <row r="94" spans="1:4" ht="15" customHeight="1" x14ac:dyDescent="0.2">
      <c r="A94" s="114"/>
      <c r="C94" s="167"/>
      <c r="D94" s="167"/>
    </row>
    <row r="95" spans="1:4" ht="15" customHeight="1" x14ac:dyDescent="0.2">
      <c r="A95" s="114"/>
      <c r="C95" s="167"/>
      <c r="D95" s="167"/>
    </row>
    <row r="96" spans="1:4" ht="15" customHeight="1" x14ac:dyDescent="0.2">
      <c r="A96" s="114"/>
      <c r="C96" s="167"/>
      <c r="D96" s="167"/>
    </row>
    <row r="97" spans="1:4" ht="15" customHeight="1" x14ac:dyDescent="0.2">
      <c r="A97" s="114"/>
      <c r="C97" s="167"/>
      <c r="D97" s="167"/>
    </row>
    <row r="98" spans="1:4" ht="15" customHeight="1" x14ac:dyDescent="0.2">
      <c r="A98" s="114"/>
      <c r="C98" s="167"/>
      <c r="D98" s="167"/>
    </row>
    <row r="99" spans="1:4" ht="15" customHeight="1" x14ac:dyDescent="0.2">
      <c r="A99" s="114"/>
      <c r="C99" s="167"/>
      <c r="D99" s="167"/>
    </row>
    <row r="100" spans="1:4" ht="15" customHeight="1" x14ac:dyDescent="0.2">
      <c r="A100" s="114"/>
      <c r="C100" s="167"/>
      <c r="D100" s="167"/>
    </row>
    <row r="101" spans="1:4" ht="15" customHeight="1" x14ac:dyDescent="0.2">
      <c r="A101" s="114"/>
      <c r="C101" s="167"/>
      <c r="D101" s="167"/>
    </row>
    <row r="102" spans="1:4" ht="15" customHeight="1" x14ac:dyDescent="0.2">
      <c r="A102" s="114"/>
      <c r="C102" s="167"/>
      <c r="D102" s="167"/>
    </row>
    <row r="103" spans="1:4" ht="15" customHeight="1" x14ac:dyDescent="0.2">
      <c r="A103" s="114"/>
      <c r="C103" s="167"/>
      <c r="D103" s="167"/>
    </row>
    <row r="104" spans="1:4" ht="15" customHeight="1" x14ac:dyDescent="0.2">
      <c r="A104" s="114"/>
      <c r="C104" s="167"/>
      <c r="D104" s="167"/>
    </row>
    <row r="105" spans="1:4" ht="15" customHeight="1" x14ac:dyDescent="0.2">
      <c r="A105" s="114"/>
      <c r="C105" s="167"/>
      <c r="D105" s="167"/>
    </row>
    <row r="106" spans="1:4" ht="15" customHeight="1" x14ac:dyDescent="0.2">
      <c r="A106" s="114"/>
      <c r="C106" s="167"/>
      <c r="D106" s="167"/>
    </row>
    <row r="107" spans="1:4" ht="15" customHeight="1" x14ac:dyDescent="0.2">
      <c r="A107" s="114"/>
      <c r="C107" s="167"/>
      <c r="D107" s="167"/>
    </row>
    <row r="108" spans="1:4" ht="15" customHeight="1" x14ac:dyDescent="0.2">
      <c r="A108" s="114"/>
      <c r="C108" s="167"/>
      <c r="D108" s="167"/>
    </row>
    <row r="109" spans="1:4" ht="15" customHeight="1" x14ac:dyDescent="0.2">
      <c r="A109" s="114"/>
      <c r="C109" s="167"/>
      <c r="D109" s="167"/>
    </row>
    <row r="110" spans="1:4" ht="15" customHeight="1" x14ac:dyDescent="0.2">
      <c r="A110" s="114"/>
      <c r="C110" s="167"/>
      <c r="D110" s="167"/>
    </row>
    <row r="111" spans="1:4" ht="15" customHeight="1" x14ac:dyDescent="0.2">
      <c r="A111" s="114"/>
      <c r="C111" s="167"/>
      <c r="D111" s="167"/>
    </row>
    <row r="112" spans="1:4" ht="15" customHeight="1" x14ac:dyDescent="0.2">
      <c r="A112" s="114"/>
      <c r="C112" s="167"/>
      <c r="D112" s="167"/>
    </row>
    <row r="113" spans="1:4" ht="15" customHeight="1" x14ac:dyDescent="0.2">
      <c r="A113" s="114"/>
      <c r="C113" s="167"/>
      <c r="D113" s="167"/>
    </row>
    <row r="114" spans="1:4" ht="15" customHeight="1" x14ac:dyDescent="0.2">
      <c r="A114" s="114"/>
      <c r="C114" s="167"/>
      <c r="D114" s="167"/>
    </row>
    <row r="115" spans="1:4" ht="15" customHeight="1" x14ac:dyDescent="0.2">
      <c r="A115" s="114"/>
      <c r="C115" s="167"/>
      <c r="D115" s="167"/>
    </row>
    <row r="116" spans="1:4" ht="15" customHeight="1" x14ac:dyDescent="0.2">
      <c r="A116" s="114"/>
      <c r="C116" s="167"/>
      <c r="D116" s="167"/>
    </row>
    <row r="117" spans="1:4" ht="15" customHeight="1" x14ac:dyDescent="0.2">
      <c r="A117" s="114"/>
      <c r="C117" s="167"/>
      <c r="D117" s="167"/>
    </row>
    <row r="118" spans="1:4" ht="15" customHeight="1" x14ac:dyDescent="0.2">
      <c r="A118" s="114"/>
      <c r="C118" s="167"/>
      <c r="D118" s="167"/>
    </row>
    <row r="119" spans="1:4" ht="15" customHeight="1" x14ac:dyDescent="0.2">
      <c r="A119" s="114"/>
      <c r="C119" s="167"/>
      <c r="D119" s="167"/>
    </row>
    <row r="120" spans="1:4" ht="15" customHeight="1" x14ac:dyDescent="0.2">
      <c r="A120" s="114"/>
      <c r="C120" s="167"/>
      <c r="D120" s="167"/>
    </row>
    <row r="121" spans="1:4" ht="15" customHeight="1" x14ac:dyDescent="0.2">
      <c r="A121" s="114"/>
      <c r="C121" s="167"/>
      <c r="D121" s="167"/>
    </row>
    <row r="122" spans="1:4" ht="15" customHeight="1" x14ac:dyDescent="0.2">
      <c r="A122" s="114"/>
      <c r="C122" s="167"/>
      <c r="D122" s="167"/>
    </row>
    <row r="123" spans="1:4" ht="15" customHeight="1" x14ac:dyDescent="0.2">
      <c r="A123" s="114"/>
      <c r="C123" s="167"/>
      <c r="D123" s="167"/>
    </row>
    <row r="124" spans="1:4" ht="15" customHeight="1" x14ac:dyDescent="0.2">
      <c r="A124" s="114"/>
      <c r="C124" s="167"/>
      <c r="D124" s="167"/>
    </row>
    <row r="125" spans="1:4" ht="15" customHeight="1" x14ac:dyDescent="0.2">
      <c r="A125" s="114"/>
      <c r="C125" s="167"/>
      <c r="D125" s="167"/>
    </row>
    <row r="126" spans="1:4" ht="15" customHeight="1" x14ac:dyDescent="0.2">
      <c r="A126" s="114"/>
      <c r="C126" s="167"/>
      <c r="D126" s="167"/>
    </row>
    <row r="127" spans="1:4" ht="15" customHeight="1" x14ac:dyDescent="0.2">
      <c r="A127" s="114"/>
      <c r="C127" s="167"/>
      <c r="D127" s="167"/>
    </row>
    <row r="128" spans="1:4" ht="15" customHeight="1" x14ac:dyDescent="0.2">
      <c r="A128" s="114"/>
      <c r="C128" s="167"/>
      <c r="D128" s="167"/>
    </row>
    <row r="129" spans="1:4" ht="15" customHeight="1" x14ac:dyDescent="0.2">
      <c r="A129" s="114"/>
      <c r="C129" s="167"/>
      <c r="D129" s="167"/>
    </row>
    <row r="130" spans="1:4" ht="15" customHeight="1" x14ac:dyDescent="0.2">
      <c r="A130" s="114"/>
      <c r="C130" s="167"/>
      <c r="D130" s="167"/>
    </row>
    <row r="131" spans="1:4" ht="15" customHeight="1" x14ac:dyDescent="0.2">
      <c r="A131" s="114"/>
      <c r="C131" s="167"/>
      <c r="D131" s="167"/>
    </row>
    <row r="132" spans="1:4" ht="15" customHeight="1" x14ac:dyDescent="0.2">
      <c r="A132" s="114"/>
      <c r="C132" s="167"/>
      <c r="D132" s="167"/>
    </row>
    <row r="133" spans="1:4" ht="15" customHeight="1" x14ac:dyDescent="0.2">
      <c r="A133" s="114"/>
      <c r="C133" s="167"/>
      <c r="D133" s="167"/>
    </row>
    <row r="134" spans="1:4" ht="15" customHeight="1" x14ac:dyDescent="0.2">
      <c r="A134" s="114"/>
      <c r="C134" s="167"/>
      <c r="D134" s="167"/>
    </row>
    <row r="135" spans="1:4" ht="15" customHeight="1" x14ac:dyDescent="0.2">
      <c r="A135" s="114"/>
      <c r="C135" s="167"/>
      <c r="D135" s="167"/>
    </row>
    <row r="136" spans="1:4" ht="15" customHeight="1" x14ac:dyDescent="0.2">
      <c r="A136" s="114"/>
      <c r="C136" s="167"/>
      <c r="D136" s="167"/>
    </row>
    <row r="137" spans="1:4" ht="15" customHeight="1" x14ac:dyDescent="0.2">
      <c r="A137" s="114"/>
      <c r="C137" s="167"/>
      <c r="D137" s="167"/>
    </row>
    <row r="138" spans="1:4" ht="15" customHeight="1" x14ac:dyDescent="0.2">
      <c r="A138" s="114"/>
      <c r="C138" s="167"/>
      <c r="D138" s="167"/>
    </row>
    <row r="139" spans="1:4" ht="15" customHeight="1" x14ac:dyDescent="0.2">
      <c r="A139" s="114"/>
      <c r="C139" s="167"/>
      <c r="D139" s="167"/>
    </row>
    <row r="140" spans="1:4" ht="15" customHeight="1" x14ac:dyDescent="0.2">
      <c r="A140" s="114"/>
      <c r="C140" s="167"/>
      <c r="D140" s="167"/>
    </row>
    <row r="141" spans="1:4" ht="15" customHeight="1" x14ac:dyDescent="0.2">
      <c r="A141" s="114"/>
      <c r="C141" s="167"/>
      <c r="D141" s="167"/>
    </row>
    <row r="142" spans="1:4" ht="15" customHeight="1" x14ac:dyDescent="0.2">
      <c r="A142" s="114"/>
      <c r="C142" s="167"/>
      <c r="D142" s="167"/>
    </row>
    <row r="143" spans="1:4" ht="15" customHeight="1" x14ac:dyDescent="0.2">
      <c r="A143" s="114"/>
      <c r="C143" s="167"/>
      <c r="D143" s="167"/>
    </row>
    <row r="144" spans="1:4" ht="15" customHeight="1" x14ac:dyDescent="0.2">
      <c r="A144" s="114"/>
      <c r="C144" s="167"/>
      <c r="D144" s="167"/>
    </row>
    <row r="145" spans="1:4" ht="15" customHeight="1" x14ac:dyDescent="0.2">
      <c r="A145" s="114"/>
      <c r="C145" s="167"/>
      <c r="D145" s="167"/>
    </row>
    <row r="146" spans="1:4" ht="15" customHeight="1" x14ac:dyDescent="0.2">
      <c r="A146" s="114"/>
      <c r="C146" s="167"/>
      <c r="D146" s="167"/>
    </row>
    <row r="147" spans="1:4" ht="15" customHeight="1" x14ac:dyDescent="0.2">
      <c r="A147" s="114"/>
      <c r="C147" s="167"/>
      <c r="D147" s="167"/>
    </row>
    <row r="148" spans="1:4" ht="15" customHeight="1" x14ac:dyDescent="0.2">
      <c r="A148" s="114"/>
      <c r="C148" s="167"/>
      <c r="D148" s="167"/>
    </row>
    <row r="149" spans="1:4" ht="15" customHeight="1" x14ac:dyDescent="0.2">
      <c r="A149" s="114"/>
      <c r="C149" s="167"/>
      <c r="D149" s="167"/>
    </row>
    <row r="150" spans="1:4" ht="15" customHeight="1" x14ac:dyDescent="0.2">
      <c r="A150" s="114"/>
      <c r="C150" s="167"/>
      <c r="D150" s="167"/>
    </row>
    <row r="151" spans="1:4" ht="15" customHeight="1" x14ac:dyDescent="0.2">
      <c r="A151" s="114"/>
      <c r="C151" s="167"/>
      <c r="D151" s="167"/>
    </row>
    <row r="152" spans="1:4" ht="15" customHeight="1" x14ac:dyDescent="0.2">
      <c r="A152" s="114"/>
      <c r="C152" s="167"/>
      <c r="D152" s="167"/>
    </row>
    <row r="153" spans="1:4" ht="15" customHeight="1" x14ac:dyDescent="0.2">
      <c r="A153" s="114"/>
      <c r="C153" s="167"/>
      <c r="D153" s="167"/>
    </row>
    <row r="154" spans="1:4" ht="15" customHeight="1" x14ac:dyDescent="0.2">
      <c r="A154" s="114"/>
      <c r="C154" s="167"/>
      <c r="D154" s="167"/>
    </row>
    <row r="155" spans="1:4" ht="15" customHeight="1" x14ac:dyDescent="0.2">
      <c r="A155" s="114"/>
      <c r="C155" s="167"/>
      <c r="D155" s="167"/>
    </row>
    <row r="156" spans="1:4" ht="15" customHeight="1" x14ac:dyDescent="0.2">
      <c r="A156" s="114"/>
      <c r="C156" s="167"/>
      <c r="D156" s="167"/>
    </row>
    <row r="157" spans="1:4" ht="15" customHeight="1" x14ac:dyDescent="0.2">
      <c r="A157" s="114"/>
      <c r="C157" s="167"/>
      <c r="D157" s="167"/>
    </row>
    <row r="158" spans="1:4" ht="15" customHeight="1" x14ac:dyDescent="0.2">
      <c r="A158" s="114"/>
      <c r="C158" s="167"/>
      <c r="D158" s="167"/>
    </row>
    <row r="159" spans="1:4" ht="15" customHeight="1" x14ac:dyDescent="0.2">
      <c r="A159" s="114"/>
      <c r="C159" s="167"/>
      <c r="D159" s="167"/>
    </row>
    <row r="160" spans="1:4" ht="15" customHeight="1" x14ac:dyDescent="0.2">
      <c r="A160" s="114"/>
      <c r="C160" s="167"/>
      <c r="D160" s="167"/>
    </row>
    <row r="161" spans="1:4" ht="15" customHeight="1" x14ac:dyDescent="0.2">
      <c r="A161" s="114"/>
      <c r="C161" s="167"/>
      <c r="D161" s="167"/>
    </row>
    <row r="162" spans="1:4" ht="15" customHeight="1" x14ac:dyDescent="0.2">
      <c r="A162" s="114"/>
      <c r="C162" s="167"/>
      <c r="D162" s="167"/>
    </row>
    <row r="163" spans="1:4" ht="15" customHeight="1" x14ac:dyDescent="0.2">
      <c r="A163" s="114"/>
      <c r="C163" s="167"/>
      <c r="D163" s="167"/>
    </row>
    <row r="164" spans="1:4" ht="15" customHeight="1" x14ac:dyDescent="0.2">
      <c r="A164" s="114"/>
      <c r="C164" s="167"/>
      <c r="D164" s="167"/>
    </row>
    <row r="165" spans="1:4" ht="15" customHeight="1" x14ac:dyDescent="0.2">
      <c r="A165" s="114"/>
      <c r="C165" s="167"/>
      <c r="D165" s="167"/>
    </row>
    <row r="166" spans="1:4" ht="15" customHeight="1" x14ac:dyDescent="0.2">
      <c r="A166" s="114"/>
      <c r="C166" s="167"/>
      <c r="D166" s="167"/>
    </row>
    <row r="167" spans="1:4" ht="15" customHeight="1" x14ac:dyDescent="0.2">
      <c r="A167" s="114"/>
      <c r="C167" s="167"/>
      <c r="D167" s="167"/>
    </row>
    <row r="168" spans="1:4" ht="15" customHeight="1" x14ac:dyDescent="0.2">
      <c r="A168" s="114"/>
      <c r="C168" s="167"/>
      <c r="D168" s="167"/>
    </row>
    <row r="169" spans="1:4" ht="15" customHeight="1" x14ac:dyDescent="0.2">
      <c r="A169" s="114"/>
      <c r="C169" s="167"/>
      <c r="D169" s="167"/>
    </row>
    <row r="170" spans="1:4" ht="15" customHeight="1" x14ac:dyDescent="0.2">
      <c r="A170" s="114"/>
      <c r="C170" s="167"/>
      <c r="D170" s="167"/>
    </row>
    <row r="171" spans="1:4" ht="15" customHeight="1" x14ac:dyDescent="0.2">
      <c r="A171" s="114"/>
      <c r="C171" s="167"/>
      <c r="D171" s="167"/>
    </row>
    <row r="172" spans="1:4" ht="15" customHeight="1" x14ac:dyDescent="0.2">
      <c r="A172" s="114"/>
      <c r="C172" s="167"/>
      <c r="D172" s="167"/>
    </row>
    <row r="173" spans="1:4" ht="15" customHeight="1" x14ac:dyDescent="0.2">
      <c r="A173" s="114"/>
      <c r="C173" s="167"/>
      <c r="D173" s="167"/>
    </row>
    <row r="174" spans="1:4" ht="15" customHeight="1" x14ac:dyDescent="0.2">
      <c r="A174" s="114"/>
      <c r="C174" s="167"/>
      <c r="D174" s="167"/>
    </row>
    <row r="175" spans="1:4" ht="15" customHeight="1" x14ac:dyDescent="0.2">
      <c r="A175" s="114"/>
      <c r="C175" s="167"/>
      <c r="D175" s="167"/>
    </row>
    <row r="176" spans="1:4" ht="15" customHeight="1" x14ac:dyDescent="0.2">
      <c r="A176" s="114"/>
      <c r="C176" s="167"/>
      <c r="D176" s="167"/>
    </row>
    <row r="177" spans="1:4" ht="15" customHeight="1" x14ac:dyDescent="0.2">
      <c r="A177" s="114"/>
      <c r="C177" s="167"/>
      <c r="D177" s="167"/>
    </row>
    <row r="178" spans="1:4" ht="15" customHeight="1" x14ac:dyDescent="0.2">
      <c r="A178" s="114"/>
      <c r="C178" s="167"/>
      <c r="D178" s="167"/>
    </row>
    <row r="179" spans="1:4" ht="15" customHeight="1" x14ac:dyDescent="0.2">
      <c r="A179" s="114"/>
      <c r="C179" s="167"/>
      <c r="D179" s="167"/>
    </row>
    <row r="180" spans="1:4" ht="15" customHeight="1" x14ac:dyDescent="0.2">
      <c r="A180" s="114"/>
      <c r="C180" s="167"/>
      <c r="D180" s="167"/>
    </row>
    <row r="181" spans="1:4" ht="15" customHeight="1" x14ac:dyDescent="0.2">
      <c r="A181" s="114"/>
      <c r="C181" s="167"/>
      <c r="D181" s="167"/>
    </row>
    <row r="182" spans="1:4" ht="15" customHeight="1" x14ac:dyDescent="0.2">
      <c r="A182" s="114"/>
      <c r="C182" s="167"/>
      <c r="D182" s="167"/>
    </row>
    <row r="183" spans="1:4" ht="15" customHeight="1" x14ac:dyDescent="0.2">
      <c r="A183" s="114"/>
      <c r="C183" s="167"/>
      <c r="D183" s="167"/>
    </row>
    <row r="184" spans="1:4" ht="15" customHeight="1" x14ac:dyDescent="0.2">
      <c r="A184" s="114"/>
      <c r="C184" s="167"/>
      <c r="D184" s="167"/>
    </row>
    <row r="185" spans="1:4" ht="15" customHeight="1" x14ac:dyDescent="0.2">
      <c r="A185" s="114"/>
      <c r="C185" s="167"/>
      <c r="D185" s="167"/>
    </row>
    <row r="186" spans="1:4" ht="15" customHeight="1" x14ac:dyDescent="0.2">
      <c r="A186" s="114"/>
      <c r="C186" s="167"/>
      <c r="D186" s="167"/>
    </row>
    <row r="187" spans="1:4" ht="15" customHeight="1" x14ac:dyDescent="0.2">
      <c r="A187" s="114"/>
      <c r="C187" s="167"/>
      <c r="D187" s="167"/>
    </row>
    <row r="188" spans="1:4" ht="15" customHeight="1" x14ac:dyDescent="0.2">
      <c r="A188" s="114"/>
      <c r="C188" s="167"/>
      <c r="D188" s="167"/>
    </row>
    <row r="189" spans="1:4" ht="15" customHeight="1" x14ac:dyDescent="0.2">
      <c r="A189" s="114"/>
      <c r="C189" s="167"/>
      <c r="D189" s="167"/>
    </row>
    <row r="190" spans="1:4" ht="15" customHeight="1" x14ac:dyDescent="0.2">
      <c r="A190" s="114"/>
      <c r="C190" s="167"/>
      <c r="D190" s="167"/>
    </row>
    <row r="191" spans="1:4" ht="15" customHeight="1" x14ac:dyDescent="0.2">
      <c r="A191" s="114"/>
      <c r="C191" s="167"/>
      <c r="D191" s="167"/>
    </row>
    <row r="192" spans="1:4" ht="15" customHeight="1" x14ac:dyDescent="0.2">
      <c r="A192" s="114"/>
      <c r="C192" s="167"/>
      <c r="D192" s="167"/>
    </row>
    <row r="193" spans="1:4" ht="15" customHeight="1" x14ac:dyDescent="0.2">
      <c r="A193" s="114"/>
      <c r="C193" s="167"/>
      <c r="D193" s="167"/>
    </row>
    <row r="194" spans="1:4" ht="15" customHeight="1" x14ac:dyDescent="0.2">
      <c r="A194" s="114"/>
      <c r="C194" s="167"/>
      <c r="D194" s="167"/>
    </row>
    <row r="195" spans="1:4" ht="15" customHeight="1" x14ac:dyDescent="0.2">
      <c r="A195" s="114"/>
      <c r="C195" s="167"/>
      <c r="D195" s="167"/>
    </row>
    <row r="196" spans="1:4" ht="15" customHeight="1" x14ac:dyDescent="0.2">
      <c r="A196" s="114"/>
      <c r="C196" s="167"/>
      <c r="D196" s="167"/>
    </row>
    <row r="197" spans="1:4" ht="15" customHeight="1" x14ac:dyDescent="0.2">
      <c r="A197" s="114"/>
      <c r="C197" s="167"/>
      <c r="D197" s="167"/>
    </row>
    <row r="198" spans="1:4" ht="15" customHeight="1" x14ac:dyDescent="0.2">
      <c r="A198" s="114"/>
      <c r="C198" s="167"/>
      <c r="D198" s="167"/>
    </row>
    <row r="199" spans="1:4" ht="15" customHeight="1" x14ac:dyDescent="0.2">
      <c r="A199" s="114"/>
      <c r="C199" s="167"/>
      <c r="D199" s="167"/>
    </row>
    <row r="200" spans="1:4" ht="15" customHeight="1" x14ac:dyDescent="0.2">
      <c r="A200" s="114"/>
    </row>
  </sheetData>
  <sheetProtection algorithmName="SHA-512" hashValue="du6egOUugl5xy6BZabl85CR1BpMcAmAjemdCBzFYQ9dqODQoVME6I6gpU6VL+HUk2ztQI+MjO2FyGCCzMDRyWQ==" saltValue="fqLjgBdjaXpOPDHL6sG80g==" spinCount="100000" sheet="1" objects="1" scenarios="1"/>
  <mergeCells count="3">
    <mergeCell ref="B4:D4"/>
    <mergeCell ref="B37:D37"/>
    <mergeCell ref="B74:D7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B2:R47"/>
  <sheetViews>
    <sheetView showGridLines="0" workbookViewId="0"/>
  </sheetViews>
  <sheetFormatPr baseColWidth="10" defaultRowHeight="12.75" x14ac:dyDescent="0.2"/>
  <cols>
    <col min="2" max="2" width="47.140625" customWidth="1"/>
    <col min="3" max="3" width="11.42578125" style="8"/>
    <col min="6" max="6" width="12.140625" customWidth="1"/>
  </cols>
  <sheetData>
    <row r="2" spans="2:18" ht="18.75" x14ac:dyDescent="0.3">
      <c r="B2" s="361" t="s">
        <v>119</v>
      </c>
      <c r="C2" s="364"/>
      <c r="D2" s="358"/>
      <c r="E2" s="21"/>
      <c r="F2" s="201"/>
      <c r="G2" s="200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2:18" x14ac:dyDescent="0.2">
      <c r="B3" s="359" t="s">
        <v>28</v>
      </c>
      <c r="F3" s="129"/>
    </row>
    <row r="4" spans="2:18" x14ac:dyDescent="0.2">
      <c r="B4" s="3"/>
    </row>
    <row r="5" spans="2:18" x14ac:dyDescent="0.2">
      <c r="B5" s="44" t="s">
        <v>60</v>
      </c>
      <c r="D5" s="33"/>
    </row>
    <row r="6" spans="2:18" x14ac:dyDescent="0.2">
      <c r="B6" s="46" t="s">
        <v>120</v>
      </c>
      <c r="C6" s="192">
        <v>2017</v>
      </c>
      <c r="D6" s="34">
        <v>2016</v>
      </c>
    </row>
    <row r="7" spans="2:18" x14ac:dyDescent="0.2">
      <c r="B7" s="33" t="s">
        <v>121</v>
      </c>
      <c r="C7" s="193">
        <v>632000</v>
      </c>
      <c r="D7" s="37">
        <v>532000</v>
      </c>
    </row>
    <row r="8" spans="2:18" x14ac:dyDescent="0.2">
      <c r="B8" s="33" t="s">
        <v>63</v>
      </c>
      <c r="C8" s="193">
        <v>59000</v>
      </c>
      <c r="D8" s="37">
        <v>59000</v>
      </c>
    </row>
    <row r="9" spans="2:18" x14ac:dyDescent="0.2">
      <c r="B9" s="33" t="s">
        <v>68</v>
      </c>
      <c r="C9" s="193">
        <v>82160</v>
      </c>
      <c r="D9" s="37">
        <v>138089</v>
      </c>
    </row>
    <row r="10" spans="2:18" x14ac:dyDescent="0.2">
      <c r="B10" s="33" t="s">
        <v>210</v>
      </c>
      <c r="C10" s="193">
        <v>83875</v>
      </c>
      <c r="D10" s="37">
        <v>0</v>
      </c>
    </row>
    <row r="11" spans="2:18" x14ac:dyDescent="0.2">
      <c r="B11" s="47" t="s">
        <v>69</v>
      </c>
      <c r="C11" s="194">
        <f>SUM(C7:C10)</f>
        <v>857035</v>
      </c>
      <c r="D11" s="194">
        <f>SUM(D7:D10)</f>
        <v>729089</v>
      </c>
    </row>
    <row r="12" spans="2:18" x14ac:dyDescent="0.2">
      <c r="B12" s="33"/>
      <c r="C12" s="195"/>
      <c r="D12" s="195"/>
    </row>
    <row r="13" spans="2:18" x14ac:dyDescent="0.2">
      <c r="B13" s="33" t="s">
        <v>70</v>
      </c>
      <c r="C13" s="193"/>
      <c r="D13" s="37"/>
      <c r="F13" s="37"/>
    </row>
    <row r="14" spans="2:18" x14ac:dyDescent="0.2">
      <c r="B14" s="48" t="s">
        <v>210</v>
      </c>
      <c r="C14" s="193">
        <f>-C10</f>
        <v>-83875</v>
      </c>
    </row>
    <row r="15" spans="2:18" x14ac:dyDescent="0.2">
      <c r="B15" s="48" t="s">
        <v>122</v>
      </c>
      <c r="C15" s="193">
        <v>-5251</v>
      </c>
      <c r="D15" s="37">
        <v>-64485</v>
      </c>
    </row>
    <row r="16" spans="2:18" ht="10.5" customHeight="1" x14ac:dyDescent="0.2">
      <c r="B16" s="48" t="s">
        <v>76</v>
      </c>
      <c r="C16" s="193">
        <v>-10916</v>
      </c>
      <c r="D16" s="37">
        <v>-7106.326</v>
      </c>
    </row>
    <row r="17" spans="2:4" x14ac:dyDescent="0.2">
      <c r="B17" s="82" t="s">
        <v>73</v>
      </c>
      <c r="C17" s="193">
        <v>-84</v>
      </c>
      <c r="D17" s="37">
        <v>0</v>
      </c>
    </row>
    <row r="18" spans="2:4" x14ac:dyDescent="0.2">
      <c r="B18" s="47" t="s">
        <v>78</v>
      </c>
      <c r="C18" s="198">
        <f>C11+SUM(C14:C17)</f>
        <v>756909</v>
      </c>
      <c r="D18" s="36">
        <f>D11+D15+D16</f>
        <v>657497.674</v>
      </c>
    </row>
    <row r="19" spans="2:4" x14ac:dyDescent="0.2">
      <c r="B19" s="33" t="s">
        <v>210</v>
      </c>
      <c r="C19" s="195">
        <f>C10</f>
        <v>83875</v>
      </c>
      <c r="D19" s="37"/>
    </row>
    <row r="20" spans="2:4" x14ac:dyDescent="0.2">
      <c r="B20" s="47" t="s">
        <v>79</v>
      </c>
      <c r="C20" s="194">
        <f>C18+C19</f>
        <v>840784</v>
      </c>
      <c r="D20" s="194">
        <f>D18+D19</f>
        <v>657497.674</v>
      </c>
    </row>
    <row r="21" spans="2:4" x14ac:dyDescent="0.2">
      <c r="B21" s="47" t="s">
        <v>123</v>
      </c>
      <c r="C21" s="194">
        <v>101000</v>
      </c>
      <c r="D21" s="55">
        <v>76000</v>
      </c>
    </row>
    <row r="22" spans="2:4" x14ac:dyDescent="0.2">
      <c r="B22" s="49" t="s">
        <v>60</v>
      </c>
      <c r="C22" s="198">
        <f>C20+C21</f>
        <v>941784</v>
      </c>
      <c r="D22" s="36">
        <v>733498.152</v>
      </c>
    </row>
    <row r="23" spans="2:4" x14ac:dyDescent="0.2">
      <c r="B23" s="33"/>
      <c r="C23" s="193"/>
      <c r="D23" s="33"/>
    </row>
    <row r="24" spans="2:4" x14ac:dyDescent="0.2">
      <c r="B24" s="50" t="s">
        <v>83</v>
      </c>
      <c r="C24" s="193"/>
      <c r="D24" s="56"/>
    </row>
    <row r="25" spans="2:4" x14ac:dyDescent="0.2">
      <c r="B25" s="46" t="s">
        <v>120</v>
      </c>
      <c r="C25" s="192">
        <v>2017</v>
      </c>
      <c r="D25" s="34">
        <v>2016</v>
      </c>
    </row>
    <row r="26" spans="2:4" x14ac:dyDescent="0.2">
      <c r="B26" s="51" t="s">
        <v>84</v>
      </c>
      <c r="C26" s="193"/>
      <c r="D26" s="51"/>
    </row>
    <row r="27" spans="2:4" x14ac:dyDescent="0.2">
      <c r="B27" s="48" t="s">
        <v>43</v>
      </c>
      <c r="C27" s="193">
        <v>0</v>
      </c>
      <c r="D27" s="37">
        <v>34.9</v>
      </c>
    </row>
    <row r="28" spans="2:4" x14ac:dyDescent="0.2">
      <c r="B28" s="48" t="s">
        <v>85</v>
      </c>
      <c r="C28" s="193">
        <v>9958</v>
      </c>
      <c r="D28" s="37">
        <v>11681.3</v>
      </c>
    </row>
    <row r="29" spans="2:4" x14ac:dyDescent="0.2">
      <c r="B29" s="48" t="s">
        <v>86</v>
      </c>
      <c r="C29" s="193">
        <v>43159</v>
      </c>
      <c r="D29" s="37">
        <v>32671.714</v>
      </c>
    </row>
    <row r="30" spans="2:4" x14ac:dyDescent="0.2">
      <c r="B30" s="48" t="s">
        <v>45</v>
      </c>
      <c r="C30" s="193">
        <v>23323.5</v>
      </c>
      <c r="D30" s="37">
        <v>31181.599999999999</v>
      </c>
    </row>
    <row r="31" spans="2:4" x14ac:dyDescent="0.2">
      <c r="B31" s="48" t="s">
        <v>42</v>
      </c>
      <c r="C31" s="193">
        <v>2692879.9</v>
      </c>
      <c r="D31" s="37">
        <v>2297437.4999999995</v>
      </c>
    </row>
    <row r="32" spans="2:4" x14ac:dyDescent="0.2">
      <c r="B32" s="48" t="s">
        <v>87</v>
      </c>
      <c r="C32" s="193">
        <v>1879698</v>
      </c>
      <c r="D32" s="37">
        <v>1616072.3250000002</v>
      </c>
    </row>
    <row r="33" spans="2:5" x14ac:dyDescent="0.2">
      <c r="B33" s="48" t="s">
        <v>89</v>
      </c>
      <c r="C33" s="193">
        <v>88835</v>
      </c>
      <c r="D33" s="37">
        <v>99627.75</v>
      </c>
    </row>
    <row r="34" spans="2:5" x14ac:dyDescent="0.2">
      <c r="B34" s="48" t="s">
        <v>93</v>
      </c>
      <c r="C34" s="193">
        <v>77187</v>
      </c>
      <c r="D34" s="37">
        <v>212226.57399999999</v>
      </c>
    </row>
    <row r="35" spans="2:5" x14ac:dyDescent="0.2">
      <c r="B35" s="52" t="s">
        <v>105</v>
      </c>
      <c r="C35" s="194">
        <f>SUM(C27:C34)</f>
        <v>4815040.4000000004</v>
      </c>
      <c r="D35" s="55">
        <v>4300933.6629999997</v>
      </c>
    </row>
    <row r="36" spans="2:5" x14ac:dyDescent="0.2">
      <c r="B36" s="46" t="s">
        <v>56</v>
      </c>
      <c r="C36" s="193">
        <v>339420</v>
      </c>
      <c r="D36" s="38">
        <v>314274.375</v>
      </c>
    </row>
    <row r="37" spans="2:5" x14ac:dyDescent="0.2">
      <c r="B37" s="49" t="s">
        <v>112</v>
      </c>
      <c r="C37" s="194">
        <f>C35+C36</f>
        <v>5154460.4000000004</v>
      </c>
      <c r="D37" s="55">
        <v>4615208.0379999997</v>
      </c>
      <c r="E37" s="196"/>
    </row>
    <row r="38" spans="2:5" x14ac:dyDescent="0.2">
      <c r="B38" s="33"/>
      <c r="C38" s="193"/>
      <c r="D38" s="33"/>
    </row>
    <row r="39" spans="2:5" x14ac:dyDescent="0.2">
      <c r="B39" s="44" t="s">
        <v>124</v>
      </c>
      <c r="C39" s="193"/>
      <c r="D39" s="33"/>
    </row>
    <row r="40" spans="2:5" x14ac:dyDescent="0.2">
      <c r="B40" s="33"/>
      <c r="C40" s="193"/>
      <c r="D40" s="33"/>
    </row>
    <row r="41" spans="2:5" x14ac:dyDescent="0.2">
      <c r="B41" s="46" t="s">
        <v>120</v>
      </c>
      <c r="C41" s="376">
        <v>2017</v>
      </c>
      <c r="D41" s="46">
        <v>2016</v>
      </c>
      <c r="E41" s="196"/>
    </row>
    <row r="42" spans="2:5" x14ac:dyDescent="0.2">
      <c r="B42" s="33" t="s">
        <v>38</v>
      </c>
      <c r="C42" s="193">
        <f>0.08*C35</f>
        <v>385203.23200000002</v>
      </c>
      <c r="D42" s="37">
        <v>344074.69303999998</v>
      </c>
      <c r="E42" s="196"/>
    </row>
    <row r="43" spans="2:5" x14ac:dyDescent="0.2">
      <c r="B43" s="33" t="s">
        <v>56</v>
      </c>
      <c r="C43" s="193">
        <f>0.08*C36</f>
        <v>27153.600000000002</v>
      </c>
      <c r="D43" s="37">
        <v>25141.95</v>
      </c>
    </row>
    <row r="44" spans="2:5" x14ac:dyDescent="0.2">
      <c r="B44" s="49" t="s">
        <v>115</v>
      </c>
      <c r="C44" s="194">
        <f>SUM(C42:C43)</f>
        <v>412356.83199999999</v>
      </c>
      <c r="D44" s="55">
        <v>369216.64304</v>
      </c>
    </row>
    <row r="45" spans="2:5" x14ac:dyDescent="0.2">
      <c r="B45" s="33" t="s">
        <v>116</v>
      </c>
      <c r="C45" s="10">
        <f>C18/C37</f>
        <v>0.14684543895225191</v>
      </c>
      <c r="D45" s="40">
        <v>0.14246327978855891</v>
      </c>
    </row>
    <row r="46" spans="2:5" x14ac:dyDescent="0.2">
      <c r="B46" s="53" t="s">
        <v>117</v>
      </c>
      <c r="C46" s="10">
        <f>C20/C37</f>
        <v>0.16311775331516756</v>
      </c>
      <c r="D46" s="40">
        <v>0.14246327978855891</v>
      </c>
    </row>
    <row r="47" spans="2:5" x14ac:dyDescent="0.2">
      <c r="B47" s="54" t="s">
        <v>118</v>
      </c>
      <c r="C47" s="199">
        <f>C22/C37</f>
        <v>0.18271243290568298</v>
      </c>
      <c r="D47" s="197">
        <v>0.1589306800388269</v>
      </c>
    </row>
  </sheetData>
  <sheetProtection algorithmName="SHA-512" hashValue="qEfCN6ysYQQCIYe0jt1CRYiYTjyCbdN0U3Gew8SuIbv4l5S9kv7pEtFvw8PqjNFDcCgSaJ6z+FOVoB33vXDmcA==" saltValue="vWNHzjAhYlq+q8CwIyS0rw==" spinCount="100000" sheet="1" objects="1" scenarios="1"/>
  <pageMargins left="0.7" right="0.7" top="0.75" bottom="0.75" header="0.3" footer="0.3"/>
  <pageSetup paperSize="9" orientation="portrait" verticalDpi="0" r:id="rId1"/>
  <ignoredErrors>
    <ignoredError sqref="C11:D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B2:R210"/>
  <sheetViews>
    <sheetView showGridLines="0" workbookViewId="0"/>
  </sheetViews>
  <sheetFormatPr baseColWidth="10" defaultRowHeight="12.75" x14ac:dyDescent="0.2"/>
  <cols>
    <col min="2" max="2" width="54.42578125" customWidth="1"/>
    <col min="3" max="3" width="11.85546875" bestFit="1" customWidth="1"/>
  </cols>
  <sheetData>
    <row r="2" spans="2:18" ht="18.75" x14ac:dyDescent="0.3">
      <c r="B2" s="404" t="s">
        <v>125</v>
      </c>
      <c r="C2" s="404"/>
      <c r="D2" s="404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4" spans="2:18" x14ac:dyDescent="0.2">
      <c r="B4" s="365" t="s">
        <v>17</v>
      </c>
      <c r="C4" s="366">
        <f>'1'!F12</f>
        <v>0.16850000000000001</v>
      </c>
    </row>
    <row r="6" spans="2:18" x14ac:dyDescent="0.2">
      <c r="B6" s="44" t="s">
        <v>60</v>
      </c>
      <c r="C6" s="44"/>
      <c r="D6" s="33"/>
      <c r="E6" s="33"/>
    </row>
    <row r="7" spans="2:18" x14ac:dyDescent="0.2">
      <c r="B7" s="44"/>
      <c r="C7" s="44"/>
      <c r="D7" s="33"/>
      <c r="E7" s="33"/>
    </row>
    <row r="8" spans="2:18" x14ac:dyDescent="0.2">
      <c r="B8" s="46" t="s">
        <v>61</v>
      </c>
      <c r="C8" s="34">
        <v>2017</v>
      </c>
      <c r="D8" s="34">
        <v>2016</v>
      </c>
      <c r="E8" s="44"/>
    </row>
    <row r="9" spans="2:18" x14ac:dyDescent="0.2">
      <c r="B9" s="33" t="s">
        <v>121</v>
      </c>
      <c r="C9" s="93">
        <v>6570.5479999999998</v>
      </c>
      <c r="D9" s="37">
        <v>6330.5482000000002</v>
      </c>
      <c r="E9" s="37"/>
    </row>
    <row r="10" spans="2:18" x14ac:dyDescent="0.2">
      <c r="B10" s="33" t="s">
        <v>63</v>
      </c>
      <c r="C10" s="93">
        <v>3287.922</v>
      </c>
      <c r="D10" s="37">
        <v>3167.921934</v>
      </c>
      <c r="E10" s="37"/>
    </row>
    <row r="11" spans="2:18" x14ac:dyDescent="0.2">
      <c r="B11" s="33" t="s">
        <v>68</v>
      </c>
      <c r="C11" s="93">
        <f>190.337-29.358</f>
        <v>160.97899999999998</v>
      </c>
      <c r="D11" s="37">
        <v>359.83614</v>
      </c>
      <c r="E11" s="37"/>
    </row>
    <row r="12" spans="2:18" x14ac:dyDescent="0.2">
      <c r="B12" s="47" t="s">
        <v>69</v>
      </c>
      <c r="C12" s="88">
        <f>SUM(C9:C11)</f>
        <v>10019.448999999999</v>
      </c>
      <c r="D12" s="55">
        <v>9858.3062740000005</v>
      </c>
      <c r="E12" s="37"/>
    </row>
    <row r="13" spans="2:18" x14ac:dyDescent="0.2">
      <c r="B13" s="33" t="s">
        <v>70</v>
      </c>
      <c r="C13" s="93"/>
      <c r="D13" s="37"/>
      <c r="E13" s="37"/>
    </row>
    <row r="14" spans="2:18" x14ac:dyDescent="0.2">
      <c r="B14" s="48" t="s">
        <v>126</v>
      </c>
      <c r="C14" s="202">
        <v>-0.438</v>
      </c>
      <c r="D14" s="37">
        <v>-1.2447000000000001</v>
      </c>
      <c r="E14" s="37"/>
    </row>
    <row r="15" spans="2:18" x14ac:dyDescent="0.2">
      <c r="B15" s="48" t="s">
        <v>130</v>
      </c>
      <c r="C15" s="202">
        <v>-338.14400000000001</v>
      </c>
      <c r="D15" s="37">
        <v>-322.61255800000004</v>
      </c>
      <c r="E15" s="37"/>
    </row>
    <row r="16" spans="2:18" x14ac:dyDescent="0.2">
      <c r="B16" s="48" t="s">
        <v>127</v>
      </c>
      <c r="C16" s="202">
        <f>-32.77</f>
        <v>-32.770000000000003</v>
      </c>
      <c r="D16" s="37">
        <v>-71.438000000000002</v>
      </c>
      <c r="E16" s="37"/>
    </row>
    <row r="17" spans="2:5" x14ac:dyDescent="0.2">
      <c r="B17" s="52" t="s">
        <v>78</v>
      </c>
      <c r="C17" s="203">
        <f>C12 + SUM(C14:C16)</f>
        <v>9648.0969999999979</v>
      </c>
      <c r="D17" s="55">
        <v>9463.0110160000004</v>
      </c>
      <c r="E17" s="37"/>
    </row>
    <row r="18" spans="2:5" x14ac:dyDescent="0.2">
      <c r="B18" s="51" t="s">
        <v>128</v>
      </c>
      <c r="C18" s="119">
        <v>1180</v>
      </c>
      <c r="D18" s="37">
        <v>1080</v>
      </c>
      <c r="E18" s="37"/>
    </row>
    <row r="19" spans="2:5" x14ac:dyDescent="0.2">
      <c r="B19" s="47" t="s">
        <v>79</v>
      </c>
      <c r="C19" s="203">
        <f>C17+C18</f>
        <v>10828.096999999998</v>
      </c>
      <c r="D19" s="55">
        <v>10543.011016</v>
      </c>
      <c r="E19" s="37"/>
    </row>
    <row r="20" spans="2:5" x14ac:dyDescent="0.2">
      <c r="B20" s="47" t="s">
        <v>123</v>
      </c>
      <c r="C20" s="203">
        <f>1600</f>
        <v>1600</v>
      </c>
      <c r="D20" s="55">
        <v>1600</v>
      </c>
      <c r="E20" s="66"/>
    </row>
    <row r="21" spans="2:5" x14ac:dyDescent="0.2">
      <c r="B21" s="49" t="s">
        <v>60</v>
      </c>
      <c r="C21" s="204">
        <f>C19+C20</f>
        <v>12428.096999999998</v>
      </c>
      <c r="D21" s="36">
        <v>12143.011016</v>
      </c>
      <c r="E21" s="33"/>
    </row>
    <row r="22" spans="2:5" x14ac:dyDescent="0.2">
      <c r="B22" s="33"/>
      <c r="C22" s="119"/>
      <c r="D22" s="33"/>
      <c r="E22" s="56"/>
    </row>
    <row r="23" spans="2:5" x14ac:dyDescent="0.2">
      <c r="B23" s="50" t="s">
        <v>83</v>
      </c>
      <c r="C23" s="205"/>
      <c r="D23" s="56"/>
      <c r="E23" s="33"/>
    </row>
    <row r="24" spans="2:5" x14ac:dyDescent="0.2">
      <c r="B24" s="33"/>
      <c r="C24" s="119"/>
      <c r="D24" s="33"/>
      <c r="E24" s="44"/>
    </row>
    <row r="25" spans="2:5" x14ac:dyDescent="0.2">
      <c r="B25" s="46" t="s">
        <v>61</v>
      </c>
      <c r="C25" s="375">
        <v>2017</v>
      </c>
      <c r="D25" s="34">
        <v>2016</v>
      </c>
      <c r="E25" s="51"/>
    </row>
    <row r="26" spans="2:5" x14ac:dyDescent="0.2">
      <c r="B26" s="51" t="s">
        <v>84</v>
      </c>
      <c r="C26" s="119"/>
      <c r="D26" s="51"/>
      <c r="E26" s="53"/>
    </row>
    <row r="27" spans="2:5" x14ac:dyDescent="0.2">
      <c r="B27" s="48" t="s">
        <v>45</v>
      </c>
      <c r="C27" s="175">
        <v>2268.7579999999998</v>
      </c>
      <c r="D27" s="102">
        <v>2394.8376800000001</v>
      </c>
      <c r="E27" s="53"/>
    </row>
    <row r="28" spans="2:5" x14ac:dyDescent="0.2">
      <c r="B28" s="48" t="s">
        <v>129</v>
      </c>
      <c r="C28" s="175">
        <v>34.53</v>
      </c>
      <c r="D28" s="102">
        <v>74.138499999999993</v>
      </c>
      <c r="E28" s="53"/>
    </row>
    <row r="29" spans="2:5" x14ac:dyDescent="0.2">
      <c r="B29" s="48" t="s">
        <v>90</v>
      </c>
      <c r="C29" s="175">
        <v>3310.9780000000001</v>
      </c>
      <c r="D29" s="102">
        <v>2840.3294170000004</v>
      </c>
      <c r="E29" s="53"/>
    </row>
    <row r="30" spans="2:5" x14ac:dyDescent="0.2">
      <c r="B30" s="48" t="s">
        <v>93</v>
      </c>
      <c r="C30" s="175">
        <v>0.375</v>
      </c>
      <c r="D30" s="102">
        <v>39.909600000000005</v>
      </c>
      <c r="E30" s="53"/>
    </row>
    <row r="31" spans="2:5" x14ac:dyDescent="0.2">
      <c r="B31" s="47" t="s">
        <v>94</v>
      </c>
      <c r="C31" s="173">
        <f>SUM(C27:C30)</f>
        <v>5614.6409999999996</v>
      </c>
      <c r="D31" s="106">
        <v>5349.2151970000004</v>
      </c>
      <c r="E31" s="53"/>
    </row>
    <row r="32" spans="2:5" x14ac:dyDescent="0.2">
      <c r="B32" s="33" t="s">
        <v>95</v>
      </c>
      <c r="C32" s="175"/>
      <c r="D32" s="102"/>
      <c r="E32" s="60"/>
    </row>
    <row r="33" spans="2:5" x14ac:dyDescent="0.2">
      <c r="B33" s="48" t="s">
        <v>96</v>
      </c>
      <c r="C33" s="175">
        <v>18.427</v>
      </c>
      <c r="D33" s="102">
        <v>7.2101999999999995</v>
      </c>
      <c r="E33" s="33"/>
    </row>
    <row r="34" spans="2:5" x14ac:dyDescent="0.2">
      <c r="B34" s="48" t="s">
        <v>99</v>
      </c>
      <c r="C34" s="175">
        <v>868.40499999999997</v>
      </c>
      <c r="D34" s="102">
        <v>818.21087923999994</v>
      </c>
      <c r="E34" s="33"/>
    </row>
    <row r="35" spans="2:5" x14ac:dyDescent="0.2">
      <c r="B35" s="48" t="s">
        <v>100</v>
      </c>
      <c r="C35" s="175">
        <v>34875.677000000003</v>
      </c>
      <c r="D35" s="102">
        <v>33323.154451139999</v>
      </c>
      <c r="E35" s="33"/>
    </row>
    <row r="36" spans="2:5" x14ac:dyDescent="0.2">
      <c r="B36" s="48" t="s">
        <v>101</v>
      </c>
      <c r="C36" s="175">
        <v>1.9830000000000001</v>
      </c>
      <c r="D36" s="102">
        <v>1.4188912499999999</v>
      </c>
      <c r="E36" s="44"/>
    </row>
    <row r="37" spans="2:5" x14ac:dyDescent="0.2">
      <c r="B37" s="48" t="s">
        <v>102</v>
      </c>
      <c r="C37" s="175">
        <v>103.572</v>
      </c>
      <c r="D37" s="102">
        <v>163.89956978000001</v>
      </c>
      <c r="E37" s="37"/>
    </row>
    <row r="38" spans="2:5" x14ac:dyDescent="0.2">
      <c r="B38" s="52" t="s">
        <v>104</v>
      </c>
      <c r="C38" s="173">
        <f>SUM(C33:C37)</f>
        <v>35868.064000000006</v>
      </c>
      <c r="D38" s="106">
        <v>34313.893991410005</v>
      </c>
      <c r="E38" s="37"/>
    </row>
    <row r="39" spans="2:5" x14ac:dyDescent="0.2">
      <c r="B39" s="52" t="s">
        <v>105</v>
      </c>
      <c r="C39" s="173">
        <f>C38+C31</f>
        <v>41482.705000000002</v>
      </c>
      <c r="D39" s="106">
        <v>39663.109188410002</v>
      </c>
      <c r="E39" s="37"/>
    </row>
    <row r="40" spans="2:5" x14ac:dyDescent="0.2">
      <c r="B40" s="33" t="s">
        <v>56</v>
      </c>
      <c r="C40" s="175">
        <v>733.26599999999996</v>
      </c>
      <c r="D40" s="102">
        <v>660.88541750000002</v>
      </c>
      <c r="E40" s="66"/>
    </row>
    <row r="41" spans="2:5" x14ac:dyDescent="0.2">
      <c r="B41" s="33" t="s">
        <v>110</v>
      </c>
      <c r="C41" s="175">
        <v>3074.1379999999999</v>
      </c>
      <c r="D41" s="102">
        <v>1370.6422249999998</v>
      </c>
      <c r="E41" s="40"/>
    </row>
    <row r="42" spans="2:5" x14ac:dyDescent="0.2">
      <c r="B42" s="33" t="s">
        <v>111</v>
      </c>
      <c r="C42" s="175">
        <v>29218.578000000001</v>
      </c>
      <c r="D42" s="102">
        <v>31821.211664608909</v>
      </c>
      <c r="E42" s="40"/>
    </row>
    <row r="43" spans="2:5" x14ac:dyDescent="0.2">
      <c r="B43" s="49" t="s">
        <v>112</v>
      </c>
      <c r="C43" s="185">
        <f>C39+SUM(C40:C42)</f>
        <v>74508.687000000005</v>
      </c>
      <c r="D43" s="107">
        <v>73515.848495518905</v>
      </c>
      <c r="E43" s="67"/>
    </row>
    <row r="44" spans="2:5" x14ac:dyDescent="0.2">
      <c r="B44" s="33"/>
      <c r="C44" s="119"/>
      <c r="D44" s="33"/>
      <c r="E44" s="67"/>
    </row>
    <row r="45" spans="2:5" x14ac:dyDescent="0.2">
      <c r="B45" s="44" t="s">
        <v>124</v>
      </c>
      <c r="C45" s="207"/>
      <c r="D45" s="33"/>
      <c r="E45" s="67"/>
    </row>
    <row r="46" spans="2:5" x14ac:dyDescent="0.2">
      <c r="B46" s="33"/>
      <c r="C46" s="119"/>
      <c r="D46" s="33"/>
      <c r="E46" s="67"/>
    </row>
    <row r="47" spans="2:5" x14ac:dyDescent="0.2">
      <c r="B47" s="46" t="s">
        <v>61</v>
      </c>
      <c r="C47" s="375">
        <v>2017</v>
      </c>
      <c r="D47" s="34">
        <v>2016</v>
      </c>
      <c r="E47" s="67"/>
    </row>
    <row r="48" spans="2:5" x14ac:dyDescent="0.2">
      <c r="B48" s="33" t="s">
        <v>38</v>
      </c>
      <c r="C48" s="119">
        <f>C39*0.08</f>
        <v>3318.6164000000003</v>
      </c>
      <c r="D48" s="37">
        <v>3173.0487350728004</v>
      </c>
      <c r="E48" s="67"/>
    </row>
    <row r="49" spans="2:5" x14ac:dyDescent="0.2">
      <c r="B49" s="33" t="s">
        <v>56</v>
      </c>
      <c r="C49" s="119">
        <f>C40*0.08</f>
        <v>58.661279999999998</v>
      </c>
      <c r="D49" s="37">
        <v>52.870833400000002</v>
      </c>
      <c r="E49" s="67"/>
    </row>
    <row r="50" spans="2:5" x14ac:dyDescent="0.2">
      <c r="B50" s="33" t="s">
        <v>110</v>
      </c>
      <c r="C50" s="119">
        <f>C41*0.08</f>
        <v>245.93104</v>
      </c>
      <c r="D50" s="37">
        <v>109.65137799999999</v>
      </c>
      <c r="E50" s="67"/>
    </row>
    <row r="51" spans="2:5" x14ac:dyDescent="0.2">
      <c r="B51" s="46" t="s">
        <v>114</v>
      </c>
      <c r="C51" s="206">
        <f>C42*0.08</f>
        <v>2337.4862400000002</v>
      </c>
      <c r="D51" s="38">
        <v>2545.6969331687128</v>
      </c>
      <c r="E51" s="67"/>
    </row>
    <row r="52" spans="2:5" x14ac:dyDescent="0.2">
      <c r="B52" s="49" t="s">
        <v>115</v>
      </c>
      <c r="C52" s="204">
        <f>SUM(C48:C51)</f>
        <v>5960.6949600000007</v>
      </c>
      <c r="D52" s="36">
        <v>5881.267879641513</v>
      </c>
      <c r="E52" s="67"/>
    </row>
    <row r="53" spans="2:5" x14ac:dyDescent="0.2">
      <c r="B53" s="33" t="s">
        <v>116</v>
      </c>
      <c r="C53" s="208">
        <f>C17/C43</f>
        <v>0.12948955871414022</v>
      </c>
      <c r="D53" s="40">
        <v>0.12872069369609207</v>
      </c>
      <c r="E53" s="67"/>
    </row>
    <row r="54" spans="2:5" x14ac:dyDescent="0.2">
      <c r="B54" s="53" t="s">
        <v>117</v>
      </c>
      <c r="C54" s="208">
        <f>C19/C43</f>
        <v>0.14532663822139286</v>
      </c>
      <c r="D54" s="40">
        <v>0.14341140355120352</v>
      </c>
      <c r="E54" s="67"/>
    </row>
    <row r="55" spans="2:5" x14ac:dyDescent="0.2">
      <c r="B55" s="54" t="s">
        <v>118</v>
      </c>
      <c r="C55" s="209">
        <f>C21/C43</f>
        <v>0.16680064433292183</v>
      </c>
      <c r="D55" s="41">
        <v>0.16517541815136863</v>
      </c>
      <c r="E55" s="67"/>
    </row>
    <row r="56" spans="2:5" ht="14.25" customHeight="1" x14ac:dyDescent="0.2">
      <c r="B56" s="60"/>
      <c r="C56" s="60"/>
      <c r="D56" s="65"/>
      <c r="E56" s="67"/>
    </row>
    <row r="58" spans="2:5" ht="15.75" x14ac:dyDescent="0.25">
      <c r="B58" s="405" t="s">
        <v>131</v>
      </c>
      <c r="C58" s="405"/>
      <c r="D58" s="405"/>
    </row>
    <row r="60" spans="2:5" x14ac:dyDescent="0.2">
      <c r="B60" s="365" t="s">
        <v>17</v>
      </c>
      <c r="C60" s="366">
        <f>'1'!F13</f>
        <v>0.14480000000000001</v>
      </c>
    </row>
    <row r="61" spans="2:5" x14ac:dyDescent="0.2">
      <c r="B61" s="44"/>
    </row>
    <row r="62" spans="2:5" x14ac:dyDescent="0.2">
      <c r="B62" s="44" t="s">
        <v>60</v>
      </c>
      <c r="C62" s="44"/>
      <c r="D62" s="33"/>
    </row>
    <row r="63" spans="2:5" x14ac:dyDescent="0.2">
      <c r="B63" s="44"/>
      <c r="C63" s="44"/>
      <c r="D63" s="33"/>
    </row>
    <row r="64" spans="2:5" x14ac:dyDescent="0.2">
      <c r="B64" s="46" t="s">
        <v>61</v>
      </c>
      <c r="C64" s="34">
        <v>2017</v>
      </c>
      <c r="D64" s="34">
        <v>2016</v>
      </c>
    </row>
    <row r="65" spans="2:4" x14ac:dyDescent="0.2">
      <c r="B65" s="33" t="s">
        <v>121</v>
      </c>
      <c r="C65" s="33">
        <v>1460</v>
      </c>
      <c r="D65" s="37">
        <v>1460</v>
      </c>
    </row>
    <row r="66" spans="2:4" x14ac:dyDescent="0.2">
      <c r="B66" s="33" t="s">
        <v>63</v>
      </c>
      <c r="C66" s="33">
        <v>365</v>
      </c>
      <c r="D66" s="37">
        <v>365</v>
      </c>
    </row>
    <row r="67" spans="2:4" x14ac:dyDescent="0.2">
      <c r="B67" s="33" t="s">
        <v>68</v>
      </c>
      <c r="C67" s="211">
        <v>1.3640000000000001</v>
      </c>
      <c r="D67" s="37">
        <v>4.1663999999975207E-2</v>
      </c>
    </row>
    <row r="68" spans="2:4" x14ac:dyDescent="0.2">
      <c r="B68" s="47" t="s">
        <v>69</v>
      </c>
      <c r="C68" s="210">
        <f>SUM(C65:C67)</f>
        <v>1826.364</v>
      </c>
      <c r="D68" s="55">
        <v>1825.0416639999999</v>
      </c>
    </row>
    <row r="69" spans="2:4" x14ac:dyDescent="0.2">
      <c r="B69" s="33" t="s">
        <v>70</v>
      </c>
      <c r="C69" s="33"/>
      <c r="D69" s="37"/>
    </row>
    <row r="70" spans="2:4" x14ac:dyDescent="0.2">
      <c r="B70" s="48" t="s">
        <v>126</v>
      </c>
      <c r="C70" s="202">
        <v>-0.34699999999999998</v>
      </c>
      <c r="D70" s="37">
        <v>-1.6759999999999999</v>
      </c>
    </row>
    <row r="71" spans="2:4" x14ac:dyDescent="0.2">
      <c r="B71" s="48" t="s">
        <v>127</v>
      </c>
      <c r="C71" s="202">
        <v>-2.3490000000000002</v>
      </c>
      <c r="D71" s="37">
        <v>-2.1840000000000002</v>
      </c>
    </row>
    <row r="72" spans="2:4" x14ac:dyDescent="0.2">
      <c r="B72" s="52" t="s">
        <v>78</v>
      </c>
      <c r="C72" s="203">
        <f>C68+SUM(C70:C71)</f>
        <v>1823.6680000000001</v>
      </c>
      <c r="D72" s="55">
        <v>1821.181664</v>
      </c>
    </row>
    <row r="73" spans="2:4" x14ac:dyDescent="0.2">
      <c r="B73" s="51" t="s">
        <v>128</v>
      </c>
      <c r="C73" s="119">
        <f>173</f>
        <v>173</v>
      </c>
      <c r="D73" s="37">
        <v>173</v>
      </c>
    </row>
    <row r="74" spans="2:4" x14ac:dyDescent="0.2">
      <c r="B74" s="47" t="s">
        <v>79</v>
      </c>
      <c r="C74" s="203">
        <f>C72+C73</f>
        <v>1996.6680000000001</v>
      </c>
      <c r="D74" s="55">
        <v>1994.181664</v>
      </c>
    </row>
    <row r="75" spans="2:4" x14ac:dyDescent="0.2">
      <c r="B75" s="47" t="s">
        <v>123</v>
      </c>
      <c r="C75" s="203">
        <v>346</v>
      </c>
      <c r="D75" s="55">
        <v>346</v>
      </c>
    </row>
    <row r="76" spans="2:4" x14ac:dyDescent="0.2">
      <c r="B76" s="49" t="s">
        <v>60</v>
      </c>
      <c r="C76" s="204">
        <f>C74+C75</f>
        <v>2342.6680000000001</v>
      </c>
      <c r="D76" s="36">
        <v>2340.1816639999997</v>
      </c>
    </row>
    <row r="77" spans="2:4" x14ac:dyDescent="0.2">
      <c r="B77" s="33"/>
      <c r="C77" s="119"/>
      <c r="D77" s="33"/>
    </row>
    <row r="78" spans="2:4" x14ac:dyDescent="0.2">
      <c r="B78" s="50" t="s">
        <v>83</v>
      </c>
      <c r="C78" s="205"/>
      <c r="D78" s="56"/>
    </row>
    <row r="79" spans="2:4" x14ac:dyDescent="0.2">
      <c r="B79" s="33"/>
      <c r="C79" s="119"/>
      <c r="D79" s="33"/>
    </row>
    <row r="80" spans="2:4" x14ac:dyDescent="0.2">
      <c r="B80" s="46" t="s">
        <v>61</v>
      </c>
      <c r="C80" s="212">
        <v>2017</v>
      </c>
      <c r="D80" s="34">
        <v>2016</v>
      </c>
    </row>
    <row r="81" spans="2:4" x14ac:dyDescent="0.2">
      <c r="B81" s="51" t="s">
        <v>84</v>
      </c>
      <c r="C81" s="119"/>
      <c r="D81" s="51"/>
    </row>
    <row r="82" spans="2:4" x14ac:dyDescent="0.2">
      <c r="B82" s="48" t="s">
        <v>45</v>
      </c>
      <c r="C82" s="175">
        <v>190.74799999999999</v>
      </c>
      <c r="D82" s="53">
        <v>214.721</v>
      </c>
    </row>
    <row r="83" spans="2:4" x14ac:dyDescent="0.2">
      <c r="B83" s="48" t="s">
        <v>42</v>
      </c>
      <c r="C83" s="175">
        <v>3656.509</v>
      </c>
      <c r="D83" s="53">
        <v>0</v>
      </c>
    </row>
    <row r="84" spans="2:4" x14ac:dyDescent="0.2">
      <c r="B84" s="48" t="s">
        <v>129</v>
      </c>
      <c r="C84" s="175">
        <v>5613.7479999999996</v>
      </c>
      <c r="D84" s="53">
        <v>10438.463</v>
      </c>
    </row>
    <row r="85" spans="2:4" x14ac:dyDescent="0.2">
      <c r="B85" s="48" t="s">
        <v>90</v>
      </c>
      <c r="C85" s="175">
        <v>143.32400000000001</v>
      </c>
      <c r="D85" s="53">
        <v>154.79900000000001</v>
      </c>
    </row>
    <row r="86" spans="2:4" x14ac:dyDescent="0.2">
      <c r="B86" s="47" t="s">
        <v>105</v>
      </c>
      <c r="C86" s="173">
        <f>SUM(C82:C85)</f>
        <v>9604.3289999999997</v>
      </c>
      <c r="D86" s="58">
        <v>10807.983</v>
      </c>
    </row>
    <row r="87" spans="2:4" x14ac:dyDescent="0.2">
      <c r="B87" s="33" t="s">
        <v>56</v>
      </c>
      <c r="C87" s="175">
        <v>271.93099999999998</v>
      </c>
      <c r="D87" s="53">
        <v>231.35041062499999</v>
      </c>
    </row>
    <row r="88" spans="2:4" x14ac:dyDescent="0.2">
      <c r="B88" s="46" t="s">
        <v>110</v>
      </c>
      <c r="C88" s="213">
        <v>365.875</v>
      </c>
      <c r="D88" s="59">
        <v>281.63749999999999</v>
      </c>
    </row>
    <row r="89" spans="2:4" x14ac:dyDescent="0.2">
      <c r="B89" s="49" t="s">
        <v>112</v>
      </c>
      <c r="C89" s="204">
        <f>C86+C87+C88</f>
        <v>10242.135</v>
      </c>
      <c r="D89" s="54">
        <v>11320.970910624999</v>
      </c>
    </row>
    <row r="90" spans="2:4" x14ac:dyDescent="0.2">
      <c r="B90" s="33"/>
      <c r="C90" s="119"/>
      <c r="D90" s="33"/>
    </row>
    <row r="91" spans="2:4" x14ac:dyDescent="0.2">
      <c r="B91" s="44" t="s">
        <v>124</v>
      </c>
      <c r="C91" s="207"/>
      <c r="D91" s="33"/>
    </row>
    <row r="92" spans="2:4" x14ac:dyDescent="0.2">
      <c r="B92" s="33"/>
      <c r="C92" s="119"/>
      <c r="D92" s="33"/>
    </row>
    <row r="93" spans="2:4" x14ac:dyDescent="0.2">
      <c r="B93" s="46" t="s">
        <v>61</v>
      </c>
      <c r="C93" s="212">
        <v>2017</v>
      </c>
      <c r="D93" s="34">
        <v>2016</v>
      </c>
    </row>
    <row r="94" spans="2:4" x14ac:dyDescent="0.2">
      <c r="B94" s="33" t="s">
        <v>38</v>
      </c>
      <c r="C94" s="119">
        <f>C86*0.08</f>
        <v>768.34631999999999</v>
      </c>
      <c r="D94" s="37">
        <v>864.63864000000001</v>
      </c>
    </row>
    <row r="95" spans="2:4" x14ac:dyDescent="0.2">
      <c r="B95" s="33" t="s">
        <v>56</v>
      </c>
      <c r="C95" s="119">
        <f>C87*0.08</f>
        <v>21.754479999999997</v>
      </c>
      <c r="D95" s="37">
        <v>18.508032849999999</v>
      </c>
    </row>
    <row r="96" spans="2:4" x14ac:dyDescent="0.2">
      <c r="B96" s="46" t="s">
        <v>110</v>
      </c>
      <c r="C96" s="206">
        <f>C88*0.08</f>
        <v>29.27</v>
      </c>
      <c r="D96" s="38">
        <v>22.530999999999999</v>
      </c>
    </row>
    <row r="97" spans="2:4" x14ac:dyDescent="0.2">
      <c r="B97" s="49" t="s">
        <v>115</v>
      </c>
      <c r="C97" s="204">
        <f>SUM(C94:C96)</f>
        <v>819.37079999999992</v>
      </c>
      <c r="D97" s="36">
        <v>905.67767284999991</v>
      </c>
    </row>
    <row r="98" spans="2:4" x14ac:dyDescent="0.2">
      <c r="B98" s="33" t="s">
        <v>116</v>
      </c>
      <c r="C98" s="208">
        <f>C72/C89</f>
        <v>0.17805545425831626</v>
      </c>
      <c r="D98" s="40">
        <v>0.16086797487402585</v>
      </c>
    </row>
    <row r="99" spans="2:4" x14ac:dyDescent="0.2">
      <c r="B99" s="53" t="s">
        <v>117</v>
      </c>
      <c r="C99" s="208">
        <f>C74/C89</f>
        <v>0.19494646379880759</v>
      </c>
      <c r="D99" s="40">
        <v>0.17614934971066953</v>
      </c>
    </row>
    <row r="100" spans="2:4" x14ac:dyDescent="0.2">
      <c r="B100" s="54" t="s">
        <v>118</v>
      </c>
      <c r="C100" s="209">
        <f>C76/C89</f>
        <v>0.2287284828797902</v>
      </c>
      <c r="D100" s="41">
        <v>0.2067120993839569</v>
      </c>
    </row>
    <row r="101" spans="2:4" x14ac:dyDescent="0.2">
      <c r="B101" s="44"/>
    </row>
    <row r="102" spans="2:4" x14ac:dyDescent="0.2">
      <c r="B102" s="33"/>
    </row>
    <row r="103" spans="2:4" ht="15.75" x14ac:dyDescent="0.25">
      <c r="B103" s="405" t="s">
        <v>132</v>
      </c>
      <c r="C103" s="405"/>
      <c r="D103" s="405"/>
    </row>
    <row r="104" spans="2:4" x14ac:dyDescent="0.2">
      <c r="B104" s="33"/>
    </row>
    <row r="105" spans="2:4" x14ac:dyDescent="0.2">
      <c r="B105" s="367" t="s">
        <v>17</v>
      </c>
      <c r="C105" s="366">
        <f>'1'!F11</f>
        <v>0.23499999999999999</v>
      </c>
    </row>
    <row r="106" spans="2:4" x14ac:dyDescent="0.2">
      <c r="B106" s="33"/>
    </row>
    <row r="107" spans="2:4" x14ac:dyDescent="0.2">
      <c r="B107" s="44" t="s">
        <v>60</v>
      </c>
      <c r="C107" s="44"/>
      <c r="D107" s="33"/>
    </row>
    <row r="108" spans="2:4" x14ac:dyDescent="0.2">
      <c r="B108" s="44"/>
      <c r="C108" s="44"/>
      <c r="D108" s="33"/>
    </row>
    <row r="109" spans="2:4" x14ac:dyDescent="0.2">
      <c r="B109" s="46" t="s">
        <v>61</v>
      </c>
      <c r="C109" s="34">
        <v>2017</v>
      </c>
      <c r="D109" s="34">
        <v>2016</v>
      </c>
    </row>
    <row r="110" spans="2:4" x14ac:dyDescent="0.2">
      <c r="B110" s="33" t="s">
        <v>121</v>
      </c>
      <c r="C110" s="62">
        <v>706</v>
      </c>
      <c r="D110" s="30">
        <v>705.81700000000001</v>
      </c>
    </row>
    <row r="111" spans="2:4" x14ac:dyDescent="0.2">
      <c r="B111" s="33" t="s">
        <v>63</v>
      </c>
      <c r="C111" s="62">
        <v>414.6</v>
      </c>
      <c r="D111" s="37">
        <v>414.60199999999998</v>
      </c>
    </row>
    <row r="112" spans="2:4" x14ac:dyDescent="0.2">
      <c r="B112" s="33" t="s">
        <v>68</v>
      </c>
      <c r="C112" s="62">
        <f>2006.8-0.5+355</f>
        <v>2361.3000000000002</v>
      </c>
      <c r="D112" s="37">
        <v>2074.9110000000001</v>
      </c>
    </row>
    <row r="113" spans="2:4" x14ac:dyDescent="0.2">
      <c r="B113" s="47" t="s">
        <v>69</v>
      </c>
      <c r="C113" s="63">
        <f>SUM(C110:C112)</f>
        <v>3481.9</v>
      </c>
      <c r="D113" s="55">
        <v>3195.33</v>
      </c>
    </row>
    <row r="114" spans="2:4" x14ac:dyDescent="0.2">
      <c r="B114" s="33" t="s">
        <v>70</v>
      </c>
      <c r="C114" s="62"/>
      <c r="D114" s="37">
        <v>0</v>
      </c>
    </row>
    <row r="115" spans="2:4" x14ac:dyDescent="0.2">
      <c r="B115" s="48" t="s">
        <v>126</v>
      </c>
      <c r="C115" s="62">
        <v>-16.100000000000001</v>
      </c>
      <c r="D115" s="37">
        <v>-18.538</v>
      </c>
    </row>
    <row r="116" spans="2:4" x14ac:dyDescent="0.2">
      <c r="B116" s="48" t="s">
        <v>130</v>
      </c>
      <c r="C116" s="62">
        <v>-40.1</v>
      </c>
      <c r="D116" s="37">
        <v>-30.432889358285639</v>
      </c>
    </row>
    <row r="117" spans="2:4" x14ac:dyDescent="0.2">
      <c r="B117" s="48" t="s">
        <v>127</v>
      </c>
      <c r="C117" s="62">
        <v>-5.3</v>
      </c>
      <c r="D117" s="37">
        <v>-6.1849999999999996</v>
      </c>
    </row>
    <row r="118" spans="2:4" x14ac:dyDescent="0.2">
      <c r="B118" s="48" t="s">
        <v>133</v>
      </c>
      <c r="C118" s="62">
        <v>-344.9</v>
      </c>
      <c r="D118" s="53">
        <v>-323.82900000000001</v>
      </c>
    </row>
    <row r="119" spans="2:4" x14ac:dyDescent="0.2">
      <c r="B119" s="33" t="s">
        <v>134</v>
      </c>
      <c r="C119" s="62">
        <v>69</v>
      </c>
      <c r="D119" s="53">
        <v>129.5316</v>
      </c>
    </row>
    <row r="120" spans="2:4" x14ac:dyDescent="0.2">
      <c r="B120" s="52" t="s">
        <v>78</v>
      </c>
      <c r="C120" s="63">
        <f>C113+SUM(C115:C119)</f>
        <v>3144.5</v>
      </c>
      <c r="D120" s="55">
        <v>2945.8767106417145</v>
      </c>
    </row>
    <row r="121" spans="2:4" x14ac:dyDescent="0.2">
      <c r="B121" s="51" t="s">
        <v>128</v>
      </c>
      <c r="C121" s="62">
        <v>365.51</v>
      </c>
      <c r="D121" s="37">
        <v>335.23399999999998</v>
      </c>
    </row>
    <row r="122" spans="2:4" x14ac:dyDescent="0.2">
      <c r="B122" s="47" t="s">
        <v>79</v>
      </c>
      <c r="C122" s="63">
        <f>SUM(C120+C121)</f>
        <v>3510.01</v>
      </c>
      <c r="D122" s="55">
        <v>3281.1107106417144</v>
      </c>
    </row>
    <row r="123" spans="2:4" x14ac:dyDescent="0.2">
      <c r="B123" s="47" t="s">
        <v>123</v>
      </c>
      <c r="C123" s="63">
        <v>465.51</v>
      </c>
      <c r="D123" s="55">
        <v>686.39</v>
      </c>
    </row>
    <row r="124" spans="2:4" x14ac:dyDescent="0.2">
      <c r="B124" s="49" t="s">
        <v>60</v>
      </c>
      <c r="C124" s="64">
        <f>C123+C122</f>
        <v>3975.5200000000004</v>
      </c>
      <c r="D124" s="36">
        <v>3967.5007106417142</v>
      </c>
    </row>
    <row r="125" spans="2:4" x14ac:dyDescent="0.2">
      <c r="B125" s="33"/>
      <c r="C125" s="62"/>
      <c r="D125" s="33"/>
    </row>
    <row r="126" spans="2:4" x14ac:dyDescent="0.2">
      <c r="B126" s="50" t="s">
        <v>83</v>
      </c>
      <c r="C126" s="50"/>
      <c r="D126" s="56"/>
    </row>
    <row r="127" spans="2:4" x14ac:dyDescent="0.2">
      <c r="B127" s="33"/>
      <c r="C127" s="33"/>
      <c r="D127" s="33"/>
    </row>
    <row r="128" spans="2:4" x14ac:dyDescent="0.2">
      <c r="B128" s="46" t="s">
        <v>61</v>
      </c>
      <c r="C128" s="34">
        <v>2017</v>
      </c>
      <c r="D128" s="34">
        <v>2016</v>
      </c>
    </row>
    <row r="129" spans="2:4" x14ac:dyDescent="0.2">
      <c r="B129" s="51" t="s">
        <v>84</v>
      </c>
      <c r="C129" s="51"/>
      <c r="D129" s="61"/>
    </row>
    <row r="130" spans="2:4" x14ac:dyDescent="0.2">
      <c r="B130" s="48" t="s">
        <v>135</v>
      </c>
      <c r="C130" s="102">
        <v>92</v>
      </c>
      <c r="D130" s="62">
        <v>170</v>
      </c>
    </row>
    <row r="131" spans="2:4" x14ac:dyDescent="0.2">
      <c r="B131" s="48" t="s">
        <v>86</v>
      </c>
      <c r="C131" s="102"/>
      <c r="D131" s="62">
        <v>37</v>
      </c>
    </row>
    <row r="132" spans="2:4" x14ac:dyDescent="0.2">
      <c r="B132" s="48" t="s">
        <v>45</v>
      </c>
      <c r="C132" s="102">
        <v>443.04300000000001</v>
      </c>
      <c r="D132" s="62">
        <v>375.0380881410461</v>
      </c>
    </row>
    <row r="133" spans="2:4" x14ac:dyDescent="0.2">
      <c r="B133" s="48" t="s">
        <v>89</v>
      </c>
      <c r="C133" s="102"/>
      <c r="D133" s="30">
        <v>0</v>
      </c>
    </row>
    <row r="134" spans="2:4" x14ac:dyDescent="0.2">
      <c r="B134" s="48" t="s">
        <v>42</v>
      </c>
      <c r="C134" s="102">
        <v>262.00799999999998</v>
      </c>
      <c r="D134" s="62">
        <v>427.46120602720674</v>
      </c>
    </row>
    <row r="135" spans="2:4" x14ac:dyDescent="0.2">
      <c r="B135" s="48" t="s">
        <v>87</v>
      </c>
      <c r="C135" s="102">
        <v>178.39</v>
      </c>
      <c r="D135" s="62">
        <v>33.631270225000002</v>
      </c>
    </row>
    <row r="136" spans="2:4" x14ac:dyDescent="0.2">
      <c r="B136" s="48" t="s">
        <v>129</v>
      </c>
      <c r="C136" s="102">
        <v>1115.8489999999999</v>
      </c>
      <c r="D136" s="62">
        <v>856.10299835124988</v>
      </c>
    </row>
    <row r="137" spans="2:4" x14ac:dyDescent="0.2">
      <c r="B137" s="48" t="s">
        <v>90</v>
      </c>
      <c r="C137" s="102">
        <v>225</v>
      </c>
      <c r="D137" s="62">
        <v>234.95</v>
      </c>
    </row>
    <row r="138" spans="2:4" x14ac:dyDescent="0.2">
      <c r="B138" s="48" t="s">
        <v>93</v>
      </c>
      <c r="C138" s="102">
        <v>28.334</v>
      </c>
      <c r="D138" s="62">
        <v>34.469000000000001</v>
      </c>
    </row>
    <row r="139" spans="2:4" x14ac:dyDescent="0.2">
      <c r="B139" s="47" t="s">
        <v>94</v>
      </c>
      <c r="C139" s="106">
        <f>SUM(C130:C138)</f>
        <v>2344.6239999999998</v>
      </c>
      <c r="D139" s="63">
        <v>2168.652562744503</v>
      </c>
    </row>
    <row r="140" spans="2:4" x14ac:dyDescent="0.2">
      <c r="B140" s="33" t="s">
        <v>95</v>
      </c>
      <c r="C140" s="102"/>
      <c r="D140" s="62"/>
    </row>
    <row r="141" spans="2:4" x14ac:dyDescent="0.2">
      <c r="B141" s="48" t="s">
        <v>97</v>
      </c>
      <c r="C141" s="102">
        <v>4912.92</v>
      </c>
      <c r="D141" s="62">
        <v>5347.3939659838388</v>
      </c>
    </row>
    <row r="142" spans="2:4" x14ac:dyDescent="0.2">
      <c r="B142" s="48" t="s">
        <v>98</v>
      </c>
      <c r="C142" s="102">
        <v>549.9</v>
      </c>
      <c r="D142" s="62">
        <v>1448.2140882988901</v>
      </c>
    </row>
    <row r="143" spans="2:4" x14ac:dyDescent="0.2">
      <c r="B143" s="48" t="s">
        <v>99</v>
      </c>
      <c r="C143" s="102">
        <v>14.036</v>
      </c>
      <c r="D143" s="62"/>
    </row>
    <row r="144" spans="2:4" x14ac:dyDescent="0.2">
      <c r="B144" s="48" t="s">
        <v>100</v>
      </c>
      <c r="C144" s="102">
        <v>2898.9259999999999</v>
      </c>
      <c r="D144" s="62">
        <v>2959.0390111649895</v>
      </c>
    </row>
    <row r="145" spans="2:4" x14ac:dyDescent="0.2">
      <c r="B145" s="48" t="s">
        <v>103</v>
      </c>
      <c r="C145" s="102">
        <v>711.26</v>
      </c>
      <c r="D145" s="62">
        <v>628.56479999999999</v>
      </c>
    </row>
    <row r="146" spans="2:4" x14ac:dyDescent="0.2">
      <c r="B146" s="52" t="s">
        <v>104</v>
      </c>
      <c r="C146" s="106">
        <f>SUM(C141:C145)</f>
        <v>9087.0419999999995</v>
      </c>
      <c r="D146" s="63">
        <v>10383.211865447718</v>
      </c>
    </row>
    <row r="147" spans="2:4" x14ac:dyDescent="0.2">
      <c r="B147" s="52" t="s">
        <v>105</v>
      </c>
      <c r="C147" s="106">
        <f>C146+C139</f>
        <v>11431.665999999999</v>
      </c>
      <c r="D147" s="63">
        <v>12551.864428192221</v>
      </c>
    </row>
    <row r="148" spans="2:4" x14ac:dyDescent="0.2">
      <c r="B148" s="33" t="s">
        <v>56</v>
      </c>
      <c r="C148" s="102">
        <v>1060.614</v>
      </c>
      <c r="D148" s="62">
        <v>1080.33</v>
      </c>
    </row>
    <row r="149" spans="2:4" x14ac:dyDescent="0.2">
      <c r="B149" s="33" t="s">
        <v>110</v>
      </c>
      <c r="C149" s="102">
        <v>33.088000000000001</v>
      </c>
      <c r="D149" s="62">
        <v>61.339725000000001</v>
      </c>
    </row>
    <row r="150" spans="2:4" x14ac:dyDescent="0.2">
      <c r="B150" s="33" t="s">
        <v>111</v>
      </c>
      <c r="C150" s="102">
        <v>918.21299999999997</v>
      </c>
      <c r="D150" s="62">
        <v>43.35</v>
      </c>
    </row>
    <row r="151" spans="2:4" x14ac:dyDescent="0.2">
      <c r="B151" s="49" t="s">
        <v>112</v>
      </c>
      <c r="C151" s="107">
        <f>C147+SUM(C148:C150)</f>
        <v>13443.580999999998</v>
      </c>
      <c r="D151" s="64">
        <v>13736.884153192221</v>
      </c>
    </row>
    <row r="152" spans="2:4" x14ac:dyDescent="0.2">
      <c r="B152" s="33"/>
      <c r="C152" s="33"/>
      <c r="D152" s="33"/>
    </row>
    <row r="153" spans="2:4" x14ac:dyDescent="0.2">
      <c r="B153" s="44" t="s">
        <v>113</v>
      </c>
      <c r="C153" s="44"/>
      <c r="D153" s="33"/>
    </row>
    <row r="154" spans="2:4" x14ac:dyDescent="0.2">
      <c r="B154" s="33"/>
      <c r="C154" s="33"/>
      <c r="D154" s="33"/>
    </row>
    <row r="155" spans="2:4" x14ac:dyDescent="0.2">
      <c r="B155" s="46" t="s">
        <v>61</v>
      </c>
      <c r="C155" s="34">
        <v>2017</v>
      </c>
      <c r="D155" s="34">
        <v>2016</v>
      </c>
    </row>
    <row r="156" spans="2:4" x14ac:dyDescent="0.2">
      <c r="B156" s="33" t="s">
        <v>38</v>
      </c>
      <c r="C156" s="93">
        <f>C147*0.08</f>
        <v>914.53327999999999</v>
      </c>
      <c r="D156" s="37">
        <v>1004.1491542553777</v>
      </c>
    </row>
    <row r="157" spans="2:4" x14ac:dyDescent="0.2">
      <c r="B157" s="33" t="s">
        <v>56</v>
      </c>
      <c r="C157" s="214">
        <f>C148*0.08</f>
        <v>84.849119999999999</v>
      </c>
      <c r="D157" s="37">
        <v>86.426400000000001</v>
      </c>
    </row>
    <row r="158" spans="2:4" x14ac:dyDescent="0.2">
      <c r="B158" s="33" t="s">
        <v>110</v>
      </c>
      <c r="C158" s="214">
        <f>C149*0.08</f>
        <v>2.6470400000000001</v>
      </c>
      <c r="D158" s="37">
        <v>4.907178</v>
      </c>
    </row>
    <row r="159" spans="2:4" x14ac:dyDescent="0.2">
      <c r="B159" s="46" t="s">
        <v>114</v>
      </c>
      <c r="C159" s="215">
        <f>C150*0.08</f>
        <v>73.457039999999992</v>
      </c>
      <c r="D159" s="38">
        <v>3.468</v>
      </c>
    </row>
    <row r="160" spans="2:4" x14ac:dyDescent="0.2">
      <c r="B160" s="49" t="s">
        <v>115</v>
      </c>
      <c r="C160" s="216">
        <f>SUM(C156:C159)</f>
        <v>1075.4864799999998</v>
      </c>
      <c r="D160" s="39">
        <v>1098.9507322553777</v>
      </c>
    </row>
    <row r="161" spans="2:4" x14ac:dyDescent="0.2">
      <c r="B161" s="33" t="s">
        <v>116</v>
      </c>
      <c r="C161" s="40">
        <f>C120/C151</f>
        <v>0.23390345176631139</v>
      </c>
      <c r="D161" s="40">
        <v>0.21445013860418574</v>
      </c>
    </row>
    <row r="162" spans="2:4" x14ac:dyDescent="0.2">
      <c r="B162" s="53" t="s">
        <v>117</v>
      </c>
      <c r="C162" s="40">
        <f>C122/C151</f>
        <v>0.26109189210821138</v>
      </c>
      <c r="D162" s="40">
        <v>0.23885407156754973</v>
      </c>
    </row>
    <row r="163" spans="2:4" x14ac:dyDescent="0.2">
      <c r="B163" s="54" t="s">
        <v>118</v>
      </c>
      <c r="C163" s="41">
        <f>C124/C151</f>
        <v>0.29571882670249844</v>
      </c>
      <c r="D163" s="41">
        <v>0.28882100674334754</v>
      </c>
    </row>
    <row r="166" spans="2:4" ht="15.75" x14ac:dyDescent="0.25">
      <c r="B166" s="405" t="s">
        <v>225</v>
      </c>
      <c r="C166" s="405"/>
      <c r="D166" s="368"/>
    </row>
    <row r="168" spans="2:4" x14ac:dyDescent="0.2">
      <c r="B168" s="367" t="s">
        <v>17</v>
      </c>
      <c r="C168" s="366">
        <f>'1'!F14</f>
        <v>0.1729</v>
      </c>
    </row>
    <row r="169" spans="2:4" x14ac:dyDescent="0.2">
      <c r="B169" s="33"/>
    </row>
    <row r="170" spans="2:4" x14ac:dyDescent="0.2">
      <c r="B170" s="44" t="s">
        <v>60</v>
      </c>
    </row>
    <row r="171" spans="2:4" x14ac:dyDescent="0.2">
      <c r="B171" s="44"/>
    </row>
    <row r="172" spans="2:4" x14ac:dyDescent="0.2">
      <c r="B172" s="47" t="s">
        <v>61</v>
      </c>
      <c r="C172" s="23">
        <v>2017</v>
      </c>
    </row>
    <row r="173" spans="2:4" x14ac:dyDescent="0.2">
      <c r="B173" s="33" t="s">
        <v>121</v>
      </c>
      <c r="C173" s="190">
        <v>288.80900000000003</v>
      </c>
    </row>
    <row r="174" spans="2:4" x14ac:dyDescent="0.2">
      <c r="B174" s="33" t="s">
        <v>63</v>
      </c>
      <c r="C174" s="190">
        <v>606.29</v>
      </c>
    </row>
    <row r="175" spans="2:4" x14ac:dyDescent="0.2">
      <c r="B175" s="33" t="s">
        <v>68</v>
      </c>
      <c r="C175" s="190">
        <v>-39.835999999999999</v>
      </c>
    </row>
    <row r="176" spans="2:4" x14ac:dyDescent="0.2">
      <c r="B176" s="33" t="s">
        <v>396</v>
      </c>
      <c r="C176" s="190">
        <v>226.58699999999999</v>
      </c>
    </row>
    <row r="177" spans="2:3" x14ac:dyDescent="0.2">
      <c r="B177" s="33" t="s">
        <v>397</v>
      </c>
      <c r="C177" s="190">
        <v>84.15</v>
      </c>
    </row>
    <row r="178" spans="2:3" x14ac:dyDescent="0.2">
      <c r="B178" s="47" t="s">
        <v>69</v>
      </c>
      <c r="C178" s="217">
        <f>SUM(C173:C177)</f>
        <v>1166</v>
      </c>
    </row>
    <row r="179" spans="2:3" x14ac:dyDescent="0.2">
      <c r="B179" s="33" t="s">
        <v>70</v>
      </c>
      <c r="C179" s="193"/>
    </row>
    <row r="180" spans="2:3" x14ac:dyDescent="0.2">
      <c r="B180" s="48" t="s">
        <v>398</v>
      </c>
      <c r="C180" s="193">
        <v>-92.385000000000005</v>
      </c>
    </row>
    <row r="181" spans="2:3" x14ac:dyDescent="0.2">
      <c r="B181" s="48" t="s">
        <v>226</v>
      </c>
      <c r="C181" s="193">
        <v>41.212000000000003</v>
      </c>
    </row>
    <row r="182" spans="2:3" x14ac:dyDescent="0.2">
      <c r="B182" s="48" t="s">
        <v>399</v>
      </c>
      <c r="C182" s="195">
        <v>-216.607</v>
      </c>
    </row>
    <row r="183" spans="2:3" x14ac:dyDescent="0.2">
      <c r="B183" s="52" t="s">
        <v>78</v>
      </c>
      <c r="C183" s="198">
        <f>C178+SUM(C180:C182)</f>
        <v>898.22</v>
      </c>
    </row>
    <row r="184" spans="2:3" x14ac:dyDescent="0.2">
      <c r="B184" s="52" t="s">
        <v>128</v>
      </c>
      <c r="C184" s="194">
        <v>0</v>
      </c>
    </row>
    <row r="185" spans="2:3" x14ac:dyDescent="0.2">
      <c r="B185" s="47" t="s">
        <v>79</v>
      </c>
      <c r="C185" s="198">
        <f>C183+C184</f>
        <v>898.22</v>
      </c>
    </row>
    <row r="186" spans="2:3" x14ac:dyDescent="0.2">
      <c r="B186" s="47" t="s">
        <v>123</v>
      </c>
      <c r="C186" s="194">
        <v>100</v>
      </c>
    </row>
    <row r="188" spans="2:3" x14ac:dyDescent="0.2">
      <c r="B188" s="49" t="s">
        <v>60</v>
      </c>
      <c r="C188" s="218">
        <f>C185+C186</f>
        <v>998.22</v>
      </c>
    </row>
    <row r="189" spans="2:3" x14ac:dyDescent="0.2">
      <c r="B189" s="33"/>
    </row>
    <row r="190" spans="2:3" x14ac:dyDescent="0.2">
      <c r="B190" s="50" t="s">
        <v>83</v>
      </c>
    </row>
    <row r="191" spans="2:3" x14ac:dyDescent="0.2">
      <c r="B191" s="33"/>
    </row>
    <row r="192" spans="2:3" x14ac:dyDescent="0.2">
      <c r="B192" s="46" t="s">
        <v>61</v>
      </c>
      <c r="C192" s="43">
        <v>2017</v>
      </c>
    </row>
    <row r="193" spans="2:3" x14ac:dyDescent="0.2">
      <c r="B193" s="51" t="s">
        <v>84</v>
      </c>
    </row>
    <row r="194" spans="2:3" x14ac:dyDescent="0.2">
      <c r="B194" s="48" t="s">
        <v>45</v>
      </c>
      <c r="C194" s="190">
        <v>96.394999999999996</v>
      </c>
    </row>
    <row r="195" spans="2:3" x14ac:dyDescent="0.2">
      <c r="B195" s="48" t="s">
        <v>87</v>
      </c>
      <c r="C195" s="190">
        <v>3639.107</v>
      </c>
    </row>
    <row r="196" spans="2:3" x14ac:dyDescent="0.2">
      <c r="B196" s="48" t="s">
        <v>93</v>
      </c>
      <c r="C196" s="190">
        <v>534.024</v>
      </c>
    </row>
    <row r="197" spans="2:3" x14ac:dyDescent="0.2">
      <c r="B197" s="47" t="s">
        <v>94</v>
      </c>
      <c r="C197" s="217">
        <f>SUM(C194:C196)</f>
        <v>4269.5259999999998</v>
      </c>
    </row>
    <row r="198" spans="2:3" x14ac:dyDescent="0.2">
      <c r="B198" s="52" t="s">
        <v>105</v>
      </c>
      <c r="C198" s="217">
        <f>C197</f>
        <v>4269.5259999999998</v>
      </c>
    </row>
    <row r="199" spans="2:3" x14ac:dyDescent="0.2">
      <c r="B199" s="47" t="s">
        <v>56</v>
      </c>
      <c r="C199" s="217">
        <v>740.404</v>
      </c>
    </row>
    <row r="200" spans="2:3" x14ac:dyDescent="0.2">
      <c r="B200" s="49" t="s">
        <v>112</v>
      </c>
      <c r="C200" s="218">
        <f>C198+C199</f>
        <v>5009.93</v>
      </c>
    </row>
    <row r="201" spans="2:3" x14ac:dyDescent="0.2">
      <c r="B201" s="33"/>
    </row>
    <row r="202" spans="2:3" x14ac:dyDescent="0.2">
      <c r="B202" s="44" t="s">
        <v>113</v>
      </c>
    </row>
    <row r="203" spans="2:3" x14ac:dyDescent="0.2">
      <c r="B203" s="33"/>
    </row>
    <row r="204" spans="2:3" x14ac:dyDescent="0.2">
      <c r="B204" s="46" t="s">
        <v>61</v>
      </c>
      <c r="C204" s="43">
        <v>2017</v>
      </c>
    </row>
    <row r="205" spans="2:3" x14ac:dyDescent="0.2">
      <c r="B205" s="33" t="s">
        <v>38</v>
      </c>
      <c r="C205" s="383">
        <f>C198*0.08</f>
        <v>341.56207999999998</v>
      </c>
    </row>
    <row r="206" spans="2:3" x14ac:dyDescent="0.2">
      <c r="B206" s="33" t="s">
        <v>56</v>
      </c>
      <c r="C206" s="383">
        <f>C199*0.08</f>
        <v>59.232320000000001</v>
      </c>
    </row>
    <row r="207" spans="2:3" x14ac:dyDescent="0.2">
      <c r="B207" s="49" t="s">
        <v>115</v>
      </c>
      <c r="C207" s="393">
        <f>SUM(C205:C206)</f>
        <v>400.7944</v>
      </c>
    </row>
    <row r="208" spans="2:3" x14ac:dyDescent="0.2">
      <c r="B208" s="33" t="s">
        <v>116</v>
      </c>
      <c r="C208" s="391">
        <f>C183/C200</f>
        <v>0.17928793416275277</v>
      </c>
    </row>
    <row r="209" spans="2:3" x14ac:dyDescent="0.2">
      <c r="B209" s="53" t="s">
        <v>117</v>
      </c>
      <c r="C209" s="391">
        <f>C185/C200</f>
        <v>0.17928793416275277</v>
      </c>
    </row>
    <row r="210" spans="2:3" x14ac:dyDescent="0.2">
      <c r="B210" s="54" t="s">
        <v>118</v>
      </c>
      <c r="C210" s="392">
        <f>C188/C200</f>
        <v>0.19924829289031981</v>
      </c>
    </row>
  </sheetData>
  <sheetProtection algorithmName="SHA-512" hashValue="46IC2bM3QAMCEV8ajY+i2z3k0N9Eu7UMqc/VsDR+p9e8cJuJAwTLx6duqGnsj1rMT/5Ghs/bV2gk6NVDktPs9Q==" saltValue="bEoRDTuEYMW2jEnnNnCjVA==" spinCount="100000" sheet="1" objects="1" scenarios="1"/>
  <mergeCells count="4">
    <mergeCell ref="B2:D2"/>
    <mergeCell ref="B58:D58"/>
    <mergeCell ref="B103:D103"/>
    <mergeCell ref="B166:C166"/>
  </mergeCells>
  <pageMargins left="0.7" right="0.7" top="0.75" bottom="0.75" header="0.3" footer="0.3"/>
  <pageSetup paperSize="9" orientation="portrait" verticalDpi="0" r:id="rId1"/>
  <ignoredErrors>
    <ignoredError sqref="C12 C68" formulaRange="1"/>
    <ignoredError sqref="C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2:N85"/>
  <sheetViews>
    <sheetView showGridLines="0" workbookViewId="0"/>
  </sheetViews>
  <sheetFormatPr baseColWidth="10" defaultRowHeight="12.75" x14ac:dyDescent="0.2"/>
  <cols>
    <col min="1" max="1" width="3.140625" style="19" customWidth="1"/>
    <col min="2" max="2" width="60.140625" bestFit="1" customWidth="1"/>
  </cols>
  <sheetData>
    <row r="2" spans="1:14" ht="18.75" x14ac:dyDescent="0.3">
      <c r="B2" s="404" t="s">
        <v>136</v>
      </c>
      <c r="C2" s="404"/>
      <c r="D2" s="404"/>
      <c r="E2" s="404"/>
      <c r="F2" s="404"/>
      <c r="G2" s="21"/>
      <c r="H2" s="21"/>
      <c r="I2" s="21"/>
      <c r="J2" s="21"/>
      <c r="K2" s="21"/>
      <c r="L2" s="21"/>
      <c r="M2" s="21"/>
      <c r="N2" s="21"/>
    </row>
    <row r="4" spans="1:14" ht="15" x14ac:dyDescent="0.25">
      <c r="A4" s="81"/>
      <c r="B4" s="68" t="s">
        <v>60</v>
      </c>
      <c r="C4" s="69"/>
      <c r="D4" s="69"/>
      <c r="E4" s="69"/>
      <c r="F4" s="69"/>
    </row>
    <row r="5" spans="1:14" x14ac:dyDescent="0.2">
      <c r="A5" s="26"/>
      <c r="B5" s="46" t="s">
        <v>61</v>
      </c>
      <c r="C5" s="80">
        <v>42369</v>
      </c>
      <c r="D5" s="80">
        <v>42004</v>
      </c>
      <c r="E5" s="80">
        <v>41639</v>
      </c>
      <c r="F5" s="80">
        <v>41274</v>
      </c>
    </row>
    <row r="6" spans="1:14" x14ac:dyDescent="0.2">
      <c r="A6" s="26"/>
      <c r="B6" s="33"/>
      <c r="C6" s="86"/>
      <c r="D6" s="86"/>
      <c r="E6" s="86"/>
      <c r="F6" s="86"/>
    </row>
    <row r="7" spans="1:14" x14ac:dyDescent="0.2">
      <c r="A7" s="13"/>
      <c r="B7" s="33" t="s">
        <v>62</v>
      </c>
      <c r="C7" s="87">
        <v>1807</v>
      </c>
      <c r="D7" s="37">
        <v>1807</v>
      </c>
      <c r="E7" s="37">
        <v>1807</v>
      </c>
      <c r="F7" s="37">
        <v>1655</v>
      </c>
    </row>
    <row r="8" spans="1:14" x14ac:dyDescent="0.2">
      <c r="A8" s="13"/>
      <c r="B8" s="33" t="s">
        <v>63</v>
      </c>
      <c r="C8" s="87">
        <v>843</v>
      </c>
      <c r="D8" s="37">
        <v>843</v>
      </c>
      <c r="E8" s="37">
        <v>843</v>
      </c>
      <c r="F8" s="37">
        <v>245</v>
      </c>
    </row>
    <row r="9" spans="1:14" x14ac:dyDescent="0.2">
      <c r="A9" s="13"/>
      <c r="B9" s="33" t="s">
        <v>64</v>
      </c>
      <c r="C9" s="87">
        <v>4074</v>
      </c>
      <c r="D9" s="37">
        <v>3745</v>
      </c>
      <c r="E9" s="37">
        <v>3565</v>
      </c>
      <c r="F9" s="37">
        <v>3083</v>
      </c>
    </row>
    <row r="10" spans="1:14" x14ac:dyDescent="0.2">
      <c r="A10" s="13"/>
      <c r="B10" s="33" t="s">
        <v>65</v>
      </c>
      <c r="C10" s="87">
        <v>1179</v>
      </c>
      <c r="D10" s="37">
        <v>1020</v>
      </c>
      <c r="E10" s="37">
        <v>776</v>
      </c>
      <c r="F10" s="37">
        <v>456</v>
      </c>
    </row>
    <row r="11" spans="1:14" x14ac:dyDescent="0.2">
      <c r="A11" s="13"/>
      <c r="B11" s="33" t="s">
        <v>66</v>
      </c>
      <c r="C11" s="87">
        <v>180</v>
      </c>
      <c r="D11" s="37">
        <v>332</v>
      </c>
      <c r="E11" s="37">
        <v>163</v>
      </c>
      <c r="F11" s="37">
        <v>150</v>
      </c>
    </row>
    <row r="12" spans="1:14" x14ac:dyDescent="0.2">
      <c r="A12" s="13"/>
      <c r="B12" s="33" t="s">
        <v>67</v>
      </c>
      <c r="C12" s="87">
        <v>80</v>
      </c>
      <c r="D12" s="37">
        <v>-30</v>
      </c>
      <c r="E12" s="37">
        <v>-2</v>
      </c>
      <c r="F12" s="37">
        <v>-3</v>
      </c>
    </row>
    <row r="13" spans="1:14" x14ac:dyDescent="0.2">
      <c r="A13" s="13"/>
      <c r="B13" s="33" t="s">
        <v>68</v>
      </c>
      <c r="C13" s="87">
        <v>1798</v>
      </c>
      <c r="D13" s="37">
        <v>1611</v>
      </c>
      <c r="E13" s="37">
        <v>1327</v>
      </c>
      <c r="F13" s="37">
        <v>1224</v>
      </c>
    </row>
    <row r="14" spans="1:14" x14ac:dyDescent="0.2">
      <c r="A14" s="26"/>
      <c r="B14" s="33" t="s">
        <v>137</v>
      </c>
      <c r="C14" s="33"/>
      <c r="D14" s="37">
        <v>15</v>
      </c>
      <c r="E14" s="37">
        <v>23</v>
      </c>
      <c r="F14" s="37"/>
    </row>
    <row r="15" spans="1:14" x14ac:dyDescent="0.2">
      <c r="A15" s="26"/>
      <c r="B15" s="47" t="s">
        <v>138</v>
      </c>
      <c r="C15" s="31">
        <v>9961</v>
      </c>
      <c r="D15" s="55">
        <v>9343</v>
      </c>
      <c r="E15" s="55">
        <v>8502</v>
      </c>
      <c r="F15" s="55">
        <v>6810</v>
      </c>
    </row>
    <row r="16" spans="1:14" x14ac:dyDescent="0.2">
      <c r="A16" s="26"/>
      <c r="B16" s="33"/>
      <c r="C16" s="33"/>
      <c r="D16" s="37"/>
      <c r="E16" s="37"/>
      <c r="F16" s="37"/>
    </row>
    <row r="17" spans="1:6" x14ac:dyDescent="0.2">
      <c r="A17" s="82"/>
      <c r="B17" s="33" t="s">
        <v>70</v>
      </c>
      <c r="C17" s="33"/>
      <c r="D17" s="37"/>
      <c r="E17" s="37"/>
      <c r="F17" s="37"/>
    </row>
    <row r="18" spans="1:6" x14ac:dyDescent="0.2">
      <c r="A18" s="82"/>
      <c r="B18" s="48" t="s">
        <v>72</v>
      </c>
      <c r="C18" s="30">
        <v>-260</v>
      </c>
      <c r="D18" s="37">
        <v>-522</v>
      </c>
      <c r="E18" s="37">
        <v>-154</v>
      </c>
      <c r="F18" s="37">
        <v>-106</v>
      </c>
    </row>
    <row r="19" spans="1:6" x14ac:dyDescent="0.2">
      <c r="A19" s="83"/>
      <c r="B19" s="48" t="s">
        <v>76</v>
      </c>
      <c r="C19" s="30">
        <v>-82</v>
      </c>
      <c r="D19" s="37">
        <v>-51</v>
      </c>
      <c r="E19" s="37">
        <v>-136</v>
      </c>
      <c r="F19" s="37">
        <v>-29</v>
      </c>
    </row>
    <row r="20" spans="1:6" x14ac:dyDescent="0.2">
      <c r="B20" s="48" t="s">
        <v>139</v>
      </c>
      <c r="C20" s="91">
        <v>0</v>
      </c>
      <c r="D20" s="37">
        <v>0</v>
      </c>
      <c r="E20" s="37">
        <v>69</v>
      </c>
      <c r="F20" s="37">
        <v>41</v>
      </c>
    </row>
    <row r="21" spans="1:6" x14ac:dyDescent="0.2">
      <c r="A21" s="82"/>
      <c r="B21" s="48" t="s">
        <v>71</v>
      </c>
      <c r="C21" s="30">
        <v>-48</v>
      </c>
      <c r="D21" s="37">
        <v>80</v>
      </c>
      <c r="E21" s="37">
        <v>-163</v>
      </c>
      <c r="F21" s="37">
        <v>-58</v>
      </c>
    </row>
    <row r="22" spans="1:6" x14ac:dyDescent="0.2">
      <c r="B22" s="48" t="s">
        <v>74</v>
      </c>
      <c r="C22" s="30">
        <v>-78</v>
      </c>
      <c r="D22" s="37">
        <v>-113</v>
      </c>
      <c r="E22" s="37">
        <v>-114</v>
      </c>
      <c r="F22" s="37">
        <v>-66</v>
      </c>
    </row>
    <row r="23" spans="1:6" x14ac:dyDescent="0.2">
      <c r="A23" s="83"/>
      <c r="B23" s="90" t="s">
        <v>77</v>
      </c>
      <c r="C23" s="30">
        <v>-817</v>
      </c>
      <c r="D23" s="37">
        <v>-591</v>
      </c>
      <c r="E23" s="37">
        <v>-174</v>
      </c>
      <c r="F23" s="37">
        <v>-106</v>
      </c>
    </row>
    <row r="24" spans="1:6" x14ac:dyDescent="0.2">
      <c r="B24" s="48" t="s">
        <v>75</v>
      </c>
      <c r="C24" s="30">
        <v>-309</v>
      </c>
      <c r="D24" s="37">
        <v>-385</v>
      </c>
      <c r="E24" s="37">
        <v>-94</v>
      </c>
      <c r="F24" s="37">
        <v>-97</v>
      </c>
    </row>
    <row r="25" spans="1:6" x14ac:dyDescent="0.2">
      <c r="A25" s="82"/>
      <c r="B25" s="71" t="s">
        <v>140</v>
      </c>
      <c r="C25" s="92">
        <v>0</v>
      </c>
      <c r="D25" s="37">
        <v>0</v>
      </c>
      <c r="E25" s="37">
        <v>-606</v>
      </c>
      <c r="F25" s="37">
        <v>-706</v>
      </c>
    </row>
    <row r="26" spans="1:6" x14ac:dyDescent="0.2">
      <c r="B26" s="72" t="s">
        <v>78</v>
      </c>
      <c r="C26" s="88">
        <v>8367</v>
      </c>
      <c r="D26" s="55">
        <v>7761</v>
      </c>
      <c r="E26" s="55">
        <v>7130</v>
      </c>
      <c r="F26" s="55">
        <v>5683</v>
      </c>
    </row>
    <row r="27" spans="1:6" ht="15" x14ac:dyDescent="0.2">
      <c r="B27" s="33" t="s">
        <v>141</v>
      </c>
      <c r="C27" s="30">
        <v>743</v>
      </c>
      <c r="D27" s="37">
        <v>681</v>
      </c>
      <c r="E27" s="37">
        <v>653</v>
      </c>
      <c r="F27" s="37">
        <v>989</v>
      </c>
    </row>
    <row r="28" spans="1:6" x14ac:dyDescent="0.2">
      <c r="A28" s="82"/>
      <c r="B28" s="47" t="s">
        <v>79</v>
      </c>
      <c r="C28" s="31">
        <v>9110</v>
      </c>
      <c r="D28" s="55">
        <v>8442</v>
      </c>
      <c r="E28" s="55">
        <v>7783</v>
      </c>
      <c r="F28" s="55">
        <v>6672</v>
      </c>
    </row>
    <row r="29" spans="1:6" x14ac:dyDescent="0.2">
      <c r="A29" s="82"/>
      <c r="B29" s="33" t="s">
        <v>123</v>
      </c>
      <c r="C29" s="33"/>
      <c r="D29" s="37"/>
      <c r="E29" s="37"/>
      <c r="F29" s="37"/>
    </row>
    <row r="30" spans="1:6" x14ac:dyDescent="0.2">
      <c r="B30" s="48" t="s">
        <v>80</v>
      </c>
      <c r="C30" s="30">
        <v>1341</v>
      </c>
      <c r="D30" s="37">
        <v>1284</v>
      </c>
      <c r="E30" s="37">
        <v>1160</v>
      </c>
      <c r="F30" s="37">
        <v>1507</v>
      </c>
    </row>
    <row r="31" spans="1:6" x14ac:dyDescent="0.2">
      <c r="A31" s="26"/>
      <c r="B31" s="48" t="s">
        <v>142</v>
      </c>
      <c r="C31" s="48"/>
      <c r="D31" s="37">
        <v>-43</v>
      </c>
      <c r="E31" s="37">
        <v>-174</v>
      </c>
      <c r="F31" s="37">
        <v>-106</v>
      </c>
    </row>
    <row r="32" spans="1:6" x14ac:dyDescent="0.2">
      <c r="A32" s="26"/>
      <c r="B32" s="71" t="s">
        <v>143</v>
      </c>
      <c r="C32" s="30">
        <v>-93</v>
      </c>
      <c r="D32" s="37">
        <v>0</v>
      </c>
      <c r="E32" s="37">
        <v>-94</v>
      </c>
      <c r="F32" s="37">
        <v>-97</v>
      </c>
    </row>
    <row r="33" spans="1:6" x14ac:dyDescent="0.2">
      <c r="A33" s="26"/>
      <c r="B33" s="48" t="s">
        <v>140</v>
      </c>
      <c r="C33" s="48"/>
      <c r="D33" s="37">
        <v>0</v>
      </c>
      <c r="E33" s="37">
        <v>-606</v>
      </c>
      <c r="F33" s="37">
        <v>-706</v>
      </c>
    </row>
    <row r="34" spans="1:6" x14ac:dyDescent="0.2">
      <c r="A34" s="27"/>
      <c r="B34" s="47" t="s">
        <v>82</v>
      </c>
      <c r="C34" s="31">
        <v>1248</v>
      </c>
      <c r="D34" s="55">
        <v>1241</v>
      </c>
      <c r="E34" s="55">
        <v>286</v>
      </c>
      <c r="F34" s="55">
        <v>598</v>
      </c>
    </row>
    <row r="35" spans="1:6" x14ac:dyDescent="0.2">
      <c r="A35" s="84"/>
      <c r="B35" s="49" t="s">
        <v>60</v>
      </c>
      <c r="C35" s="32">
        <v>10358</v>
      </c>
      <c r="D35" s="36">
        <v>9683</v>
      </c>
      <c r="E35" s="36">
        <v>8069</v>
      </c>
      <c r="F35" s="36">
        <v>7270</v>
      </c>
    </row>
    <row r="36" spans="1:6" ht="22.5" x14ac:dyDescent="0.2">
      <c r="A36" s="85"/>
      <c r="B36" s="73" t="s">
        <v>144</v>
      </c>
      <c r="C36" s="73"/>
      <c r="D36" s="37"/>
      <c r="E36" s="37"/>
      <c r="F36" s="37"/>
    </row>
    <row r="37" spans="1:6" x14ac:dyDescent="0.2">
      <c r="A37" s="27"/>
      <c r="B37" s="73"/>
      <c r="C37" s="73"/>
      <c r="D37" s="37"/>
      <c r="E37" s="37"/>
      <c r="F37" s="37"/>
    </row>
    <row r="38" spans="1:6" x14ac:dyDescent="0.2">
      <c r="A38" s="26"/>
      <c r="B38" s="74" t="s">
        <v>83</v>
      </c>
      <c r="C38" s="74"/>
      <c r="D38" s="75"/>
      <c r="E38" s="75"/>
      <c r="F38" s="75"/>
    </row>
    <row r="39" spans="1:6" x14ac:dyDescent="0.2">
      <c r="A39" s="26"/>
      <c r="B39" s="46" t="s">
        <v>61</v>
      </c>
      <c r="C39" s="80">
        <v>42369</v>
      </c>
      <c r="D39" s="70">
        <v>42004</v>
      </c>
      <c r="E39" s="70">
        <v>41639</v>
      </c>
      <c r="F39" s="70">
        <v>41274</v>
      </c>
    </row>
    <row r="40" spans="1:6" x14ac:dyDescent="0.2">
      <c r="A40" s="82"/>
      <c r="B40" s="33" t="s">
        <v>145</v>
      </c>
      <c r="C40" s="93">
        <v>33670</v>
      </c>
      <c r="D40" s="37">
        <v>36638</v>
      </c>
      <c r="E40" s="37">
        <v>26778</v>
      </c>
      <c r="F40" s="37">
        <v>25966</v>
      </c>
    </row>
    <row r="41" spans="1:6" x14ac:dyDescent="0.2">
      <c r="A41" s="82"/>
      <c r="B41" s="33" t="s">
        <v>146</v>
      </c>
      <c r="C41" s="93">
        <v>17931</v>
      </c>
      <c r="D41" s="37">
        <v>20457</v>
      </c>
      <c r="E41" s="37">
        <v>20443</v>
      </c>
      <c r="F41" s="37">
        <v>21261</v>
      </c>
    </row>
    <row r="42" spans="1:6" x14ac:dyDescent="0.2">
      <c r="A42" s="82"/>
      <c r="B42" s="33" t="s">
        <v>106</v>
      </c>
      <c r="C42" s="93">
        <v>156</v>
      </c>
      <c r="D42" s="37">
        <v>235</v>
      </c>
      <c r="E42" s="37">
        <v>263</v>
      </c>
      <c r="F42" s="37">
        <v>141</v>
      </c>
    </row>
    <row r="43" spans="1:6" x14ac:dyDescent="0.2">
      <c r="A43" s="82"/>
      <c r="B43" s="33" t="s">
        <v>147</v>
      </c>
      <c r="C43" s="93">
        <v>219</v>
      </c>
      <c r="D43" s="37">
        <v>500</v>
      </c>
      <c r="E43" s="37">
        <v>501</v>
      </c>
      <c r="F43" s="37">
        <v>479</v>
      </c>
    </row>
    <row r="44" spans="1:6" x14ac:dyDescent="0.2">
      <c r="A44" s="82"/>
      <c r="B44" s="33" t="s">
        <v>108</v>
      </c>
      <c r="C44" s="89">
        <v>0</v>
      </c>
      <c r="D44" s="37">
        <v>143</v>
      </c>
      <c r="E44" s="37">
        <v>276</v>
      </c>
      <c r="F44" s="37">
        <v>396</v>
      </c>
    </row>
    <row r="45" spans="1:6" x14ac:dyDescent="0.2">
      <c r="A45" s="82"/>
      <c r="B45" s="33" t="s">
        <v>56</v>
      </c>
      <c r="C45" s="93">
        <v>3536</v>
      </c>
      <c r="D45" s="37">
        <v>3177</v>
      </c>
      <c r="E45" s="37">
        <v>2966</v>
      </c>
      <c r="F45" s="37">
        <v>3317</v>
      </c>
    </row>
    <row r="46" spans="1:6" x14ac:dyDescent="0.2">
      <c r="A46" s="82"/>
      <c r="B46" s="33" t="s">
        <v>110</v>
      </c>
      <c r="C46" s="93">
        <v>751</v>
      </c>
      <c r="D46" s="37">
        <v>688</v>
      </c>
      <c r="E46" s="37"/>
      <c r="F46" s="37"/>
    </row>
    <row r="47" spans="1:6" x14ac:dyDescent="0.2">
      <c r="B47" s="76" t="s">
        <v>70</v>
      </c>
      <c r="C47" s="76"/>
      <c r="D47" s="37"/>
      <c r="E47" s="37"/>
      <c r="F47" s="37"/>
    </row>
    <row r="48" spans="1:6" x14ac:dyDescent="0.2">
      <c r="A48" s="82"/>
      <c r="B48" s="48" t="s">
        <v>81</v>
      </c>
      <c r="C48" s="92">
        <v>0</v>
      </c>
      <c r="D48" s="37">
        <v>0</v>
      </c>
      <c r="E48" s="37">
        <v>-348</v>
      </c>
      <c r="F48" s="37">
        <v>-269</v>
      </c>
    </row>
    <row r="49" spans="1:6" x14ac:dyDescent="0.2">
      <c r="A49" s="82"/>
      <c r="B49" s="71" t="s">
        <v>148</v>
      </c>
      <c r="C49" s="92">
        <v>0</v>
      </c>
      <c r="D49" s="37">
        <v>0</v>
      </c>
      <c r="E49" s="37">
        <v>-47</v>
      </c>
      <c r="F49" s="37">
        <v>-57</v>
      </c>
    </row>
    <row r="50" spans="1:6" x14ac:dyDescent="0.2">
      <c r="A50" s="83"/>
      <c r="B50" s="48" t="s">
        <v>149</v>
      </c>
      <c r="C50" s="92">
        <v>0</v>
      </c>
      <c r="D50" s="37">
        <v>0</v>
      </c>
      <c r="E50" s="37">
        <v>-1211</v>
      </c>
      <c r="F50" s="37">
        <v>-1411</v>
      </c>
    </row>
    <row r="51" spans="1:6" x14ac:dyDescent="0.2">
      <c r="A51" s="82"/>
      <c r="B51" s="33" t="s">
        <v>111</v>
      </c>
      <c r="C51" s="93">
        <v>4064</v>
      </c>
      <c r="D51" s="37">
        <v>0</v>
      </c>
      <c r="E51" s="37">
        <v>8368</v>
      </c>
      <c r="F51" s="37">
        <v>5275</v>
      </c>
    </row>
    <row r="52" spans="1:6" x14ac:dyDescent="0.2">
      <c r="B52" s="49" t="s">
        <v>83</v>
      </c>
      <c r="C52" s="94">
        <v>60327</v>
      </c>
      <c r="D52" s="36">
        <v>61838</v>
      </c>
      <c r="E52" s="36">
        <v>57989</v>
      </c>
      <c r="F52" s="36">
        <v>55098</v>
      </c>
    </row>
    <row r="53" spans="1:6" x14ac:dyDescent="0.2">
      <c r="B53" s="44"/>
      <c r="C53" s="44"/>
      <c r="D53" s="66"/>
      <c r="E53" s="66"/>
      <c r="F53" s="66"/>
    </row>
    <row r="54" spans="1:6" x14ac:dyDescent="0.2">
      <c r="A54" s="82"/>
      <c r="B54" s="44" t="s">
        <v>113</v>
      </c>
      <c r="C54" s="44"/>
      <c r="D54" s="66"/>
      <c r="E54" s="66"/>
      <c r="F54" s="66"/>
    </row>
    <row r="55" spans="1:6" x14ac:dyDescent="0.2">
      <c r="A55" s="82"/>
      <c r="B55" s="44"/>
      <c r="C55" s="44"/>
      <c r="D55" s="66"/>
      <c r="E55" s="66"/>
      <c r="F55" s="66"/>
    </row>
    <row r="56" spans="1:6" x14ac:dyDescent="0.2">
      <c r="A56" s="82"/>
      <c r="B56" s="46" t="s">
        <v>61</v>
      </c>
      <c r="C56" s="80">
        <v>42369</v>
      </c>
      <c r="D56" s="70">
        <v>42004</v>
      </c>
      <c r="E56" s="70">
        <v>41639</v>
      </c>
      <c r="F56" s="70">
        <v>41274</v>
      </c>
    </row>
    <row r="57" spans="1:6" x14ac:dyDescent="0.2">
      <c r="A57" s="82"/>
      <c r="B57" s="33" t="s">
        <v>38</v>
      </c>
      <c r="C57" s="37">
        <v>4128.0714049770058</v>
      </c>
      <c r="D57" s="37">
        <v>4567.6000000000004</v>
      </c>
      <c r="E57" s="37">
        <v>3777.6800000000003</v>
      </c>
      <c r="F57" s="37">
        <v>3778.16</v>
      </c>
    </row>
    <row r="58" spans="1:6" x14ac:dyDescent="0.2">
      <c r="A58" s="82"/>
      <c r="B58" s="33" t="s">
        <v>51</v>
      </c>
      <c r="C58" s="37">
        <v>30</v>
      </c>
      <c r="D58" s="37">
        <v>70.239999999999995</v>
      </c>
      <c r="E58" s="37">
        <v>83.2</v>
      </c>
      <c r="F58" s="37">
        <v>81.28</v>
      </c>
    </row>
    <row r="59" spans="1:6" x14ac:dyDescent="0.2">
      <c r="A59" s="82"/>
      <c r="B59" s="33" t="s">
        <v>56</v>
      </c>
      <c r="C59" s="37">
        <v>282.9049</v>
      </c>
      <c r="D59" s="37">
        <v>254.16</v>
      </c>
      <c r="E59" s="37">
        <v>237.28</v>
      </c>
      <c r="F59" s="37">
        <v>265.36</v>
      </c>
    </row>
    <row r="60" spans="1:6" x14ac:dyDescent="0.2">
      <c r="A60" s="82"/>
      <c r="B60" s="33" t="s">
        <v>110</v>
      </c>
      <c r="C60" s="37">
        <v>60.08</v>
      </c>
      <c r="D60" s="37"/>
      <c r="E60" s="37"/>
      <c r="F60" s="37"/>
    </row>
    <row r="61" spans="1:6" x14ac:dyDescent="0.2">
      <c r="A61" s="82"/>
      <c r="B61" s="76" t="s">
        <v>70</v>
      </c>
      <c r="C61" s="35"/>
      <c r="D61" s="37"/>
      <c r="E61" s="37"/>
      <c r="F61" s="37"/>
    </row>
    <row r="62" spans="1:6" x14ac:dyDescent="0.2">
      <c r="A62" s="28"/>
      <c r="B62" s="48" t="s">
        <v>81</v>
      </c>
      <c r="C62" s="95">
        <v>0</v>
      </c>
      <c r="D62" s="37"/>
      <c r="E62" s="37">
        <v>-28</v>
      </c>
      <c r="F62" s="37">
        <v>-22</v>
      </c>
    </row>
    <row r="63" spans="1:6" x14ac:dyDescent="0.2">
      <c r="A63" s="28"/>
      <c r="B63" s="71" t="s">
        <v>148</v>
      </c>
      <c r="C63" s="95">
        <v>0</v>
      </c>
      <c r="D63" s="37">
        <v>-4</v>
      </c>
      <c r="E63" s="37">
        <v>-4</v>
      </c>
      <c r="F63" s="37">
        <v>-5</v>
      </c>
    </row>
    <row r="64" spans="1:6" x14ac:dyDescent="0.2">
      <c r="A64" s="28"/>
      <c r="B64" s="48" t="s">
        <v>140</v>
      </c>
      <c r="C64" s="95">
        <v>0</v>
      </c>
      <c r="D64" s="37">
        <v>-97</v>
      </c>
      <c r="E64" s="37">
        <v>-97</v>
      </c>
      <c r="F64" s="37">
        <v>-112.88</v>
      </c>
    </row>
    <row r="65" spans="1:6" x14ac:dyDescent="0.2">
      <c r="A65" s="82"/>
      <c r="B65" s="46" t="s">
        <v>114</v>
      </c>
      <c r="C65" s="38">
        <v>325.12</v>
      </c>
      <c r="D65" s="37">
        <v>0</v>
      </c>
      <c r="E65" s="37">
        <v>669.44</v>
      </c>
      <c r="F65" s="37">
        <v>422</v>
      </c>
    </row>
    <row r="66" spans="1:6" x14ac:dyDescent="0.2">
      <c r="A66" s="82"/>
      <c r="B66" s="49" t="s">
        <v>115</v>
      </c>
      <c r="C66" s="94">
        <v>4826</v>
      </c>
      <c r="D66" s="77">
        <v>4791</v>
      </c>
      <c r="E66" s="77">
        <v>4638.6000000000004</v>
      </c>
      <c r="F66" s="77">
        <v>4406.92</v>
      </c>
    </row>
    <row r="67" spans="1:6" x14ac:dyDescent="0.2">
      <c r="A67" s="82"/>
      <c r="B67" s="78" t="s">
        <v>116</v>
      </c>
      <c r="C67" s="96">
        <v>0.13869364849139906</v>
      </c>
      <c r="D67" s="78">
        <v>0.12550535269575341</v>
      </c>
      <c r="E67" s="78">
        <v>0.12295435341185397</v>
      </c>
      <c r="F67" s="78">
        <v>0.10314348978184326</v>
      </c>
    </row>
    <row r="68" spans="1:6" x14ac:dyDescent="0.2">
      <c r="A68" s="28"/>
      <c r="B68" s="78" t="s">
        <v>117</v>
      </c>
      <c r="C68" s="96">
        <v>0.15100981687064008</v>
      </c>
      <c r="D68" s="78">
        <v>0.13651799864161196</v>
      </c>
      <c r="E68" s="78">
        <v>0.13421510976219628</v>
      </c>
      <c r="F68" s="78">
        <v>0.12109332462158336</v>
      </c>
    </row>
    <row r="69" spans="1:6" x14ac:dyDescent="0.2">
      <c r="A69" s="26"/>
      <c r="B69" s="79" t="s">
        <v>118</v>
      </c>
      <c r="C69" s="41">
        <v>0.17169700144303951</v>
      </c>
      <c r="D69" s="79">
        <v>0.15658656489537179</v>
      </c>
      <c r="E69" s="79">
        <v>0.13914707961854836</v>
      </c>
      <c r="F69" s="79">
        <v>0.13194671312933318</v>
      </c>
    </row>
    <row r="70" spans="1:6" x14ac:dyDescent="0.2">
      <c r="A70" s="26"/>
    </row>
    <row r="71" spans="1:6" x14ac:dyDescent="0.2">
      <c r="A71" s="26"/>
    </row>
    <row r="72" spans="1:6" x14ac:dyDescent="0.2">
      <c r="A72" s="27"/>
    </row>
    <row r="73" spans="1:6" x14ac:dyDescent="0.2">
      <c r="A73" s="26"/>
    </row>
    <row r="74" spans="1:6" x14ac:dyDescent="0.2">
      <c r="A74" s="27"/>
    </row>
    <row r="75" spans="1:6" x14ac:dyDescent="0.2">
      <c r="A75" s="26"/>
    </row>
    <row r="76" spans="1:6" x14ac:dyDescent="0.2">
      <c r="A76" s="26"/>
    </row>
    <row r="77" spans="1:6" x14ac:dyDescent="0.2">
      <c r="A77" s="26"/>
    </row>
    <row r="78" spans="1:6" x14ac:dyDescent="0.2">
      <c r="A78" s="26"/>
    </row>
    <row r="79" spans="1:6" x14ac:dyDescent="0.2">
      <c r="A79" s="26"/>
    </row>
    <row r="80" spans="1:6" x14ac:dyDescent="0.2">
      <c r="A80" s="26"/>
    </row>
    <row r="81" spans="1:1" x14ac:dyDescent="0.2">
      <c r="A81" s="26"/>
    </row>
    <row r="82" spans="1:1" x14ac:dyDescent="0.2">
      <c r="A82" s="27"/>
    </row>
    <row r="83" spans="1:1" x14ac:dyDescent="0.2">
      <c r="A83" s="26"/>
    </row>
    <row r="84" spans="1:1" x14ac:dyDescent="0.2">
      <c r="A84" s="57"/>
    </row>
    <row r="85" spans="1:1" x14ac:dyDescent="0.2">
      <c r="A85" s="29"/>
    </row>
  </sheetData>
  <sheetProtection algorithmName="SHA-512" hashValue="jiQMsQOsDyGN5RzTTQsbz8o3K0QsyzPF4lj/GO8k9aFKAEUFmYUEzYJiL+4z+39d2H6SrdTAnOp3M9BBGvFOLA==" saltValue="hc19kexqvLGxyNcgOfI/GA==" spinCount="100000" sheet="1" objects="1" scenarios="1"/>
  <mergeCells count="1">
    <mergeCell ref="B2:F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B2:P20"/>
  <sheetViews>
    <sheetView showGridLines="0" workbookViewId="0"/>
  </sheetViews>
  <sheetFormatPr baseColWidth="10" defaultRowHeight="12.75" x14ac:dyDescent="0.2"/>
  <cols>
    <col min="2" max="2" width="57.7109375" bestFit="1" customWidth="1"/>
  </cols>
  <sheetData>
    <row r="2" spans="2:16" ht="18.75" x14ac:dyDescent="0.3">
      <c r="B2" s="361" t="s">
        <v>386</v>
      </c>
      <c r="C2" s="361"/>
      <c r="D2" s="36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2:16" x14ac:dyDescent="0.2">
      <c r="B4" s="97" t="s">
        <v>61</v>
      </c>
      <c r="C4" s="34">
        <v>2017</v>
      </c>
      <c r="D4" s="43">
        <v>2016</v>
      </c>
    </row>
    <row r="6" spans="2:16" x14ac:dyDescent="0.2">
      <c r="B6" s="98" t="s">
        <v>150</v>
      </c>
    </row>
    <row r="7" spans="2:16" x14ac:dyDescent="0.2">
      <c r="B7" s="82" t="s">
        <v>155</v>
      </c>
      <c r="C7" s="110">
        <v>0</v>
      </c>
      <c r="D7">
        <v>500</v>
      </c>
    </row>
    <row r="8" spans="2:16" x14ac:dyDescent="0.2">
      <c r="B8" s="100" t="s">
        <v>156</v>
      </c>
      <c r="C8">
        <v>350</v>
      </c>
      <c r="D8">
        <v>350</v>
      </c>
    </row>
    <row r="9" spans="2:16" x14ac:dyDescent="0.2">
      <c r="B9" s="99" t="s">
        <v>157</v>
      </c>
      <c r="C9">
        <v>500</v>
      </c>
      <c r="D9" s="110">
        <v>0</v>
      </c>
    </row>
    <row r="11" spans="2:16" x14ac:dyDescent="0.2">
      <c r="B11" s="42" t="s">
        <v>154</v>
      </c>
      <c r="C11" s="42">
        <v>850</v>
      </c>
      <c r="D11" s="42">
        <v>850</v>
      </c>
    </row>
    <row r="12" spans="2:16" x14ac:dyDescent="0.2">
      <c r="B12" s="19"/>
      <c r="C12" s="19"/>
      <c r="D12" s="19"/>
    </row>
    <row r="13" spans="2:16" x14ac:dyDescent="0.2">
      <c r="B13" s="101" t="s">
        <v>151</v>
      </c>
    </row>
    <row r="14" spans="2:16" x14ac:dyDescent="0.2">
      <c r="B14" s="104" t="s">
        <v>158</v>
      </c>
      <c r="C14" s="110">
        <v>0</v>
      </c>
      <c r="D14">
        <v>500</v>
      </c>
    </row>
    <row r="15" spans="2:16" x14ac:dyDescent="0.2">
      <c r="B15" s="48" t="s">
        <v>159</v>
      </c>
      <c r="C15">
        <v>350</v>
      </c>
      <c r="D15" s="109">
        <v>0</v>
      </c>
    </row>
    <row r="16" spans="2:16" x14ac:dyDescent="0.2">
      <c r="B16" s="99" t="s">
        <v>160</v>
      </c>
      <c r="C16">
        <v>180</v>
      </c>
      <c r="D16" s="110">
        <v>0</v>
      </c>
    </row>
    <row r="17" spans="2:4" x14ac:dyDescent="0.2">
      <c r="B17" s="105" t="s">
        <v>152</v>
      </c>
      <c r="C17" s="42">
        <v>530</v>
      </c>
      <c r="D17" s="106">
        <v>500</v>
      </c>
    </row>
    <row r="18" spans="2:4" x14ac:dyDescent="0.2">
      <c r="B18" s="108" t="s">
        <v>153</v>
      </c>
      <c r="C18" s="111">
        <v>1380</v>
      </c>
      <c r="D18" s="107">
        <v>1350</v>
      </c>
    </row>
    <row r="20" spans="2:4" x14ac:dyDescent="0.2">
      <c r="B20" s="42" t="s">
        <v>378</v>
      </c>
      <c r="C20" s="219">
        <v>2.8899999999999999E-2</v>
      </c>
      <c r="D20" s="199">
        <v>4.2999999999999997E-2</v>
      </c>
    </row>
  </sheetData>
  <sheetProtection algorithmName="SHA-512" hashValue="FgBeUs1c3B0S7cYc1FZEqWVcnZhhLlhsWxw07O2KNbm9v9o25/8hbLDGpyWAKqjgwWLQdkgDU5XFRMU0599iSg==" saltValue="K4QWXDQnX8SZFDK5GkFCbg==" spinCount="100000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421481371EFD43917CCEC74D41D9C5" ma:contentTypeVersion="0" ma:contentTypeDescription="Opprett et nytt dokument." ma:contentTypeScope="" ma:versionID="7b4248747d4b4ee601619cf11af2ad7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21D9F-4632-4CCC-8D6E-629BD7D7B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51B4A7-FB4C-4454-8263-F45198BB326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F78CCD-743F-4C17-87EF-4459627DF6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Forside</vt:lpstr>
      <vt:lpstr>Innhold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>SpareBank1 Alliansen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Nordvang</dc:creator>
  <cp:lastModifiedBy>Marius Nilsen</cp:lastModifiedBy>
  <dcterms:created xsi:type="dcterms:W3CDTF">2018-02-12T15:17:16Z</dcterms:created>
  <dcterms:modified xsi:type="dcterms:W3CDTF">2018-07-11T12:20:19Z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0x010100B4421481371EFD43917CCEC74D41D9C5</vt:lpwstr>
  </property>
  <property fmtid="{D5CDD505-2E9C-101B-9397-08002B2CF9AE}" pid="3" name="SpreadsheetBuilder_1">
    <vt:lpwstr>eyIwIjoiSGlzdG9yeSIsIjEiOjAsIjIiOjEsIjMiOjEsIjQiOjAsIjUiOjEsIjYiOjEsIjciOjEsIjgiOjAsIjkiOjEsIjEwIjoxLCIxMSI6MH0=</vt:lpwstr>
  </property>
  <property fmtid="{D5CDD505-2E9C-101B-9397-08002B2CF9AE}" pid="4" name="MSIP_Label_47623a5b-a978-4e1c-9eab-3c139807aa88_Enabled">
    <vt:lpwstr>True</vt:lpwstr>
  </property>
  <property fmtid="{D5CDD505-2E9C-101B-9397-08002B2CF9AE}" pid="5" name="MSIP_Label_47623a5b-a978-4e1c-9eab-3c139807aa88_SiteId">
    <vt:lpwstr>491e8cc4-2204-4312-8565-17f85046df01</vt:lpwstr>
  </property>
  <property fmtid="{D5CDD505-2E9C-101B-9397-08002B2CF9AE}" pid="6" name="MSIP_Label_47623a5b-a978-4e1c-9eab-3c139807aa88_Owner">
    <vt:lpwstr>orjan.steffensen@snn.no</vt:lpwstr>
  </property>
  <property fmtid="{D5CDD505-2E9C-101B-9397-08002B2CF9AE}" pid="7" name="MSIP_Label_47623a5b-a978-4e1c-9eab-3c139807aa88_SetDate">
    <vt:lpwstr>2018-04-05T10:24:21.7388576Z</vt:lpwstr>
  </property>
  <property fmtid="{D5CDD505-2E9C-101B-9397-08002B2CF9AE}" pid="8" name="MSIP_Label_47623a5b-a978-4e1c-9eab-3c139807aa88_Name">
    <vt:lpwstr>Intern</vt:lpwstr>
  </property>
  <property fmtid="{D5CDD505-2E9C-101B-9397-08002B2CF9AE}" pid="9" name="MSIP_Label_47623a5b-a978-4e1c-9eab-3c139807aa88_Application">
    <vt:lpwstr>Microsoft Azure Information Protection</vt:lpwstr>
  </property>
  <property fmtid="{D5CDD505-2E9C-101B-9397-08002B2CF9AE}" pid="10" name="MSIP_Label_47623a5b-a978-4e1c-9eab-3c139807aa88_Extended_MSFT_Method">
    <vt:lpwstr>Automatic</vt:lpwstr>
  </property>
  <property fmtid="{D5CDD505-2E9C-101B-9397-08002B2CF9AE}" pid="11" name="Sensitivity">
    <vt:lpwstr>Intern</vt:lpwstr>
  </property>
</Properties>
</file>