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amspar.sharepoint.com/sites/SB1OA-Team-konomi-og-Finans-Filomrdeforkonomiogfinans/Shared Documents/Kvartalsoppgjør/2026_Q1/"/>
    </mc:Choice>
  </mc:AlternateContent>
  <xr:revisionPtr revIDLastSave="20" documentId="8_{8F8E3E6C-D3BC-445C-B848-11D355C021F4}" xr6:coauthVersionLast="47" xr6:coauthVersionMax="47" xr10:uidLastSave="{1624C9D4-5FE9-48A1-99F5-5B1B3E4E674C}"/>
  <bookViews>
    <workbookView xWindow="-120" yWindow="-120" windowWidth="29040" windowHeight="17520" xr2:uid="{C25A7890-1C07-413B-B368-8E2DA1BD656A}"/>
  </bookViews>
  <sheets>
    <sheet name="APMd" sheetId="2" r:id="rId1"/>
    <sheet name="APMu" sheetId="1" r:id="rId2"/>
  </sheets>
  <definedNames>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1__123Graph_ADIAGRAM_10" hidden="1">#REF!</definedName>
    <definedName name="_10__123Graph_BDIAGRAM_9" hidden="1">#REF!</definedName>
    <definedName name="_11__123Graph_CDIAGRAM_10" hidden="1">#REF!</definedName>
    <definedName name="_12__123Graph_CDIAGRAM_11" hidden="1">#REF!</definedName>
    <definedName name="_123" hidden="1">#REF!</definedName>
    <definedName name="_13__123Graph_CDIAGRAM_5" hidden="1">#REF!</definedName>
    <definedName name="_14__123Graph_CDIAGRAM_8" hidden="1">#REF!</definedName>
    <definedName name="_15__123Graph_CDIAGRAM_9" hidden="1">#REF!</definedName>
    <definedName name="_16__123Graph_XDIAGRAM_11" hidden="1">#REF!</definedName>
    <definedName name="_17__123Graph_XDIAGRAM_8" hidden="1">#REF!</definedName>
    <definedName name="_18__123Graph_XDIAGRAM_9" hidden="1">#REF!</definedName>
    <definedName name="_2__123Graph_ADIAGRAM_11" hidden="1">#REF!</definedName>
    <definedName name="_3__123Graph_ADIAGRAM_5" hidden="1">#REF!</definedName>
    <definedName name="_4__123Graph_ADIAGRAM_8" hidden="1">#REF!</definedName>
    <definedName name="_5__123Graph_ADIAGRAM_9" hidden="1">#REF!</definedName>
    <definedName name="_6__123Graph_BDIAGRAM_10" hidden="1">#REF!</definedName>
    <definedName name="_7__123Graph_BDIAGRAM_11" hidden="1">#REF!</definedName>
    <definedName name="_8__123Graph_BDIAGRAM_5" hidden="1">#REF!</definedName>
    <definedName name="_9__123Graph_BDIAGRAM_8" hidden="1">#REF!</definedName>
    <definedName name="_AMO_UniqueIdentifier" hidden="1">"'ea146410-0ba0-4315-a76f-efd61b1e6fa7'"</definedName>
    <definedName name="_AMO_XmlVersion" hidden="1">"'1'"</definedName>
    <definedName name="_Fill" hidden="1">#REF!</definedName>
    <definedName name="_Key1" hidden="1">#REF!</definedName>
    <definedName name="_Order1" hidden="1">0</definedName>
    <definedName name="_Order2" hidden="1">0</definedName>
    <definedName name="_Sort" hidden="1">#REF!</definedName>
    <definedName name="a09978251860849cbb2adc3ca2d653fdb" hidden="1">#REF!</definedName>
    <definedName name="a1d6478a3358b4ada9ef3d7a1dd1a3e90" hidden="1">#REF!</definedName>
    <definedName name="a21b5b52847044604a75b8d0683acff0b" hidden="1">#REF!</definedName>
    <definedName name="abb1e7357a8f842e8a67274c425abaa5e" hidden="1">#REF!</definedName>
    <definedName name="AS2DocOpenMode" hidden="1">"AS2DocumentEdit"</definedName>
    <definedName name="asdf" hidden="1">#REF!</definedName>
    <definedName name="f" hidden="1">#REF!</definedName>
    <definedName name="Feil" hidden="1">#REF!</definedName>
    <definedName name="ggg" hidden="1">#REF!</definedName>
    <definedName name="k" hidden="1">#REF!</definedName>
    <definedName name="Kapital" hidden="1">#REF!</definedName>
    <definedName name="Kapital1" hidden="1">#REF!</definedName>
    <definedName name="N15arb" hidden="1">#REF!</definedName>
    <definedName name="qw" hidden="1">#REF!</definedName>
    <definedName name="SheetState" hidden="1">"'2:-1:-1:-1:-1:-1:-1:-1:-1:-1:-1:-1:-1:-1"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8" i="1" l="1"/>
  <c r="R68" i="1"/>
  <c r="P68" i="1"/>
  <c r="N68" i="1"/>
  <c r="L68" i="1"/>
  <c r="J68" i="1"/>
  <c r="H68" i="1"/>
  <c r="F68" i="1"/>
  <c r="D68" i="1"/>
  <c r="T67" i="1"/>
  <c r="R67" i="1"/>
  <c r="P67" i="1"/>
  <c r="N67" i="1"/>
  <c r="L67" i="1"/>
  <c r="J67" i="1"/>
  <c r="H67" i="1"/>
  <c r="F67" i="1"/>
  <c r="D67" i="1"/>
  <c r="T66" i="1"/>
  <c r="R66" i="1"/>
  <c r="P66" i="1"/>
  <c r="N66" i="1"/>
  <c r="L66" i="1"/>
  <c r="J66" i="1"/>
  <c r="H66" i="1"/>
  <c r="F66" i="1"/>
  <c r="D66" i="1"/>
  <c r="I48" i="1"/>
  <c r="T53" i="1"/>
  <c r="S53" i="1"/>
  <c r="F53" i="1"/>
  <c r="N53" i="1"/>
  <c r="J52" i="1" l="1"/>
  <c r="J22" i="1"/>
  <c r="J53" i="1"/>
  <c r="F14" i="1"/>
  <c r="H53" i="1"/>
  <c r="H22" i="1"/>
  <c r="T14" i="1"/>
  <c r="G14" i="1"/>
  <c r="G22" i="1"/>
  <c r="G41" i="1" s="1"/>
  <c r="G53" i="1"/>
  <c r="S52" i="1"/>
  <c r="S14" i="1"/>
  <c r="S94" i="1"/>
  <c r="S96" i="1" s="1"/>
  <c r="I66" i="1"/>
  <c r="I14" i="1"/>
  <c r="I52" i="1"/>
  <c r="I53" i="1"/>
  <c r="G66" i="1"/>
  <c r="M14" i="1"/>
  <c r="N14" i="1"/>
  <c r="M52" i="1"/>
  <c r="L53" i="1"/>
  <c r="N18" i="1"/>
  <c r="M53" i="1"/>
  <c r="N22" i="1"/>
  <c r="R22" i="1"/>
  <c r="E14" i="1"/>
  <c r="M73" i="1"/>
  <c r="E136" i="1"/>
  <c r="J18" i="1"/>
  <c r="F52" i="1"/>
  <c r="F18" i="1"/>
  <c r="D53" i="1"/>
  <c r="D84" i="1"/>
  <c r="O48" i="1"/>
  <c r="O53" i="1"/>
  <c r="L14" i="1"/>
  <c r="C53" i="1"/>
  <c r="C48" i="1"/>
  <c r="G52" i="1"/>
  <c r="M137" i="1"/>
  <c r="M127" i="1"/>
  <c r="M131" i="1"/>
  <c r="N113" i="1"/>
  <c r="N114" i="1" s="1"/>
  <c r="P39" i="1"/>
  <c r="P58" i="1" s="1"/>
  <c r="P53" i="1"/>
  <c r="R14" i="1"/>
  <c r="T48" i="1"/>
  <c r="I94" i="1"/>
  <c r="K48" i="1"/>
  <c r="N52" i="1"/>
  <c r="S66" i="1"/>
  <c r="M107" i="1"/>
  <c r="M108" i="1" s="1"/>
  <c r="M94" i="1"/>
  <c r="M48" i="1"/>
  <c r="M117" i="1"/>
  <c r="M118" i="1" s="1"/>
  <c r="H14" i="1"/>
  <c r="R39" i="1"/>
  <c r="R58" i="1" s="1"/>
  <c r="L103" i="1"/>
  <c r="L104" i="1" s="1"/>
  <c r="K94" i="1"/>
  <c r="K53" i="1"/>
  <c r="T18" i="1"/>
  <c r="T52" i="1"/>
  <c r="G136" i="1"/>
  <c r="F122" i="1"/>
  <c r="T136" i="1"/>
  <c r="T94" i="1"/>
  <c r="Q53" i="1"/>
  <c r="Q22" i="1"/>
  <c r="Q41" i="1" s="1"/>
  <c r="E73" i="1"/>
  <c r="F39" i="1"/>
  <c r="F58" i="1" s="1"/>
  <c r="G107" i="1"/>
  <c r="G108" i="1" s="1"/>
  <c r="G48" i="1"/>
  <c r="I22" i="1"/>
  <c r="I41" i="1" s="1"/>
  <c r="F22" i="1"/>
  <c r="T22" i="1"/>
  <c r="E48" i="1"/>
  <c r="Q48" i="1"/>
  <c r="G73" i="1"/>
  <c r="T73" i="1"/>
  <c r="S48" i="1"/>
  <c r="F73" i="1"/>
  <c r="T39" i="1"/>
  <c r="E53" i="1"/>
  <c r="R53" i="1"/>
  <c r="Q94" i="1"/>
  <c r="E121" i="1" l="1"/>
  <c r="K14" i="1"/>
  <c r="K121" i="1" s="1"/>
  <c r="S73" i="1"/>
  <c r="I96" i="1"/>
  <c r="I98" i="1" s="1"/>
  <c r="S18" i="1"/>
  <c r="D14" i="1"/>
  <c r="D121" i="1" s="1"/>
  <c r="G18" i="1"/>
  <c r="G27" i="1" s="1"/>
  <c r="K136" i="1"/>
  <c r="M136" i="1"/>
  <c r="M138" i="1" s="1"/>
  <c r="L73" i="1"/>
  <c r="Q136" i="1"/>
  <c r="G94" i="1"/>
  <c r="G96" i="1" s="1"/>
  <c r="G98" i="1" s="1"/>
  <c r="M18" i="1"/>
  <c r="M27" i="1" s="1"/>
  <c r="P14" i="1"/>
  <c r="P121" i="1" s="1"/>
  <c r="G121" i="1"/>
  <c r="D73" i="1"/>
  <c r="N73" i="1"/>
  <c r="J103" i="1"/>
  <c r="J104" i="1" s="1"/>
  <c r="H25" i="1"/>
  <c r="H28" i="1" s="1"/>
  <c r="N27" i="1"/>
  <c r="T27" i="1"/>
  <c r="H39" i="1"/>
  <c r="H58" i="1" s="1"/>
  <c r="S136" i="1"/>
  <c r="E22" i="1"/>
  <c r="E41" i="1" s="1"/>
  <c r="E32" i="1" s="1"/>
  <c r="F121" i="1"/>
  <c r="M121" i="1"/>
  <c r="C14" i="1"/>
  <c r="C121" i="1" s="1"/>
  <c r="T121" i="1"/>
  <c r="C84" i="1"/>
  <c r="H18" i="1"/>
  <c r="H27" i="1" s="1"/>
  <c r="H52" i="1"/>
  <c r="P73" i="1"/>
  <c r="O113" i="1"/>
  <c r="O114" i="1" s="1"/>
  <c r="F25" i="1"/>
  <c r="F28" i="1" s="1"/>
  <c r="L121" i="1"/>
  <c r="F27" i="1"/>
  <c r="I121" i="1"/>
  <c r="S22" i="1"/>
  <c r="S41" i="1" s="1"/>
  <c r="S32" i="1" s="1"/>
  <c r="H121" i="1"/>
  <c r="K73" i="1"/>
  <c r="I18" i="1"/>
  <c r="I27" i="1" s="1"/>
  <c r="C73" i="1"/>
  <c r="R121" i="1"/>
  <c r="T96" i="1"/>
  <c r="T98" i="1" s="1"/>
  <c r="N121" i="1"/>
  <c r="S27" i="1"/>
  <c r="S121" i="1"/>
  <c r="C22" i="1"/>
  <c r="C41" i="1" s="1"/>
  <c r="C32" i="1" s="1"/>
  <c r="G32" i="1"/>
  <c r="H32" i="1" s="1"/>
  <c r="Q39" i="1"/>
  <c r="Q58" i="1" s="1"/>
  <c r="T41" i="1"/>
  <c r="T25" i="1"/>
  <c r="R25" i="1"/>
  <c r="R28" i="1" s="1"/>
  <c r="T58" i="1"/>
  <c r="S39" i="1"/>
  <c r="S58" i="1" s="1"/>
  <c r="O39" i="1"/>
  <c r="O58" i="1" s="1"/>
  <c r="S127" i="1"/>
  <c r="S131" i="1"/>
  <c r="S117" i="1"/>
  <c r="S118" i="1" s="1"/>
  <c r="S137" i="1"/>
  <c r="S113" i="1"/>
  <c r="S114" i="1" s="1"/>
  <c r="I32" i="1"/>
  <c r="J32" i="1" s="1"/>
  <c r="E66" i="1"/>
  <c r="J14" i="1"/>
  <c r="Q107" i="1"/>
  <c r="Q108" i="1" s="1"/>
  <c r="P122" i="1"/>
  <c r="C113" i="1"/>
  <c r="C114" i="1" s="1"/>
  <c r="C136" i="1"/>
  <c r="D52" i="1"/>
  <c r="D18" i="1"/>
  <c r="C131" i="1"/>
  <c r="C132" i="1" s="1"/>
  <c r="C137" i="1"/>
  <c r="C127" i="1"/>
  <c r="C128" i="1" s="1"/>
  <c r="C117" i="1"/>
  <c r="C118" i="1" s="1"/>
  <c r="K113" i="1"/>
  <c r="K114" i="1" s="1"/>
  <c r="T107" i="1"/>
  <c r="T108" i="1" s="1"/>
  <c r="P113" i="1"/>
  <c r="P114" i="1" s="1"/>
  <c r="P103" i="1"/>
  <c r="P104" i="1" s="1"/>
  <c r="S103" i="1"/>
  <c r="S104" i="1" s="1"/>
  <c r="S107" i="1"/>
  <c r="S108" i="1" s="1"/>
  <c r="D39" i="1"/>
  <c r="J122" i="1"/>
  <c r="J113" i="1"/>
  <c r="J114" i="1" s="1"/>
  <c r="Q52" i="1"/>
  <c r="Q18" i="1"/>
  <c r="L52" i="1"/>
  <c r="L18" i="1"/>
  <c r="L27" i="1" s="1"/>
  <c r="R103" i="1"/>
  <c r="R104" i="1" s="1"/>
  <c r="R113" i="1"/>
  <c r="R114" i="1" s="1"/>
  <c r="R73" i="1"/>
  <c r="G131" i="1"/>
  <c r="G137" i="1"/>
  <c r="G138" i="1" s="1"/>
  <c r="G117" i="1"/>
  <c r="G118" i="1" s="1"/>
  <c r="G127" i="1"/>
  <c r="M66" i="1"/>
  <c r="K52" i="1"/>
  <c r="K18" i="1"/>
  <c r="K96" i="1"/>
  <c r="K98" i="1" s="1"/>
  <c r="P52" i="1"/>
  <c r="P18" i="1"/>
  <c r="C107" i="1"/>
  <c r="C108" i="1" s="1"/>
  <c r="C103" i="1"/>
  <c r="C104" i="1" s="1"/>
  <c r="O14" i="1"/>
  <c r="O121" i="1" s="1"/>
  <c r="O136" i="1"/>
  <c r="C66" i="1"/>
  <c r="L22" i="1"/>
  <c r="L25" i="1" s="1"/>
  <c r="I137" i="1"/>
  <c r="I117" i="1"/>
  <c r="I118" i="1" s="1"/>
  <c r="I127" i="1"/>
  <c r="I131" i="1"/>
  <c r="L122" i="1"/>
  <c r="K122" i="1" s="1"/>
  <c r="L113" i="1"/>
  <c r="L114" i="1" s="1"/>
  <c r="D89" i="1"/>
  <c r="Q96" i="1"/>
  <c r="Q98" i="1" s="1"/>
  <c r="S98" i="1"/>
  <c r="Q66" i="1"/>
  <c r="N39" i="1"/>
  <c r="O66" i="1"/>
  <c r="O18" i="1"/>
  <c r="O52" i="1"/>
  <c r="D22" i="1"/>
  <c r="D25" i="1" s="1"/>
  <c r="D28" i="1" s="1"/>
  <c r="K117" i="1"/>
  <c r="K118" i="1" s="1"/>
  <c r="K137" i="1"/>
  <c r="K127" i="1"/>
  <c r="K131" i="1"/>
  <c r="O131" i="1"/>
  <c r="O137" i="1"/>
  <c r="O117" i="1"/>
  <c r="O118" i="1" s="1"/>
  <c r="O127" i="1"/>
  <c r="E107" i="1"/>
  <c r="E108" i="1" s="1"/>
  <c r="F103" i="1"/>
  <c r="F104" i="1" s="1"/>
  <c r="F113" i="1"/>
  <c r="F114" i="1" s="1"/>
  <c r="E52" i="1"/>
  <c r="E18" i="1"/>
  <c r="E27" i="1" s="1"/>
  <c r="I73" i="1"/>
  <c r="E94" i="1"/>
  <c r="E96" i="1" s="1"/>
  <c r="E98" i="1" s="1"/>
  <c r="K22" i="1"/>
  <c r="K41" i="1" s="1"/>
  <c r="K32" i="1" s="1"/>
  <c r="M22" i="1"/>
  <c r="M41" i="1" s="1"/>
  <c r="O94" i="1"/>
  <c r="O96" i="1" s="1"/>
  <c r="O98" i="1" s="1"/>
  <c r="O73" i="1"/>
  <c r="E137" i="1"/>
  <c r="E138" i="1" s="1"/>
  <c r="E127" i="1"/>
  <c r="E131" i="1"/>
  <c r="E117" i="1"/>
  <c r="E118" i="1" s="1"/>
  <c r="G103" i="1"/>
  <c r="G104" i="1" s="1"/>
  <c r="G113" i="1"/>
  <c r="G114" i="1" s="1"/>
  <c r="O107" i="1"/>
  <c r="O108" i="1" s="1"/>
  <c r="I107" i="1"/>
  <c r="I108" i="1" s="1"/>
  <c r="Q32" i="1"/>
  <c r="Q46" i="1" s="1"/>
  <c r="Q14" i="1"/>
  <c r="Q121" i="1" s="1"/>
  <c r="P22" i="1"/>
  <c r="T113" i="1"/>
  <c r="T114" i="1" s="1"/>
  <c r="T103" i="1"/>
  <c r="T104" i="1" s="1"/>
  <c r="J73" i="1"/>
  <c r="E103" i="1"/>
  <c r="E104" i="1" s="1"/>
  <c r="E113" i="1"/>
  <c r="E114" i="1" s="1"/>
  <c r="T131" i="1"/>
  <c r="T127" i="1"/>
  <c r="T137" i="1"/>
  <c r="T138" i="1" s="1"/>
  <c r="T117" i="1"/>
  <c r="T118" i="1" s="1"/>
  <c r="T122" i="1"/>
  <c r="S122" i="1" s="1"/>
  <c r="Q113" i="1"/>
  <c r="Q114" i="1" s="1"/>
  <c r="Q103" i="1"/>
  <c r="Q104" i="1" s="1"/>
  <c r="N103" i="1"/>
  <c r="N104" i="1" s="1"/>
  <c r="K66" i="1"/>
  <c r="J39" i="1"/>
  <c r="L39" i="1"/>
  <c r="L58" i="1" s="1"/>
  <c r="C94" i="1"/>
  <c r="C96" i="1" s="1"/>
  <c r="C98" i="1" s="1"/>
  <c r="D122" i="1"/>
  <c r="C122" i="1" s="1"/>
  <c r="Q73" i="1"/>
  <c r="D113" i="1"/>
  <c r="D114" i="1" s="1"/>
  <c r="D103" i="1"/>
  <c r="D104" i="1" s="1"/>
  <c r="R52" i="1"/>
  <c r="R18" i="1"/>
  <c r="R27" i="1" s="1"/>
  <c r="H122" i="1"/>
  <c r="H103" i="1"/>
  <c r="H104" i="1" s="1"/>
  <c r="H113" i="1"/>
  <c r="H114" i="1" s="1"/>
  <c r="Q137" i="1"/>
  <c r="Q117" i="1"/>
  <c r="Q118" i="1" s="1"/>
  <c r="Q127" i="1"/>
  <c r="Q131" i="1"/>
  <c r="I136" i="1"/>
  <c r="H73" i="1"/>
  <c r="R122" i="1"/>
  <c r="K103" i="1"/>
  <c r="K104" i="1" s="1"/>
  <c r="K107" i="1"/>
  <c r="K108" i="1" s="1"/>
  <c r="M103" i="1"/>
  <c r="M104" i="1" s="1"/>
  <c r="M113" i="1"/>
  <c r="M114" i="1" s="1"/>
  <c r="M96" i="1"/>
  <c r="M98" i="1" s="1"/>
  <c r="N122" i="1"/>
  <c r="C89" i="1"/>
  <c r="C52" i="1"/>
  <c r="C18" i="1"/>
  <c r="O22" i="1"/>
  <c r="O41" i="1" s="1"/>
  <c r="D27" i="1" l="1"/>
  <c r="P27" i="1"/>
  <c r="K138" i="1"/>
  <c r="K27" i="1"/>
  <c r="C27" i="1"/>
  <c r="I138" i="1"/>
  <c r="J25" i="1"/>
  <c r="J28" i="1" s="1"/>
  <c r="Q138" i="1"/>
  <c r="F29" i="1"/>
  <c r="S138" i="1"/>
  <c r="H29" i="1"/>
  <c r="F32" i="1"/>
  <c r="F33" i="1" s="1"/>
  <c r="F55" i="1" s="1"/>
  <c r="F56" i="1" s="1"/>
  <c r="F59" i="1" s="1"/>
  <c r="F62" i="1" s="1"/>
  <c r="F63" i="1" s="1"/>
  <c r="E46" i="1"/>
  <c r="O103" i="1"/>
  <c r="O104" i="1" s="1"/>
  <c r="Q25" i="1"/>
  <c r="Q28" i="1" s="1"/>
  <c r="D32" i="1"/>
  <c r="C45" i="1"/>
  <c r="E122" i="1"/>
  <c r="G45" i="1"/>
  <c r="H33" i="1"/>
  <c r="H55" i="1" s="1"/>
  <c r="H56" i="1" s="1"/>
  <c r="H59" i="1" s="1"/>
  <c r="H62" i="1" s="1"/>
  <c r="H63" i="1" s="1"/>
  <c r="M122" i="1"/>
  <c r="R29" i="1"/>
  <c r="E39" i="1"/>
  <c r="E58" i="1" s="1"/>
  <c r="K39" i="1"/>
  <c r="K58" i="1" s="1"/>
  <c r="E45" i="1"/>
  <c r="I46" i="1"/>
  <c r="Q122" i="1"/>
  <c r="O122" i="1"/>
  <c r="G46" i="1"/>
  <c r="L32" i="1"/>
  <c r="J33" i="1" s="1"/>
  <c r="K45" i="1"/>
  <c r="K46" i="1"/>
  <c r="R32" i="1"/>
  <c r="Q45" i="1"/>
  <c r="Q47" i="1" s="1"/>
  <c r="Q49" i="1" s="1"/>
  <c r="Q67" i="1" s="1"/>
  <c r="Q68" i="1" s="1"/>
  <c r="D58" i="1"/>
  <c r="C39" i="1"/>
  <c r="C58" i="1" s="1"/>
  <c r="I103" i="1"/>
  <c r="I104" i="1" s="1"/>
  <c r="I113" i="1"/>
  <c r="I114" i="1" s="1"/>
  <c r="C123" i="1"/>
  <c r="C46" i="1"/>
  <c r="O27" i="1"/>
  <c r="E25" i="1"/>
  <c r="E28" i="1" s="1"/>
  <c r="E29" i="1" s="1"/>
  <c r="N58" i="1"/>
  <c r="M39" i="1"/>
  <c r="M58" i="1" s="1"/>
  <c r="D29" i="1"/>
  <c r="T32" i="1"/>
  <c r="S45" i="1"/>
  <c r="M32" i="1"/>
  <c r="D123" i="1"/>
  <c r="C138" i="1"/>
  <c r="P25" i="1"/>
  <c r="N25" i="1"/>
  <c r="S46" i="1"/>
  <c r="T28" i="1"/>
  <c r="T29" i="1" s="1"/>
  <c r="S25" i="1"/>
  <c r="S28" i="1" s="1"/>
  <c r="S29" i="1" s="1"/>
  <c r="I45" i="1"/>
  <c r="L28" i="1"/>
  <c r="L29" i="1" s="1"/>
  <c r="K25" i="1"/>
  <c r="K28" i="1" s="1"/>
  <c r="Q27" i="1"/>
  <c r="O32" i="1"/>
  <c r="C25" i="1"/>
  <c r="C28" i="1" s="1"/>
  <c r="C29" i="1" s="1"/>
  <c r="I122" i="1"/>
  <c r="I25" i="1"/>
  <c r="I28" i="1" s="1"/>
  <c r="I29" i="1" s="1"/>
  <c r="I39" i="1"/>
  <c r="I58" i="1" s="1"/>
  <c r="G122" i="1"/>
  <c r="J58" i="1"/>
  <c r="G39" i="1"/>
  <c r="G58" i="1" s="1"/>
  <c r="O138" i="1"/>
  <c r="J27" i="1"/>
  <c r="J29" i="1" s="1"/>
  <c r="J121" i="1"/>
  <c r="G25" i="1" l="1"/>
  <c r="G28" i="1" s="1"/>
  <c r="G29" i="1" s="1"/>
  <c r="K29" i="1"/>
  <c r="K47" i="1"/>
  <c r="K49" i="1" s="1"/>
  <c r="K67" i="1" s="1"/>
  <c r="K68" i="1" s="1"/>
  <c r="D33" i="1"/>
  <c r="I47" i="1"/>
  <c r="I49" i="1" s="1"/>
  <c r="I67" i="1" s="1"/>
  <c r="I68" i="1" s="1"/>
  <c r="E47" i="1"/>
  <c r="E49" i="1" s="1"/>
  <c r="E67" i="1" s="1"/>
  <c r="E68" i="1" s="1"/>
  <c r="Q29" i="1"/>
  <c r="C47" i="1"/>
  <c r="C49" i="1" s="1"/>
  <c r="C67" i="1" s="1"/>
  <c r="C68" i="1" s="1"/>
  <c r="G47" i="1"/>
  <c r="G49" i="1" s="1"/>
  <c r="G67" i="1" s="1"/>
  <c r="G68" i="1" s="1"/>
  <c r="R33" i="1"/>
  <c r="R55" i="1" s="1"/>
  <c r="R56" i="1" s="1"/>
  <c r="R59" i="1" s="1"/>
  <c r="R62" i="1" s="1"/>
  <c r="R63" i="1" s="1"/>
  <c r="J55" i="1"/>
  <c r="J56" i="1" s="1"/>
  <c r="J59" i="1" s="1"/>
  <c r="J62" i="1" s="1"/>
  <c r="J63" i="1" s="1"/>
  <c r="N32" i="1"/>
  <c r="M46" i="1"/>
  <c r="M45" i="1"/>
  <c r="N28" i="1"/>
  <c r="N29" i="1" s="1"/>
  <c r="M25" i="1"/>
  <c r="M28" i="1" s="1"/>
  <c r="M29" i="1" s="1"/>
  <c r="T33" i="1"/>
  <c r="T45" i="1"/>
  <c r="T46" i="1"/>
  <c r="P32" i="1"/>
  <c r="P33" i="1" s="1"/>
  <c r="O45" i="1"/>
  <c r="O46" i="1"/>
  <c r="S47" i="1"/>
  <c r="S49" i="1" s="1"/>
  <c r="S67" i="1" s="1"/>
  <c r="S68" i="1" s="1"/>
  <c r="P28" i="1"/>
  <c r="P29" i="1" s="1"/>
  <c r="O25" i="1"/>
  <c r="O28" i="1" s="1"/>
  <c r="O29" i="1" s="1"/>
  <c r="M47" i="1" l="1"/>
  <c r="M49" i="1" s="1"/>
  <c r="M67" i="1" s="1"/>
  <c r="M68" i="1" s="1"/>
  <c r="D55" i="1"/>
  <c r="D56" i="1" s="1"/>
  <c r="D59" i="1" s="1"/>
  <c r="D62" i="1" s="1"/>
  <c r="D63" i="1" s="1"/>
  <c r="C33" i="1"/>
  <c r="C55" i="1" s="1"/>
  <c r="C56" i="1" s="1"/>
  <c r="C59" i="1" s="1"/>
  <c r="C62" i="1" s="1"/>
  <c r="C63" i="1" s="1"/>
  <c r="N33" i="1"/>
  <c r="N55" i="1" s="1"/>
  <c r="N56" i="1" s="1"/>
  <c r="N59" i="1" s="1"/>
  <c r="N62" i="1" s="1"/>
  <c r="N63" i="1" s="1"/>
  <c r="L33" i="1"/>
  <c r="L55" i="1" s="1"/>
  <c r="L56" i="1" s="1"/>
  <c r="L59" i="1" s="1"/>
  <c r="L62" i="1" s="1"/>
  <c r="L63" i="1" s="1"/>
  <c r="T47" i="1"/>
  <c r="T49" i="1" s="1"/>
  <c r="T55" i="1"/>
  <c r="T56" i="1" s="1"/>
  <c r="T59" i="1" s="1"/>
  <c r="T62" i="1" s="1"/>
  <c r="T63" i="1" s="1"/>
  <c r="S33" i="1"/>
  <c r="O47" i="1"/>
  <c r="O49" i="1" s="1"/>
  <c r="O67" i="1" s="1"/>
  <c r="O68" i="1" s="1"/>
  <c r="P55" i="1"/>
  <c r="P56" i="1" s="1"/>
  <c r="P59" i="1" s="1"/>
  <c r="P62" i="1" s="1"/>
  <c r="P63" i="1" s="1"/>
  <c r="K33" i="1" l="1"/>
  <c r="K55" i="1" s="1"/>
  <c r="K56" i="1" s="1"/>
  <c r="K59" i="1" s="1"/>
  <c r="K62" i="1" s="1"/>
  <c r="K63" i="1" s="1"/>
  <c r="S55" i="1"/>
  <c r="S56" i="1" s="1"/>
  <c r="S59" i="1" s="1"/>
  <c r="S62" i="1" s="1"/>
  <c r="S63" i="1" s="1"/>
  <c r="Q33" i="1"/>
  <c r="I33" i="1" l="1"/>
  <c r="I55" i="1" s="1"/>
  <c r="I56" i="1" s="1"/>
  <c r="I59" i="1" s="1"/>
  <c r="I62" i="1" s="1"/>
  <c r="I63" i="1" s="1"/>
  <c r="Q55" i="1"/>
  <c r="Q56" i="1" s="1"/>
  <c r="Q59" i="1" s="1"/>
  <c r="Q62" i="1" s="1"/>
  <c r="Q63" i="1" s="1"/>
  <c r="O33" i="1"/>
  <c r="G33" i="1" l="1"/>
  <c r="G55" i="1" s="1"/>
  <c r="G56" i="1" s="1"/>
  <c r="G59" i="1" s="1"/>
  <c r="G62" i="1" s="1"/>
  <c r="G63" i="1" s="1"/>
  <c r="O55" i="1"/>
  <c r="O56" i="1" s="1"/>
  <c r="O59" i="1" s="1"/>
  <c r="O62" i="1" s="1"/>
  <c r="O63" i="1" s="1"/>
  <c r="M33" i="1"/>
  <c r="M55" i="1" s="1"/>
  <c r="M56" i="1" s="1"/>
  <c r="M59" i="1" s="1"/>
  <c r="M62" i="1" s="1"/>
  <c r="M63" i="1" s="1"/>
  <c r="E33" i="1" l="1"/>
  <c r="E55" i="1" s="1"/>
  <c r="E56" i="1" s="1"/>
  <c r="E59" i="1" s="1"/>
  <c r="E62" i="1" s="1"/>
  <c r="E63" i="1" s="1"/>
  <c r="C143" i="1" l="1"/>
  <c r="C144" i="1" s="1"/>
  <c r="C147" i="1" s="1"/>
  <c r="C167" i="1"/>
  <c r="C168" i="1" s="1"/>
  <c r="C171" i="1" s="1"/>
  <c r="C159" i="1"/>
  <c r="C160" i="1" s="1"/>
  <c r="C163" i="1" s="1"/>
  <c r="C151" i="1"/>
  <c r="C152" i="1" s="1"/>
  <c r="C155" i="1" s="1"/>
  <c r="D151" i="1"/>
  <c r="D152" i="1" s="1"/>
  <c r="D155" i="1" s="1"/>
  <c r="D143" i="1"/>
  <c r="D144" i="1" s="1"/>
  <c r="D147" i="1" s="1"/>
  <c r="D159" i="1"/>
  <c r="D160" i="1" s="1"/>
  <c r="D163" i="1" s="1"/>
  <c r="D167" i="1"/>
  <c r="D168" i="1" s="1"/>
  <c r="D171" i="1" s="1"/>
  <c r="F167" i="1" l="1"/>
  <c r="F168" i="1" s="1"/>
  <c r="F171" i="1" s="1"/>
  <c r="F159" i="1"/>
  <c r="F160" i="1" s="1"/>
  <c r="F163" i="1" s="1"/>
  <c r="F151" i="1"/>
  <c r="F152" i="1" s="1"/>
  <c r="F155" i="1" s="1"/>
  <c r="F143" i="1"/>
  <c r="F144" i="1" s="1"/>
  <c r="F147" i="1" s="1"/>
  <c r="H167" i="1" l="1"/>
  <c r="H168" i="1" s="1"/>
  <c r="H171" i="1" s="1"/>
  <c r="H143" i="1"/>
  <c r="H144" i="1" s="1"/>
  <c r="H147" i="1" s="1"/>
  <c r="H151" i="1"/>
  <c r="H152" i="1" s="1"/>
  <c r="H155" i="1" s="1"/>
  <c r="H159" i="1"/>
  <c r="H160" i="1" s="1"/>
  <c r="H163" i="1" s="1"/>
  <c r="J159" i="1" l="1"/>
  <c r="J160" i="1" s="1"/>
  <c r="J163" i="1" s="1"/>
  <c r="J167" i="1"/>
  <c r="J168" i="1" s="1"/>
  <c r="J171" i="1" s="1"/>
  <c r="J151" i="1"/>
  <c r="J152" i="1" s="1"/>
  <c r="J155" i="1" s="1"/>
  <c r="J143" i="1"/>
  <c r="J144" i="1" s="1"/>
  <c r="J147" i="1" s="1"/>
  <c r="L159" i="1" l="1"/>
  <c r="L160" i="1" s="1"/>
  <c r="L163" i="1" s="1"/>
  <c r="L143" i="1"/>
  <c r="L144" i="1" s="1"/>
  <c r="L147" i="1" s="1"/>
  <c r="L151" i="1"/>
  <c r="L152" i="1" s="1"/>
  <c r="L155" i="1" s="1"/>
  <c r="L167" i="1"/>
  <c r="L168" i="1" s="1"/>
  <c r="L171" i="1" s="1"/>
  <c r="K151" i="1"/>
  <c r="K152" i="1" s="1"/>
  <c r="K155" i="1" s="1"/>
  <c r="K143" i="1"/>
  <c r="K144" i="1" s="1"/>
  <c r="K147" i="1" s="1"/>
  <c r="K159" i="1"/>
  <c r="K160" i="1" s="1"/>
  <c r="K163" i="1" s="1"/>
  <c r="K167" i="1"/>
  <c r="K168" i="1" s="1"/>
  <c r="K171" i="1" s="1"/>
  <c r="N151" i="1" l="1"/>
  <c r="N152" i="1" s="1"/>
  <c r="N155" i="1" s="1"/>
  <c r="N159" i="1"/>
  <c r="N160" i="1" s="1"/>
  <c r="N163" i="1" s="1"/>
  <c r="N143" i="1"/>
  <c r="N144" i="1" s="1"/>
  <c r="N147" i="1" s="1"/>
  <c r="N167" i="1"/>
  <c r="N168" i="1" s="1"/>
  <c r="N171" i="1" s="1"/>
  <c r="P151" i="1" l="1"/>
  <c r="P152" i="1" s="1"/>
  <c r="P155" i="1" s="1"/>
  <c r="P143" i="1"/>
  <c r="P144" i="1" s="1"/>
  <c r="P147" i="1" s="1"/>
  <c r="P167" i="1"/>
  <c r="P168" i="1" s="1"/>
  <c r="P171" i="1" s="1"/>
  <c r="P159" i="1"/>
  <c r="P160" i="1" s="1"/>
  <c r="P163" i="1" s="1"/>
  <c r="R159" i="1" l="1"/>
  <c r="R160" i="1" s="1"/>
  <c r="R163" i="1" s="1"/>
  <c r="R167" i="1"/>
  <c r="R168" i="1" s="1"/>
  <c r="R171" i="1" s="1"/>
  <c r="R143" i="1"/>
  <c r="R144" i="1" s="1"/>
  <c r="R147" i="1" s="1"/>
  <c r="R151" i="1"/>
  <c r="R152" i="1" s="1"/>
  <c r="R155" i="1" s="1"/>
  <c r="T167" i="1" l="1"/>
  <c r="T168" i="1" s="1"/>
  <c r="T171" i="1" s="1"/>
  <c r="T159" i="1" l="1"/>
  <c r="T160" i="1" s="1"/>
  <c r="T163" i="1" s="1"/>
  <c r="T143" i="1"/>
  <c r="T144" i="1" s="1"/>
  <c r="T147" i="1" s="1"/>
  <c r="T151" i="1"/>
  <c r="T152" i="1" s="1"/>
  <c r="T155" i="1" s="1"/>
  <c r="S159" i="1"/>
  <c r="S160" i="1" s="1"/>
  <c r="S163" i="1" s="1"/>
  <c r="S151" i="1"/>
  <c r="S152" i="1" s="1"/>
  <c r="S155" i="1" s="1"/>
  <c r="S167" i="1"/>
  <c r="S168" i="1" s="1"/>
  <c r="S171" i="1" s="1"/>
  <c r="S143" i="1"/>
  <c r="S144" i="1" s="1"/>
  <c r="S147" i="1" s="1"/>
  <c r="S78" i="1" l="1"/>
  <c r="F78" i="1"/>
  <c r="T78" i="1"/>
  <c r="E78" i="1" l="1"/>
  <c r="D78" i="1"/>
  <c r="O78" i="1"/>
  <c r="Q159" i="1"/>
  <c r="Q160" i="1" s="1"/>
  <c r="Q163" i="1" s="1"/>
  <c r="Q151" i="1"/>
  <c r="Q152" i="1" s="1"/>
  <c r="Q155" i="1" s="1"/>
  <c r="Q143" i="1"/>
  <c r="Q144" i="1" s="1"/>
  <c r="Q147" i="1" s="1"/>
  <c r="Q167" i="1"/>
  <c r="Q168" i="1" s="1"/>
  <c r="Q171" i="1" s="1"/>
  <c r="M78" i="1"/>
  <c r="K78" i="1"/>
  <c r="O143" i="1"/>
  <c r="O144" i="1" s="1"/>
  <c r="O147" i="1" s="1"/>
  <c r="O151" i="1"/>
  <c r="O152" i="1" s="1"/>
  <c r="O155" i="1" s="1"/>
  <c r="O167" i="1"/>
  <c r="O168" i="1" s="1"/>
  <c r="O171" i="1" s="1"/>
  <c r="O159" i="1"/>
  <c r="O160" i="1" s="1"/>
  <c r="O163" i="1" s="1"/>
  <c r="N78" i="1"/>
  <c r="H78" i="1"/>
  <c r="I78" i="1"/>
  <c r="M167" i="1"/>
  <c r="M168" i="1" s="1"/>
  <c r="M171" i="1" s="1"/>
  <c r="M151" i="1"/>
  <c r="M152" i="1" s="1"/>
  <c r="M155" i="1" s="1"/>
  <c r="M143" i="1"/>
  <c r="M144" i="1" s="1"/>
  <c r="M147" i="1" s="1"/>
  <c r="M159" i="1"/>
  <c r="M160" i="1" s="1"/>
  <c r="M163" i="1" s="1"/>
  <c r="C78" i="1"/>
  <c r="P78" i="1"/>
  <c r="I151" i="1"/>
  <c r="I152" i="1" s="1"/>
  <c r="I155" i="1" s="1"/>
  <c r="I159" i="1"/>
  <c r="I160" i="1" s="1"/>
  <c r="I163" i="1" s="1"/>
  <c r="I167" i="1"/>
  <c r="I168" i="1" s="1"/>
  <c r="I171" i="1" s="1"/>
  <c r="I143" i="1"/>
  <c r="I144" i="1" s="1"/>
  <c r="I147" i="1" s="1"/>
  <c r="Q78" i="1"/>
  <c r="G167" i="1"/>
  <c r="G168" i="1" s="1"/>
  <c r="G171" i="1" s="1"/>
  <c r="G159" i="1"/>
  <c r="G160" i="1" s="1"/>
  <c r="G163" i="1" s="1"/>
  <c r="G143" i="1"/>
  <c r="G144" i="1" s="1"/>
  <c r="G147" i="1" s="1"/>
  <c r="G151" i="1"/>
  <c r="G152" i="1" s="1"/>
  <c r="G155" i="1" s="1"/>
  <c r="J78" i="1"/>
  <c r="G78" i="1"/>
  <c r="L78" i="1"/>
  <c r="R78" i="1"/>
  <c r="E159" i="1"/>
  <c r="E160" i="1" s="1"/>
  <c r="E163" i="1" s="1"/>
  <c r="E167" i="1"/>
  <c r="E168" i="1" s="1"/>
  <c r="E171" i="1" s="1"/>
  <c r="E151" i="1"/>
  <c r="E152" i="1" s="1"/>
  <c r="E155" i="1" s="1"/>
  <c r="E143" i="1"/>
  <c r="E144" i="1" s="1"/>
  <c r="E147" i="1" s="1"/>
</calcChain>
</file>

<file path=xl/sharedStrings.xml><?xml version="1.0" encoding="utf-8"?>
<sst xmlns="http://schemas.openxmlformats.org/spreadsheetml/2006/main" count="263" uniqueCount="174">
  <si>
    <t>Tidshorisont (YTD = hittil i år, QTD = hittil i kvartalet)</t>
  </si>
  <si>
    <t>YTD</t>
  </si>
  <si>
    <t>QTD</t>
  </si>
  <si>
    <t>KONSERN</t>
  </si>
  <si>
    <t>Periodenr (måned 1 er januar 2020)</t>
  </si>
  <si>
    <t>Periode IB</t>
  </si>
  <si>
    <t>Periode Snitt IB</t>
  </si>
  <si>
    <t>Kvartal</t>
  </si>
  <si>
    <t>KortKvartalstekst</t>
  </si>
  <si>
    <t>År</t>
  </si>
  <si>
    <t>Dager i året</t>
  </si>
  <si>
    <t>Dager i perioden</t>
  </si>
  <si>
    <t>Annualiseringsfaktor (dager i året / dager i perioden)</t>
  </si>
  <si>
    <t>Periodens resultat</t>
  </si>
  <si>
    <t>Fratrukket renter hybridkapital</t>
  </si>
  <si>
    <t>Periodens resultat eks. renter hybridkapital</t>
  </si>
  <si>
    <t>Total egenkapital</t>
  </si>
  <si>
    <t>Fratrukket hybridkapital</t>
  </si>
  <si>
    <t>Egenkapital eks. hybridkapital</t>
  </si>
  <si>
    <t>Snitt EK eks. hybridkapital YTD</t>
  </si>
  <si>
    <t>Periodens resultat annualisert eks. renter hybridkapital</t>
  </si>
  <si>
    <t>Delt på snitt egenkapital eks. hybridkapital</t>
  </si>
  <si>
    <t>Egenkapitalavkastning i prosent</t>
  </si>
  <si>
    <t>Egenkapitalbevisbrøk</t>
  </si>
  <si>
    <t>Egenkapitalbevisbrøk gjennomsnitt</t>
  </si>
  <si>
    <t>Fond for urealiserte gevinster</t>
  </si>
  <si>
    <t>Annen egenkapital</t>
  </si>
  <si>
    <t xml:space="preserve">Antall utstedte bevis </t>
  </si>
  <si>
    <t>Egenbeholdning egenkapitalbevis (egenbeholdning anses uvesentlig)</t>
  </si>
  <si>
    <t>Snitt antall utstedte bevis</t>
  </si>
  <si>
    <t>Fratrukket ikke-kontrollerende eierinteresser</t>
  </si>
  <si>
    <t>Fratrukket avsatt gaver</t>
  </si>
  <si>
    <t>Fratrukket grunnfondskapital</t>
  </si>
  <si>
    <t>Fratrukket grunnfondets andel av fond for urealiserte gevinster (sum multiplisert med brøk)</t>
  </si>
  <si>
    <t>Fratrukket grunnfondets andel av annen egenkapital (sum multiplisert med brøk)</t>
  </si>
  <si>
    <t>Egenkapitalbeviseiernes andel av egenkapitalen</t>
  </si>
  <si>
    <t xml:space="preserve">Delt på antall egenkapitalbevis </t>
  </si>
  <si>
    <t>Bokført egenkapital per egenkapitalbevis (kr)</t>
  </si>
  <si>
    <t>Fratrukket ikke-kontrollerende eierinteresser resultatandel</t>
  </si>
  <si>
    <t>Fratrukket grunnfondskapitalens resultatandel</t>
  </si>
  <si>
    <t>Resultat til egenkapitalbeviseiere</t>
  </si>
  <si>
    <t>Delt på snitt antall utstedte bevis</t>
  </si>
  <si>
    <t>Resultat per egenkapitalbevis</t>
  </si>
  <si>
    <t>Børskurs</t>
  </si>
  <si>
    <t>Delt på resultat per egenkapitalbevis, annualisert</t>
  </si>
  <si>
    <t>Pris / Resultat per EKB</t>
  </si>
  <si>
    <t>Delt på bokført egenkapital per egenkapitalbevis</t>
  </si>
  <si>
    <t>Pris / Bokført egenkapital per egenkapitalbevis</t>
  </si>
  <si>
    <t>Driftsresultat før tap</t>
  </si>
  <si>
    <t>Fratrukket netto inntekter på finansielle instrumenter</t>
  </si>
  <si>
    <t>Resultat fra ordinær drift</t>
  </si>
  <si>
    <t>Netto renteinntekter</t>
  </si>
  <si>
    <t>Gjennomsnittlig forvaltningskapital</t>
  </si>
  <si>
    <t>Netto renteinntekter i % av forvaltningskapital annualisert</t>
  </si>
  <si>
    <t>Sum driftskostnader</t>
  </si>
  <si>
    <t>Delt på sum netto inntekter</t>
  </si>
  <si>
    <t>Kostnadsprosent</t>
  </si>
  <si>
    <t>Delt på sum netto inntekter fratrukket netto resultat finansielle instrumenter</t>
  </si>
  <si>
    <t>Kostnadsprosent ex. finans</t>
  </si>
  <si>
    <t>Overført til SB1 Boligkreditt</t>
  </si>
  <si>
    <t>Overført til SB1 Næringskreditt</t>
  </si>
  <si>
    <t>Overført til kredittforetak</t>
  </si>
  <si>
    <t>Brutto utlån til kunder</t>
  </si>
  <si>
    <t>Brutto utlån til kunder inkl. kredittforetak</t>
  </si>
  <si>
    <t>Innskudd fra kunder</t>
  </si>
  <si>
    <t>Innskuddsdekning inkl. kredittforetak</t>
  </si>
  <si>
    <t>Innskudd fra kunder ved utgangen av perioden (UB)</t>
  </si>
  <si>
    <t>Innskudd fra kunder ved inngangen av perioden (IB)</t>
  </si>
  <si>
    <t>Innskuddsvekst (mill)</t>
  </si>
  <si>
    <t>Innskuddsvekst i perioden</t>
  </si>
  <si>
    <t>Innskudd fra kunder 12 måneder tilbake</t>
  </si>
  <si>
    <t>Innskuddsvekst siste 12 måneder</t>
  </si>
  <si>
    <t>Innskuddsvekst siste 12 mnd i %</t>
  </si>
  <si>
    <t>Brutto utlån til kunder inkl kredittforetak ved utgangen av perioden (UB)</t>
  </si>
  <si>
    <t>Brutto utlån til kunder inkl kredittforetak ved utgangen av perioden (IB)</t>
  </si>
  <si>
    <t>Utlånsvekst inkl. kredittforetak i perioden</t>
  </si>
  <si>
    <t>Utlånsvekst inkl. kredittforetak i perioden i %</t>
  </si>
  <si>
    <t>Brutto utlån til kunder inkl kredittforetak 12 måneder tilbake</t>
  </si>
  <si>
    <t>Utlånsvekst siste 12 måneder</t>
  </si>
  <si>
    <t>Utlånsvekst inkl. kredittforetak siste 12 måneder</t>
  </si>
  <si>
    <t>Tap på utlån og garantier i resultatet</t>
  </si>
  <si>
    <t>Tap på utlån annualisert</t>
  </si>
  <si>
    <t>Gjennomsnitt Brutto utlån til kunder inkl. kredittforetak</t>
  </si>
  <si>
    <t>Tapsprosent utlån til kunder</t>
  </si>
  <si>
    <t>Utlån til kunder i trinn 2</t>
  </si>
  <si>
    <t>Brutto utlån til kunder i trinn 2 i prosent av brutto utlån inkl. kredittforetak</t>
  </si>
  <si>
    <t>Utlån til kunder i trinn 3</t>
  </si>
  <si>
    <t>Utlån til kunder i trinn 3 i prosent av brutto utlån inkl. kredittforetak</t>
  </si>
  <si>
    <t>Nedskrivninger på utlån</t>
  </si>
  <si>
    <t>Nedskrivninger på garantier og ubenyttede kreditter</t>
  </si>
  <si>
    <t>Samlede nedskrivinger på utlån og garantier</t>
  </si>
  <si>
    <t>Delt på brutto utlån til kunder inkl. kredittforetak</t>
  </si>
  <si>
    <t>Nedskrivninger i prosent av brutto utlån til kunder inkl. kredittforetak</t>
  </si>
  <si>
    <t>3 måneders pengemarkedsrenter (Nibor) i %, gjennomsnitt for perioden</t>
  </si>
  <si>
    <t>Renter på utlån til segment Bedriftsmarked</t>
  </si>
  <si>
    <t>3 måneders pengemarkedsrenter (Nibor)</t>
  </si>
  <si>
    <t>Rentemargin på utlån i segment Bedriftsmarked</t>
  </si>
  <si>
    <t>Utlån segment Bedriftsmarked ved periodeslutt</t>
  </si>
  <si>
    <t>Snitt utlån segment Bedriftsmarked</t>
  </si>
  <si>
    <t>Utlånsmargin segment Bedriftsmarked, prosent</t>
  </si>
  <si>
    <t>Renter på utlån til segment Privatmarked</t>
  </si>
  <si>
    <t>Rentemargin på utlån i segment Privatmarked</t>
  </si>
  <si>
    <t>Utlån segment Privatmarked</t>
  </si>
  <si>
    <t>Snitt utlån segment Privatmarked</t>
  </si>
  <si>
    <t>Utlånsmargin segment segment Privatmarked, prosent</t>
  </si>
  <si>
    <t>Renter på Innskudd til segment Bedriftsmarked</t>
  </si>
  <si>
    <t>Rentemargin på innskudd i segment Bedriftsmarked</t>
  </si>
  <si>
    <t>Innskudd segment Bedriftsmarked</t>
  </si>
  <si>
    <t>Snitt innskudd segment Bedriftsmarked</t>
  </si>
  <si>
    <t>Innskuddsmargin segment Bedriftsmarked</t>
  </si>
  <si>
    <t>Renter på Innskudd til segment Privatmarked</t>
  </si>
  <si>
    <t>Rentemargin på innskudd i segment Privatmarked</t>
  </si>
  <si>
    <t>Innskudd segment Privatmarked</t>
  </si>
  <si>
    <t>Snitt innskudd segment Privatmarked</t>
  </si>
  <si>
    <t>Innskuddsmargin segment Privatmarked, prosent</t>
  </si>
  <si>
    <t>Alternative Resultatmål (APM'er) for SpareBank 1 Østfold Akerhus (konsernet)</t>
  </si>
  <si>
    <t xml:space="preserve">Konsernet presenterer alternative resultatmål (APM'er) utarbeidet i henhold til ESMAs retningslinjer for APM og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konsernet sin resultatoppnåelse og representerer viktige måltall for hvordan ledelsen styrer selskapene og aktivitetene i konsernet.  </t>
  </si>
  <si>
    <t xml:space="preserve">Nøkkeltall som er regulert i IFRS eller annet lovgivning er ikke regnet som alternative resultatmål. Det samme gjelder for ikke-finansiell informasjon. Våre alternative resultatmål er presentert i oversikten over hovedtall, og i styrets beretning. Alle APM-er presenteres med sammenligningstall. APM'ene som nevnt under har vært brukt konsistent over tid. </t>
  </si>
  <si>
    <t>Begrunnelse og definisjon</t>
  </si>
  <si>
    <t>Annualisering</t>
  </si>
  <si>
    <t>Annualisering benyttes for å gjøre nøkkeltall for delperioder sammenlignbare med helårstall, og for å gi et mer representativt bilde av løpende inntjening og avkastning. Dette er særlig relevant for resultat- og avkastningsmål som beregnes på grunnlag av periodetall. Annualisering beregnes ved å justere periodens resultat eller nøkkeltall med forholdet mellom antall dager i året og antall dager i perioden.</t>
  </si>
  <si>
    <t>Egenkapitalavkastning</t>
  </si>
  <si>
    <r>
      <t xml:space="preserve">EK avkastning gir relevant informasjon om konsernets lønnsomhet ved å måle evne til å genere lønnsomhet fra aksjonærens investering. EK-avkastning er et av konsernets viktigste finansielle måltall, og beregnes som aksjonærenes andel av annualisert resultat for perioden delt på gjennomsnittlig </t>
    </r>
    <r>
      <rPr>
        <i/>
        <sz val="11"/>
        <rFont val="Calibri"/>
        <family val="2"/>
        <scheme val="minor"/>
      </rPr>
      <t>Sum egenkapital</t>
    </r>
    <r>
      <rPr>
        <sz val="11"/>
        <rFont val="Calibri"/>
        <family val="2"/>
        <scheme val="minor"/>
      </rPr>
      <t xml:space="preserve"> fratrukket </t>
    </r>
    <r>
      <rPr>
        <i/>
        <sz val="11"/>
        <rFont val="Calibri"/>
        <family val="2"/>
        <scheme val="minor"/>
      </rPr>
      <t>hybridkapital (fondsobligasjoner klassifisert som egenkapital)</t>
    </r>
    <r>
      <rPr>
        <sz val="11"/>
        <rFont val="Calibri"/>
        <family val="2"/>
        <scheme val="minor"/>
      </rPr>
      <t>.</t>
    </r>
  </si>
  <si>
    <t>Bokført egenkapital per EKB</t>
  </si>
  <si>
    <r>
      <t xml:space="preserve">Nøkkeltallet gir informasjon om verdien av bokført egenkapital per egenkapitalbevis. Dette gir leseren mulighet til å vurdere rimeligheten av børskursen til egenkapitalbeviset. Beregnet som </t>
    </r>
    <r>
      <rPr>
        <i/>
        <sz val="11"/>
        <color theme="1"/>
        <rFont val="Calibri"/>
        <family val="2"/>
        <scheme val="minor"/>
      </rPr>
      <t>egenkapitalbeviseiernes andel av egenkapitalen (inkl. utbytte)</t>
    </r>
    <r>
      <rPr>
        <sz val="11"/>
        <color theme="1"/>
        <rFont val="Calibri"/>
        <family val="2"/>
        <scheme val="minor"/>
      </rPr>
      <t xml:space="preserve"> ved utløpet av perioden dividert på </t>
    </r>
    <r>
      <rPr>
        <i/>
        <sz val="11"/>
        <color theme="1"/>
        <rFont val="Calibri"/>
        <family val="2"/>
        <scheme val="minor"/>
      </rPr>
      <t>antall egenkapitalbevis</t>
    </r>
    <r>
      <rPr>
        <sz val="11"/>
        <color theme="1"/>
        <rFont val="Calibri"/>
        <family val="2"/>
        <scheme val="minor"/>
      </rPr>
      <t>.</t>
    </r>
  </si>
  <si>
    <t>Resultat fra ordinær drift er inkludert for å gi et bedre bilde av konsernets underliggende resultat fra drift uavhengig av svingninger i finansielle instrumenter. Ved å isolere effekten fra finansielle poster fremkommer et mer stabilt og sammenlignbart mål på lønnsomheten i kjernevirksomheten. Resultat fra ordinær drift beregnes som resultat før skatt fratrukket netto resultat fra finansielle instrumenter.</t>
  </si>
  <si>
    <t>Rentenetto (netto renteinntekter i % av forvaltningskapital annualisert)</t>
  </si>
  <si>
    <t>Rentenetto er inkludert for å gi informasjon om konsernets evne til å generere netto renteinntekter fra kjernevirksomheten sett opp mot forvaltningskapitalen. Nøkkeltallet gir et bedre uttrykk for løpende inntjening enn absolutte rentetall, og er et av konsernets viktigste mål på underliggende lønnsomhet. Rentenetto beregnes som netto renteinntekter dividert på gjennomsnittlig forvaltningskapital for perioden, og annualiseres der relevant.</t>
  </si>
  <si>
    <r>
      <t xml:space="preserve">Nøkkeltallet gir informasjon om inntjeningen per egenkapitalbevis sett opp mot børskurs på det aktuelle tidspunkt, noe som gir mulighet for å vurdere rimeligheten av børskursen til egenkapitalbeviset. Beregnes som </t>
    </r>
    <r>
      <rPr>
        <i/>
        <sz val="11"/>
        <color theme="1"/>
        <rFont val="Calibri"/>
        <family val="2"/>
        <scheme val="minor"/>
      </rPr>
      <t>børskurs per egenkapitalbevis</t>
    </r>
    <r>
      <rPr>
        <sz val="11"/>
        <color theme="1"/>
        <rFont val="Calibri"/>
        <family val="2"/>
        <scheme val="minor"/>
      </rPr>
      <t xml:space="preserve"> dividert på </t>
    </r>
    <r>
      <rPr>
        <i/>
        <sz val="11"/>
        <color theme="1"/>
        <rFont val="Calibri"/>
        <family val="2"/>
        <scheme val="minor"/>
      </rPr>
      <t>annualisert resultat per egenkapitalbevis.</t>
    </r>
    <r>
      <rPr>
        <sz val="11"/>
        <color theme="1"/>
        <rFont val="Calibri"/>
        <family val="2"/>
        <scheme val="minor"/>
      </rPr>
      <t xml:space="preserve"> </t>
    </r>
  </si>
  <si>
    <t>Pris / Bokført egenkapital</t>
  </si>
  <si>
    <r>
      <t xml:space="preserve">Nøkkeltallet gir informasjon om verdien av bokført egenkapital per egenkapitalbevis sett opp mot børskurs på gitt tidspunkt. Dette gir leseren mulighet til å vurdere rimeligheten av børskursen til egenkapitalbeviset. Beregnet som </t>
    </r>
    <r>
      <rPr>
        <i/>
        <sz val="11"/>
        <color theme="1"/>
        <rFont val="Calibri"/>
        <family val="2"/>
        <scheme val="minor"/>
      </rPr>
      <t>børskurs per egenkapitalbevis</t>
    </r>
    <r>
      <rPr>
        <sz val="11"/>
        <color theme="1"/>
        <rFont val="Calibri"/>
        <family val="2"/>
        <scheme val="minor"/>
      </rPr>
      <t xml:space="preserve"> dividert på </t>
    </r>
    <r>
      <rPr>
        <i/>
        <sz val="11"/>
        <color theme="1"/>
        <rFont val="Calibri"/>
        <family val="2"/>
        <scheme val="minor"/>
      </rPr>
      <t>bokført egenkapital per egenkapitalbevis</t>
    </r>
    <r>
      <rPr>
        <sz val="11"/>
        <color theme="1"/>
        <rFont val="Calibri"/>
        <family val="2"/>
        <scheme val="minor"/>
      </rPr>
      <t xml:space="preserve"> (se definisjonen av dette nøkkeltallet over). </t>
    </r>
  </si>
  <si>
    <r>
      <t xml:space="preserve">Kostnadsprosent er inkludert for å gi informasjon om korrelasjonen mellom inntekter og kostnader. Beregnes som </t>
    </r>
    <r>
      <rPr>
        <i/>
        <sz val="11"/>
        <rFont val="Calibri"/>
        <family val="2"/>
        <scheme val="minor"/>
      </rPr>
      <t>Sum driftskostnader</t>
    </r>
    <r>
      <rPr>
        <sz val="11"/>
        <rFont val="Calibri"/>
        <family val="2"/>
        <scheme val="minor"/>
      </rPr>
      <t xml:space="preserve"> dividert med </t>
    </r>
    <r>
      <rPr>
        <i/>
        <sz val="11"/>
        <rFont val="Calibri"/>
        <family val="2"/>
        <scheme val="minor"/>
      </rPr>
      <t>Sum netto inntekter</t>
    </r>
    <r>
      <rPr>
        <sz val="11"/>
        <rFont val="Calibri"/>
        <family val="2"/>
        <scheme val="minor"/>
      </rPr>
      <t xml:space="preserve">. </t>
    </r>
  </si>
  <si>
    <t>Kostnadsprosent eksklusiv finans</t>
  </si>
  <si>
    <r>
      <t xml:space="preserve">Kostnadsprosent eksklusiv finans er inkludert for å gi informasjon om korrelasjonen mellom inntekter og kostnader, og er vurdert å være et av konsernet's  viktigste finansielle måltall. Ved å fjerne effekten av fluktuerende finansielle instrumenter får man et bedre inntrykk av underliggende drift. Beregnes som </t>
    </r>
    <r>
      <rPr>
        <i/>
        <sz val="11"/>
        <rFont val="Calibri"/>
        <family val="2"/>
        <scheme val="minor"/>
      </rPr>
      <t>Sum driftskostnader</t>
    </r>
    <r>
      <rPr>
        <sz val="11"/>
        <rFont val="Calibri"/>
        <family val="2"/>
        <scheme val="minor"/>
      </rPr>
      <t xml:space="preserve"> dividert med </t>
    </r>
    <r>
      <rPr>
        <i/>
        <sz val="11"/>
        <rFont val="Calibri"/>
        <family val="2"/>
        <scheme val="minor"/>
      </rPr>
      <t>Sum netto inntekter</t>
    </r>
    <r>
      <rPr>
        <sz val="11"/>
        <rFont val="Calibri"/>
        <family val="2"/>
        <scheme val="minor"/>
      </rPr>
      <t xml:space="preserve"> eksklusiv </t>
    </r>
    <r>
      <rPr>
        <i/>
        <sz val="11"/>
        <rFont val="Calibri"/>
        <family val="2"/>
        <scheme val="minor"/>
      </rPr>
      <t>netto resultat fra finansielle instrumenter</t>
    </r>
    <r>
      <rPr>
        <sz val="11"/>
        <rFont val="Calibri"/>
        <family val="2"/>
        <scheme val="minor"/>
      </rPr>
      <t xml:space="preserve">. </t>
    </r>
  </si>
  <si>
    <t>Innskuddsdekning inklusiv kredittforetak</t>
  </si>
  <si>
    <r>
      <t xml:space="preserve">Måltallet for innskuddsdekning gir relevant informasjon om konsernets likviditet. Innskuddsdekning beregnes som </t>
    </r>
    <r>
      <rPr>
        <i/>
        <sz val="11"/>
        <color theme="1"/>
        <rFont val="Calibri"/>
        <family val="2"/>
        <scheme val="minor"/>
      </rPr>
      <t>Innskudd fra kunder</t>
    </r>
    <r>
      <rPr>
        <sz val="11"/>
        <color theme="1"/>
        <rFont val="Calibri"/>
        <family val="2"/>
        <scheme val="minor"/>
      </rPr>
      <t xml:space="preserve"> dividert med </t>
    </r>
    <r>
      <rPr>
        <i/>
        <sz val="11"/>
        <color theme="1"/>
        <rFont val="Calibri"/>
        <family val="2"/>
        <scheme val="minor"/>
      </rPr>
      <t>Brutto utlån til kunder</t>
    </r>
    <r>
      <rPr>
        <sz val="11"/>
        <color theme="1"/>
        <rFont val="Calibri"/>
        <family val="2"/>
        <scheme val="minor"/>
      </rPr>
      <t xml:space="preserve"> inkludert </t>
    </r>
    <r>
      <rPr>
        <i/>
        <sz val="11"/>
        <color theme="1"/>
        <rFont val="Calibri"/>
        <family val="2"/>
        <scheme val="minor"/>
      </rPr>
      <t>lån overført til Kredittforetak</t>
    </r>
    <r>
      <rPr>
        <sz val="11"/>
        <color theme="1"/>
        <rFont val="Calibri"/>
        <family val="2"/>
        <scheme val="minor"/>
      </rPr>
      <t xml:space="preserve"> (SpareBank 1 Boligkreditt og SpareBank 1 Næringskreditt) ved utløpet av perioden.</t>
    </r>
  </si>
  <si>
    <t>Innskuddsvekst</t>
  </si>
  <si>
    <r>
      <t xml:space="preserve">Informasjon om aktiviteten og veksten i konsernets innskuddsvirksomhet.  </t>
    </r>
    <r>
      <rPr>
        <i/>
        <sz val="11"/>
        <color theme="1"/>
        <rFont val="Calibri"/>
        <family val="2"/>
        <scheme val="minor"/>
      </rPr>
      <t>Nøkkeltallet er beregnet som Innskudd fra kunder ved utløpet av perioden</t>
    </r>
    <r>
      <rPr>
        <sz val="11"/>
        <color theme="1"/>
        <rFont val="Calibri"/>
        <family val="2"/>
        <scheme val="minor"/>
      </rPr>
      <t xml:space="preserve"> minus </t>
    </r>
    <r>
      <rPr>
        <i/>
        <sz val="11"/>
        <color theme="1"/>
        <rFont val="Calibri"/>
        <family val="2"/>
        <scheme val="minor"/>
      </rPr>
      <t>Innskudd fra kunder ved starten av perioden</t>
    </r>
    <r>
      <rPr>
        <sz val="11"/>
        <color theme="1"/>
        <rFont val="Calibri"/>
        <family val="2"/>
        <scheme val="minor"/>
      </rPr>
      <t xml:space="preserve">, </t>
    </r>
    <r>
      <rPr>
        <i/>
        <sz val="11"/>
        <color theme="1"/>
        <rFont val="Calibri"/>
        <family val="2"/>
        <scheme val="minor"/>
      </rPr>
      <t>dividert på Innskudd fra kunder ved starten av perioden</t>
    </r>
    <r>
      <rPr>
        <sz val="11"/>
        <color theme="1"/>
        <rFont val="Calibri"/>
        <family val="2"/>
        <scheme val="minor"/>
      </rPr>
      <t xml:space="preserve">. </t>
    </r>
  </si>
  <si>
    <t>Utlånsvekst inklusiv kredittforetak</t>
  </si>
  <si>
    <r>
      <t xml:space="preserve">Utlånsvekst er et resultatmål som gir relevant informasjon om aktiviteten og veksten i bankens utlånsvirksomhet.  Banken benytter kredittforetakene som finansieringskilde, og nøkkeltallet inkluderer lån overført til kredittforetakene fordi dette bedre reflekterer aktiviteten og veksten i utlånsvirksomheten enn om disse lånene er ekskludert. Nøkkeltallet er beregnet som </t>
    </r>
    <r>
      <rPr>
        <i/>
        <sz val="11"/>
        <color theme="1"/>
        <rFont val="Calibri"/>
        <family val="2"/>
        <scheme val="minor"/>
      </rPr>
      <t>Brutto utlån</t>
    </r>
    <r>
      <rPr>
        <sz val="11"/>
        <color theme="1"/>
        <rFont val="Calibri"/>
        <family val="2"/>
        <scheme val="minor"/>
      </rPr>
      <t xml:space="preserve"> inkludert </t>
    </r>
    <r>
      <rPr>
        <i/>
        <sz val="11"/>
        <color theme="1"/>
        <rFont val="Calibri"/>
        <family val="2"/>
        <scheme val="minor"/>
      </rPr>
      <t>lån overført til kredittforetak</t>
    </r>
    <r>
      <rPr>
        <sz val="11"/>
        <color theme="1"/>
        <rFont val="Calibri"/>
        <family val="2"/>
        <scheme val="minor"/>
      </rPr>
      <t xml:space="preserve"> ved utløpet av perioden minus Brutto utlån inkludert lån overført til kredittforetak ved starten av perioden dividert på Brutto utlån inkludert lån overført til kredittforetak ved  starten av perioden. </t>
    </r>
  </si>
  <si>
    <t>Utlånsmargin Bedriftsmarked og Personmarked</t>
  </si>
  <si>
    <t>Utlånsmarginen gir informasjon om konsernets netto renteinntekter ved å måle rentemarginen relativt til 3 måneders pengemarkedsrente. Utlånsmarginen er beregnet som netto renteinntekter på utlån, fratrukket rentekostnad tilsvarende 3 måneders pengemarkeds-rente, dividert på snitt utlån for perioden. Marginen regnes i tråd med kvartalsregnskapets segmentinndeling.</t>
  </si>
  <si>
    <t>Innskuddsmargin Bedriftsmarked og Personmarked</t>
  </si>
  <si>
    <t>Innskuddsmarginen gir informasjon om konsernets netto renteinntekter ved å måle rentemarginen relativt til 3 måneders pengemarkedsrente. Innskuddsmarginen er beregnet som rentekostnad på innskudd fratrukket renteinntekt tilsvarende 3 måneders pengemarkedsrente, dividert på snitt innskudd for perioden. Marginen regnes i tråd med kvartalsregnskapets segmentinndeling.</t>
  </si>
  <si>
    <t>Tapsprosent utlån</t>
  </si>
  <si>
    <t>Tapsprosent utlån beregnes som resultatført tap i perioden dividert på gjennomsnittlig brutto utlån inkludert lån overført til kredittforetak. Ved opplysninger om tapsprosent for kortere perioder enn hele år, blir resultatført tapskostnad annualisert.</t>
  </si>
  <si>
    <t>Brutto utlån i Trinn 2 i % av brutto utlån inklusiv kredittforetak</t>
  </si>
  <si>
    <t>Forholdstallet presenteres fordi det gir relevant informasjon om bankens kreditteksponering. Beregnes som sum engasjement i trinn 2 dividert med sum utlån inkludert lån overført til kredittforetak ved utløpet av perioden</t>
  </si>
  <si>
    <t>Brutto utlån i Trinn 3 i % av brutto utlån inklusiv kredittforetak</t>
  </si>
  <si>
    <t>Forholdstallet presenteres fordi det gir relevant informasjon om bankens kreditteksponering. Beregnes som sum engasjement i trinn 3 dividert med sum utlån inkludert lån overført til kredittforetak ved utløpet av perioden</t>
  </si>
  <si>
    <t>Tapsavsetninger i prosent av brutto utlån inklusiv kredittforetak</t>
  </si>
  <si>
    <t xml:space="preserve">Forholdstallet presenteres fordi det gir relevant informasjon om bankens kreditteksponering. Nøkkeltallet beregnes som samlede nedskrivinger på utlån og garantier dividert med brutto utlån til kunder inkludert lån overført til kredittforetak  ved utløpet av perioden.  </t>
  </si>
  <si>
    <t xml:space="preserve">Alternative resultatmål med definisjoner: </t>
  </si>
  <si>
    <t>24Q1</t>
  </si>
  <si>
    <t>30.09.2025</t>
  </si>
  <si>
    <t>25Q4</t>
  </si>
  <si>
    <t>31.03.2026</t>
  </si>
  <si>
    <t>26Q1</t>
  </si>
  <si>
    <t>31.12.2025</t>
  </si>
  <si>
    <t>30.09.2024</t>
  </si>
  <si>
    <t>24Q2</t>
  </si>
  <si>
    <t>30.06.2025</t>
  </si>
  <si>
    <t>31.12.2024</t>
  </si>
  <si>
    <t>30.06.2024</t>
  </si>
  <si>
    <t>25Q3</t>
  </si>
  <si>
    <t>31.03.2025</t>
  </si>
  <si>
    <t>25Q1</t>
  </si>
  <si>
    <t>24Q3</t>
  </si>
  <si>
    <t>24Q4</t>
  </si>
  <si>
    <t>31.03.2024</t>
  </si>
  <si>
    <t>25Q2</t>
  </si>
  <si>
    <t/>
  </si>
  <si>
    <t>Hittil i år</t>
  </si>
  <si>
    <t>Kvartalet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</si>
</sst>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0"/>
    <numFmt numFmtId="165" formatCode="_-* #,##0_-;\-* #,##0_-;_-* &quot;-&quot;??_-;_-@_-"/>
    <numFmt numFmtId="166" formatCode="0.0\ %"/>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sz val="11"/>
      <color theme="6"/>
      <name val="Calibri"/>
      <family val="2"/>
      <scheme val="minor"/>
    </font>
    <font>
      <sz val="11"/>
      <color theme="1"/>
      <name val="Calibri"/>
      <family val="2"/>
    </font>
    <font>
      <b/>
      <sz val="11"/>
      <color rgb="FFFF0000"/>
      <name val="Calibri"/>
      <family val="2"/>
      <scheme val="minor"/>
    </font>
    <font>
      <sz val="14"/>
      <color theme="1"/>
      <name val="Calibri"/>
      <family val="2"/>
      <scheme val="minor"/>
    </font>
    <font>
      <i/>
      <sz val="11"/>
      <name val="Calibri"/>
      <family val="2"/>
      <scheme val="minor"/>
    </font>
    <font>
      <i/>
      <sz val="11"/>
      <color theme="1"/>
      <name val="Calibri"/>
      <family val="2"/>
      <scheme val="minor"/>
    </font>
    <font>
      <sz val="10"/>
      <color rgb="FF000000"/>
      <name val="Arial Narrow"/>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indexed="9"/>
        <bgColor indexed="64"/>
      </patternFill>
    </fill>
    <fill>
      <patternFill patternType="solid">
        <fgColor theme="0"/>
        <bgColor indexed="64"/>
      </patternFill>
    </fill>
  </fills>
  <borders count="7">
    <border>
      <left/>
      <right/>
      <top/>
      <bottom/>
      <diagonal/>
    </border>
    <border>
      <left/>
      <right/>
      <top/>
      <bottom style="thin">
        <color auto="1"/>
      </bottom>
      <diagonal/>
    </border>
    <border>
      <left/>
      <right/>
      <top style="thin">
        <color auto="1"/>
      </top>
      <bottom/>
      <diagonal/>
    </border>
    <border>
      <left/>
      <right/>
      <top style="thin">
        <color indexed="64"/>
      </top>
      <bottom style="medium">
        <color indexed="64"/>
      </bottom>
      <diagonal/>
    </border>
    <border>
      <left/>
      <right/>
      <top/>
      <bottom style="medium">
        <color indexed="64"/>
      </bottom>
      <diagonal/>
    </border>
    <border>
      <left/>
      <right/>
      <top style="thin">
        <color auto="1"/>
      </top>
      <bottom style="thin">
        <color auto="1"/>
      </bottom>
      <diagonal/>
    </border>
    <border>
      <left/>
      <right/>
      <top/>
      <bottom style="medium">
        <color indexed="55"/>
      </bottom>
      <diagonal/>
    </border>
  </borders>
  <cellStyleXfs count="6">
    <xf numFmtId="0" fontId="0" fillId="0" borderId="0"/>
    <xf numFmtId="0" fontId="1" fillId="0" borderId="0"/>
    <xf numFmtId="0" fontId="7" fillId="0" borderId="0"/>
    <xf numFmtId="43"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cellStyleXfs>
  <cellXfs count="108">
    <xf numFmtId="0" fontId="0" fillId="0" borderId="0" xfId="0"/>
    <xf numFmtId="0" fontId="1" fillId="0" borderId="0" xfId="1" applyAlignment="1">
      <alignment horizontal="right"/>
    </xf>
    <xf numFmtId="0" fontId="1" fillId="0" borderId="0" xfId="1"/>
    <xf numFmtId="0" fontId="4" fillId="0" borderId="0" xfId="1" applyFont="1" applyAlignment="1">
      <alignment horizontal="right"/>
    </xf>
    <xf numFmtId="0" fontId="3" fillId="0" borderId="1" xfId="1" applyFont="1" applyBorder="1"/>
    <xf numFmtId="14" fontId="4" fillId="0" borderId="1" xfId="1" applyNumberFormat="1" applyFont="1" applyBorder="1" applyAlignment="1">
      <alignment horizontal="right" wrapText="1"/>
    </xf>
    <xf numFmtId="0" fontId="5" fillId="0" borderId="0" xfId="1" applyFont="1" applyAlignment="1">
      <alignment horizontal="right"/>
    </xf>
    <xf numFmtId="0" fontId="2" fillId="0" borderId="0" xfId="1" applyFont="1" applyAlignment="1">
      <alignment horizontal="right"/>
    </xf>
    <xf numFmtId="0" fontId="2" fillId="0" borderId="0" xfId="1" applyFont="1"/>
    <xf numFmtId="0" fontId="6" fillId="0" borderId="0" xfId="1" applyFont="1"/>
    <xf numFmtId="0" fontId="6" fillId="0" borderId="0" xfId="1" applyFont="1" applyAlignment="1">
      <alignment horizontal="right"/>
    </xf>
    <xf numFmtId="0" fontId="5" fillId="0" borderId="0" xfId="1" applyFont="1"/>
    <xf numFmtId="0" fontId="0" fillId="0" borderId="2" xfId="1" applyFont="1" applyBorder="1"/>
    <xf numFmtId="164" fontId="5" fillId="0" borderId="2" xfId="1" applyNumberFormat="1" applyFont="1" applyBorder="1" applyAlignment="1">
      <alignment horizontal="right"/>
    </xf>
    <xf numFmtId="165" fontId="5" fillId="0" borderId="0" xfId="3" applyNumberFormat="1" applyFont="1" applyBorder="1" applyAlignment="1">
      <alignment horizontal="right"/>
    </xf>
    <xf numFmtId="0" fontId="1" fillId="0" borderId="1" xfId="1" applyBorder="1"/>
    <xf numFmtId="165" fontId="5" fillId="0" borderId="1" xfId="3" applyNumberFormat="1" applyFont="1" applyBorder="1" applyAlignment="1">
      <alignment horizontal="right"/>
    </xf>
    <xf numFmtId="165" fontId="5" fillId="0" borderId="1" xfId="3" applyNumberFormat="1" applyFont="1" applyFill="1" applyBorder="1" applyAlignment="1">
      <alignment horizontal="right"/>
    </xf>
    <xf numFmtId="165" fontId="5" fillId="0" borderId="0" xfId="3" applyNumberFormat="1" applyFont="1" applyFill="1" applyBorder="1" applyAlignment="1">
      <alignment horizontal="right"/>
    </xf>
    <xf numFmtId="165" fontId="2" fillId="0" borderId="0" xfId="3" applyNumberFormat="1" applyFont="1" applyFill="1" applyBorder="1" applyAlignment="1">
      <alignment horizontal="right"/>
    </xf>
    <xf numFmtId="165" fontId="2" fillId="0" borderId="0" xfId="3" applyNumberFormat="1" applyFont="1" applyFill="1" applyBorder="1"/>
    <xf numFmtId="165" fontId="5" fillId="0" borderId="0" xfId="3" applyNumberFormat="1" applyFont="1" applyFill="1" applyBorder="1"/>
    <xf numFmtId="0" fontId="3" fillId="2" borderId="3" xfId="1" applyFont="1" applyFill="1" applyBorder="1"/>
    <xf numFmtId="166" fontId="4" fillId="2" borderId="3" xfId="4" applyNumberFormat="1" applyFont="1" applyFill="1" applyBorder="1" applyAlignment="1">
      <alignment horizontal="right"/>
    </xf>
    <xf numFmtId="0" fontId="3" fillId="0" borderId="2" xfId="1" applyFont="1" applyBorder="1"/>
    <xf numFmtId="166" fontId="8" fillId="0" borderId="2" xfId="4" applyNumberFormat="1" applyFont="1" applyFill="1" applyBorder="1" applyAlignment="1">
      <alignment horizontal="right"/>
    </xf>
    <xf numFmtId="166" fontId="4" fillId="0" borderId="2" xfId="4" applyNumberFormat="1" applyFont="1" applyFill="1" applyBorder="1" applyAlignment="1">
      <alignment horizontal="right"/>
    </xf>
    <xf numFmtId="43" fontId="8" fillId="0" borderId="2" xfId="3" applyFont="1" applyFill="1" applyBorder="1" applyAlignment="1">
      <alignment horizontal="right"/>
    </xf>
    <xf numFmtId="166" fontId="8" fillId="0" borderId="2" xfId="4" applyNumberFormat="1" applyFont="1" applyFill="1" applyBorder="1"/>
    <xf numFmtId="10" fontId="5" fillId="0" borderId="0" xfId="1" applyNumberFormat="1" applyFont="1" applyAlignment="1">
      <alignment horizontal="right"/>
    </xf>
    <xf numFmtId="165" fontId="2" fillId="0" borderId="0" xfId="3" applyNumberFormat="1" applyFont="1" applyAlignment="1">
      <alignment horizontal="right"/>
    </xf>
    <xf numFmtId="165" fontId="5" fillId="0" borderId="0" xfId="3" applyNumberFormat="1" applyFont="1" applyFill="1" applyAlignment="1">
      <alignment horizontal="right"/>
    </xf>
    <xf numFmtId="0" fontId="0" fillId="0" borderId="0" xfId="1" applyFont="1"/>
    <xf numFmtId="165" fontId="5" fillId="0" borderId="0" xfId="3" applyNumberFormat="1" applyFont="1" applyAlignment="1">
      <alignment horizontal="right"/>
    </xf>
    <xf numFmtId="165" fontId="2" fillId="0" borderId="1" xfId="3" applyNumberFormat="1" applyFont="1" applyBorder="1" applyAlignment="1">
      <alignment horizontal="right"/>
    </xf>
    <xf numFmtId="0" fontId="2" fillId="0" borderId="1" xfId="1" applyFont="1" applyBorder="1" applyAlignment="1">
      <alignment horizontal="right"/>
    </xf>
    <xf numFmtId="0" fontId="3" fillId="3" borderId="4" xfId="1" applyFont="1" applyFill="1" applyBorder="1"/>
    <xf numFmtId="43" fontId="4" fillId="3" borderId="4" xfId="3" applyFont="1" applyFill="1" applyBorder="1" applyAlignment="1">
      <alignment horizontal="right"/>
    </xf>
    <xf numFmtId="0" fontId="8" fillId="3" borderId="4" xfId="1" applyFont="1" applyFill="1" applyBorder="1" applyAlignment="1">
      <alignment horizontal="right"/>
    </xf>
    <xf numFmtId="43" fontId="2" fillId="0" borderId="0" xfId="3" applyFont="1" applyAlignment="1">
      <alignment horizontal="right"/>
    </xf>
    <xf numFmtId="43" fontId="2" fillId="0" borderId="0" xfId="3" applyFont="1"/>
    <xf numFmtId="10" fontId="4" fillId="0" borderId="0" xfId="4" applyNumberFormat="1" applyFont="1" applyFill="1" applyBorder="1" applyAlignment="1"/>
    <xf numFmtId="0" fontId="1" fillId="0" borderId="2" xfId="1" applyBorder="1"/>
    <xf numFmtId="165" fontId="5" fillId="0" borderId="2" xfId="3" applyNumberFormat="1" applyFont="1" applyFill="1" applyBorder="1" applyAlignment="1">
      <alignment horizontal="right"/>
    </xf>
    <xf numFmtId="165" fontId="5" fillId="0" borderId="0" xfId="3" applyNumberFormat="1" applyFont="1"/>
    <xf numFmtId="165" fontId="5" fillId="0" borderId="1" xfId="1" applyNumberFormat="1" applyFont="1" applyBorder="1" applyAlignment="1">
      <alignment horizontal="right"/>
    </xf>
    <xf numFmtId="43" fontId="5" fillId="0" borderId="0" xfId="1" applyNumberFormat="1" applyFont="1" applyAlignment="1">
      <alignment horizontal="right"/>
    </xf>
    <xf numFmtId="2" fontId="5" fillId="0" borderId="0" xfId="1" applyNumberFormat="1" applyFont="1" applyAlignment="1">
      <alignment horizontal="right"/>
    </xf>
    <xf numFmtId="0" fontId="3" fillId="0" borderId="0" xfId="1" applyFont="1"/>
    <xf numFmtId="0" fontId="3" fillId="3" borderId="3" xfId="1" applyFont="1" applyFill="1" applyBorder="1"/>
    <xf numFmtId="43" fontId="4" fillId="3" borderId="3" xfId="1" applyNumberFormat="1" applyFont="1" applyFill="1" applyBorder="1" applyAlignment="1">
      <alignment horizontal="right"/>
    </xf>
    <xf numFmtId="43" fontId="2" fillId="0" borderId="0" xfId="1" applyNumberFormat="1" applyFont="1" applyAlignment="1">
      <alignment horizontal="right"/>
    </xf>
    <xf numFmtId="43" fontId="5" fillId="0" borderId="1" xfId="1" applyNumberFormat="1" applyFont="1" applyBorder="1" applyAlignment="1">
      <alignment horizontal="right"/>
    </xf>
    <xf numFmtId="165" fontId="4" fillId="3" borderId="3" xfId="1" applyNumberFormat="1" applyFont="1" applyFill="1" applyBorder="1" applyAlignment="1">
      <alignment horizontal="right"/>
    </xf>
    <xf numFmtId="0" fontId="4" fillId="3" borderId="3" xfId="1" applyFont="1" applyFill="1" applyBorder="1"/>
    <xf numFmtId="10" fontId="4" fillId="3" borderId="3" xfId="4" applyNumberFormat="1" applyFont="1" applyFill="1" applyBorder="1" applyAlignment="1">
      <alignment horizontal="right"/>
    </xf>
    <xf numFmtId="10" fontId="4" fillId="3" borderId="3" xfId="4" applyNumberFormat="1" applyFont="1" applyFill="1" applyBorder="1"/>
    <xf numFmtId="43" fontId="2" fillId="0" borderId="0" xfId="1" applyNumberFormat="1" applyFont="1"/>
    <xf numFmtId="166" fontId="4" fillId="3" borderId="3" xfId="4" applyNumberFormat="1" applyFont="1" applyFill="1" applyBorder="1" applyAlignment="1">
      <alignment horizontal="right"/>
    </xf>
    <xf numFmtId="166" fontId="4" fillId="3" borderId="3" xfId="4" applyNumberFormat="1" applyFont="1" applyFill="1" applyBorder="1"/>
    <xf numFmtId="0" fontId="5" fillId="0" borderId="1" xfId="1" applyFont="1" applyBorder="1"/>
    <xf numFmtId="0" fontId="4" fillId="3" borderId="4" xfId="1" applyFont="1" applyFill="1" applyBorder="1"/>
    <xf numFmtId="166" fontId="4" fillId="3" borderId="4" xfId="4" applyNumberFormat="1" applyFont="1" applyFill="1" applyBorder="1" applyAlignment="1">
      <alignment horizontal="right"/>
    </xf>
    <xf numFmtId="166" fontId="4" fillId="3" borderId="4" xfId="4" applyNumberFormat="1" applyFont="1" applyFill="1" applyBorder="1"/>
    <xf numFmtId="165" fontId="5" fillId="0" borderId="2" xfId="3" applyNumberFormat="1" applyFont="1" applyBorder="1" applyAlignment="1">
      <alignment horizontal="right"/>
    </xf>
    <xf numFmtId="0" fontId="2" fillId="0" borderId="2" xfId="1" applyFont="1" applyBorder="1" applyAlignment="1">
      <alignment horizontal="right"/>
    </xf>
    <xf numFmtId="165" fontId="1" fillId="0" borderId="2" xfId="1" applyNumberFormat="1" applyBorder="1" applyAlignment="1">
      <alignment horizontal="right"/>
    </xf>
    <xf numFmtId="9" fontId="4" fillId="3" borderId="4" xfId="4" applyFont="1" applyFill="1" applyBorder="1" applyAlignment="1"/>
    <xf numFmtId="166" fontId="8" fillId="3" borderId="4" xfId="4" applyNumberFormat="1" applyFont="1" applyFill="1" applyBorder="1" applyAlignment="1">
      <alignment horizontal="right"/>
    </xf>
    <xf numFmtId="0" fontId="1" fillId="0" borderId="0" xfId="1" applyAlignment="1">
      <alignment wrapText="1"/>
    </xf>
    <xf numFmtId="0" fontId="1" fillId="0" borderId="1" xfId="1" applyBorder="1" applyAlignment="1">
      <alignment wrapText="1"/>
    </xf>
    <xf numFmtId="165" fontId="5" fillId="0" borderId="0" xfId="1" applyNumberFormat="1" applyFont="1" applyAlignment="1">
      <alignment horizontal="right"/>
    </xf>
    <xf numFmtId="0" fontId="3" fillId="3" borderId="3" xfId="1" applyFont="1" applyFill="1" applyBorder="1" applyAlignment="1">
      <alignment wrapText="1"/>
    </xf>
    <xf numFmtId="165" fontId="1" fillId="0" borderId="0" xfId="1" applyNumberFormat="1" applyAlignment="1">
      <alignment horizontal="right"/>
    </xf>
    <xf numFmtId="41" fontId="5" fillId="0" borderId="0" xfId="1" applyNumberFormat="1" applyFont="1" applyAlignment="1">
      <alignment horizontal="right"/>
    </xf>
    <xf numFmtId="10" fontId="8" fillId="3" borderId="3" xfId="4" applyNumberFormat="1" applyFont="1" applyFill="1" applyBorder="1" applyAlignment="1">
      <alignment horizontal="right"/>
    </xf>
    <xf numFmtId="41" fontId="5" fillId="0" borderId="0" xfId="1" applyNumberFormat="1" applyFont="1"/>
    <xf numFmtId="165" fontId="2" fillId="0" borderId="2" xfId="3" applyNumberFormat="1" applyFont="1" applyBorder="1" applyAlignment="1">
      <alignment horizontal="right"/>
    </xf>
    <xf numFmtId="0" fontId="0" fillId="0" borderId="0" xfId="1" applyFont="1" applyAlignment="1">
      <alignment wrapText="1"/>
    </xf>
    <xf numFmtId="165" fontId="2" fillId="0" borderId="0" xfId="3" applyNumberFormat="1" applyFont="1" applyFill="1" applyAlignment="1">
      <alignment horizontal="right"/>
    </xf>
    <xf numFmtId="0" fontId="3" fillId="3" borderId="5" xfId="1" applyFont="1" applyFill="1" applyBorder="1"/>
    <xf numFmtId="10" fontId="4" fillId="3" borderId="5" xfId="4" applyNumberFormat="1" applyFont="1" applyFill="1" applyBorder="1" applyAlignment="1">
      <alignment horizontal="right"/>
    </xf>
    <xf numFmtId="10" fontId="8" fillId="3" borderId="5" xfId="4" applyNumberFormat="1" applyFont="1" applyFill="1" applyBorder="1"/>
    <xf numFmtId="10" fontId="5" fillId="0" borderId="0" xfId="5" applyNumberFormat="1" applyFont="1" applyAlignment="1">
      <alignment horizontal="right"/>
    </xf>
    <xf numFmtId="10" fontId="2" fillId="0" borderId="0" xfId="5" applyNumberFormat="1" applyFont="1" applyAlignment="1">
      <alignment horizontal="right"/>
    </xf>
    <xf numFmtId="3" fontId="5" fillId="0" borderId="0" xfId="1" applyNumberFormat="1" applyFont="1" applyAlignment="1">
      <alignment horizontal="right"/>
    </xf>
    <xf numFmtId="3" fontId="5" fillId="0" borderId="1" xfId="3" applyNumberFormat="1" applyFont="1" applyBorder="1" applyAlignment="1">
      <alignment horizontal="right"/>
    </xf>
    <xf numFmtId="0" fontId="4" fillId="0" borderId="0" xfId="1" applyFont="1"/>
    <xf numFmtId="0" fontId="4" fillId="4" borderId="3" xfId="1" applyFont="1" applyFill="1" applyBorder="1"/>
    <xf numFmtId="10" fontId="4" fillId="4" borderId="3" xfId="4" applyNumberFormat="1" applyFont="1" applyFill="1" applyBorder="1"/>
    <xf numFmtId="3" fontId="5" fillId="0" borderId="0" xfId="1" applyNumberFormat="1" applyFont="1"/>
    <xf numFmtId="10" fontId="2" fillId="0" borderId="0" xfId="4" applyNumberFormat="1" applyFont="1" applyAlignment="1">
      <alignment horizontal="right"/>
    </xf>
    <xf numFmtId="10" fontId="5" fillId="0" borderId="0" xfId="4" applyNumberFormat="1" applyFont="1" applyAlignment="1">
      <alignment horizontal="right"/>
    </xf>
    <xf numFmtId="0" fontId="9" fillId="0" borderId="0" xfId="1" applyFont="1" applyAlignment="1">
      <alignment vertical="top"/>
    </xf>
    <xf numFmtId="0" fontId="1" fillId="0" borderId="0" xfId="1" applyAlignment="1">
      <alignment vertical="top"/>
    </xf>
    <xf numFmtId="0" fontId="1" fillId="0" borderId="0" xfId="1" applyAlignment="1">
      <alignment horizontal="left" vertical="top" wrapText="1"/>
    </xf>
    <xf numFmtId="0" fontId="1" fillId="0" borderId="0" xfId="1" applyAlignment="1">
      <alignment horizontal="left"/>
    </xf>
    <xf numFmtId="0" fontId="1" fillId="0" borderId="0" xfId="1" applyAlignment="1">
      <alignment horizontal="left" vertical="top" wrapText="1"/>
    </xf>
    <xf numFmtId="0" fontId="3" fillId="0" borderId="0" xfId="1" applyFont="1" applyAlignment="1">
      <alignment vertical="top"/>
    </xf>
    <xf numFmtId="0" fontId="5" fillId="5" borderId="6" xfId="1" applyFont="1" applyFill="1" applyBorder="1" applyAlignment="1">
      <alignment vertical="top"/>
    </xf>
    <xf numFmtId="0" fontId="0" fillId="0" borderId="0" xfId="1" applyFont="1" applyAlignment="1">
      <alignment horizontal="left" vertical="top" wrapText="1"/>
    </xf>
    <xf numFmtId="0" fontId="5" fillId="5" borderId="0" xfId="1" applyFont="1" applyFill="1" applyAlignment="1">
      <alignment vertical="top"/>
    </xf>
    <xf numFmtId="0" fontId="5" fillId="0" borderId="0" xfId="1" applyFont="1" applyAlignment="1">
      <alignment horizontal="left" vertical="top" wrapText="1"/>
    </xf>
    <xf numFmtId="0" fontId="5" fillId="6" borderId="0" xfId="1" applyFont="1" applyFill="1" applyAlignment="1">
      <alignment vertical="top"/>
    </xf>
    <xf numFmtId="0" fontId="1" fillId="0" borderId="0" xfId="1" applyAlignment="1">
      <alignment horizontal="left" wrapText="1"/>
    </xf>
    <xf numFmtId="0" fontId="5" fillId="5" borderId="0" xfId="1" applyFont="1" applyFill="1" applyAlignment="1">
      <alignment vertical="top" wrapText="1"/>
    </xf>
    <xf numFmtId="0" fontId="12" fillId="0" borderId="0" xfId="1" applyFont="1" applyAlignment="1">
      <alignment vertical="top"/>
    </xf>
    <xf numFmtId="0" fontId="1" fillId="0" borderId="0" xfId="1" applyAlignment="1">
      <alignment vertical="top" wrapText="1"/>
    </xf>
  </cellXfs>
  <cellStyles count="6">
    <cellStyle name="Komma 2" xfId="3" xr:uid="{E9A6555F-CA33-4BA6-A528-CF57AB355401}"/>
    <cellStyle name="Normal" xfId="0" builtinId="0"/>
    <cellStyle name="Normal 12" xfId="2" xr:uid="{DBC5BB3C-87C0-4FD0-9F26-F7643999891B}"/>
    <cellStyle name="Normal 2 3_Ark1 2" xfId="1" xr:uid="{5752C81C-4357-47AB-AAB9-63E11E3E8653}"/>
    <cellStyle name="Prosent 2 2" xfId="4" xr:uid="{31F7AD40-0F87-48DE-97D5-7F068861CCCC}"/>
    <cellStyle name="Prosent 3" xfId="5" xr:uid="{A5D4E531-E57E-4B86-97EC-037E7B1694B9}"/>
  </cellStyles>
  <dxfs count="4">
    <dxf>
      <alignment horizontal="left" vertical="top"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top" textRotation="0" wrapText="0" indent="0" justifyLastLine="0" shrinkToFit="0" readingOrder="0"/>
      <border diagonalUp="0" diagonalDown="0" outline="0">
        <left/>
        <right/>
        <top/>
        <bottom style="medium">
          <color indexed="55"/>
        </bottom>
      </border>
    </dxf>
    <dxf>
      <alignment horizontal="left" vertical="top" textRotation="0" wrapText="1" indent="0" justifyLastLine="0" shrinkToFit="0" readingOrder="0"/>
    </dxf>
    <dxf>
      <alignmen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6C6197-8609-4855-BADD-7B1D6EEFAFB3}" name="Tabell1" displayName="Tabell1" ref="B5:C23" totalsRowShown="0" headerRowDxfId="3" dataDxfId="2">
  <autoFilter ref="B5:C23" xr:uid="{00000000-0009-0000-0100-000001000000}"/>
  <tableColumns count="2">
    <tableColumn id="1" xr3:uid="{088F0035-569B-4CB6-9767-83A9917E370D}" name="Alternative resultatmål med definisjoner: " dataDxfId="1"/>
    <tableColumn id="3" xr3:uid="{E899779C-942F-4480-AD4F-F8C7F3124A3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Egendefinert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4472C4"/>
      </a:hlink>
      <a:folHlink>
        <a:srgbClr val="4472C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21A1D-107E-43CF-A05D-5F889386AD90}">
  <sheetPr codeName="Ark21"/>
  <dimension ref="B1:D26"/>
  <sheetViews>
    <sheetView tabSelected="1" workbookViewId="0">
      <selection activeCell="C9" sqref="C9"/>
    </sheetView>
  </sheetViews>
  <sheetFormatPr baseColWidth="10" defaultColWidth="11.42578125" defaultRowHeight="15" x14ac:dyDescent="0.25"/>
  <cols>
    <col min="1" max="1" width="2.7109375" style="2" customWidth="1"/>
    <col min="2" max="2" width="67.7109375" style="94" customWidth="1"/>
    <col min="3" max="3" width="112.140625" style="94" customWidth="1"/>
    <col min="4" max="16384" width="11.42578125" style="2"/>
  </cols>
  <sheetData>
    <row r="1" spans="2:4" ht="18.75" x14ac:dyDescent="0.25">
      <c r="B1" s="93" t="s">
        <v>115</v>
      </c>
    </row>
    <row r="2" spans="2:4" s="96" customFormat="1" ht="54.75" customHeight="1" x14ac:dyDescent="0.25">
      <c r="B2" s="95" t="s">
        <v>116</v>
      </c>
      <c r="C2" s="95"/>
    </row>
    <row r="3" spans="2:4" ht="33" customHeight="1" x14ac:dyDescent="0.25">
      <c r="B3" s="95" t="s">
        <v>117</v>
      </c>
      <c r="C3" s="95"/>
    </row>
    <row r="4" spans="2:4" ht="33" customHeight="1" x14ac:dyDescent="0.25">
      <c r="B4" s="97"/>
      <c r="C4" s="97"/>
    </row>
    <row r="5" spans="2:4" x14ac:dyDescent="0.25">
      <c r="B5" s="98" t="s">
        <v>152</v>
      </c>
      <c r="C5" s="98" t="s">
        <v>118</v>
      </c>
    </row>
    <row r="6" spans="2:4" ht="60.75" thickBot="1" x14ac:dyDescent="0.3">
      <c r="B6" s="99" t="s">
        <v>119</v>
      </c>
      <c r="C6" s="100" t="s">
        <v>120</v>
      </c>
    </row>
    <row r="7" spans="2:4" ht="60" x14ac:dyDescent="0.25">
      <c r="B7" s="101" t="s">
        <v>121</v>
      </c>
      <c r="C7" s="102" t="s">
        <v>122</v>
      </c>
    </row>
    <row r="8" spans="2:4" ht="44.25" customHeight="1" x14ac:dyDescent="0.25">
      <c r="B8" s="103" t="s">
        <v>123</v>
      </c>
      <c r="C8" s="100" t="s">
        <v>124</v>
      </c>
    </row>
    <row r="9" spans="2:4" ht="44.25" customHeight="1" thickBot="1" x14ac:dyDescent="0.3">
      <c r="B9" s="99" t="s">
        <v>50</v>
      </c>
      <c r="C9" s="100" t="s">
        <v>125</v>
      </c>
    </row>
    <row r="10" spans="2:4" ht="60.75" thickBot="1" x14ac:dyDescent="0.3">
      <c r="B10" s="99" t="s">
        <v>126</v>
      </c>
      <c r="C10" s="100" t="s">
        <v>127</v>
      </c>
    </row>
    <row r="11" spans="2:4" ht="45" x14ac:dyDescent="0.25">
      <c r="B11" s="103" t="s">
        <v>45</v>
      </c>
      <c r="C11" s="100" t="s">
        <v>128</v>
      </c>
    </row>
    <row r="12" spans="2:4" ht="49.5" customHeight="1" x14ac:dyDescent="0.25">
      <c r="B12" s="103" t="s">
        <v>129</v>
      </c>
      <c r="C12" s="100" t="s">
        <v>130</v>
      </c>
    </row>
    <row r="13" spans="2:4" ht="51.75" customHeight="1" x14ac:dyDescent="0.25">
      <c r="B13" s="101" t="s">
        <v>56</v>
      </c>
      <c r="C13" s="102" t="s">
        <v>131</v>
      </c>
      <c r="D13" s="104"/>
    </row>
    <row r="14" spans="2:4" ht="60" x14ac:dyDescent="0.25">
      <c r="B14" s="101" t="s">
        <v>132</v>
      </c>
      <c r="C14" s="102" t="s">
        <v>133</v>
      </c>
    </row>
    <row r="15" spans="2:4" ht="45" x14ac:dyDescent="0.25">
      <c r="B15" s="105" t="s">
        <v>134</v>
      </c>
      <c r="C15" s="100" t="s">
        <v>135</v>
      </c>
    </row>
    <row r="16" spans="2:4" ht="45" x14ac:dyDescent="0.25">
      <c r="B16" s="105" t="s">
        <v>136</v>
      </c>
      <c r="C16" s="100" t="s">
        <v>137</v>
      </c>
    </row>
    <row r="17" spans="2:3" ht="90" x14ac:dyDescent="0.25">
      <c r="B17" s="105" t="s">
        <v>138</v>
      </c>
      <c r="C17" s="100" t="s">
        <v>139</v>
      </c>
    </row>
    <row r="18" spans="2:3" ht="60" x14ac:dyDescent="0.25">
      <c r="B18" s="105" t="s">
        <v>140</v>
      </c>
      <c r="C18" s="100" t="s">
        <v>141</v>
      </c>
    </row>
    <row r="19" spans="2:3" ht="60" x14ac:dyDescent="0.25">
      <c r="B19" s="105" t="s">
        <v>142</v>
      </c>
      <c r="C19" s="100" t="s">
        <v>143</v>
      </c>
    </row>
    <row r="20" spans="2:3" ht="45" x14ac:dyDescent="0.25">
      <c r="B20" s="101" t="s">
        <v>144</v>
      </c>
      <c r="C20" s="100" t="s">
        <v>145</v>
      </c>
    </row>
    <row r="21" spans="2:3" ht="30" x14ac:dyDescent="0.25">
      <c r="B21" s="101" t="s">
        <v>146</v>
      </c>
      <c r="C21" s="100" t="s">
        <v>147</v>
      </c>
    </row>
    <row r="22" spans="2:3" ht="30" x14ac:dyDescent="0.25">
      <c r="B22" s="101" t="s">
        <v>148</v>
      </c>
      <c r="C22" s="100" t="s">
        <v>149</v>
      </c>
    </row>
    <row r="23" spans="2:3" ht="45" x14ac:dyDescent="0.25">
      <c r="B23" s="101" t="s">
        <v>150</v>
      </c>
      <c r="C23" s="100" t="s">
        <v>151</v>
      </c>
    </row>
    <row r="24" spans="2:3" x14ac:dyDescent="0.25">
      <c r="B24" s="106"/>
    </row>
    <row r="26" spans="2:3" x14ac:dyDescent="0.25">
      <c r="B26" s="107"/>
    </row>
  </sheetData>
  <mergeCells count="2">
    <mergeCell ref="B2:C2"/>
    <mergeCell ref="B3:C3"/>
  </mergeCells>
  <pageMargins left="0.7" right="0.7" top="0.75" bottom="0.75" header="0.3" footer="0.3"/>
  <pageSetup paperSize="9" scale="46" orientation="portrait" r:id="rId1"/>
  <headerFooter>
    <oddHeader>&amp;R&amp;"Aptos"&amp;12&amp;KFF0000 Fortrolig&amp;1#_x000D_</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A381F-AEF8-4AD8-9842-FA0DD50FF863}">
  <sheetPr codeName="Ark19">
    <pageSetUpPr fitToPage="1"/>
  </sheetPr>
  <dimension ref="B2:AE173"/>
  <sheetViews>
    <sheetView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11.42578125" defaultRowHeight="15" x14ac:dyDescent="0.25"/>
  <cols>
    <col min="1" max="1" width="2.7109375" style="2" customWidth="1"/>
    <col min="2" max="2" width="72.28515625" style="2" customWidth="1"/>
    <col min="3" max="4" width="18.140625" style="7" customWidth="1"/>
    <col min="5" max="5" width="18.140625" style="6" customWidth="1"/>
    <col min="6" max="10" width="18.140625" style="7" customWidth="1"/>
    <col min="11" max="11" width="18.140625" style="6" customWidth="1"/>
    <col min="12" max="14" width="18.140625" style="7" customWidth="1"/>
    <col min="15" max="15" width="18.140625" style="8" customWidth="1"/>
    <col min="16" max="16" width="18.140625" style="7" customWidth="1"/>
    <col min="17" max="17" width="18.140625" style="8" customWidth="1"/>
    <col min="18" max="18" width="18.140625" style="7" customWidth="1"/>
    <col min="19" max="19" width="18.140625" style="8" customWidth="1"/>
    <col min="20" max="20" width="18.140625" style="7" customWidth="1"/>
    <col min="21" max="21" width="18.140625" style="2" customWidth="1"/>
    <col min="22" max="16384" width="11.42578125" style="2"/>
  </cols>
  <sheetData>
    <row r="2" spans="2:20" s="1" customFormat="1" x14ac:dyDescent="0.25">
      <c r="B2" s="2" t="s">
        <v>0</v>
      </c>
      <c r="C2" s="1" t="s">
        <v>1</v>
      </c>
      <c r="D2" s="1" t="s">
        <v>2</v>
      </c>
      <c r="E2" s="1" t="s">
        <v>1</v>
      </c>
      <c r="F2" s="1" t="s">
        <v>2</v>
      </c>
      <c r="G2" s="1" t="s">
        <v>1</v>
      </c>
      <c r="H2" s="1" t="s">
        <v>2</v>
      </c>
      <c r="I2" s="1" t="s">
        <v>1</v>
      </c>
      <c r="J2" s="1" t="s">
        <v>2</v>
      </c>
      <c r="K2" s="1" t="s">
        <v>1</v>
      </c>
      <c r="L2" s="1" t="s">
        <v>2</v>
      </c>
      <c r="M2" s="1" t="s">
        <v>1</v>
      </c>
      <c r="N2" s="1" t="s">
        <v>2</v>
      </c>
      <c r="O2" s="1" t="s">
        <v>1</v>
      </c>
      <c r="P2" s="1" t="s">
        <v>2</v>
      </c>
      <c r="Q2" s="1" t="s">
        <v>1</v>
      </c>
      <c r="R2" s="1" t="s">
        <v>2</v>
      </c>
      <c r="S2" s="1" t="s">
        <v>1</v>
      </c>
      <c r="T2" s="1" t="s">
        <v>2</v>
      </c>
    </row>
    <row r="3" spans="2:20" s="1" customFormat="1" x14ac:dyDescent="0.25">
      <c r="B3" s="2"/>
      <c r="C3" s="3" t="s">
        <v>172</v>
      </c>
      <c r="D3" s="3" t="s">
        <v>173</v>
      </c>
      <c r="E3" s="3" t="s">
        <v>172</v>
      </c>
      <c r="F3" s="3" t="s">
        <v>173</v>
      </c>
      <c r="G3" s="3" t="s">
        <v>172</v>
      </c>
      <c r="H3" s="3" t="s">
        <v>173</v>
      </c>
      <c r="I3" s="3" t="s">
        <v>172</v>
      </c>
      <c r="J3" s="3" t="s">
        <v>173</v>
      </c>
      <c r="K3" s="3" t="s">
        <v>172</v>
      </c>
      <c r="L3" s="3" t="s">
        <v>173</v>
      </c>
      <c r="M3" s="3" t="s">
        <v>172</v>
      </c>
      <c r="N3" s="3" t="s">
        <v>173</v>
      </c>
      <c r="O3" s="3" t="s">
        <v>172</v>
      </c>
      <c r="P3" s="3" t="s">
        <v>173</v>
      </c>
      <c r="Q3" s="3" t="s">
        <v>172</v>
      </c>
      <c r="R3" s="3" t="s">
        <v>173</v>
      </c>
      <c r="S3" s="3" t="s">
        <v>172</v>
      </c>
      <c r="T3" s="3" t="s">
        <v>173</v>
      </c>
    </row>
    <row r="4" spans="2:20" s="4" customFormat="1" x14ac:dyDescent="0.25">
      <c r="B4" s="4" t="s">
        <v>3</v>
      </c>
      <c r="C4" s="5" t="s">
        <v>156</v>
      </c>
      <c r="D4" s="5" t="s">
        <v>157</v>
      </c>
      <c r="E4" s="5" t="s">
        <v>158</v>
      </c>
      <c r="F4" s="5" t="s">
        <v>155</v>
      </c>
      <c r="G4" s="5" t="s">
        <v>154</v>
      </c>
      <c r="H4" s="5" t="s">
        <v>164</v>
      </c>
      <c r="I4" s="5" t="s">
        <v>161</v>
      </c>
      <c r="J4" s="5" t="s">
        <v>170</v>
      </c>
      <c r="K4" s="5" t="s">
        <v>165</v>
      </c>
      <c r="L4" s="5" t="s">
        <v>166</v>
      </c>
      <c r="M4" s="5" t="s">
        <v>162</v>
      </c>
      <c r="N4" s="5" t="s">
        <v>168</v>
      </c>
      <c r="O4" s="5" t="s">
        <v>159</v>
      </c>
      <c r="P4" s="5" t="s">
        <v>167</v>
      </c>
      <c r="Q4" s="5" t="s">
        <v>163</v>
      </c>
      <c r="R4" s="5" t="s">
        <v>160</v>
      </c>
      <c r="S4" s="5" t="s">
        <v>169</v>
      </c>
      <c r="T4" s="5" t="s">
        <v>153</v>
      </c>
    </row>
    <row r="5" spans="2:20" s="9" customFormat="1" x14ac:dyDescent="0.25">
      <c r="B5" s="9" t="s">
        <v>4</v>
      </c>
      <c r="C5" s="10">
        <v>315</v>
      </c>
      <c r="D5" s="10">
        <v>315</v>
      </c>
      <c r="E5" s="10">
        <v>312</v>
      </c>
      <c r="F5" s="10">
        <v>312</v>
      </c>
      <c r="G5" s="10">
        <v>309</v>
      </c>
      <c r="H5" s="10">
        <v>309</v>
      </c>
      <c r="I5" s="10">
        <v>306</v>
      </c>
      <c r="J5" s="10">
        <v>306</v>
      </c>
      <c r="K5" s="10">
        <v>303</v>
      </c>
      <c r="L5" s="10">
        <v>303</v>
      </c>
      <c r="M5" s="10">
        <v>300</v>
      </c>
      <c r="N5" s="10">
        <v>300</v>
      </c>
      <c r="O5" s="10">
        <v>297</v>
      </c>
      <c r="P5" s="10">
        <v>297</v>
      </c>
      <c r="Q5" s="10">
        <v>294</v>
      </c>
      <c r="R5" s="10">
        <v>294</v>
      </c>
      <c r="S5" s="10">
        <v>291</v>
      </c>
      <c r="T5" s="10">
        <v>291</v>
      </c>
    </row>
    <row r="6" spans="2:20" s="9" customFormat="1" x14ac:dyDescent="0.25">
      <c r="B6" s="9" t="s">
        <v>5</v>
      </c>
      <c r="C6" s="10">
        <v>312</v>
      </c>
      <c r="D6" s="10">
        <v>312</v>
      </c>
      <c r="E6" s="10">
        <v>300</v>
      </c>
      <c r="F6" s="10">
        <v>309</v>
      </c>
      <c r="G6" s="10">
        <v>300</v>
      </c>
      <c r="H6" s="10">
        <v>306</v>
      </c>
      <c r="I6" s="10">
        <v>300</v>
      </c>
      <c r="J6" s="10">
        <v>303</v>
      </c>
      <c r="K6" s="10">
        <v>300</v>
      </c>
      <c r="L6" s="10">
        <v>300</v>
      </c>
      <c r="M6" s="10">
        <v>288</v>
      </c>
      <c r="N6" s="10">
        <v>297</v>
      </c>
      <c r="O6" s="10">
        <v>288</v>
      </c>
      <c r="P6" s="10">
        <v>294</v>
      </c>
      <c r="Q6" s="10">
        <v>288</v>
      </c>
      <c r="R6" s="10">
        <v>291</v>
      </c>
      <c r="S6" s="10">
        <v>288</v>
      </c>
      <c r="T6" s="10">
        <v>288</v>
      </c>
    </row>
    <row r="7" spans="2:20" s="9" customFormat="1" x14ac:dyDescent="0.25">
      <c r="B7" s="9" t="s">
        <v>6</v>
      </c>
      <c r="C7" s="10">
        <v>315</v>
      </c>
      <c r="D7" s="10">
        <v>312</v>
      </c>
      <c r="E7" s="10">
        <v>303</v>
      </c>
      <c r="F7" s="10">
        <v>309</v>
      </c>
      <c r="G7" s="10">
        <v>303</v>
      </c>
      <c r="H7" s="10">
        <v>306</v>
      </c>
      <c r="I7" s="10">
        <v>303</v>
      </c>
      <c r="J7" s="10">
        <v>303</v>
      </c>
      <c r="K7" s="10">
        <v>303</v>
      </c>
      <c r="L7" s="10">
        <v>300</v>
      </c>
      <c r="M7" s="10">
        <v>291</v>
      </c>
      <c r="N7" s="10">
        <v>297</v>
      </c>
      <c r="O7" s="10">
        <v>291</v>
      </c>
      <c r="P7" s="10">
        <v>294</v>
      </c>
      <c r="Q7" s="10">
        <v>291</v>
      </c>
      <c r="R7" s="10">
        <v>291</v>
      </c>
      <c r="S7" s="10">
        <v>291</v>
      </c>
      <c r="T7" s="10">
        <v>288</v>
      </c>
    </row>
    <row r="8" spans="2:20" s="9" customFormat="1" x14ac:dyDescent="0.25">
      <c r="B8" s="9" t="s">
        <v>7</v>
      </c>
      <c r="C8" s="10">
        <v>1</v>
      </c>
      <c r="D8" s="10">
        <v>1</v>
      </c>
      <c r="E8" s="10">
        <v>4</v>
      </c>
      <c r="F8" s="10">
        <v>4</v>
      </c>
      <c r="G8" s="10">
        <v>3</v>
      </c>
      <c r="H8" s="10">
        <v>3</v>
      </c>
      <c r="I8" s="10">
        <v>2</v>
      </c>
      <c r="J8" s="10">
        <v>2</v>
      </c>
      <c r="K8" s="10">
        <v>1</v>
      </c>
      <c r="L8" s="10">
        <v>1</v>
      </c>
      <c r="M8" s="10">
        <v>4</v>
      </c>
      <c r="N8" s="10">
        <v>4</v>
      </c>
      <c r="O8" s="10">
        <v>3</v>
      </c>
      <c r="P8" s="10">
        <v>3</v>
      </c>
      <c r="Q8" s="10">
        <v>2</v>
      </c>
      <c r="R8" s="10">
        <v>2</v>
      </c>
      <c r="S8" s="10">
        <v>1</v>
      </c>
      <c r="T8" s="10">
        <v>1</v>
      </c>
    </row>
    <row r="9" spans="2:20" s="9" customFormat="1" x14ac:dyDescent="0.25">
      <c r="B9" s="9" t="s">
        <v>8</v>
      </c>
      <c r="C9" s="10" t="s">
        <v>157</v>
      </c>
      <c r="D9" s="10" t="s">
        <v>157</v>
      </c>
      <c r="E9" s="10" t="s">
        <v>155</v>
      </c>
      <c r="F9" s="10" t="s">
        <v>155</v>
      </c>
      <c r="G9" s="10" t="s">
        <v>164</v>
      </c>
      <c r="H9" s="10" t="s">
        <v>164</v>
      </c>
      <c r="I9" s="10" t="s">
        <v>170</v>
      </c>
      <c r="J9" s="10" t="s">
        <v>170</v>
      </c>
      <c r="K9" s="10" t="s">
        <v>166</v>
      </c>
      <c r="L9" s="10" t="s">
        <v>166</v>
      </c>
      <c r="M9" s="10" t="s">
        <v>168</v>
      </c>
      <c r="N9" s="10" t="s">
        <v>168</v>
      </c>
      <c r="O9" s="10" t="s">
        <v>167</v>
      </c>
      <c r="P9" s="10" t="s">
        <v>167</v>
      </c>
      <c r="Q9" s="10" t="s">
        <v>160</v>
      </c>
      <c r="R9" s="10" t="s">
        <v>160</v>
      </c>
      <c r="S9" s="10" t="s">
        <v>153</v>
      </c>
      <c r="T9" s="10" t="s">
        <v>153</v>
      </c>
    </row>
    <row r="10" spans="2:20" s="9" customFormat="1" x14ac:dyDescent="0.25">
      <c r="B10" s="9" t="s">
        <v>9</v>
      </c>
      <c r="C10" s="10">
        <v>2026</v>
      </c>
      <c r="D10" s="10">
        <v>2026</v>
      </c>
      <c r="E10" s="10">
        <v>2025</v>
      </c>
      <c r="F10" s="10">
        <v>2025</v>
      </c>
      <c r="G10" s="10">
        <v>2025</v>
      </c>
      <c r="H10" s="10">
        <v>2025</v>
      </c>
      <c r="I10" s="10">
        <v>2025</v>
      </c>
      <c r="J10" s="10">
        <v>2025</v>
      </c>
      <c r="K10" s="10">
        <v>2025</v>
      </c>
      <c r="L10" s="10">
        <v>2025</v>
      </c>
      <c r="M10" s="10">
        <v>2024</v>
      </c>
      <c r="N10" s="10">
        <v>2024</v>
      </c>
      <c r="O10" s="10">
        <v>2024</v>
      </c>
      <c r="P10" s="10">
        <v>2024</v>
      </c>
      <c r="Q10" s="10">
        <v>2024</v>
      </c>
      <c r="R10" s="10">
        <v>2024</v>
      </c>
      <c r="S10" s="10">
        <v>2024</v>
      </c>
      <c r="T10" s="10">
        <v>2024</v>
      </c>
    </row>
    <row r="11" spans="2:20" s="9" customFormat="1" x14ac:dyDescent="0.25">
      <c r="C11" s="10"/>
      <c r="D11" s="10"/>
      <c r="E11" s="10"/>
      <c r="F11" s="10"/>
      <c r="G11" s="10"/>
      <c r="H11" s="10"/>
      <c r="I11" s="10"/>
      <c r="J11" s="10"/>
      <c r="K11" s="10"/>
      <c r="L11" s="10"/>
      <c r="M11" s="10"/>
      <c r="N11" s="10"/>
      <c r="O11" s="10"/>
      <c r="P11" s="10"/>
      <c r="Q11" s="10"/>
      <c r="R11" s="10"/>
      <c r="S11" s="10"/>
      <c r="T11" s="10"/>
    </row>
    <row r="12" spans="2:20" s="11" customFormat="1" x14ac:dyDescent="0.25">
      <c r="B12" s="11" t="s">
        <v>10</v>
      </c>
      <c r="C12" s="6">
        <v>365</v>
      </c>
      <c r="D12" s="6">
        <v>365</v>
      </c>
      <c r="E12" s="6">
        <v>365</v>
      </c>
      <c r="F12" s="6">
        <v>365</v>
      </c>
      <c r="G12" s="6">
        <v>365</v>
      </c>
      <c r="H12" s="6">
        <v>365</v>
      </c>
      <c r="I12" s="6">
        <v>365</v>
      </c>
      <c r="J12" s="6">
        <v>365</v>
      </c>
      <c r="K12" s="6">
        <v>365</v>
      </c>
      <c r="L12" s="6">
        <v>365</v>
      </c>
      <c r="M12" s="6">
        <v>366</v>
      </c>
      <c r="N12" s="6">
        <v>366</v>
      </c>
      <c r="O12" s="6">
        <v>366</v>
      </c>
      <c r="P12" s="6">
        <v>366</v>
      </c>
      <c r="Q12" s="6">
        <v>366</v>
      </c>
      <c r="R12" s="6">
        <v>366</v>
      </c>
      <c r="S12" s="6">
        <v>366</v>
      </c>
      <c r="T12" s="6">
        <v>366</v>
      </c>
    </row>
    <row r="13" spans="2:20" s="11" customFormat="1" x14ac:dyDescent="0.25">
      <c r="B13" s="11" t="s">
        <v>11</v>
      </c>
      <c r="C13" s="6">
        <v>90</v>
      </c>
      <c r="D13" s="6">
        <v>90</v>
      </c>
      <c r="E13" s="6">
        <v>365</v>
      </c>
      <c r="F13" s="6">
        <v>92</v>
      </c>
      <c r="G13" s="6">
        <v>273</v>
      </c>
      <c r="H13" s="6">
        <v>92</v>
      </c>
      <c r="I13" s="6">
        <v>181</v>
      </c>
      <c r="J13" s="6">
        <v>91</v>
      </c>
      <c r="K13" s="6">
        <v>90</v>
      </c>
      <c r="L13" s="6">
        <v>90</v>
      </c>
      <c r="M13" s="6">
        <v>366</v>
      </c>
      <c r="N13" s="6">
        <v>92</v>
      </c>
      <c r="O13" s="6">
        <v>274</v>
      </c>
      <c r="P13" s="6">
        <v>92</v>
      </c>
      <c r="Q13" s="6">
        <v>182</v>
      </c>
      <c r="R13" s="6">
        <v>91</v>
      </c>
      <c r="S13" s="6">
        <v>91</v>
      </c>
      <c r="T13" s="6">
        <v>91</v>
      </c>
    </row>
    <row r="14" spans="2:20" x14ac:dyDescent="0.25">
      <c r="B14" s="12" t="s">
        <v>12</v>
      </c>
      <c r="C14" s="13">
        <f>C12/C13</f>
        <v>4.0555555555555554</v>
      </c>
      <c r="D14" s="13">
        <f t="shared" ref="D14:T14" si="0">D12/D13</f>
        <v>4.0555555555555554</v>
      </c>
      <c r="E14" s="13">
        <f t="shared" si="0"/>
        <v>1</v>
      </c>
      <c r="F14" s="13">
        <f t="shared" si="0"/>
        <v>3.9673913043478262</v>
      </c>
      <c r="G14" s="13">
        <f t="shared" si="0"/>
        <v>1.3369963369963369</v>
      </c>
      <c r="H14" s="13">
        <f t="shared" si="0"/>
        <v>3.9673913043478262</v>
      </c>
      <c r="I14" s="13">
        <f t="shared" si="0"/>
        <v>2.0165745856353592</v>
      </c>
      <c r="J14" s="13">
        <f t="shared" si="0"/>
        <v>4.0109890109890109</v>
      </c>
      <c r="K14" s="13">
        <f t="shared" si="0"/>
        <v>4.0555555555555554</v>
      </c>
      <c r="L14" s="13">
        <f t="shared" si="0"/>
        <v>4.0555555555555554</v>
      </c>
      <c r="M14" s="13">
        <f t="shared" si="0"/>
        <v>1</v>
      </c>
      <c r="N14" s="13">
        <f t="shared" si="0"/>
        <v>3.9782608695652173</v>
      </c>
      <c r="O14" s="13">
        <f t="shared" si="0"/>
        <v>1.3357664233576643</v>
      </c>
      <c r="P14" s="13">
        <f t="shared" si="0"/>
        <v>3.9782608695652173</v>
      </c>
      <c r="Q14" s="13">
        <f t="shared" si="0"/>
        <v>2.0109890109890109</v>
      </c>
      <c r="R14" s="13">
        <f t="shared" si="0"/>
        <v>4.0219780219780219</v>
      </c>
      <c r="S14" s="13">
        <f t="shared" si="0"/>
        <v>4.0219780219780219</v>
      </c>
      <c r="T14" s="13">
        <f t="shared" si="0"/>
        <v>4.0219780219780219</v>
      </c>
    </row>
    <row r="15" spans="2:20" x14ac:dyDescent="0.25">
      <c r="C15" s="6"/>
      <c r="D15" s="6"/>
      <c r="F15" s="6"/>
      <c r="G15" s="6"/>
      <c r="H15" s="6"/>
      <c r="I15" s="6"/>
      <c r="J15" s="6"/>
      <c r="L15" s="6"/>
      <c r="M15" s="6"/>
      <c r="N15" s="6"/>
      <c r="O15" s="6"/>
      <c r="P15" s="6"/>
      <c r="Q15" s="6"/>
      <c r="R15" s="6"/>
      <c r="S15" s="6"/>
      <c r="T15" s="6"/>
    </row>
    <row r="16" spans="2:20" x14ac:dyDescent="0.25">
      <c r="B16" s="2" t="s">
        <v>13</v>
      </c>
      <c r="C16" s="14">
        <v>125.97221665000001</v>
      </c>
      <c r="D16" s="14">
        <v>125.97221665000001</v>
      </c>
      <c r="E16" s="14">
        <v>656.7889555700001</v>
      </c>
      <c r="F16" s="14">
        <v>143.23576936470008</v>
      </c>
      <c r="G16" s="14">
        <v>513.55318620529999</v>
      </c>
      <c r="H16" s="14">
        <v>156.63860062989997</v>
      </c>
      <c r="I16" s="14">
        <v>356.9145855754</v>
      </c>
      <c r="J16" s="14">
        <v>242.9843115285</v>
      </c>
      <c r="K16" s="14">
        <v>113.93027404690001</v>
      </c>
      <c r="L16" s="14">
        <v>113.93027404690001</v>
      </c>
      <c r="M16" s="14">
        <v>651.24808694399997</v>
      </c>
      <c r="N16" s="14">
        <v>125.08424424239999</v>
      </c>
      <c r="O16" s="14">
        <v>526.16384270160006</v>
      </c>
      <c r="P16" s="14">
        <v>249.82735521460003</v>
      </c>
      <c r="Q16" s="14">
        <v>276.336487487</v>
      </c>
      <c r="R16" s="14">
        <v>130.59262112109997</v>
      </c>
      <c r="S16" s="14">
        <v>145.7438663659</v>
      </c>
      <c r="T16" s="14">
        <v>145.7438663659</v>
      </c>
    </row>
    <row r="17" spans="2:20" x14ac:dyDescent="0.25">
      <c r="B17" s="15" t="s">
        <v>14</v>
      </c>
      <c r="C17" s="16">
        <v>-5.5476666699999999</v>
      </c>
      <c r="D17" s="16">
        <v>-5.5476666699999999</v>
      </c>
      <c r="E17" s="16">
        <v>-24.339833339999998</v>
      </c>
      <c r="F17" s="16">
        <v>-5.8012499999999996</v>
      </c>
      <c r="G17" s="16">
        <v>-18.538583339999999</v>
      </c>
      <c r="H17" s="16">
        <v>-6.2549166700000001</v>
      </c>
      <c r="I17" s="16">
        <v>-12.283666670000001</v>
      </c>
      <c r="J17" s="16">
        <v>-6.1486666699999999</v>
      </c>
      <c r="K17" s="16">
        <v>-6.1349999999999998</v>
      </c>
      <c r="L17" s="16">
        <v>-6.1349999999999998</v>
      </c>
      <c r="M17" s="16">
        <v>-13.553333330000001</v>
      </c>
      <c r="N17" s="16">
        <v>-3.3745833300000001</v>
      </c>
      <c r="O17" s="16">
        <v>-10.178750000000001</v>
      </c>
      <c r="P17" s="16">
        <v>-3.4039999999999999</v>
      </c>
      <c r="Q17" s="16">
        <v>-6.77475</v>
      </c>
      <c r="R17" s="16">
        <v>-3.4001666699999999</v>
      </c>
      <c r="S17" s="16">
        <v>-3.3745833300000001</v>
      </c>
      <c r="T17" s="16">
        <v>-3.3745833300000001</v>
      </c>
    </row>
    <row r="18" spans="2:20" x14ac:dyDescent="0.25">
      <c r="B18" s="2" t="s">
        <v>15</v>
      </c>
      <c r="C18" s="14">
        <f>SUM(C16:C17)</f>
        <v>120.42454998000001</v>
      </c>
      <c r="D18" s="14">
        <f>SUM(D16:D17)</f>
        <v>120.42454998000001</v>
      </c>
      <c r="E18" s="14">
        <f>SUM(E16:E17)</f>
        <v>632.44912223000006</v>
      </c>
      <c r="F18" s="14">
        <f>SUM(F16:F17)</f>
        <v>137.43451936470007</v>
      </c>
      <c r="G18" s="14">
        <f t="shared" ref="G18:T18" si="1">SUM(G16:G17)</f>
        <v>495.01460286529999</v>
      </c>
      <c r="H18" s="14">
        <f t="shared" si="1"/>
        <v>150.38368395989997</v>
      </c>
      <c r="I18" s="14">
        <f t="shared" si="1"/>
        <v>344.63091890539999</v>
      </c>
      <c r="J18" s="14">
        <f t="shared" si="1"/>
        <v>236.83564485849999</v>
      </c>
      <c r="K18" s="14">
        <f t="shared" si="1"/>
        <v>107.7952740469</v>
      </c>
      <c r="L18" s="14">
        <f t="shared" si="1"/>
        <v>107.7952740469</v>
      </c>
      <c r="M18" s="14">
        <f t="shared" si="1"/>
        <v>637.69475361399998</v>
      </c>
      <c r="N18" s="14">
        <f t="shared" si="1"/>
        <v>121.70966091239998</v>
      </c>
      <c r="O18" s="14">
        <f t="shared" si="1"/>
        <v>515.98509270160002</v>
      </c>
      <c r="P18" s="14">
        <f t="shared" si="1"/>
        <v>246.42335521460004</v>
      </c>
      <c r="Q18" s="14">
        <f t="shared" si="1"/>
        <v>269.56173748700002</v>
      </c>
      <c r="R18" s="14">
        <f t="shared" si="1"/>
        <v>127.19245445109996</v>
      </c>
      <c r="S18" s="14">
        <f t="shared" si="1"/>
        <v>142.3692830359</v>
      </c>
      <c r="T18" s="14">
        <f t="shared" si="1"/>
        <v>142.3692830359</v>
      </c>
    </row>
    <row r="19" spans="2:20" x14ac:dyDescent="0.25">
      <c r="C19" s="14"/>
      <c r="D19" s="14"/>
      <c r="E19" s="14"/>
      <c r="F19" s="14"/>
      <c r="G19" s="14"/>
      <c r="H19" s="14"/>
      <c r="I19" s="14"/>
      <c r="J19" s="14"/>
      <c r="K19" s="14"/>
      <c r="L19" s="14"/>
      <c r="M19" s="14"/>
      <c r="N19" s="14"/>
      <c r="O19" s="14"/>
      <c r="P19" s="14"/>
      <c r="Q19" s="14"/>
      <c r="R19" s="14"/>
      <c r="S19" s="14"/>
      <c r="T19" s="14"/>
    </row>
    <row r="20" spans="2:20" x14ac:dyDescent="0.25">
      <c r="B20" s="2" t="s">
        <v>16</v>
      </c>
      <c r="C20" s="14">
        <v>5078.2830884300001</v>
      </c>
      <c r="D20" s="14">
        <v>5078.2830884300001</v>
      </c>
      <c r="E20" s="14">
        <v>5265.5917659899997</v>
      </c>
      <c r="F20" s="14">
        <v>5265.5917659899997</v>
      </c>
      <c r="G20" s="14">
        <v>5267.7471411889001</v>
      </c>
      <c r="H20" s="14">
        <v>5267.7471411889001</v>
      </c>
      <c r="I20" s="14">
        <v>5120.1718657780002</v>
      </c>
      <c r="J20" s="14">
        <v>5120.1718657780002</v>
      </c>
      <c r="K20" s="14">
        <v>4893.2895063708002</v>
      </c>
      <c r="L20" s="14">
        <v>4893.2895063708002</v>
      </c>
      <c r="M20" s="14">
        <v>5037.3037315861993</v>
      </c>
      <c r="N20" s="14">
        <v>5037.3037315861993</v>
      </c>
      <c r="O20" s="14">
        <v>4748.5660413984006</v>
      </c>
      <c r="P20" s="14">
        <v>4748.5660413984006</v>
      </c>
      <c r="Q20" s="14">
        <v>4501.2893856723003</v>
      </c>
      <c r="R20" s="14">
        <v>4501.2893856723003</v>
      </c>
      <c r="S20" s="14">
        <v>4375.9219193148001</v>
      </c>
      <c r="T20" s="14">
        <v>4375.9219193148001</v>
      </c>
    </row>
    <row r="21" spans="2:20" x14ac:dyDescent="0.25">
      <c r="B21" s="15" t="s">
        <v>17</v>
      </c>
      <c r="C21" s="17">
        <v>300</v>
      </c>
      <c r="D21" s="17">
        <v>300</v>
      </c>
      <c r="E21" s="17">
        <v>300</v>
      </c>
      <c r="F21" s="17">
        <v>300</v>
      </c>
      <c r="G21" s="17">
        <v>300</v>
      </c>
      <c r="H21" s="17">
        <v>300</v>
      </c>
      <c r="I21" s="17">
        <v>300</v>
      </c>
      <c r="J21" s="17">
        <v>300</v>
      </c>
      <c r="K21" s="17">
        <v>300</v>
      </c>
      <c r="L21" s="17">
        <v>300</v>
      </c>
      <c r="M21" s="17">
        <v>300</v>
      </c>
      <c r="N21" s="17">
        <v>300</v>
      </c>
      <c r="O21" s="17">
        <v>150</v>
      </c>
      <c r="P21" s="17">
        <v>150</v>
      </c>
      <c r="Q21" s="17">
        <v>150</v>
      </c>
      <c r="R21" s="17">
        <v>150</v>
      </c>
      <c r="S21" s="17">
        <v>150</v>
      </c>
      <c r="T21" s="17">
        <v>150</v>
      </c>
    </row>
    <row r="22" spans="2:20" x14ac:dyDescent="0.25">
      <c r="B22" s="2" t="s">
        <v>18</v>
      </c>
      <c r="C22" s="18">
        <f t="shared" ref="C22:T22" si="2">C20-C21</f>
        <v>4778.2830884300001</v>
      </c>
      <c r="D22" s="18">
        <f t="shared" si="2"/>
        <v>4778.2830884300001</v>
      </c>
      <c r="E22" s="18">
        <f t="shared" si="2"/>
        <v>4965.5917659899997</v>
      </c>
      <c r="F22" s="18">
        <f t="shared" si="2"/>
        <v>4965.5917659899997</v>
      </c>
      <c r="G22" s="18">
        <f t="shared" si="2"/>
        <v>4967.7471411889001</v>
      </c>
      <c r="H22" s="18">
        <f t="shared" si="2"/>
        <v>4967.7471411889001</v>
      </c>
      <c r="I22" s="18">
        <f t="shared" si="2"/>
        <v>4820.1718657780002</v>
      </c>
      <c r="J22" s="18">
        <f t="shared" si="2"/>
        <v>4820.1718657780002</v>
      </c>
      <c r="K22" s="18">
        <f t="shared" si="2"/>
        <v>4593.2895063708002</v>
      </c>
      <c r="L22" s="18">
        <f t="shared" si="2"/>
        <v>4593.2895063708002</v>
      </c>
      <c r="M22" s="18">
        <f t="shared" si="2"/>
        <v>4737.3037315861993</v>
      </c>
      <c r="N22" s="18">
        <f t="shared" si="2"/>
        <v>4737.3037315861993</v>
      </c>
      <c r="O22" s="18">
        <f t="shared" si="2"/>
        <v>4598.5660413984006</v>
      </c>
      <c r="P22" s="18">
        <f t="shared" si="2"/>
        <v>4598.5660413984006</v>
      </c>
      <c r="Q22" s="18">
        <f t="shared" si="2"/>
        <v>4351.2893856723003</v>
      </c>
      <c r="R22" s="18">
        <f t="shared" si="2"/>
        <v>4351.2893856723003</v>
      </c>
      <c r="S22" s="18">
        <f t="shared" si="2"/>
        <v>4225.9219193148001</v>
      </c>
      <c r="T22" s="18">
        <f t="shared" si="2"/>
        <v>4225.9219193148001</v>
      </c>
    </row>
    <row r="23" spans="2:20" x14ac:dyDescent="0.25">
      <c r="C23" s="18"/>
      <c r="D23" s="18"/>
      <c r="E23" s="18"/>
      <c r="F23" s="18"/>
      <c r="G23" s="18"/>
      <c r="H23" s="18"/>
      <c r="I23" s="18"/>
      <c r="J23" s="18"/>
      <c r="K23" s="18"/>
      <c r="L23" s="18"/>
      <c r="M23" s="18"/>
      <c r="N23" s="18"/>
      <c r="O23" s="18"/>
      <c r="P23" s="18"/>
      <c r="Q23" s="18"/>
      <c r="R23" s="18"/>
      <c r="S23" s="18"/>
      <c r="T23" s="18"/>
    </row>
    <row r="24" spans="2:20" x14ac:dyDescent="0.25">
      <c r="C24" s="18"/>
      <c r="D24" s="18"/>
      <c r="E24" s="18"/>
      <c r="F24" s="18"/>
      <c r="G24" s="18"/>
      <c r="H24" s="18"/>
      <c r="I24" s="18"/>
      <c r="J24" s="18"/>
      <c r="K24" s="18"/>
      <c r="L24" s="18"/>
      <c r="M24" s="18"/>
      <c r="N24" s="18"/>
      <c r="O24" s="18"/>
      <c r="P24" s="18"/>
      <c r="Q24" s="18"/>
      <c r="R24" s="18"/>
      <c r="S24" s="18"/>
      <c r="T24" s="18"/>
    </row>
    <row r="25" spans="2:20" x14ac:dyDescent="0.25">
      <c r="B25" s="2" t="s">
        <v>19</v>
      </c>
      <c r="C25" s="18">
        <f>IF(C2="YTD",AVERAGEIFS(25:25,$2:$2,"QTD",$5:$5,"&lt;="&amp;C$5,$5:$5,"&gt;="&amp;C$7),AVERAGE(C22,E22))</f>
        <v>4871.9374272099994</v>
      </c>
      <c r="D25" s="18">
        <f>IF(D2="YTD",AVERAGEIFS(25:25,$2:$2,"QTD",$5:$5,"&lt;="&amp;D$5,$5:$5,"&gt;="&amp;D$7),AVERAGE(D22,F22))</f>
        <v>4871.9374272099994</v>
      </c>
      <c r="E25" s="18">
        <f>IF(E2="YTD",AVERAGEIFS(25:25,$2:$2,"QTD",$5:$5,"&lt;="&amp;E$5,$5:$5,"&gt;="&amp;E$7),AVERAGE(E22,G22))</f>
        <v>4808.1640655314495</v>
      </c>
      <c r="F25" s="18">
        <f>IF(F2="YTD",AVERAGEIFS(25:25,$2:$2,"QTD",$5:$5,"&lt;="&amp;F$5,$5:$5,"&gt;="&amp;F$7),AVERAGE(F22,H22))</f>
        <v>4966.6694535894494</v>
      </c>
      <c r="G25" s="18">
        <f>IF(G2="YTD",AVERAGEIFS(25:25,$2:$2,"QTD",$5:$5,"&lt;="&amp;G$5,$5:$5,"&gt;="&amp;G$7),AVERAGE(G22,I22))</f>
        <v>4755.3289361787838</v>
      </c>
      <c r="H25" s="18">
        <f>IF(H2="YTD",AVERAGEIFS(25:25,$2:$2,"QTD",$5:$5,"&lt;="&amp;H$5,$5:$5,"&gt;="&amp;H$7),AVERAGE(H22,J22))</f>
        <v>4893.9595034834501</v>
      </c>
      <c r="I25" s="18">
        <f>IF(I2="YTD",AVERAGEIFS(25:25,$2:$2,"QTD",$5:$5,"&lt;="&amp;I$5,$5:$5,"&gt;="&amp;I$7),AVERAGE(I22,K22))</f>
        <v>4686.0136525264497</v>
      </c>
      <c r="J25" s="18">
        <f>IF(J2="YTD",AVERAGEIFS(25:25,$2:$2,"QTD",$5:$5,"&lt;="&amp;J$5,$5:$5,"&gt;="&amp;J$7),AVERAGE(J22,L22))</f>
        <v>4706.7306860744002</v>
      </c>
      <c r="K25" s="18">
        <f>IF(K2="YTD",AVERAGEIFS(25:25,$2:$2,"QTD",$5:$5,"&lt;="&amp;K$5,$5:$5,"&gt;="&amp;K$7),AVERAGE(K22,M22))</f>
        <v>4665.2966189785002</v>
      </c>
      <c r="L25" s="18">
        <f>IF(L2="YTD",AVERAGEIFS(25:25,$2:$2,"QTD",$5:$5,"&lt;="&amp;L$5,$5:$5,"&gt;="&amp;L$7),AVERAGE(L22,N22))</f>
        <v>4665.2966189785002</v>
      </c>
      <c r="M25" s="18" t="e">
        <f>IF(M2="YTD",AVERAGEIFS(25:25,$2:$2,"QTD",$5:$5,"&lt;="&amp;M$5,$5:$5,"&gt;="&amp;M$7),AVERAGE(M22,O22))</f>
        <v>#REF!</v>
      </c>
      <c r="N25" s="18">
        <f>IF(N2="YTD",AVERAGEIFS(25:25,$2:$2,"QTD",$5:$5,"&lt;="&amp;N$5,$5:$5,"&gt;="&amp;N$7),AVERAGE(N22,P22))</f>
        <v>4667.9348864922995</v>
      </c>
      <c r="O25" s="18" t="e">
        <f>IF(O2="YTD",AVERAGEIFS(25:25,$2:$2,"QTD",$5:$5,"&lt;="&amp;O$5,$5:$5,"&gt;="&amp;O$7),AVERAGE(O22,Q22))</f>
        <v>#REF!</v>
      </c>
      <c r="P25" s="18">
        <f>IF(P2="YTD",AVERAGEIFS(25:25,$2:$2,"QTD",$5:$5,"&lt;="&amp;P$5,$5:$5,"&gt;="&amp;P$7),AVERAGE(P22,R22))</f>
        <v>4474.9277135353504</v>
      </c>
      <c r="Q25" s="18" t="e">
        <f>IF(Q2="YTD",AVERAGEIFS(25:25,$2:$2,"QTD",$5:$5,"&lt;="&amp;Q$5,$5:$5,"&gt;="&amp;Q$7),AVERAGE(Q22,S22))</f>
        <v>#REF!</v>
      </c>
      <c r="R25" s="18">
        <f>IF(R2="YTD",AVERAGEIFS(25:25,$2:$2,"QTD",$5:$5,"&lt;="&amp;R$5,$5:$5,"&gt;="&amp;R$7),AVERAGE(R22,T22))</f>
        <v>4288.6056524935502</v>
      </c>
      <c r="S25" s="18" t="e">
        <f>IF(S2="YTD",AVERAGEIFS(25:25,$2:$2,"QTD",$5:$5,"&lt;="&amp;S$5,$5:$5,"&gt;="&amp;S$7),AVERAGE(S22,#REF!))</f>
        <v>#REF!</v>
      </c>
      <c r="T25" s="18" t="e">
        <f>IF(T2="YTD",AVERAGEIFS(25:25,$2:$2,"QTD",$5:$5,"&lt;="&amp;T$5,$5:$5,"&gt;="&amp;T$7),AVERAGE(T22,#REF!))</f>
        <v>#REF!</v>
      </c>
    </row>
    <row r="26" spans="2:20" x14ac:dyDescent="0.25">
      <c r="C26" s="19"/>
      <c r="D26" s="19"/>
      <c r="E26" s="18"/>
      <c r="F26" s="19"/>
      <c r="G26" s="18"/>
      <c r="H26" s="18"/>
      <c r="I26" s="18"/>
      <c r="J26" s="18"/>
      <c r="K26" s="18"/>
      <c r="L26" s="19"/>
      <c r="M26" s="19"/>
      <c r="N26" s="19"/>
      <c r="O26" s="20"/>
      <c r="P26" s="19"/>
      <c r="Q26" s="20"/>
      <c r="R26" s="19"/>
      <c r="S26" s="21"/>
      <c r="T26" s="21"/>
    </row>
    <row r="27" spans="2:20" x14ac:dyDescent="0.25">
      <c r="B27" s="2" t="s">
        <v>20</v>
      </c>
      <c r="C27" s="18">
        <f>C18*C14</f>
        <v>488.38845269666666</v>
      </c>
      <c r="D27" s="18">
        <f t="shared" ref="D27:T27" si="3">D18*D14</f>
        <v>488.38845269666666</v>
      </c>
      <c r="E27" s="18">
        <f t="shared" si="3"/>
        <v>632.44912223000006</v>
      </c>
      <c r="F27" s="18">
        <f t="shared" si="3"/>
        <v>545.25651704473398</v>
      </c>
      <c r="G27" s="18">
        <f t="shared" si="3"/>
        <v>661.8327107906025</v>
      </c>
      <c r="H27" s="18">
        <f t="shared" si="3"/>
        <v>596.63092005829878</v>
      </c>
      <c r="I27" s="18">
        <f t="shared" si="3"/>
        <v>694.97395248879002</v>
      </c>
      <c r="J27" s="18">
        <f t="shared" si="3"/>
        <v>949.94516893793946</v>
      </c>
      <c r="K27" s="18">
        <f t="shared" si="3"/>
        <v>437.16972252353889</v>
      </c>
      <c r="L27" s="18">
        <f t="shared" si="3"/>
        <v>437.16972252353889</v>
      </c>
      <c r="M27" s="18">
        <f t="shared" si="3"/>
        <v>637.69475361399998</v>
      </c>
      <c r="N27" s="18">
        <f t="shared" si="3"/>
        <v>484.19278145585207</v>
      </c>
      <c r="O27" s="18">
        <f t="shared" si="3"/>
        <v>689.23556178388912</v>
      </c>
      <c r="P27" s="18">
        <f t="shared" si="3"/>
        <v>980.33639139721322</v>
      </c>
      <c r="Q27" s="18">
        <f t="shared" si="3"/>
        <v>542.08569186946158</v>
      </c>
      <c r="R27" s="18">
        <f t="shared" si="3"/>
        <v>511.56525636376466</v>
      </c>
      <c r="S27" s="18">
        <f t="shared" si="3"/>
        <v>572.60612737515817</v>
      </c>
      <c r="T27" s="18">
        <f t="shared" si="3"/>
        <v>572.60612737515817</v>
      </c>
    </row>
    <row r="28" spans="2:20" x14ac:dyDescent="0.25">
      <c r="B28" s="15" t="s">
        <v>21</v>
      </c>
      <c r="C28" s="16">
        <f>C25</f>
        <v>4871.9374272099994</v>
      </c>
      <c r="D28" s="16">
        <f t="shared" ref="D28:T28" si="4">D25</f>
        <v>4871.9374272099994</v>
      </c>
      <c r="E28" s="16">
        <f t="shared" si="4"/>
        <v>4808.1640655314495</v>
      </c>
      <c r="F28" s="16">
        <f t="shared" si="4"/>
        <v>4966.6694535894494</v>
      </c>
      <c r="G28" s="16">
        <f t="shared" si="4"/>
        <v>4755.3289361787838</v>
      </c>
      <c r="H28" s="16">
        <f t="shared" si="4"/>
        <v>4893.9595034834501</v>
      </c>
      <c r="I28" s="16">
        <f t="shared" si="4"/>
        <v>4686.0136525264497</v>
      </c>
      <c r="J28" s="16">
        <f t="shared" si="4"/>
        <v>4706.7306860744002</v>
      </c>
      <c r="K28" s="16">
        <f t="shared" si="4"/>
        <v>4665.2966189785002</v>
      </c>
      <c r="L28" s="16">
        <f t="shared" si="4"/>
        <v>4665.2966189785002</v>
      </c>
      <c r="M28" s="16" t="e">
        <f t="shared" si="4"/>
        <v>#REF!</v>
      </c>
      <c r="N28" s="16">
        <f t="shared" si="4"/>
        <v>4667.9348864922995</v>
      </c>
      <c r="O28" s="16" t="e">
        <f t="shared" si="4"/>
        <v>#REF!</v>
      </c>
      <c r="P28" s="16">
        <f t="shared" si="4"/>
        <v>4474.9277135353504</v>
      </c>
      <c r="Q28" s="16" t="e">
        <f t="shared" si="4"/>
        <v>#REF!</v>
      </c>
      <c r="R28" s="16">
        <f t="shared" si="4"/>
        <v>4288.6056524935502</v>
      </c>
      <c r="S28" s="16" t="e">
        <f t="shared" si="4"/>
        <v>#REF!</v>
      </c>
      <c r="T28" s="16" t="e">
        <f t="shared" si="4"/>
        <v>#REF!</v>
      </c>
    </row>
    <row r="29" spans="2:20" ht="15.75" thickBot="1" x14ac:dyDescent="0.3">
      <c r="B29" s="22" t="s">
        <v>22</v>
      </c>
      <c r="C29" s="23">
        <f>C27/C28</f>
        <v>0.10024522276681844</v>
      </c>
      <c r="D29" s="23">
        <f t="shared" ref="D29:T29" si="5">D27/D28</f>
        <v>0.10024522276681844</v>
      </c>
      <c r="E29" s="23">
        <f t="shared" si="5"/>
        <v>0.13153651032082556</v>
      </c>
      <c r="F29" s="23">
        <f t="shared" si="5"/>
        <v>0.10978312974918696</v>
      </c>
      <c r="G29" s="23">
        <f t="shared" si="5"/>
        <v>0.13917706212820435</v>
      </c>
      <c r="H29" s="23">
        <f t="shared" si="5"/>
        <v>0.12191169943961029</v>
      </c>
      <c r="I29" s="23">
        <f t="shared" si="5"/>
        <v>0.14830813651473188</v>
      </c>
      <c r="J29" s="23">
        <f t="shared" si="5"/>
        <v>0.20182696489274413</v>
      </c>
      <c r="K29" s="23">
        <f t="shared" si="5"/>
        <v>9.3706736833222046E-2</v>
      </c>
      <c r="L29" s="23">
        <f t="shared" si="5"/>
        <v>9.3706736833222046E-2</v>
      </c>
      <c r="M29" s="23" t="e">
        <f t="shared" si="5"/>
        <v>#REF!</v>
      </c>
      <c r="N29" s="23">
        <f t="shared" si="5"/>
        <v>0.10372740692184264</v>
      </c>
      <c r="O29" s="23" t="e">
        <f t="shared" si="5"/>
        <v>#REF!</v>
      </c>
      <c r="P29" s="23">
        <f t="shared" si="5"/>
        <v>0.21907312344554342</v>
      </c>
      <c r="Q29" s="23" t="e">
        <f t="shared" si="5"/>
        <v>#REF!</v>
      </c>
      <c r="R29" s="23">
        <f t="shared" si="5"/>
        <v>0.11928475075956731</v>
      </c>
      <c r="S29" s="23" t="e">
        <f t="shared" si="5"/>
        <v>#REF!</v>
      </c>
      <c r="T29" s="23" t="e">
        <f t="shared" si="5"/>
        <v>#REF!</v>
      </c>
    </row>
    <row r="30" spans="2:20" x14ac:dyDescent="0.25">
      <c r="B30" s="24"/>
      <c r="C30" s="25"/>
      <c r="D30" s="25"/>
      <c r="E30" s="26"/>
      <c r="F30" s="25"/>
      <c r="G30" s="25"/>
      <c r="H30" s="25"/>
      <c r="I30" s="25"/>
      <c r="J30" s="25"/>
      <c r="K30" s="26"/>
      <c r="L30" s="27"/>
      <c r="M30" s="25"/>
      <c r="N30" s="25"/>
      <c r="O30" s="28"/>
      <c r="P30" s="25"/>
      <c r="Q30" s="28"/>
      <c r="R30" s="25"/>
      <c r="S30" s="28"/>
      <c r="T30" s="28"/>
    </row>
    <row r="31" spans="2:20" x14ac:dyDescent="0.25">
      <c r="T31" s="8"/>
    </row>
    <row r="32" spans="2:20" x14ac:dyDescent="0.25">
      <c r="B32" s="2" t="s">
        <v>23</v>
      </c>
      <c r="C32" s="29">
        <f>IF(C2="YTD",1-(SUM(C43:C44)/(C41-C42-C34-C35)),B32)</f>
        <v>0.92802763432019941</v>
      </c>
      <c r="D32" s="29">
        <f>IF(D2="YTD",1-(SUM(D43:D44)/(D41-D42-D34-D35)),C32)</f>
        <v>0.92802763432019941</v>
      </c>
      <c r="E32" s="29">
        <f>IF(E2="YTD",1-(SUM(E43:E44)/(E41-E42-E34-E35)),D32)</f>
        <v>0.93192052735290942</v>
      </c>
      <c r="F32" s="29">
        <f>IF(F2="YTD",1-(SUM(F43:F44)/(F41-F42-F34-F35)),E32)</f>
        <v>0.93192052735290942</v>
      </c>
      <c r="G32" s="29">
        <f>IF(G2="YTD",1-(SUM(G43:G44)/(G41-G42-G34-G35)),F32)</f>
        <v>0.93189637408927728</v>
      </c>
      <c r="H32" s="29">
        <f>IF(H2="YTD",1-(SUM(H43:H44)/(H41-H42-H34-H35)),G32)</f>
        <v>0.93189637408927728</v>
      </c>
      <c r="I32" s="29">
        <f>IF(I2="YTD",1-(SUM(I43:I44)/(I41-I42-I34-I35)),H32)</f>
        <v>0.93108657693410568</v>
      </c>
      <c r="J32" s="29">
        <f>IF(J2="YTD",1-(SUM(J43:J44)/(J41-J42-J34-J35)),I32)</f>
        <v>0.93108657693410568</v>
      </c>
      <c r="K32" s="29">
        <f>IF(K2="YTD",1-(SUM(K43:K44)/(K41-K42-K34-K35)),J32)</f>
        <v>0.92900918437447277</v>
      </c>
      <c r="L32" s="29">
        <f>IF(L2="YTD",1-(SUM(L43:L44)/(L41-L42-L34-L35)),K32)</f>
        <v>0.92900918437447277</v>
      </c>
      <c r="M32" s="29">
        <f>IF(M2="YTD",1-(SUM(M43:M44)/(M41-M42-M34-M35)),L32)</f>
        <v>0.9322974819958928</v>
      </c>
      <c r="N32" s="29">
        <f>IF(N2="YTD",1-(SUM(N43:N44)/(N41-N42-N34-N35)),M32)</f>
        <v>0.9322974819958928</v>
      </c>
      <c r="O32" s="29">
        <f>IF(O2="YTD",1-(SUM(O43:O44)/(O41-O42-O34-O35)),N32)</f>
        <v>0.93088624262961872</v>
      </c>
      <c r="P32" s="29">
        <f>IF(P2="YTD",1-(SUM(P43:P44)/(P41-P42-P34-P35)),O32)</f>
        <v>0.93088624262961872</v>
      </c>
      <c r="Q32" s="29">
        <f>IF(Q2="YTD",1-(SUM(Q43:Q44)/(Q41-Q42-Q34-Q35)),P32)</f>
        <v>0.92961236596411079</v>
      </c>
      <c r="R32" s="29">
        <f>IF(R2="YTD",1-(SUM(R43:R44)/(R41-R42-R34-R35)),Q32)</f>
        <v>0.92961236596411079</v>
      </c>
      <c r="S32" s="29">
        <f>IF(S2="YTD",1-(SUM(S43:S44)/(S41-S42-S34-S35)),R32)</f>
        <v>0.92754329571763017</v>
      </c>
      <c r="T32" s="29">
        <f>IF(T2="YTD",1-(SUM(T43:T44)/(T41-T42-T34-T35)),S32)</f>
        <v>0.92754329571763017</v>
      </c>
    </row>
    <row r="33" spans="2:20" x14ac:dyDescent="0.25">
      <c r="B33" s="2" t="s">
        <v>24</v>
      </c>
      <c r="C33" s="29">
        <f>IF(C2="YTD",AVERAGEIFS(D33:$T33,D10:$T10,C10),AVERAGE(C32,E32))</f>
        <v>0.92997408083655442</v>
      </c>
      <c r="D33" s="29">
        <f>IF(D2="YTD",AVERAGEIFS(E33:$T33,E10:$T10,D10),AVERAGE(D32,F32))</f>
        <v>0.92997408083655442</v>
      </c>
      <c r="E33" s="29">
        <f>IF(E2="YTD",AVERAGEIFS(F33:$T33,F10:$T10,E10),AVERAGE(E32,G32))</f>
        <v>0.93083792808208166</v>
      </c>
      <c r="F33" s="29">
        <f>IF(F2="YTD",AVERAGEIFS(G33:$T33,G10:$T10,F10),AVERAGE(F32,H32))</f>
        <v>0.9319084507210933</v>
      </c>
      <c r="G33" s="29">
        <f>IF(G2="YTD",AVERAGEIFS(H33:$T33,H10:$T10,G10),AVERAGE(G32,I32))</f>
        <v>0.93065950764224625</v>
      </c>
      <c r="H33" s="29">
        <f>IF(H2="YTD",AVERAGEIFS(I33:$T33,I10:$T10,H10),AVERAGE(H32,J32))</f>
        <v>0.93149147551169142</v>
      </c>
      <c r="I33" s="29">
        <f>IF(I2="YTD",AVERAGEIFS(J33:$T33,J10:$T10,I10),AVERAGE(I32,K32))</f>
        <v>0.93045151567488504</v>
      </c>
      <c r="J33" s="29">
        <f>IF(J2="YTD",AVERAGEIFS(K33:$T33,K10:$T10,J10),AVERAGE(J32,L32))</f>
        <v>0.93004788065428923</v>
      </c>
      <c r="K33" s="29">
        <f>IF(K2="YTD",AVERAGEIFS(L33:$T33,L10:$T10,K10),AVERAGE(K32,M32))</f>
        <v>0.93065333318518273</v>
      </c>
      <c r="L33" s="29">
        <f>IF(L2="YTD",AVERAGEIFS(M33:$T33,M10:$T10,L10),AVERAGE(L32,N32))</f>
        <v>0.93065333318518273</v>
      </c>
      <c r="M33" s="29" t="e">
        <f>IF(M2="YTD",AVERAGEIFS(N33:$T33,N10:$T10,M10),AVERAGE(M32,O32))</f>
        <v>#REF!</v>
      </c>
      <c r="N33" s="29">
        <f>IF(N2="YTD",AVERAGEIFS(O33:$T33,O10:$T10,N10),AVERAGE(N32,P32))</f>
        <v>0.9315918623127557</v>
      </c>
      <c r="O33" s="29" t="e">
        <f>IF(O2="YTD",AVERAGEIFS(P33:$T33,P10:$T10,O10),AVERAGE(O32,Q32))</f>
        <v>#REF!</v>
      </c>
      <c r="P33" s="29">
        <f>IF(P2="YTD",AVERAGEIFS(Q33:$T33,Q10:$T10,P10),AVERAGE(P32,R32))</f>
        <v>0.9302493042968647</v>
      </c>
      <c r="Q33" s="29" t="e">
        <f>IF(Q2="YTD",AVERAGEIFS(R33:$T33,R10:$T10,Q10),AVERAGE(Q32,S32))</f>
        <v>#REF!</v>
      </c>
      <c r="R33" s="29">
        <f>IF(R2="YTD",AVERAGEIFS(S33:$T33,S10:$T10,R10),AVERAGE(R32,T32))</f>
        <v>0.92857783084087053</v>
      </c>
      <c r="S33" s="29" t="e">
        <f>IF(S2="YTD",AVERAGEIFS(T33:$T33,T10:$T10,S10),AVERAGE(S32,#REF!))</f>
        <v>#REF!</v>
      </c>
      <c r="T33" s="29" t="e">
        <f>IF(T2="YTD",AVERAGEIFS(#REF!,#REF!,T10),AVERAGE(T32,#REF!))</f>
        <v>#REF!</v>
      </c>
    </row>
    <row r="34" spans="2:20" x14ac:dyDescent="0.25">
      <c r="B34" s="2" t="s">
        <v>25</v>
      </c>
      <c r="C34" s="14">
        <v>76.644613489999998</v>
      </c>
      <c r="D34" s="30"/>
      <c r="E34" s="14">
        <v>76.644613489999998</v>
      </c>
      <c r="F34" s="30"/>
      <c r="G34" s="14">
        <v>124.95868776</v>
      </c>
      <c r="H34" s="30"/>
      <c r="I34" s="14">
        <v>124.95868776</v>
      </c>
      <c r="J34" s="30"/>
      <c r="K34" s="14">
        <v>124.95868776</v>
      </c>
      <c r="L34" s="30"/>
      <c r="M34" s="14">
        <v>124.95868776</v>
      </c>
      <c r="N34" s="30"/>
      <c r="O34" s="14">
        <v>103.36799409000001</v>
      </c>
      <c r="P34" s="30"/>
      <c r="Q34" s="14">
        <v>103.36799409000001</v>
      </c>
      <c r="R34" s="30"/>
      <c r="S34" s="14">
        <v>103.36799409000001</v>
      </c>
      <c r="T34" s="14">
        <v>103.36799409000001</v>
      </c>
    </row>
    <row r="35" spans="2:20" x14ac:dyDescent="0.25">
      <c r="B35" s="2" t="s">
        <v>26</v>
      </c>
      <c r="C35" s="14">
        <v>464.77706654000002</v>
      </c>
      <c r="D35" s="30"/>
      <c r="E35" s="14">
        <v>344.09159297000002</v>
      </c>
      <c r="F35" s="30"/>
      <c r="G35" s="14">
        <v>778.69025382889993</v>
      </c>
      <c r="H35" s="30"/>
      <c r="I35" s="14">
        <v>627.44084283800009</v>
      </c>
      <c r="J35" s="30"/>
      <c r="K35" s="14">
        <v>391.2912280708</v>
      </c>
      <c r="L35" s="30"/>
      <c r="M35" s="14">
        <v>282.5997365362</v>
      </c>
      <c r="N35" s="30"/>
      <c r="O35" s="14">
        <v>672.36952846379995</v>
      </c>
      <c r="P35" s="30"/>
      <c r="Q35" s="14">
        <v>430.24516179189999</v>
      </c>
      <c r="R35" s="30"/>
      <c r="S35" s="14">
        <v>312.38294154159996</v>
      </c>
      <c r="T35" s="14">
        <v>312.38294154159996</v>
      </c>
    </row>
    <row r="36" spans="2:20" x14ac:dyDescent="0.25">
      <c r="C36" s="31"/>
      <c r="D36" s="30"/>
      <c r="E36" s="31"/>
      <c r="F36" s="30"/>
      <c r="G36" s="31"/>
      <c r="H36" s="30"/>
      <c r="I36" s="31"/>
      <c r="J36" s="30"/>
      <c r="K36" s="31"/>
      <c r="L36" s="30"/>
      <c r="M36" s="31"/>
      <c r="N36" s="30"/>
      <c r="O36" s="31"/>
      <c r="P36" s="30"/>
      <c r="Q36" s="31"/>
      <c r="R36" s="30"/>
      <c r="S36" s="31"/>
      <c r="T36" s="31"/>
    </row>
    <row r="37" spans="2:20" x14ac:dyDescent="0.25">
      <c r="B37" s="2" t="s">
        <v>27</v>
      </c>
      <c r="C37" s="14">
        <v>12388560</v>
      </c>
      <c r="D37" s="14">
        <v>12388560</v>
      </c>
      <c r="E37" s="14">
        <v>12388560</v>
      </c>
      <c r="F37" s="14">
        <v>12388560</v>
      </c>
      <c r="G37" s="14">
        <v>12388560</v>
      </c>
      <c r="H37" s="14">
        <v>12388560</v>
      </c>
      <c r="I37" s="14">
        <v>12388560</v>
      </c>
      <c r="J37" s="14">
        <v>12388560</v>
      </c>
      <c r="K37" s="14">
        <v>12388560</v>
      </c>
      <c r="L37" s="14">
        <v>12388560</v>
      </c>
      <c r="M37" s="14">
        <v>12388560</v>
      </c>
      <c r="N37" s="14">
        <v>12388560</v>
      </c>
      <c r="O37" s="14">
        <v>12388560</v>
      </c>
      <c r="P37" s="14">
        <v>12388560</v>
      </c>
      <c r="Q37" s="14">
        <v>12388560</v>
      </c>
      <c r="R37" s="14">
        <v>12388560</v>
      </c>
      <c r="S37" s="14">
        <v>12388560</v>
      </c>
      <c r="T37" s="14">
        <v>12388560</v>
      </c>
    </row>
    <row r="38" spans="2:20" x14ac:dyDescent="0.25">
      <c r="B38" s="32" t="s">
        <v>28</v>
      </c>
      <c r="C38" s="31">
        <v>0</v>
      </c>
      <c r="D38" s="31">
        <v>0</v>
      </c>
      <c r="E38" s="31">
        <v>0</v>
      </c>
      <c r="F38" s="31">
        <v>0</v>
      </c>
      <c r="G38" s="31">
        <v>0</v>
      </c>
      <c r="H38" s="31">
        <v>0</v>
      </c>
      <c r="I38" s="31">
        <v>0</v>
      </c>
      <c r="J38" s="31">
        <v>0</v>
      </c>
      <c r="K38" s="31">
        <v>0</v>
      </c>
      <c r="L38" s="31">
        <v>0</v>
      </c>
      <c r="M38" s="31">
        <v>0</v>
      </c>
      <c r="N38" s="31">
        <v>0</v>
      </c>
      <c r="O38" s="31">
        <v>0</v>
      </c>
      <c r="P38" s="31">
        <v>0</v>
      </c>
      <c r="Q38" s="31">
        <v>0</v>
      </c>
      <c r="R38" s="31">
        <v>0</v>
      </c>
      <c r="S38" s="31">
        <v>0</v>
      </c>
      <c r="T38" s="31">
        <v>1</v>
      </c>
    </row>
    <row r="39" spans="2:20" x14ac:dyDescent="0.25">
      <c r="B39" s="2" t="s">
        <v>29</v>
      </c>
      <c r="C39" s="18">
        <f>IF(C2="YTD",AVERAGEIFS(39:39,$2:$2,"QTD",$5:$5,"&lt;="&amp;C$5,$5:$5,"&gt;="&amp;C$7),AVERAGE(C37,E37))</f>
        <v>12388560</v>
      </c>
      <c r="D39" s="18">
        <f>IF(D2="YTD",AVERAGEIFS(39:39,$2:$2,"QTD",$5:$5,"&lt;="&amp;D$5,$5:$5,"&gt;="&amp;D$7),AVERAGE(D37,F37))</f>
        <v>12388560</v>
      </c>
      <c r="E39" s="18">
        <f>IF(E2="YTD",AVERAGEIFS(39:39,$2:$2,"QTD",$5:$5,"&lt;="&amp;E$5,$5:$5,"&gt;="&amp;E$7),AVERAGE(E37,G37))</f>
        <v>12388560</v>
      </c>
      <c r="F39" s="18">
        <f>IF(F2="YTD",AVERAGEIFS(39:39,$2:$2,"QTD",$5:$5,"&lt;="&amp;F$5,$5:$5,"&gt;="&amp;F$7),AVERAGE(F37,H37))</f>
        <v>12388560</v>
      </c>
      <c r="G39" s="18">
        <f>IF(G2="YTD",AVERAGEIFS(39:39,$2:$2,"QTD",$5:$5,"&lt;="&amp;G$5,$5:$5,"&gt;="&amp;G$7),AVERAGE(G37,I37))</f>
        <v>12388560</v>
      </c>
      <c r="H39" s="18">
        <f>IF(H2="YTD",AVERAGEIFS(39:39,$2:$2,"QTD",$5:$5,"&lt;="&amp;H$5,$5:$5,"&gt;="&amp;H$7),AVERAGE(H37,J37))</f>
        <v>12388560</v>
      </c>
      <c r="I39" s="18">
        <f>IF(I2="YTD",AVERAGEIFS(39:39,$2:$2,"QTD",$5:$5,"&lt;="&amp;I$5,$5:$5,"&gt;="&amp;I$7),AVERAGE(I37,K37))</f>
        <v>12388560</v>
      </c>
      <c r="J39" s="18">
        <f>IF(J2="YTD",AVERAGEIFS(39:39,$2:$2,"QTD",$5:$5,"&lt;="&amp;J$5,$5:$5,"&gt;="&amp;J$7),AVERAGE(J37,L37))</f>
        <v>12388560</v>
      </c>
      <c r="K39" s="18">
        <f>IF(K2="YTD",AVERAGEIFS(39:39,$2:$2,"QTD",$5:$5,"&lt;="&amp;K$5,$5:$5,"&gt;="&amp;K$7),AVERAGE(K37,M37))</f>
        <v>12388560</v>
      </c>
      <c r="L39" s="18">
        <f>IF(L2="YTD",AVERAGEIFS(39:39,$2:$2,"QTD",$5:$5,"&lt;="&amp;L$5,$5:$5,"&gt;="&amp;L$7),AVERAGE(L37,N37))</f>
        <v>12388560</v>
      </c>
      <c r="M39" s="18" t="e">
        <f>IF(M2="YTD",AVERAGEIFS(39:39,$2:$2,"QTD",$5:$5,"&lt;="&amp;M$5,$5:$5,"&gt;="&amp;M$7),AVERAGE(M37,O37))</f>
        <v>#REF!</v>
      </c>
      <c r="N39" s="18">
        <f>IF(N2="YTD",AVERAGEIFS(39:39,$2:$2,"QTD",$5:$5,"&lt;="&amp;N$5,$5:$5,"&gt;="&amp;N$7),AVERAGE(N37,P37))</f>
        <v>12388560</v>
      </c>
      <c r="O39" s="18" t="e">
        <f>IF(O2="YTD",AVERAGEIFS(39:39,$2:$2,"QTD",$5:$5,"&lt;="&amp;O$5,$5:$5,"&gt;="&amp;O$7),AVERAGE(O37,Q37))</f>
        <v>#REF!</v>
      </c>
      <c r="P39" s="18">
        <f>IF(P2="YTD",AVERAGEIFS(39:39,$2:$2,"QTD",$5:$5,"&lt;="&amp;P$5,$5:$5,"&gt;="&amp;P$7),AVERAGE(P37,R37))</f>
        <v>12388560</v>
      </c>
      <c r="Q39" s="18" t="e">
        <f>IF(Q2="YTD",AVERAGEIFS(39:39,$2:$2,"QTD",$5:$5,"&lt;="&amp;Q$5,$5:$5,"&gt;="&amp;Q$7),AVERAGE(Q37,S37))</f>
        <v>#REF!</v>
      </c>
      <c r="R39" s="18">
        <f>IF(R2="YTD",AVERAGEIFS(39:39,$2:$2,"QTD",$5:$5,"&lt;="&amp;R$5,$5:$5,"&gt;="&amp;R$7),AVERAGE(R37,T37))</f>
        <v>12388560</v>
      </c>
      <c r="S39" s="18" t="e">
        <f>IF(S2="YTD",AVERAGEIFS(39:39,$2:$2,"QTD",$5:$5,"&lt;="&amp;S$5,$5:$5,"&gt;="&amp;S$7),AVERAGE(S37,#REF!))</f>
        <v>#REF!</v>
      </c>
      <c r="T39" s="18" t="e">
        <f>IF(T2="YTD",AVERAGEIFS(39:39,$2:$2,"QTD",$5:$5,"&lt;="&amp;T$5,$5:$5,"&gt;="&amp;T$7),AVERAGE(T37,#REF!))</f>
        <v>#REF!</v>
      </c>
    </row>
    <row r="40" spans="2:20" x14ac:dyDescent="0.25">
      <c r="C40" s="30"/>
      <c r="D40" s="30"/>
      <c r="E40" s="30"/>
      <c r="F40" s="30"/>
      <c r="G40" s="30"/>
      <c r="H40" s="30"/>
      <c r="I40" s="30"/>
      <c r="J40" s="30"/>
      <c r="K40" s="30"/>
      <c r="L40" s="30"/>
      <c r="M40" s="30"/>
      <c r="N40" s="30"/>
      <c r="O40" s="30"/>
      <c r="P40" s="30"/>
      <c r="Q40" s="30"/>
      <c r="R40" s="30"/>
      <c r="S40" s="30"/>
      <c r="T40" s="30"/>
    </row>
    <row r="41" spans="2:20" x14ac:dyDescent="0.25">
      <c r="B41" s="2" t="s">
        <v>18</v>
      </c>
      <c r="C41" s="33">
        <f>C22</f>
        <v>4778.2830884300001</v>
      </c>
      <c r="D41" s="30"/>
      <c r="E41" s="33">
        <f t="shared" ref="E41" si="6">E22</f>
        <v>4965.5917659899997</v>
      </c>
      <c r="F41" s="30"/>
      <c r="G41" s="33">
        <f t="shared" ref="G41" si="7">G22</f>
        <v>4967.7471411889001</v>
      </c>
      <c r="H41" s="30"/>
      <c r="I41" s="33">
        <f t="shared" ref="I41" si="8">I22</f>
        <v>4820.1718657780002</v>
      </c>
      <c r="J41" s="30"/>
      <c r="K41" s="33">
        <f t="shared" ref="K41" si="9">K22</f>
        <v>4593.2895063708002</v>
      </c>
      <c r="L41" s="30"/>
      <c r="M41" s="33">
        <f t="shared" ref="M41" si="10">M22</f>
        <v>4737.3037315861993</v>
      </c>
      <c r="N41" s="30"/>
      <c r="O41" s="33">
        <f t="shared" ref="O41" si="11">O22</f>
        <v>4598.5660413984006</v>
      </c>
      <c r="P41" s="30"/>
      <c r="Q41" s="33">
        <f t="shared" ref="Q41" si="12">Q22</f>
        <v>4351.2893856723003</v>
      </c>
      <c r="R41" s="30"/>
      <c r="S41" s="33">
        <f t="shared" ref="S41:T41" si="13">S22</f>
        <v>4225.9219193148001</v>
      </c>
      <c r="T41" s="33">
        <f t="shared" si="13"/>
        <v>4225.9219193148001</v>
      </c>
    </row>
    <row r="42" spans="2:20" x14ac:dyDescent="0.25">
      <c r="B42" s="11" t="s">
        <v>30</v>
      </c>
      <c r="C42" s="14">
        <v>0</v>
      </c>
      <c r="D42" s="30"/>
      <c r="E42" s="14">
        <v>0</v>
      </c>
      <c r="F42" s="30"/>
      <c r="G42" s="14">
        <v>0</v>
      </c>
      <c r="H42" s="30"/>
      <c r="I42" s="14">
        <v>0</v>
      </c>
      <c r="J42" s="30"/>
      <c r="K42" s="14">
        <v>0</v>
      </c>
      <c r="L42" s="30"/>
      <c r="M42" s="14">
        <v>0</v>
      </c>
      <c r="N42" s="30"/>
      <c r="O42" s="14">
        <v>0</v>
      </c>
      <c r="P42" s="30"/>
      <c r="Q42" s="14">
        <v>0</v>
      </c>
      <c r="R42" s="30"/>
      <c r="S42" s="14">
        <v>0</v>
      </c>
      <c r="T42" s="14">
        <v>1</v>
      </c>
    </row>
    <row r="43" spans="2:20" x14ac:dyDescent="0.25">
      <c r="B43" s="2" t="s">
        <v>31</v>
      </c>
      <c r="C43" s="14">
        <v>25.353880050000001</v>
      </c>
      <c r="D43" s="30"/>
      <c r="E43" s="14">
        <v>29.82831118</v>
      </c>
      <c r="F43" s="30"/>
      <c r="G43" s="14">
        <v>17.081455219999999</v>
      </c>
      <c r="H43" s="30"/>
      <c r="I43" s="14">
        <v>20.62574764</v>
      </c>
      <c r="J43" s="30"/>
      <c r="K43" s="14">
        <v>29.733997640000002</v>
      </c>
      <c r="L43" s="30"/>
      <c r="M43" s="14">
        <v>33.436291390000001</v>
      </c>
      <c r="N43" s="30"/>
      <c r="O43" s="14">
        <v>20.513913489999997</v>
      </c>
      <c r="P43" s="30"/>
      <c r="Q43" s="14">
        <v>25.021068100000001</v>
      </c>
      <c r="R43" s="30"/>
      <c r="S43" s="14">
        <v>32.376303</v>
      </c>
      <c r="T43" s="14">
        <v>32.376303</v>
      </c>
    </row>
    <row r="44" spans="2:20" x14ac:dyDescent="0.25">
      <c r="B44" s="2" t="s">
        <v>32</v>
      </c>
      <c r="C44" s="14">
        <v>279.58305856999999</v>
      </c>
      <c r="D44" s="30"/>
      <c r="E44" s="14">
        <v>279.58305856999999</v>
      </c>
      <c r="F44" s="30"/>
      <c r="G44" s="14">
        <v>259.69836822999997</v>
      </c>
      <c r="H44" s="30"/>
      <c r="I44" s="14">
        <v>259.69836822999997</v>
      </c>
      <c r="J44" s="30"/>
      <c r="K44" s="14">
        <v>259.69836822999997</v>
      </c>
      <c r="L44" s="30"/>
      <c r="M44" s="14">
        <v>259.69836822999997</v>
      </c>
      <c r="N44" s="30"/>
      <c r="O44" s="14">
        <v>243.69612923</v>
      </c>
      <c r="P44" s="30"/>
      <c r="Q44" s="14">
        <v>243.69612923</v>
      </c>
      <c r="R44" s="30"/>
      <c r="S44" s="14">
        <v>243.69612923</v>
      </c>
      <c r="T44" s="14">
        <v>243.69612923</v>
      </c>
    </row>
    <row r="45" spans="2:20" x14ac:dyDescent="0.25">
      <c r="B45" s="2" t="s">
        <v>33</v>
      </c>
      <c r="C45" s="33">
        <f>C34*(1-C32)</f>
        <v>5.5162941494892568</v>
      </c>
      <c r="D45" s="30"/>
      <c r="E45" s="33">
        <f t="shared" ref="E45" si="14">E34*(1-E32)</f>
        <v>5.217924867639284</v>
      </c>
      <c r="F45" s="30"/>
      <c r="G45" s="33">
        <f t="shared" ref="G45" si="15">G34*(1-G32)</f>
        <v>8.5101397255018458</v>
      </c>
      <c r="H45" s="30"/>
      <c r="I45" s="33">
        <f t="shared" ref="I45" si="16">I34*(1-I32)</f>
        <v>8.6113309153638706</v>
      </c>
      <c r="J45" s="30"/>
      <c r="K45" s="33">
        <f t="shared" ref="K45" si="17">K34*(1-K32)</f>
        <v>8.8709191635779856</v>
      </c>
      <c r="L45" s="30"/>
      <c r="M45" s="33">
        <f t="shared" ref="M45" si="18">M34*(1-M32)</f>
        <v>8.4600178078410107</v>
      </c>
      <c r="N45" s="30"/>
      <c r="O45" s="33">
        <f t="shared" ref="O45" si="19">O34*(1-O32)</f>
        <v>7.1441504633992663</v>
      </c>
      <c r="P45" s="30"/>
      <c r="Q45" s="33">
        <f t="shared" ref="Q45" si="20">Q34*(1-Q32)</f>
        <v>7.2758285390308801</v>
      </c>
      <c r="R45" s="30"/>
      <c r="S45" s="33">
        <f t="shared" ref="S45:T45" si="21">S34*(1-S32)</f>
        <v>7.4897041800408832</v>
      </c>
      <c r="T45" s="33">
        <f t="shared" si="21"/>
        <v>7.4897041800408832</v>
      </c>
    </row>
    <row r="46" spans="2:20" x14ac:dyDescent="0.25">
      <c r="B46" s="15" t="s">
        <v>34</v>
      </c>
      <c r="C46" s="16">
        <f>C35*(1-C32)</f>
        <v>33.451104992601891</v>
      </c>
      <c r="D46" s="34"/>
      <c r="E46" s="16">
        <f t="shared" ref="E46" si="22">E35*(1-E32)</f>
        <v>23.425574191694942</v>
      </c>
      <c r="F46" s="34"/>
      <c r="G46" s="16">
        <f t="shared" ref="G46" si="23">G35*(1-G32)</f>
        <v>53.03162974708912</v>
      </c>
      <c r="H46" s="34"/>
      <c r="I46" s="16">
        <f t="shared" ref="I46" si="24">I35*(1-I32)</f>
        <v>43.239096251316411</v>
      </c>
      <c r="J46" s="34"/>
      <c r="K46" s="16">
        <f t="shared" ref="K46" si="25">K35*(1-K32)</f>
        <v>27.778083427860285</v>
      </c>
      <c r="L46" s="34"/>
      <c r="M46" s="16">
        <f t="shared" ref="M46" si="26">M35*(1-M32)</f>
        <v>19.132713750798032</v>
      </c>
      <c r="N46" s="34"/>
      <c r="O46" s="16">
        <f t="shared" ref="O46" si="27">O35*(1-O32)</f>
        <v>46.469984453484741</v>
      </c>
      <c r="P46" s="34"/>
      <c r="Q46" s="16">
        <f t="shared" ref="Q46" si="28">Q35*(1-Q32)</f>
        <v>30.283938993920202</v>
      </c>
      <c r="R46" s="34"/>
      <c r="S46" s="16">
        <f t="shared" ref="S46:T46" si="29">S35*(1-S32)</f>
        <v>22.63423841813653</v>
      </c>
      <c r="T46" s="16">
        <f t="shared" si="29"/>
        <v>22.63423841813653</v>
      </c>
    </row>
    <row r="47" spans="2:20" x14ac:dyDescent="0.25">
      <c r="B47" s="2" t="s">
        <v>35</v>
      </c>
      <c r="C47" s="33">
        <f>C41-C42-C43-C44-C45-C46</f>
        <v>4434.3787506679091</v>
      </c>
      <c r="D47" s="30"/>
      <c r="E47" s="33">
        <f t="shared" ref="E47" si="30">E41-E42-E43-E44-E45-E46</f>
        <v>4627.5368971806656</v>
      </c>
      <c r="F47" s="30"/>
      <c r="G47" s="33">
        <f t="shared" ref="G47" si="31">G41-G42-G43-G44-G45-G46</f>
        <v>4629.4255482663093</v>
      </c>
      <c r="H47" s="30"/>
      <c r="I47" s="33">
        <f t="shared" ref="I47" si="32">I41-I42-I43-I44-I45-I46</f>
        <v>4487.9973227413202</v>
      </c>
      <c r="J47" s="30"/>
      <c r="K47" s="33">
        <f t="shared" ref="K47" si="33">K41-K42-K43-K44-K45-K46</f>
        <v>4267.2081379093624</v>
      </c>
      <c r="L47" s="30"/>
      <c r="M47" s="33">
        <f t="shared" ref="M47" si="34">M41-M42-M43-M44-M45-M46</f>
        <v>4416.5763404075606</v>
      </c>
      <c r="N47" s="30"/>
      <c r="O47" s="33">
        <f t="shared" ref="O47" si="35">O41-O42-O43-O44-O45-O46</f>
        <v>4280.7418637615165</v>
      </c>
      <c r="P47" s="30"/>
      <c r="Q47" s="33">
        <f t="shared" ref="Q47" si="36">Q41-Q42-Q43-Q44-Q45-Q46</f>
        <v>4045.0124208093489</v>
      </c>
      <c r="R47" s="30"/>
      <c r="S47" s="33">
        <f t="shared" ref="S47:T47" si="37">S41-S42-S43-S44-S45-S46</f>
        <v>3919.7255444866223</v>
      </c>
      <c r="T47" s="33">
        <f t="shared" si="37"/>
        <v>3918.7255444866223</v>
      </c>
    </row>
    <row r="48" spans="2:20" x14ac:dyDescent="0.25">
      <c r="B48" s="15" t="s">
        <v>36</v>
      </c>
      <c r="C48" s="16">
        <f>C37</f>
        <v>12388560</v>
      </c>
      <c r="D48" s="35"/>
      <c r="E48" s="16">
        <f t="shared" ref="E48" si="38">E37</f>
        <v>12388560</v>
      </c>
      <c r="F48" s="35"/>
      <c r="G48" s="16">
        <f t="shared" ref="G48" si="39">G37</f>
        <v>12388560</v>
      </c>
      <c r="H48" s="35"/>
      <c r="I48" s="16">
        <f t="shared" ref="I48" si="40">I37</f>
        <v>12388560</v>
      </c>
      <c r="J48" s="35"/>
      <c r="K48" s="16">
        <f t="shared" ref="K48" si="41">K37</f>
        <v>12388560</v>
      </c>
      <c r="L48" s="35"/>
      <c r="M48" s="16">
        <f t="shared" ref="M48" si="42">M37</f>
        <v>12388560</v>
      </c>
      <c r="N48" s="35"/>
      <c r="O48" s="16">
        <f t="shared" ref="O48" si="43">O37</f>
        <v>12388560</v>
      </c>
      <c r="P48" s="35"/>
      <c r="Q48" s="16">
        <f t="shared" ref="Q48" si="44">Q37</f>
        <v>12388560</v>
      </c>
      <c r="R48" s="35"/>
      <c r="S48" s="16">
        <f t="shared" ref="S48:T48" si="45">S37</f>
        <v>12388560</v>
      </c>
      <c r="T48" s="16">
        <f t="shared" si="45"/>
        <v>12388560</v>
      </c>
    </row>
    <row r="49" spans="2:20" ht="15.75" thickBot="1" x14ac:dyDescent="0.3">
      <c r="B49" s="36" t="s">
        <v>37</v>
      </c>
      <c r="C49" s="37">
        <f>C47*1000000/C48</f>
        <v>357.9414193956286</v>
      </c>
      <c r="D49" s="38"/>
      <c r="E49" s="37">
        <f t="shared" ref="E49" si="46">E47*1000000/E48</f>
        <v>373.53307383430086</v>
      </c>
      <c r="F49" s="38"/>
      <c r="G49" s="37">
        <f t="shared" ref="G49" si="47">G47*1000000/G48</f>
        <v>373.68552505426857</v>
      </c>
      <c r="H49" s="38"/>
      <c r="I49" s="37">
        <f t="shared" ref="I49" si="48">I47*1000000/I48</f>
        <v>362.26949078353908</v>
      </c>
      <c r="J49" s="38"/>
      <c r="K49" s="37">
        <f t="shared" ref="K49" si="49">K47*1000000/K48</f>
        <v>344.44746910935271</v>
      </c>
      <c r="L49" s="38"/>
      <c r="M49" s="37">
        <f t="shared" ref="M49" si="50">M47*1000000/M48</f>
        <v>356.50441539674995</v>
      </c>
      <c r="N49" s="38"/>
      <c r="O49" s="37">
        <f t="shared" ref="O49" si="51">O47*1000000/O48</f>
        <v>345.53990647512842</v>
      </c>
      <c r="P49" s="38"/>
      <c r="Q49" s="37">
        <f t="shared" ref="Q49" si="52">Q47*1000000/Q48</f>
        <v>326.51191266857074</v>
      </c>
      <c r="R49" s="38"/>
      <c r="S49" s="37">
        <f t="shared" ref="S49:T49" si="53">S47*1000000/S48</f>
        <v>316.39880215994611</v>
      </c>
      <c r="T49" s="37">
        <f t="shared" si="53"/>
        <v>316.31808252828597</v>
      </c>
    </row>
    <row r="50" spans="2:20" x14ac:dyDescent="0.25">
      <c r="C50" s="39"/>
      <c r="O50" s="40"/>
      <c r="Q50" s="40"/>
      <c r="S50" s="40"/>
      <c r="T50" s="40"/>
    </row>
    <row r="51" spans="2:20" x14ac:dyDescent="0.25">
      <c r="B51" s="41"/>
      <c r="T51" s="8"/>
    </row>
    <row r="52" spans="2:20" x14ac:dyDescent="0.25">
      <c r="B52" s="2" t="s">
        <v>13</v>
      </c>
      <c r="C52" s="14">
        <f t="shared" ref="C52:T53" si="54">C16</f>
        <v>125.97221665000001</v>
      </c>
      <c r="D52" s="14">
        <f t="shared" si="54"/>
        <v>125.97221665000001</v>
      </c>
      <c r="E52" s="14">
        <f t="shared" si="54"/>
        <v>656.7889555700001</v>
      </c>
      <c r="F52" s="14">
        <f t="shared" si="54"/>
        <v>143.23576936470008</v>
      </c>
      <c r="G52" s="14">
        <f t="shared" si="54"/>
        <v>513.55318620529999</v>
      </c>
      <c r="H52" s="14">
        <f t="shared" si="54"/>
        <v>156.63860062989997</v>
      </c>
      <c r="I52" s="14">
        <f t="shared" si="54"/>
        <v>356.9145855754</v>
      </c>
      <c r="J52" s="14">
        <f t="shared" si="54"/>
        <v>242.9843115285</v>
      </c>
      <c r="K52" s="14">
        <f t="shared" si="54"/>
        <v>113.93027404690001</v>
      </c>
      <c r="L52" s="14">
        <f t="shared" si="54"/>
        <v>113.93027404690001</v>
      </c>
      <c r="M52" s="14">
        <f t="shared" si="54"/>
        <v>651.24808694399997</v>
      </c>
      <c r="N52" s="14">
        <f t="shared" si="54"/>
        <v>125.08424424239999</v>
      </c>
      <c r="O52" s="14">
        <f t="shared" si="54"/>
        <v>526.16384270160006</v>
      </c>
      <c r="P52" s="14">
        <f t="shared" si="54"/>
        <v>249.82735521460003</v>
      </c>
      <c r="Q52" s="14">
        <f t="shared" si="54"/>
        <v>276.336487487</v>
      </c>
      <c r="R52" s="14">
        <f t="shared" si="54"/>
        <v>130.59262112109997</v>
      </c>
      <c r="S52" s="14">
        <f t="shared" si="54"/>
        <v>145.7438663659</v>
      </c>
      <c r="T52" s="14">
        <f t="shared" si="54"/>
        <v>145.7438663659</v>
      </c>
    </row>
    <row r="53" spans="2:20" x14ac:dyDescent="0.25">
      <c r="B53" s="2" t="s">
        <v>14</v>
      </c>
      <c r="C53" s="14">
        <f t="shared" si="54"/>
        <v>-5.5476666699999999</v>
      </c>
      <c r="D53" s="14">
        <f t="shared" si="54"/>
        <v>-5.5476666699999999</v>
      </c>
      <c r="E53" s="14">
        <f t="shared" si="54"/>
        <v>-24.339833339999998</v>
      </c>
      <c r="F53" s="14">
        <f t="shared" si="54"/>
        <v>-5.8012499999999996</v>
      </c>
      <c r="G53" s="14">
        <f t="shared" si="54"/>
        <v>-18.538583339999999</v>
      </c>
      <c r="H53" s="14">
        <f t="shared" si="54"/>
        <v>-6.2549166700000001</v>
      </c>
      <c r="I53" s="14">
        <f t="shared" si="54"/>
        <v>-12.283666670000001</v>
      </c>
      <c r="J53" s="14">
        <f t="shared" si="54"/>
        <v>-6.1486666699999999</v>
      </c>
      <c r="K53" s="14">
        <f t="shared" si="54"/>
        <v>-6.1349999999999998</v>
      </c>
      <c r="L53" s="14">
        <f t="shared" si="54"/>
        <v>-6.1349999999999998</v>
      </c>
      <c r="M53" s="14">
        <f t="shared" si="54"/>
        <v>-13.553333330000001</v>
      </c>
      <c r="N53" s="14">
        <f t="shared" si="54"/>
        <v>-3.3745833300000001</v>
      </c>
      <c r="O53" s="14">
        <f t="shared" si="54"/>
        <v>-10.178750000000001</v>
      </c>
      <c r="P53" s="14">
        <f t="shared" si="54"/>
        <v>-3.4039999999999999</v>
      </c>
      <c r="Q53" s="14">
        <f t="shared" si="54"/>
        <v>-6.77475</v>
      </c>
      <c r="R53" s="14">
        <f t="shared" si="54"/>
        <v>-3.4001666699999999</v>
      </c>
      <c r="S53" s="14">
        <f t="shared" si="54"/>
        <v>-3.3745833300000001</v>
      </c>
      <c r="T53" s="14">
        <f t="shared" si="54"/>
        <v>-3.3745833300000001</v>
      </c>
    </row>
    <row r="54" spans="2:20" x14ac:dyDescent="0.25">
      <c r="B54" s="2" t="s">
        <v>38</v>
      </c>
      <c r="C54" s="14"/>
      <c r="D54" s="14"/>
      <c r="E54" s="14"/>
      <c r="F54" s="14"/>
      <c r="G54" s="14"/>
      <c r="H54" s="14"/>
      <c r="I54" s="14"/>
      <c r="J54" s="14"/>
      <c r="K54" s="14"/>
      <c r="L54" s="14"/>
      <c r="M54" s="14"/>
      <c r="N54" s="14"/>
      <c r="O54" s="14"/>
      <c r="P54" s="14"/>
      <c r="Q54" s="14"/>
      <c r="R54" s="14"/>
      <c r="S54" s="14"/>
      <c r="T54" s="14"/>
    </row>
    <row r="55" spans="2:20" x14ac:dyDescent="0.25">
      <c r="B55" s="2" t="s">
        <v>39</v>
      </c>
      <c r="C55" s="14">
        <f>(1-C33)*-SUM(C52:C54)</f>
        <v>-8.4328398021937936</v>
      </c>
      <c r="D55" s="14">
        <f t="shared" ref="D55:T55" si="55">(1-D33)*-SUM(D52:D54)</f>
        <v>-8.4328398021937936</v>
      </c>
      <c r="E55" s="14">
        <f t="shared" si="55"/>
        <v>-43.741491676095592</v>
      </c>
      <c r="F55" s="14">
        <f t="shared" si="55"/>
        <v>-9.3581293479443328</v>
      </c>
      <c r="G55" s="14">
        <f t="shared" si="55"/>
        <v>-34.324556286957844</v>
      </c>
      <c r="H55" s="14">
        <f t="shared" si="55"/>
        <v>-10.302564295208864</v>
      </c>
      <c r="I55" s="14">
        <f t="shared" si="55"/>
        <v>-23.968558061442174</v>
      </c>
      <c r="J55" s="14">
        <f t="shared" si="55"/>
        <v>-16.567155294460164</v>
      </c>
      <c r="K55" s="14">
        <f t="shared" si="55"/>
        <v>-7.4752429535422937</v>
      </c>
      <c r="L55" s="14">
        <f t="shared" si="55"/>
        <v>-7.4752429535422937</v>
      </c>
      <c r="M55" s="14" t="e">
        <f t="shared" si="55"/>
        <v>#REF!</v>
      </c>
      <c r="N55" s="14">
        <f t="shared" si="55"/>
        <v>-8.3259312415632731</v>
      </c>
      <c r="O55" s="14" t="e">
        <f t="shared" si="55"/>
        <v>#REF!</v>
      </c>
      <c r="P55" s="14">
        <f t="shared" si="55"/>
        <v>-17.188200463719188</v>
      </c>
      <c r="Q55" s="14" t="e">
        <f t="shared" si="55"/>
        <v>#REF!</v>
      </c>
      <c r="R55" s="14">
        <f t="shared" si="55"/>
        <v>-9.0843609975713306</v>
      </c>
      <c r="S55" s="14" t="e">
        <f t="shared" si="55"/>
        <v>#REF!</v>
      </c>
      <c r="T55" s="14" t="e">
        <f t="shared" si="55"/>
        <v>#REF!</v>
      </c>
    </row>
    <row r="56" spans="2:20" x14ac:dyDescent="0.25">
      <c r="B56" s="42" t="s">
        <v>40</v>
      </c>
      <c r="C56" s="43">
        <f>SUM(C52:C55)</f>
        <v>111.99171017780621</v>
      </c>
      <c r="D56" s="43">
        <f>SUM(D52:D55)</f>
        <v>111.99171017780621</v>
      </c>
      <c r="E56" s="43">
        <f t="shared" ref="E56:T56" si="56">SUM(E52:E55)</f>
        <v>588.70763055390444</v>
      </c>
      <c r="F56" s="43">
        <f t="shared" si="56"/>
        <v>128.07639001675574</v>
      </c>
      <c r="G56" s="43">
        <f t="shared" si="56"/>
        <v>460.69004657834216</v>
      </c>
      <c r="H56" s="43">
        <f t="shared" si="56"/>
        <v>140.0811196646911</v>
      </c>
      <c r="I56" s="43">
        <f t="shared" si="56"/>
        <v>320.6623608439578</v>
      </c>
      <c r="J56" s="43">
        <f t="shared" si="56"/>
        <v>220.26848956403984</v>
      </c>
      <c r="K56" s="43">
        <f t="shared" si="56"/>
        <v>100.32003109335771</v>
      </c>
      <c r="L56" s="43">
        <f t="shared" si="56"/>
        <v>100.32003109335771</v>
      </c>
      <c r="M56" s="43" t="e">
        <f t="shared" si="56"/>
        <v>#REF!</v>
      </c>
      <c r="N56" s="43">
        <f t="shared" si="56"/>
        <v>113.38372967083671</v>
      </c>
      <c r="O56" s="43" t="e">
        <f t="shared" si="56"/>
        <v>#REF!</v>
      </c>
      <c r="P56" s="43">
        <f t="shared" si="56"/>
        <v>229.23515475088084</v>
      </c>
      <c r="Q56" s="43" t="e">
        <f t="shared" si="56"/>
        <v>#REF!</v>
      </c>
      <c r="R56" s="43">
        <f t="shared" si="56"/>
        <v>118.10809345352862</v>
      </c>
      <c r="S56" s="43" t="e">
        <f t="shared" si="56"/>
        <v>#REF!</v>
      </c>
      <c r="T56" s="43" t="e">
        <f t="shared" si="56"/>
        <v>#REF!</v>
      </c>
    </row>
    <row r="57" spans="2:20" x14ac:dyDescent="0.25">
      <c r="C57" s="33"/>
      <c r="D57" s="44"/>
      <c r="E57" s="44"/>
      <c r="F57" s="44"/>
      <c r="G57" s="33"/>
      <c r="H57" s="33"/>
      <c r="I57" s="33"/>
      <c r="J57" s="33"/>
      <c r="K57" s="33"/>
      <c r="L57" s="33"/>
      <c r="M57" s="33"/>
      <c r="N57" s="33"/>
      <c r="O57" s="44"/>
      <c r="P57" s="33"/>
      <c r="Q57" s="44"/>
      <c r="R57" s="33"/>
      <c r="S57" s="44"/>
      <c r="T57" s="44"/>
    </row>
    <row r="58" spans="2:20" x14ac:dyDescent="0.25">
      <c r="B58" s="15" t="s">
        <v>41</v>
      </c>
      <c r="C58" s="45">
        <f>C39</f>
        <v>12388560</v>
      </c>
      <c r="D58" s="45">
        <f t="shared" ref="D58:T58" si="57">D39</f>
        <v>12388560</v>
      </c>
      <c r="E58" s="45">
        <f t="shared" si="57"/>
        <v>12388560</v>
      </c>
      <c r="F58" s="45">
        <f t="shared" si="57"/>
        <v>12388560</v>
      </c>
      <c r="G58" s="45">
        <f t="shared" si="57"/>
        <v>12388560</v>
      </c>
      <c r="H58" s="45">
        <f t="shared" si="57"/>
        <v>12388560</v>
      </c>
      <c r="I58" s="45">
        <f t="shared" si="57"/>
        <v>12388560</v>
      </c>
      <c r="J58" s="45">
        <f t="shared" si="57"/>
        <v>12388560</v>
      </c>
      <c r="K58" s="45">
        <f t="shared" si="57"/>
        <v>12388560</v>
      </c>
      <c r="L58" s="45">
        <f t="shared" si="57"/>
        <v>12388560</v>
      </c>
      <c r="M58" s="45" t="e">
        <f t="shared" si="57"/>
        <v>#REF!</v>
      </c>
      <c r="N58" s="45">
        <f t="shared" si="57"/>
        <v>12388560</v>
      </c>
      <c r="O58" s="45" t="e">
        <f t="shared" si="57"/>
        <v>#REF!</v>
      </c>
      <c r="P58" s="45">
        <f t="shared" si="57"/>
        <v>12388560</v>
      </c>
      <c r="Q58" s="45" t="e">
        <f t="shared" si="57"/>
        <v>#REF!</v>
      </c>
      <c r="R58" s="45">
        <f t="shared" si="57"/>
        <v>12388560</v>
      </c>
      <c r="S58" s="45" t="e">
        <f t="shared" si="57"/>
        <v>#REF!</v>
      </c>
      <c r="T58" s="45" t="e">
        <f t="shared" si="57"/>
        <v>#REF!</v>
      </c>
    </row>
    <row r="59" spans="2:20" x14ac:dyDescent="0.25">
      <c r="B59" s="2" t="s">
        <v>42</v>
      </c>
      <c r="C59" s="46">
        <f t="shared" ref="C59:T59" si="58">C56*1000000/C58</f>
        <v>9.0399295945457911</v>
      </c>
      <c r="D59" s="46">
        <f t="shared" si="58"/>
        <v>9.0399295945457911</v>
      </c>
      <c r="E59" s="46">
        <f t="shared" si="58"/>
        <v>47.520263093846616</v>
      </c>
      <c r="F59" s="46">
        <f t="shared" si="58"/>
        <v>10.33827902651767</v>
      </c>
      <c r="G59" s="46">
        <f t="shared" si="58"/>
        <v>37.186730869313472</v>
      </c>
      <c r="H59" s="46">
        <f t="shared" si="58"/>
        <v>11.307296381879015</v>
      </c>
      <c r="I59" s="46">
        <f t="shared" si="58"/>
        <v>25.883747654606974</v>
      </c>
      <c r="J59" s="46">
        <f t="shared" si="58"/>
        <v>17.779991343952794</v>
      </c>
      <c r="K59" s="46">
        <f t="shared" si="58"/>
        <v>8.0977959579933199</v>
      </c>
      <c r="L59" s="46">
        <f t="shared" si="58"/>
        <v>8.0977959579933199</v>
      </c>
      <c r="M59" s="46" t="e">
        <f t="shared" si="58"/>
        <v>#REF!</v>
      </c>
      <c r="N59" s="46">
        <f t="shared" si="58"/>
        <v>9.1522928952869993</v>
      </c>
      <c r="O59" s="46" t="e">
        <f t="shared" si="58"/>
        <v>#REF!</v>
      </c>
      <c r="P59" s="46">
        <f t="shared" si="58"/>
        <v>18.503777255054732</v>
      </c>
      <c r="Q59" s="46" t="e">
        <f t="shared" si="58"/>
        <v>#REF!</v>
      </c>
      <c r="R59" s="46">
        <f t="shared" si="58"/>
        <v>9.5336417996545713</v>
      </c>
      <c r="S59" s="46" t="e">
        <f t="shared" si="58"/>
        <v>#REF!</v>
      </c>
      <c r="T59" s="46" t="e">
        <f t="shared" si="58"/>
        <v>#REF!</v>
      </c>
    </row>
    <row r="60" spans="2:20" x14ac:dyDescent="0.25">
      <c r="T60" s="8"/>
    </row>
    <row r="61" spans="2:20" x14ac:dyDescent="0.25">
      <c r="B61" s="2" t="s">
        <v>43</v>
      </c>
      <c r="C61" s="47">
        <v>443.95</v>
      </c>
      <c r="D61" s="47">
        <v>443.95</v>
      </c>
      <c r="E61" s="47">
        <v>453.3</v>
      </c>
      <c r="F61" s="47">
        <v>453.3</v>
      </c>
      <c r="G61" s="47">
        <v>451.85</v>
      </c>
      <c r="H61" s="47">
        <v>451.85</v>
      </c>
      <c r="I61" s="47">
        <v>428.95</v>
      </c>
      <c r="J61" s="47">
        <v>428.95</v>
      </c>
      <c r="K61" s="47">
        <v>418</v>
      </c>
      <c r="L61" s="47">
        <v>418</v>
      </c>
      <c r="M61" s="47">
        <v>380</v>
      </c>
      <c r="N61" s="47">
        <v>380</v>
      </c>
      <c r="O61" s="47">
        <v>350</v>
      </c>
      <c r="P61" s="47">
        <v>350</v>
      </c>
      <c r="Q61" s="47">
        <v>330</v>
      </c>
      <c r="R61" s="47">
        <v>330</v>
      </c>
      <c r="S61" s="47">
        <v>326</v>
      </c>
      <c r="T61" s="47">
        <v>326</v>
      </c>
    </row>
    <row r="62" spans="2:20" x14ac:dyDescent="0.25">
      <c r="B62" s="2" t="s">
        <v>44</v>
      </c>
      <c r="C62" s="46">
        <f>C59*C14</f>
        <v>36.661936688991261</v>
      </c>
      <c r="D62" s="46">
        <f t="shared" ref="D62:T62" si="59">D59*D14</f>
        <v>36.661936688991261</v>
      </c>
      <c r="E62" s="46">
        <f t="shared" si="59"/>
        <v>47.520263093846616</v>
      </c>
      <c r="F62" s="46">
        <f t="shared" si="59"/>
        <v>41.015998311727714</v>
      </c>
      <c r="G62" s="46">
        <f t="shared" si="59"/>
        <v>49.718522957140721</v>
      </c>
      <c r="H62" s="46">
        <f t="shared" si="59"/>
        <v>44.860469341150441</v>
      </c>
      <c r="I62" s="46">
        <f t="shared" si="59"/>
        <v>52.196507701279259</v>
      </c>
      <c r="J62" s="46">
        <f t="shared" si="59"/>
        <v>71.315349896074395</v>
      </c>
      <c r="K62" s="46">
        <f t="shared" si="59"/>
        <v>32.841061385195125</v>
      </c>
      <c r="L62" s="46">
        <f t="shared" si="59"/>
        <v>32.841061385195125</v>
      </c>
      <c r="M62" s="46" t="e">
        <f t="shared" si="59"/>
        <v>#REF!</v>
      </c>
      <c r="N62" s="46">
        <f t="shared" si="59"/>
        <v>36.410208692120015</v>
      </c>
      <c r="O62" s="46" t="e">
        <f t="shared" si="59"/>
        <v>#REF!</v>
      </c>
      <c r="P62" s="46">
        <f t="shared" si="59"/>
        <v>73.612852992935132</v>
      </c>
      <c r="Q62" s="46" t="e">
        <f t="shared" si="59"/>
        <v>#REF!</v>
      </c>
      <c r="R62" s="46">
        <f t="shared" si="59"/>
        <v>38.344097787621685</v>
      </c>
      <c r="S62" s="46" t="e">
        <f t="shared" si="59"/>
        <v>#REF!</v>
      </c>
      <c r="T62" s="46" t="e">
        <f t="shared" si="59"/>
        <v>#REF!</v>
      </c>
    </row>
    <row r="63" spans="2:20" s="48" customFormat="1" ht="15.75" thickBot="1" x14ac:dyDescent="0.3">
      <c r="B63" s="49" t="s">
        <v>45</v>
      </c>
      <c r="C63" s="50">
        <f t="shared" ref="C63:T63" si="60">C61/C62</f>
        <v>12.109289363682416</v>
      </c>
      <c r="D63" s="50">
        <f t="shared" si="60"/>
        <v>12.109289363682416</v>
      </c>
      <c r="E63" s="50">
        <f t="shared" si="60"/>
        <v>9.5390886011045186</v>
      </c>
      <c r="F63" s="50">
        <f t="shared" si="60"/>
        <v>11.051785124303262</v>
      </c>
      <c r="G63" s="50">
        <f t="shared" si="60"/>
        <v>9.088162180310789</v>
      </c>
      <c r="H63" s="50">
        <f t="shared" si="60"/>
        <v>10.072342234402766</v>
      </c>
      <c r="I63" s="50">
        <f t="shared" si="60"/>
        <v>8.2179827519281918</v>
      </c>
      <c r="J63" s="50">
        <f t="shared" si="60"/>
        <v>6.0148341223186206</v>
      </c>
      <c r="K63" s="50">
        <f t="shared" si="60"/>
        <v>12.727968657810676</v>
      </c>
      <c r="L63" s="50">
        <f t="shared" si="60"/>
        <v>12.727968657810676</v>
      </c>
      <c r="M63" s="50" t="e">
        <f t="shared" si="60"/>
        <v>#REF!</v>
      </c>
      <c r="N63" s="50">
        <f t="shared" si="60"/>
        <v>10.436633396233198</v>
      </c>
      <c r="O63" s="50" t="e">
        <f t="shared" si="60"/>
        <v>#REF!</v>
      </c>
      <c r="P63" s="50">
        <f t="shared" si="60"/>
        <v>4.754604471498892</v>
      </c>
      <c r="Q63" s="50" t="e">
        <f t="shared" si="60"/>
        <v>#REF!</v>
      </c>
      <c r="R63" s="50">
        <f t="shared" si="60"/>
        <v>8.6062789070637944</v>
      </c>
      <c r="S63" s="50" t="e">
        <f t="shared" si="60"/>
        <v>#REF!</v>
      </c>
      <c r="T63" s="50" t="e">
        <f t="shared" si="60"/>
        <v>#REF!</v>
      </c>
    </row>
    <row r="64" spans="2:20" x14ac:dyDescent="0.25">
      <c r="T64" s="8"/>
    </row>
    <row r="65" spans="2:20" x14ac:dyDescent="0.25">
      <c r="D65" s="51"/>
      <c r="E65" s="46"/>
      <c r="F65" s="51"/>
      <c r="G65" s="51"/>
      <c r="H65" s="51"/>
      <c r="I65" s="51"/>
      <c r="J65" s="51"/>
      <c r="K65" s="46"/>
      <c r="L65" s="51"/>
      <c r="M65" s="51"/>
      <c r="N65" s="51"/>
      <c r="P65" s="51"/>
      <c r="R65" s="51"/>
      <c r="T65" s="8"/>
    </row>
    <row r="66" spans="2:20" x14ac:dyDescent="0.25">
      <c r="B66" s="2" t="s">
        <v>43</v>
      </c>
      <c r="C66" s="47">
        <f>IF(C2="ytd",C61,"")</f>
        <v>443.95</v>
      </c>
      <c r="D66" s="47" t="str">
        <f>IF(D2="ytd",D61,"")</f>
        <v/>
      </c>
      <c r="E66" s="47">
        <f>IF(E2="ytd",E61,"")</f>
        <v>453.3</v>
      </c>
      <c r="F66" s="47" t="str">
        <f>IF(F2="ytd",F61,"")</f>
        <v/>
      </c>
      <c r="G66" s="47">
        <f>IF(G2="ytd",G61,"")</f>
        <v>451.85</v>
      </c>
      <c r="H66" s="47" t="str">
        <f>IF(H2="ytd",H61,"")</f>
        <v/>
      </c>
      <c r="I66" s="47">
        <f>IF(I2="ytd",I61,"")</f>
        <v>428.95</v>
      </c>
      <c r="J66" s="47" t="str">
        <f>IF(J2="ytd",J61,"")</f>
        <v/>
      </c>
      <c r="K66" s="47">
        <f>IF(K2="ytd",K61,"")</f>
        <v>418</v>
      </c>
      <c r="L66" s="47" t="str">
        <f>IF(L2="ytd",L61,"")</f>
        <v/>
      </c>
      <c r="M66" s="47">
        <f>IF(M2="ytd",M61,"")</f>
        <v>380</v>
      </c>
      <c r="N66" s="47" t="str">
        <f>IF(N2="ytd",N61,"")</f>
        <v/>
      </c>
      <c r="O66" s="47">
        <f>IF(O2="ytd",O61,"")</f>
        <v>350</v>
      </c>
      <c r="P66" s="47" t="str">
        <f>IF(P2="ytd",P61,"")</f>
        <v/>
      </c>
      <c r="Q66" s="47">
        <f>IF(Q2="ytd",Q61,"")</f>
        <v>330</v>
      </c>
      <c r="R66" s="47" t="str">
        <f>IF(R2="ytd",R61,"")</f>
        <v/>
      </c>
      <c r="S66" s="47">
        <f>IF(S2="ytd",S61,"")</f>
        <v>326</v>
      </c>
      <c r="T66" s="47" t="str">
        <f>IF(T2="ytd",T61,"")</f>
        <v/>
      </c>
    </row>
    <row r="67" spans="2:20" x14ac:dyDescent="0.25">
      <c r="B67" s="15" t="s">
        <v>46</v>
      </c>
      <c r="C67" s="52">
        <f>IF(C2="ytd",C49,"")</f>
        <v>357.9414193956286</v>
      </c>
      <c r="D67" s="52" t="str">
        <f>IF(D2="ytd",D49,"")</f>
        <v/>
      </c>
      <c r="E67" s="52">
        <f>IF(E2="ytd",E49,"")</f>
        <v>373.53307383430086</v>
      </c>
      <c r="F67" s="52" t="str">
        <f>IF(F2="ytd",F49,"")</f>
        <v/>
      </c>
      <c r="G67" s="52">
        <f>IF(G2="ytd",G49,"")</f>
        <v>373.68552505426857</v>
      </c>
      <c r="H67" s="52" t="str">
        <f>IF(H2="ytd",H49,"")</f>
        <v/>
      </c>
      <c r="I67" s="52">
        <f>IF(I2="ytd",I49,"")</f>
        <v>362.26949078353908</v>
      </c>
      <c r="J67" s="52" t="str">
        <f>IF(J2="ytd",J49,"")</f>
        <v/>
      </c>
      <c r="K67" s="52">
        <f>IF(K2="ytd",K49,"")</f>
        <v>344.44746910935271</v>
      </c>
      <c r="L67" s="52" t="str">
        <f>IF(L2="ytd",L49,"")</f>
        <v/>
      </c>
      <c r="M67" s="52">
        <f>IF(M2="ytd",M49,"")</f>
        <v>356.50441539674995</v>
      </c>
      <c r="N67" s="52" t="str">
        <f>IF(N2="ytd",N49,"")</f>
        <v/>
      </c>
      <c r="O67" s="52">
        <f>IF(O2="ytd",O49,"")</f>
        <v>345.53990647512842</v>
      </c>
      <c r="P67" s="52" t="str">
        <f>IF(P2="ytd",P49,"")</f>
        <v/>
      </c>
      <c r="Q67" s="52">
        <f>IF(Q2="ytd",Q49,"")</f>
        <v>326.51191266857074</v>
      </c>
      <c r="R67" s="52" t="str">
        <f>IF(R2="ytd",R49,"")</f>
        <v/>
      </c>
      <c r="S67" s="52">
        <f>IF(S2="ytd",S49,"")</f>
        <v>316.39880215994611</v>
      </c>
      <c r="T67" s="52" t="str">
        <f>IF(T2="ytd",T49,"")</f>
        <v/>
      </c>
    </row>
    <row r="68" spans="2:20" s="48" customFormat="1" ht="15.75" thickBot="1" x14ac:dyDescent="0.3">
      <c r="B68" s="49" t="s">
        <v>47</v>
      </c>
      <c r="C68" s="50">
        <f>IF(C2="ytd",C66/C67,"")</f>
        <v>1.2402867506911992</v>
      </c>
      <c r="D68" s="50" t="str">
        <f>IF(D2="ytd",D66/D67,"")</f>
        <v/>
      </c>
      <c r="E68" s="50">
        <f>IF(E2="ytd",E66/E67,"")</f>
        <v>1.2135471575432266</v>
      </c>
      <c r="F68" s="50" t="str">
        <f>IF(F2="ytd",F66/F67,"")</f>
        <v/>
      </c>
      <c r="G68" s="50">
        <f>IF(G2="ytd",G66/G67,"")</f>
        <v>1.2091718027728797</v>
      </c>
      <c r="H68" s="50" t="str">
        <f>IF(H2="ytd",H66/H67,"")</f>
        <v/>
      </c>
      <c r="I68" s="50">
        <f>IF(I2="ytd",I66/I67,"")</f>
        <v>1.1840632758564353</v>
      </c>
      <c r="J68" s="50" t="str">
        <f>IF(J2="ytd",J66/J67,"")</f>
        <v/>
      </c>
      <c r="K68" s="50">
        <f>IF(K2="ytd",K66/K67,"")</f>
        <v>1.2135377306758388</v>
      </c>
      <c r="L68" s="50" t="str">
        <f>IF(L2="ytd",L66/L67,"")</f>
        <v/>
      </c>
      <c r="M68" s="50">
        <f>IF(M2="ytd",M66/M67,"")</f>
        <v>1.0659054519061204</v>
      </c>
      <c r="N68" s="50" t="str">
        <f>IF(N2="ytd",N66/N67,"")</f>
        <v/>
      </c>
      <c r="O68" s="50">
        <f>IF(O2="ytd",O66/O67,"")</f>
        <v>1.0129076076056431</v>
      </c>
      <c r="P68" s="50" t="str">
        <f>IF(P2="ytd",P66/P67,"")</f>
        <v/>
      </c>
      <c r="Q68" s="50">
        <f>IF(Q2="ytd",Q66/Q67,"")</f>
        <v>1.0106828792337812</v>
      </c>
      <c r="R68" s="50" t="str">
        <f>IF(R2="ytd",R66/R67,"")</f>
        <v/>
      </c>
      <c r="S68" s="50">
        <f>IF(S2="ytd",S66/S67,"")</f>
        <v>1.0303452407989846</v>
      </c>
      <c r="T68" s="50" t="str">
        <f>IF(T2="ytd",T66/T67,"")</f>
        <v/>
      </c>
    </row>
    <row r="69" spans="2:20" x14ac:dyDescent="0.25">
      <c r="M69" s="8"/>
      <c r="T69" s="8"/>
    </row>
    <row r="70" spans="2:20" x14ac:dyDescent="0.25">
      <c r="M70" s="8"/>
      <c r="T70" s="8"/>
    </row>
    <row r="71" spans="2:20" x14ac:dyDescent="0.25">
      <c r="B71" s="2" t="s">
        <v>48</v>
      </c>
      <c r="C71" s="14">
        <v>166.64467954</v>
      </c>
      <c r="D71" s="14">
        <v>166.64467954</v>
      </c>
      <c r="E71" s="14">
        <v>806.76182941000002</v>
      </c>
      <c r="F71" s="14">
        <v>166.64785576800006</v>
      </c>
      <c r="G71" s="14">
        <v>640.11397364200002</v>
      </c>
      <c r="H71" s="14">
        <v>208.46962821789992</v>
      </c>
      <c r="I71" s="14">
        <v>431.64434542410004</v>
      </c>
      <c r="J71" s="14">
        <v>272.85267260070003</v>
      </c>
      <c r="K71" s="14">
        <v>158.79167282340001</v>
      </c>
      <c r="L71" s="14">
        <v>158.79167282340001</v>
      </c>
      <c r="M71" s="14">
        <v>836.25068073629996</v>
      </c>
      <c r="N71" s="14">
        <v>175.13829736049996</v>
      </c>
      <c r="O71" s="14">
        <v>661.11238337580005</v>
      </c>
      <c r="P71" s="14">
        <v>307.09886804260003</v>
      </c>
      <c r="Q71" s="14">
        <v>354.01351533320002</v>
      </c>
      <c r="R71" s="14">
        <v>171.60124225920003</v>
      </c>
      <c r="S71" s="14">
        <v>182.41227307399998</v>
      </c>
      <c r="T71" s="14">
        <v>182.41227307399998</v>
      </c>
    </row>
    <row r="72" spans="2:20" x14ac:dyDescent="0.25">
      <c r="B72" s="32" t="s">
        <v>49</v>
      </c>
      <c r="C72" s="14">
        <v>-40.32473968</v>
      </c>
      <c r="D72" s="14">
        <v>-40.32473968</v>
      </c>
      <c r="E72" s="14">
        <v>-195.47503886000001</v>
      </c>
      <c r="F72" s="14">
        <v>-21.074469627200006</v>
      </c>
      <c r="G72" s="14">
        <v>-174.4005692328</v>
      </c>
      <c r="H72" s="14">
        <v>-31.773161131599991</v>
      </c>
      <c r="I72" s="14">
        <v>-142.62740810120002</v>
      </c>
      <c r="J72" s="14">
        <v>-119.71374042420001</v>
      </c>
      <c r="K72" s="14">
        <v>-22.913667676999999</v>
      </c>
      <c r="L72" s="14">
        <v>-22.913667676999999</v>
      </c>
      <c r="M72" s="14">
        <v>-220.08087289070002</v>
      </c>
      <c r="N72" s="14">
        <v>-25.300596718700021</v>
      </c>
      <c r="O72" s="14">
        <v>-194.78027617199999</v>
      </c>
      <c r="P72" s="14">
        <v>-138.24639827210001</v>
      </c>
      <c r="Q72" s="14">
        <v>-56.533877899899998</v>
      </c>
      <c r="R72" s="14">
        <v>-14.282493645499997</v>
      </c>
      <c r="S72" s="14">
        <v>-42.251384254400001</v>
      </c>
      <c r="T72" s="14">
        <v>-42.251384254400001</v>
      </c>
    </row>
    <row r="73" spans="2:20" s="48" customFormat="1" ht="15.75" thickBot="1" x14ac:dyDescent="0.3">
      <c r="B73" s="49" t="s">
        <v>50</v>
      </c>
      <c r="C73" s="53">
        <f>SUM(C71:C72)</f>
        <v>126.31993986000001</v>
      </c>
      <c r="D73" s="53">
        <f t="shared" ref="D73:T73" si="61">SUM(D71:D72)</f>
        <v>126.31993986000001</v>
      </c>
      <c r="E73" s="53">
        <f t="shared" si="61"/>
        <v>611.28679054999998</v>
      </c>
      <c r="F73" s="53">
        <f t="shared" si="61"/>
        <v>145.57338614080004</v>
      </c>
      <c r="G73" s="53">
        <f t="shared" si="61"/>
        <v>465.71340440920005</v>
      </c>
      <c r="H73" s="53">
        <f t="shared" si="61"/>
        <v>176.69646708629995</v>
      </c>
      <c r="I73" s="53">
        <f t="shared" si="61"/>
        <v>289.01693732290005</v>
      </c>
      <c r="J73" s="53">
        <f t="shared" si="61"/>
        <v>153.13893217650002</v>
      </c>
      <c r="K73" s="53">
        <f t="shared" si="61"/>
        <v>135.8780051464</v>
      </c>
      <c r="L73" s="53">
        <f t="shared" si="61"/>
        <v>135.8780051464</v>
      </c>
      <c r="M73" s="53">
        <f t="shared" si="61"/>
        <v>616.16980784559996</v>
      </c>
      <c r="N73" s="53">
        <f t="shared" si="61"/>
        <v>149.83770064179993</v>
      </c>
      <c r="O73" s="53">
        <f t="shared" si="61"/>
        <v>466.33210720380009</v>
      </c>
      <c r="P73" s="53">
        <f t="shared" si="61"/>
        <v>168.85246977050002</v>
      </c>
      <c r="Q73" s="53">
        <f t="shared" si="61"/>
        <v>297.47963743330001</v>
      </c>
      <c r="R73" s="53">
        <f t="shared" si="61"/>
        <v>157.31874861370005</v>
      </c>
      <c r="S73" s="53">
        <f t="shared" si="61"/>
        <v>140.16088881959999</v>
      </c>
      <c r="T73" s="53">
        <f t="shared" si="61"/>
        <v>140.16088881959999</v>
      </c>
    </row>
    <row r="74" spans="2:20" x14ac:dyDescent="0.25">
      <c r="M74" s="8"/>
      <c r="T74" s="8"/>
    </row>
    <row r="75" spans="2:20" x14ac:dyDescent="0.25">
      <c r="M75" s="8"/>
      <c r="T75" s="8"/>
    </row>
    <row r="76" spans="2:20" x14ac:dyDescent="0.25">
      <c r="B76" s="32" t="s">
        <v>51</v>
      </c>
      <c r="C76" s="14">
        <v>176.27642680000002</v>
      </c>
      <c r="D76" s="14">
        <v>176.27642680000002</v>
      </c>
      <c r="E76" s="14">
        <v>754.64692087000003</v>
      </c>
      <c r="F76" s="14">
        <v>193.10782738999998</v>
      </c>
      <c r="G76" s="14">
        <v>561.53909348000002</v>
      </c>
      <c r="H76" s="14">
        <v>193.18351552000004</v>
      </c>
      <c r="I76" s="14">
        <v>368.35557796000001</v>
      </c>
      <c r="J76" s="14">
        <v>183.88463492999998</v>
      </c>
      <c r="K76" s="14">
        <v>184.47094303</v>
      </c>
      <c r="L76" s="14">
        <v>184.47094303</v>
      </c>
      <c r="M76" s="14">
        <v>755.56302298000003</v>
      </c>
      <c r="N76" s="14">
        <v>193.83458947000003</v>
      </c>
      <c r="O76" s="14">
        <v>561.72843350999995</v>
      </c>
      <c r="P76" s="14">
        <v>191.33266367000002</v>
      </c>
      <c r="Q76" s="14">
        <v>370.39576983999996</v>
      </c>
      <c r="R76" s="14">
        <v>185.07166650999997</v>
      </c>
      <c r="S76" s="14">
        <v>185.32410333000001</v>
      </c>
      <c r="T76" s="14">
        <v>185.32410333000001</v>
      </c>
    </row>
    <row r="77" spans="2:20" x14ac:dyDescent="0.25">
      <c r="B77" s="2" t="s">
        <v>52</v>
      </c>
      <c r="C77" s="33">
        <v>31895.145269125002</v>
      </c>
      <c r="D77" s="33">
        <v>31895.145269125002</v>
      </c>
      <c r="E77" s="33">
        <v>31058.518176820035</v>
      </c>
      <c r="F77" s="33">
        <v>31526.4619744581</v>
      </c>
      <c r="G77" s="33">
        <v>30971.526922945053</v>
      </c>
      <c r="H77" s="33">
        <v>31780.971694287102</v>
      </c>
      <c r="I77" s="33">
        <v>30746.555645061333</v>
      </c>
      <c r="J77" s="33">
        <v>31409.1505935278</v>
      </c>
      <c r="K77" s="33">
        <v>30162.082151602997</v>
      </c>
      <c r="L77" s="33">
        <v>30162.082151602997</v>
      </c>
      <c r="M77" s="33">
        <v>28821.347266877616</v>
      </c>
      <c r="N77" s="33">
        <v>29273.199648550799</v>
      </c>
      <c r="O77" s="33">
        <v>28671.342646564925</v>
      </c>
      <c r="P77" s="33">
        <v>29165.2269691607</v>
      </c>
      <c r="Q77" s="33">
        <v>28520.112345762169</v>
      </c>
      <c r="R77" s="33">
        <v>28767.740978220601</v>
      </c>
      <c r="S77" s="33">
        <v>28177.458323969149</v>
      </c>
      <c r="T77" s="33">
        <v>28177.458323969149</v>
      </c>
    </row>
    <row r="78" spans="2:20" s="48" customFormat="1" ht="15.75" thickBot="1" x14ac:dyDescent="0.3">
      <c r="B78" s="54" t="s">
        <v>53</v>
      </c>
      <c r="C78" s="55">
        <f t="shared" ref="C78:T78" si="62">(C76/C77)*C14</f>
        <v>2.2414033107234523E-2</v>
      </c>
      <c r="D78" s="55">
        <f t="shared" si="62"/>
        <v>2.2414033107234523E-2</v>
      </c>
      <c r="E78" s="55">
        <f t="shared" si="62"/>
        <v>2.4297582923103432E-2</v>
      </c>
      <c r="F78" s="55">
        <f t="shared" si="62"/>
        <v>2.4301309668344279E-2</v>
      </c>
      <c r="G78" s="55">
        <f t="shared" si="62"/>
        <v>2.4240836201937347E-2</v>
      </c>
      <c r="H78" s="55">
        <f t="shared" si="62"/>
        <v>2.4116147454206524E-2</v>
      </c>
      <c r="I78" s="55">
        <f t="shared" si="62"/>
        <v>2.4159340173456962E-2</v>
      </c>
      <c r="J78" s="55">
        <f t="shared" si="62"/>
        <v>2.3482304871559886E-2</v>
      </c>
      <c r="K78" s="55">
        <f t="shared" si="62"/>
        <v>2.4803730527739064E-2</v>
      </c>
      <c r="L78" s="55">
        <f t="shared" si="62"/>
        <v>2.4803730527739064E-2</v>
      </c>
      <c r="M78" s="56">
        <f t="shared" si="62"/>
        <v>2.6215395692078435E-2</v>
      </c>
      <c r="N78" s="55">
        <f t="shared" si="62"/>
        <v>2.6342339468002587E-2</v>
      </c>
      <c r="O78" s="56">
        <f t="shared" si="62"/>
        <v>2.6170311930538526E-2</v>
      </c>
      <c r="P78" s="55">
        <f t="shared" si="62"/>
        <v>2.6098588217842632E-2</v>
      </c>
      <c r="Q78" s="56">
        <f t="shared" si="62"/>
        <v>2.6117071834597265E-2</v>
      </c>
      <c r="R78" s="55">
        <f t="shared" si="62"/>
        <v>2.5874613364935375E-2</v>
      </c>
      <c r="S78" s="56">
        <f t="shared" si="62"/>
        <v>2.6452686468956488E-2</v>
      </c>
      <c r="T78" s="56">
        <f t="shared" si="62"/>
        <v>2.6452686468956488E-2</v>
      </c>
    </row>
    <row r="79" spans="2:20" x14ac:dyDescent="0.25">
      <c r="M79" s="8"/>
      <c r="T79" s="8"/>
    </row>
    <row r="80" spans="2:20" x14ac:dyDescent="0.25">
      <c r="M80" s="8"/>
      <c r="T80" s="8"/>
    </row>
    <row r="81" spans="2:20" x14ac:dyDescent="0.25">
      <c r="C81" s="51"/>
      <c r="M81" s="57"/>
      <c r="O81" s="57"/>
      <c r="Q81" s="57"/>
      <c r="S81" s="57"/>
      <c r="T81" s="57"/>
    </row>
    <row r="82" spans="2:20" x14ac:dyDescent="0.25">
      <c r="B82" s="2" t="s">
        <v>54</v>
      </c>
      <c r="C82" s="14">
        <v>158.76901733000003</v>
      </c>
      <c r="D82" s="14">
        <v>158.76901733000003</v>
      </c>
      <c r="E82" s="14">
        <v>571.66637137999999</v>
      </c>
      <c r="F82" s="14">
        <v>155.73129365920002</v>
      </c>
      <c r="G82" s="14">
        <v>415.9350777208</v>
      </c>
      <c r="H82" s="14">
        <v>128.65219032370001</v>
      </c>
      <c r="I82" s="14">
        <v>287.28288739709996</v>
      </c>
      <c r="J82" s="14">
        <v>142.42347628349998</v>
      </c>
      <c r="K82" s="14">
        <v>144.85941111359998</v>
      </c>
      <c r="L82" s="14">
        <v>144.85941111359998</v>
      </c>
      <c r="M82" s="14">
        <v>520.93229791440001</v>
      </c>
      <c r="N82" s="14">
        <v>141.54626490819996</v>
      </c>
      <c r="O82" s="14">
        <v>379.38603300620002</v>
      </c>
      <c r="P82" s="14">
        <v>117.59058081950003</v>
      </c>
      <c r="Q82" s="14">
        <v>261.7954521867</v>
      </c>
      <c r="R82" s="14">
        <v>132.52061598629999</v>
      </c>
      <c r="S82" s="14">
        <v>129.27483620039999</v>
      </c>
      <c r="T82" s="14">
        <v>129.27483620039999</v>
      </c>
    </row>
    <row r="83" spans="2:20" x14ac:dyDescent="0.25">
      <c r="B83" s="11" t="s">
        <v>55</v>
      </c>
      <c r="C83" s="14">
        <v>325.41369687000002</v>
      </c>
      <c r="D83" s="14">
        <v>325.41369687000002</v>
      </c>
      <c r="E83" s="14">
        <v>1378.4282007899999</v>
      </c>
      <c r="F83" s="14">
        <v>322.37914942719993</v>
      </c>
      <c r="G83" s="14">
        <v>1056.0490513627999</v>
      </c>
      <c r="H83" s="14">
        <v>337.12181854159996</v>
      </c>
      <c r="I83" s="14">
        <v>718.92723282120005</v>
      </c>
      <c r="J83" s="14">
        <v>415.27614888420004</v>
      </c>
      <c r="K83" s="14">
        <v>303.65108393699995</v>
      </c>
      <c r="L83" s="14">
        <v>303.65108393699995</v>
      </c>
      <c r="M83" s="14">
        <v>1357.1829786507001</v>
      </c>
      <c r="N83" s="14">
        <v>316.68456226870012</v>
      </c>
      <c r="O83" s="14">
        <v>1040.498416382</v>
      </c>
      <c r="P83" s="14">
        <v>424.68944886209999</v>
      </c>
      <c r="Q83" s="14">
        <v>615.80896751989997</v>
      </c>
      <c r="R83" s="14">
        <v>304.12185824549999</v>
      </c>
      <c r="S83" s="14">
        <v>311.68710927439997</v>
      </c>
      <c r="T83" s="14">
        <v>311.68710927439997</v>
      </c>
    </row>
    <row r="84" spans="2:20" s="48" customFormat="1" ht="15.75" thickBot="1" x14ac:dyDescent="0.3">
      <c r="B84" s="54" t="s">
        <v>56</v>
      </c>
      <c r="C84" s="58">
        <f>C82/C83</f>
        <v>0.48789900012545229</v>
      </c>
      <c r="D84" s="58">
        <f t="shared" ref="D84" si="63">D82/D83</f>
        <v>0.48789900012545229</v>
      </c>
      <c r="E84" s="58">
        <v>0.4401133912116561</v>
      </c>
      <c r="F84" s="58">
        <v>0.44407273990014517</v>
      </c>
      <c r="G84" s="58">
        <v>0.43596147028634796</v>
      </c>
      <c r="H84" s="58">
        <v>0.43596147028634796</v>
      </c>
      <c r="I84" s="58">
        <v>0.42488558971458562</v>
      </c>
      <c r="J84" s="58">
        <v>0.46126121797772957</v>
      </c>
      <c r="K84" s="58">
        <v>0.41266786355655877</v>
      </c>
      <c r="L84" s="58">
        <v>0.42440915956698455</v>
      </c>
      <c r="M84" s="59">
        <v>0.40861715767906204</v>
      </c>
      <c r="N84" s="58">
        <v>0.40760492382891994</v>
      </c>
      <c r="O84" s="59">
        <v>0.41629230862862004</v>
      </c>
      <c r="P84" s="58">
        <v>0.41629230862862004</v>
      </c>
      <c r="Q84" s="59">
        <v>0.44927692954639598</v>
      </c>
      <c r="R84" s="58">
        <v>0.47806627514860617</v>
      </c>
      <c r="S84" s="59">
        <v>0.43864845429862065</v>
      </c>
      <c r="T84" s="59">
        <v>1.43864845429862</v>
      </c>
    </row>
    <row r="85" spans="2:20" x14ac:dyDescent="0.25">
      <c r="M85" s="8"/>
      <c r="T85" s="8"/>
    </row>
    <row r="86" spans="2:20" x14ac:dyDescent="0.25">
      <c r="M86" s="8"/>
      <c r="T86" s="8"/>
    </row>
    <row r="87" spans="2:20" x14ac:dyDescent="0.25">
      <c r="B87" s="2" t="s">
        <v>54</v>
      </c>
      <c r="C87" s="14">
        <v>158.76901733000003</v>
      </c>
      <c r="D87" s="14">
        <v>158.76901733000003</v>
      </c>
      <c r="E87" s="14">
        <v>571.66637137999999</v>
      </c>
      <c r="F87" s="14">
        <v>155.73129365920002</v>
      </c>
      <c r="G87" s="14">
        <v>415.9350777208</v>
      </c>
      <c r="H87" s="14">
        <v>128.65219032370001</v>
      </c>
      <c r="I87" s="14">
        <v>287.28288739709996</v>
      </c>
      <c r="J87" s="14">
        <v>142.42347628349998</v>
      </c>
      <c r="K87" s="14">
        <v>144.85941111359998</v>
      </c>
      <c r="L87" s="14">
        <v>144.85941111359998</v>
      </c>
      <c r="M87" s="14">
        <v>520.93229791440001</v>
      </c>
      <c r="N87" s="14">
        <v>141.54626490819996</v>
      </c>
      <c r="O87" s="14">
        <v>379.38603300620002</v>
      </c>
      <c r="P87" s="14">
        <v>117.59058081950003</v>
      </c>
      <c r="Q87" s="14">
        <v>261.7954521867</v>
      </c>
      <c r="R87" s="14">
        <v>132.52061598629999</v>
      </c>
      <c r="S87" s="14">
        <v>129.27483620039999</v>
      </c>
      <c r="T87" s="14">
        <v>129.27483620039999</v>
      </c>
    </row>
    <row r="88" spans="2:20" x14ac:dyDescent="0.25">
      <c r="B88" s="60" t="s">
        <v>57</v>
      </c>
      <c r="C88" s="16">
        <v>285.08895719000003</v>
      </c>
      <c r="D88" s="16">
        <v>285.08895719000003</v>
      </c>
      <c r="E88" s="16">
        <v>1182.9531619299999</v>
      </c>
      <c r="F88" s="16">
        <v>301.30467979999992</v>
      </c>
      <c r="G88" s="16">
        <v>881.64848212999993</v>
      </c>
      <c r="H88" s="16">
        <v>305.34865740999999</v>
      </c>
      <c r="I88" s="16">
        <v>576.29982472000006</v>
      </c>
      <c r="J88" s="16">
        <v>295.56240846000003</v>
      </c>
      <c r="K88" s="16">
        <v>280.73741625999997</v>
      </c>
      <c r="L88" s="16">
        <v>280.73741625999997</v>
      </c>
      <c r="M88" s="16">
        <v>1137.1021057600001</v>
      </c>
      <c r="N88" s="16">
        <v>291.38396555000008</v>
      </c>
      <c r="O88" s="16">
        <v>845.71814021</v>
      </c>
      <c r="P88" s="16">
        <v>286.44305058999998</v>
      </c>
      <c r="Q88" s="16">
        <v>559.27508962000002</v>
      </c>
      <c r="R88" s="16">
        <v>289.83936460000001</v>
      </c>
      <c r="S88" s="16">
        <v>269.43572501999995</v>
      </c>
      <c r="T88" s="16">
        <v>269.43572501999995</v>
      </c>
    </row>
    <row r="89" spans="2:20" s="48" customFormat="1" ht="15.75" thickBot="1" x14ac:dyDescent="0.3">
      <c r="B89" s="61" t="s">
        <v>58</v>
      </c>
      <c r="C89" s="62">
        <f>C87/C88</f>
        <v>0.55691044260331357</v>
      </c>
      <c r="D89" s="62">
        <f t="shared" ref="D89" si="64">D87/D88</f>
        <v>0.55691044260331357</v>
      </c>
      <c r="E89" s="62">
        <v>0.4401133912116561</v>
      </c>
      <c r="F89" s="62">
        <v>0.44407273990014517</v>
      </c>
      <c r="G89" s="62">
        <v>0.43596147028634796</v>
      </c>
      <c r="H89" s="62">
        <v>0.43596147028634796</v>
      </c>
      <c r="I89" s="62">
        <v>0.42488558971458562</v>
      </c>
      <c r="J89" s="62">
        <v>0.46126121797772957</v>
      </c>
      <c r="K89" s="62">
        <v>0.41266786355655877</v>
      </c>
      <c r="L89" s="62">
        <v>0.42440915956698455</v>
      </c>
      <c r="M89" s="63">
        <v>0.40861715767906204</v>
      </c>
      <c r="N89" s="62">
        <v>0.40760492382891994</v>
      </c>
      <c r="O89" s="63">
        <v>0.41629230862862004</v>
      </c>
      <c r="P89" s="62">
        <v>0.41629230862862004</v>
      </c>
      <c r="Q89" s="63">
        <v>0.44927692954639598</v>
      </c>
      <c r="R89" s="62">
        <v>0.47806627514860617</v>
      </c>
      <c r="S89" s="63">
        <v>0.43864845429862065</v>
      </c>
      <c r="T89" s="63">
        <v>1.43864845429862</v>
      </c>
    </row>
    <row r="90" spans="2:20" x14ac:dyDescent="0.25">
      <c r="M90" s="8"/>
      <c r="T90" s="8"/>
    </row>
    <row r="91" spans="2:20" x14ac:dyDescent="0.25">
      <c r="M91" s="8"/>
      <c r="T91" s="8"/>
    </row>
    <row r="92" spans="2:20" x14ac:dyDescent="0.25">
      <c r="B92" s="2" t="s">
        <v>59</v>
      </c>
      <c r="C92" s="33">
        <v>15053.64140366</v>
      </c>
      <c r="E92" s="33">
        <v>14624.96305887</v>
      </c>
      <c r="G92" s="33">
        <v>14149.436868840001</v>
      </c>
      <c r="I92" s="33">
        <v>13924.201301200001</v>
      </c>
      <c r="K92" s="33">
        <v>13328.865780780001</v>
      </c>
      <c r="M92" s="33">
        <v>13335.81245207</v>
      </c>
      <c r="O92" s="33">
        <v>13166.33857401</v>
      </c>
      <c r="Q92" s="33">
        <v>13142.719681100001</v>
      </c>
      <c r="S92" s="33">
        <v>12978.25474022</v>
      </c>
      <c r="T92" s="33">
        <v>12978.25474022</v>
      </c>
    </row>
    <row r="93" spans="2:20" x14ac:dyDescent="0.25">
      <c r="B93" s="2" t="s">
        <v>60</v>
      </c>
      <c r="C93" s="33">
        <v>1142.18580217</v>
      </c>
      <c r="E93" s="33">
        <v>1109.7180601700002</v>
      </c>
      <c r="G93" s="33">
        <v>1244.3606321700001</v>
      </c>
      <c r="I93" s="33">
        <v>1104.7322136099999</v>
      </c>
      <c r="K93" s="33">
        <v>969.53036516999998</v>
      </c>
      <c r="M93" s="33">
        <v>1012.40557817</v>
      </c>
      <c r="O93" s="33">
        <v>1017.66617517</v>
      </c>
      <c r="Q93" s="33">
        <v>1037.4960591699999</v>
      </c>
      <c r="S93" s="33">
        <v>695.83706099999995</v>
      </c>
      <c r="T93" s="33">
        <v>695.83706099999995</v>
      </c>
    </row>
    <row r="94" spans="2:20" x14ac:dyDescent="0.25">
      <c r="B94" s="42" t="s">
        <v>61</v>
      </c>
      <c r="C94" s="64">
        <f>SUM(C92:C93)</f>
        <v>16195.827205829999</v>
      </c>
      <c r="D94" s="65"/>
      <c r="E94" s="64">
        <f>SUM(E92:E93)</f>
        <v>15734.68111904</v>
      </c>
      <c r="F94" s="65"/>
      <c r="G94" s="64">
        <f t="shared" ref="G94" si="65">SUM(G92:G93)</f>
        <v>15393.797501010002</v>
      </c>
      <c r="H94" s="65"/>
      <c r="I94" s="64">
        <f t="shared" ref="I94" si="66">SUM(I92:I93)</f>
        <v>15028.93351481</v>
      </c>
      <c r="J94" s="65"/>
      <c r="K94" s="64">
        <f t="shared" ref="K94" si="67">SUM(K92:K93)</f>
        <v>14298.396145950001</v>
      </c>
      <c r="L94" s="65"/>
      <c r="M94" s="64">
        <f t="shared" ref="M94" si="68">SUM(M92:M93)</f>
        <v>14348.218030240001</v>
      </c>
      <c r="N94" s="65"/>
      <c r="O94" s="64">
        <f t="shared" ref="O94" si="69">SUM(O92:O93)</f>
        <v>14184.00474918</v>
      </c>
      <c r="P94" s="65"/>
      <c r="Q94" s="64">
        <f t="shared" ref="Q94" si="70">SUM(Q92:Q93)</f>
        <v>14180.215740270001</v>
      </c>
      <c r="R94" s="65"/>
      <c r="S94" s="64">
        <f t="shared" ref="S94:T94" si="71">SUM(S92:S93)</f>
        <v>13674.09180122</v>
      </c>
      <c r="T94" s="64">
        <f t="shared" si="71"/>
        <v>13674.09180122</v>
      </c>
    </row>
    <row r="95" spans="2:20" x14ac:dyDescent="0.25">
      <c r="B95" s="2" t="s">
        <v>62</v>
      </c>
      <c r="C95" s="33">
        <v>25782.692740160001</v>
      </c>
      <c r="E95" s="33">
        <v>25386.82085349</v>
      </c>
      <c r="G95" s="33">
        <v>25067.765844830003</v>
      </c>
      <c r="I95" s="33">
        <v>24659.2200744</v>
      </c>
      <c r="K95" s="33">
        <v>24316.9960498</v>
      </c>
      <c r="M95" s="33">
        <v>23544.666898520001</v>
      </c>
      <c r="O95" s="33">
        <v>23216.161312869997</v>
      </c>
      <c r="Q95" s="33">
        <v>22637.21286254</v>
      </c>
      <c r="S95" s="33">
        <v>22651.918251859999</v>
      </c>
      <c r="T95" s="33">
        <v>22651.918251859999</v>
      </c>
    </row>
    <row r="96" spans="2:20" x14ac:dyDescent="0.25">
      <c r="B96" s="42" t="s">
        <v>63</v>
      </c>
      <c r="C96" s="66">
        <f>SUM(C94:C95)</f>
        <v>41978.519945990003</v>
      </c>
      <c r="D96" s="65"/>
      <c r="E96" s="66">
        <f>SUM(E94:E95)</f>
        <v>41121.501972530001</v>
      </c>
      <c r="F96" s="65"/>
      <c r="G96" s="66">
        <f t="shared" ref="G96" si="72">SUM(G94:G95)</f>
        <v>40461.563345840004</v>
      </c>
      <c r="H96" s="65"/>
      <c r="I96" s="66">
        <f t="shared" ref="I96" si="73">SUM(I94:I95)</f>
        <v>39688.15358921</v>
      </c>
      <c r="J96" s="65"/>
      <c r="K96" s="66">
        <f t="shared" ref="K96" si="74">SUM(K94:K95)</f>
        <v>38615.392195749999</v>
      </c>
      <c r="L96" s="65"/>
      <c r="M96" s="66">
        <f t="shared" ref="M96" si="75">SUM(M94:M95)</f>
        <v>37892.884928760002</v>
      </c>
      <c r="N96" s="65"/>
      <c r="O96" s="66">
        <f t="shared" ref="O96" si="76">SUM(O94:O95)</f>
        <v>37400.166062049997</v>
      </c>
      <c r="P96" s="65"/>
      <c r="Q96" s="66">
        <f t="shared" ref="Q96" si="77">SUM(Q94:Q95)</f>
        <v>36817.428602810003</v>
      </c>
      <c r="R96" s="65"/>
      <c r="S96" s="66">
        <f t="shared" ref="S96:T96" si="78">SUM(S94:S95)</f>
        <v>36326.010053079997</v>
      </c>
      <c r="T96" s="66">
        <f t="shared" si="78"/>
        <v>36326.010053079997</v>
      </c>
    </row>
    <row r="97" spans="2:20" x14ac:dyDescent="0.25">
      <c r="B97" s="2" t="s">
        <v>64</v>
      </c>
      <c r="C97" s="33">
        <v>21676.18002887</v>
      </c>
      <c r="D97" s="30"/>
      <c r="E97" s="33">
        <v>20983.06273537</v>
      </c>
      <c r="F97" s="30"/>
      <c r="G97" s="33">
        <v>21238.404551439999</v>
      </c>
      <c r="H97" s="30"/>
      <c r="I97" s="33">
        <v>21328.693221240002</v>
      </c>
      <c r="J97" s="30"/>
      <c r="K97" s="33">
        <v>19900.41820584</v>
      </c>
      <c r="L97" s="30"/>
      <c r="M97" s="33">
        <v>19101.85977911</v>
      </c>
      <c r="N97" s="30"/>
      <c r="O97" s="33">
        <v>18805.085131689997</v>
      </c>
      <c r="P97" s="30"/>
      <c r="Q97" s="33">
        <v>19715.617019689998</v>
      </c>
      <c r="R97" s="30"/>
      <c r="S97" s="33">
        <v>18748.061442800001</v>
      </c>
      <c r="T97" s="33">
        <v>18748.061442800001</v>
      </c>
    </row>
    <row r="98" spans="2:20" ht="15.75" thickBot="1" x14ac:dyDescent="0.3">
      <c r="B98" s="67" t="s">
        <v>65</v>
      </c>
      <c r="C98" s="62">
        <f>C97/C96</f>
        <v>0.51636360826343564</v>
      </c>
      <c r="D98" s="68"/>
      <c r="E98" s="62">
        <f t="shared" ref="E98" si="79">E97/E96</f>
        <v>0.51026985223903332</v>
      </c>
      <c r="F98" s="68"/>
      <c r="G98" s="62">
        <f t="shared" ref="G98" si="80">G97/G96</f>
        <v>0.52490321171990983</v>
      </c>
      <c r="H98" s="68"/>
      <c r="I98" s="62">
        <f t="shared" ref="I98" si="81">I97/I96</f>
        <v>0.53740704196021416</v>
      </c>
      <c r="J98" s="68"/>
      <c r="K98" s="62">
        <f t="shared" ref="K98" si="82">K97/K96</f>
        <v>0.51534937428475047</v>
      </c>
      <c r="L98" s="68"/>
      <c r="M98" s="62">
        <f t="shared" ref="M98" si="83">M97/M96</f>
        <v>0.50410149068940491</v>
      </c>
      <c r="N98" s="68"/>
      <c r="O98" s="62">
        <f t="shared" ref="O98" si="84">O97/O96</f>
        <v>0.50280753033264058</v>
      </c>
      <c r="P98" s="68"/>
      <c r="Q98" s="62">
        <f t="shared" ref="Q98" si="85">Q97/Q96</f>
        <v>0.53549684939662656</v>
      </c>
      <c r="R98" s="68"/>
      <c r="S98" s="62">
        <f t="shared" ref="S98:T98" si="86">S97/S96</f>
        <v>0.51610571641105396</v>
      </c>
      <c r="T98" s="62">
        <f t="shared" si="86"/>
        <v>0.51610571641105396</v>
      </c>
    </row>
    <row r="99" spans="2:20" x14ac:dyDescent="0.25">
      <c r="T99" s="8"/>
    </row>
    <row r="100" spans="2:20" x14ac:dyDescent="0.25">
      <c r="T100" s="8"/>
    </row>
    <row r="101" spans="2:20" x14ac:dyDescent="0.25">
      <c r="B101" s="11" t="s">
        <v>66</v>
      </c>
      <c r="C101" s="33">
        <v>21676.18002887</v>
      </c>
      <c r="D101" s="33">
        <v>21676.18002887</v>
      </c>
      <c r="E101" s="33">
        <v>20983.06273537</v>
      </c>
      <c r="F101" s="33">
        <v>20983.06273537</v>
      </c>
      <c r="G101" s="33">
        <v>21238.404551439999</v>
      </c>
      <c r="H101" s="33">
        <v>21238.404551439999</v>
      </c>
      <c r="I101" s="33">
        <v>21328.693221240002</v>
      </c>
      <c r="J101" s="33">
        <v>21328.693221240002</v>
      </c>
      <c r="K101" s="33">
        <v>19900.41820584</v>
      </c>
      <c r="L101" s="33">
        <v>19900.41820584</v>
      </c>
      <c r="M101" s="33">
        <v>19101.85977911</v>
      </c>
      <c r="N101" s="33">
        <v>19101.85977911</v>
      </c>
      <c r="O101" s="33">
        <v>18805.085131689997</v>
      </c>
      <c r="P101" s="33">
        <v>18805.085131689997</v>
      </c>
      <c r="Q101" s="33">
        <v>19715.617019689998</v>
      </c>
      <c r="R101" s="33">
        <v>19715.617019689998</v>
      </c>
      <c r="S101" s="33">
        <v>18748.061442800001</v>
      </c>
      <c r="T101" s="33">
        <v>18748.061442800001</v>
      </c>
    </row>
    <row r="102" spans="2:20" x14ac:dyDescent="0.25">
      <c r="B102" s="60" t="s">
        <v>67</v>
      </c>
      <c r="C102" s="45">
        <v>20983.06273537</v>
      </c>
      <c r="D102" s="45">
        <v>20983.06273537</v>
      </c>
      <c r="E102" s="45">
        <v>19101.85977911</v>
      </c>
      <c r="F102" s="45">
        <v>21238.404551439999</v>
      </c>
      <c r="G102" s="45">
        <v>19101.85977911</v>
      </c>
      <c r="H102" s="45">
        <v>21328.693221240002</v>
      </c>
      <c r="I102" s="45">
        <v>19101.85977911</v>
      </c>
      <c r="J102" s="45">
        <v>19900.41820584</v>
      </c>
      <c r="K102" s="45">
        <v>19101.85977911</v>
      </c>
      <c r="L102" s="45">
        <v>19101.85977911</v>
      </c>
      <c r="M102" s="45">
        <v>18738.19758819</v>
      </c>
      <c r="N102" s="45">
        <v>18805.085131689997</v>
      </c>
      <c r="O102" s="45">
        <v>18738.19758819</v>
      </c>
      <c r="P102" s="45">
        <v>19715.617019689998</v>
      </c>
      <c r="Q102" s="45">
        <v>18738.19758819</v>
      </c>
      <c r="R102" s="45">
        <v>18748.061442800001</v>
      </c>
      <c r="S102" s="45">
        <v>18738.19758819</v>
      </c>
      <c r="T102" s="45">
        <v>18738.19758819</v>
      </c>
    </row>
    <row r="103" spans="2:20" x14ac:dyDescent="0.25">
      <c r="B103" s="11" t="s">
        <v>68</v>
      </c>
      <c r="C103" s="33">
        <f>C101-C102</f>
        <v>693.11729349999951</v>
      </c>
      <c r="D103" s="33">
        <f t="shared" ref="D103:T103" si="87">D101-D102</f>
        <v>693.11729349999951</v>
      </c>
      <c r="E103" s="33">
        <f t="shared" si="87"/>
        <v>1881.2029562600001</v>
      </c>
      <c r="F103" s="33">
        <f t="shared" si="87"/>
        <v>-255.34181606999846</v>
      </c>
      <c r="G103" s="33">
        <f t="shared" si="87"/>
        <v>2136.5447723299985</v>
      </c>
      <c r="H103" s="33">
        <f t="shared" si="87"/>
        <v>-90.288669800003845</v>
      </c>
      <c r="I103" s="33">
        <f t="shared" si="87"/>
        <v>2226.8334421300024</v>
      </c>
      <c r="J103" s="33">
        <f t="shared" si="87"/>
        <v>1428.2750154000023</v>
      </c>
      <c r="K103" s="33">
        <f t="shared" si="87"/>
        <v>798.55842673000006</v>
      </c>
      <c r="L103" s="33">
        <f t="shared" si="87"/>
        <v>798.55842673000006</v>
      </c>
      <c r="M103" s="33">
        <f t="shared" si="87"/>
        <v>363.66219092000028</v>
      </c>
      <c r="N103" s="33">
        <f t="shared" si="87"/>
        <v>296.77464742000302</v>
      </c>
      <c r="O103" s="33">
        <f t="shared" si="87"/>
        <v>66.887543499997264</v>
      </c>
      <c r="P103" s="33">
        <f t="shared" si="87"/>
        <v>-910.53188800000135</v>
      </c>
      <c r="Q103" s="33">
        <f t="shared" si="87"/>
        <v>977.41943149999861</v>
      </c>
      <c r="R103" s="33">
        <f t="shared" si="87"/>
        <v>967.55557688999761</v>
      </c>
      <c r="S103" s="33">
        <f t="shared" si="87"/>
        <v>9.8638546100009989</v>
      </c>
      <c r="T103" s="33">
        <f t="shared" si="87"/>
        <v>9.8638546100009989</v>
      </c>
    </row>
    <row r="104" spans="2:20" ht="15.75" thickBot="1" x14ac:dyDescent="0.3">
      <c r="B104" s="36" t="s">
        <v>69</v>
      </c>
      <c r="C104" s="62">
        <f>C103/C102</f>
        <v>3.3032227098651792E-2</v>
      </c>
      <c r="D104" s="62">
        <f t="shared" ref="D104:T104" si="88">D103/D102</f>
        <v>3.3032227098651792E-2</v>
      </c>
      <c r="E104" s="62">
        <f t="shared" si="88"/>
        <v>9.8482712050755594E-2</v>
      </c>
      <c r="F104" s="62">
        <f t="shared" si="88"/>
        <v>-1.2022645837240437E-2</v>
      </c>
      <c r="G104" s="62">
        <f t="shared" si="88"/>
        <v>0.11185009193013483</v>
      </c>
      <c r="H104" s="62">
        <f t="shared" si="88"/>
        <v>-4.2332021405835883E-3</v>
      </c>
      <c r="I104" s="62">
        <f t="shared" si="88"/>
        <v>0.1165767871757331</v>
      </c>
      <c r="J104" s="62">
        <f t="shared" si="88"/>
        <v>7.177110554294075E-2</v>
      </c>
      <c r="K104" s="62">
        <f t="shared" si="88"/>
        <v>4.1805271107858942E-2</v>
      </c>
      <c r="L104" s="62">
        <f t="shared" si="88"/>
        <v>4.1805271107858942E-2</v>
      </c>
      <c r="M104" s="62">
        <f t="shared" si="88"/>
        <v>1.9407533152986031E-2</v>
      </c>
      <c r="N104" s="62">
        <f t="shared" si="88"/>
        <v>1.578161679895209E-2</v>
      </c>
      <c r="O104" s="62">
        <f t="shared" si="88"/>
        <v>3.569582569785369E-3</v>
      </c>
      <c r="P104" s="62">
        <f t="shared" si="88"/>
        <v>-4.6183281359678099E-2</v>
      </c>
      <c r="Q104" s="62">
        <f t="shared" si="88"/>
        <v>5.2161870259924588E-2</v>
      </c>
      <c r="R104" s="62">
        <f t="shared" si="88"/>
        <v>5.160829986833531E-2</v>
      </c>
      <c r="S104" s="62">
        <f t="shared" si="88"/>
        <v>5.2640359690826538E-4</v>
      </c>
      <c r="T104" s="62">
        <f t="shared" si="88"/>
        <v>5.2640359690826538E-4</v>
      </c>
    </row>
    <row r="105" spans="2:20" x14ac:dyDescent="0.25">
      <c r="T105" s="8"/>
    </row>
    <row r="106" spans="2:20" x14ac:dyDescent="0.25">
      <c r="B106" s="11" t="s">
        <v>70</v>
      </c>
      <c r="C106" s="33">
        <v>19900.41820584</v>
      </c>
      <c r="D106" s="33"/>
      <c r="E106" s="33">
        <v>19101.85977911</v>
      </c>
      <c r="F106" s="33"/>
      <c r="G106" s="33">
        <v>18805.085131689997</v>
      </c>
      <c r="H106" s="33"/>
      <c r="I106" s="33">
        <v>19715.617019689998</v>
      </c>
      <c r="J106" s="33"/>
      <c r="K106" s="33">
        <v>18748.061442800001</v>
      </c>
      <c r="L106" s="33"/>
      <c r="M106" s="33">
        <v>18738.19758819</v>
      </c>
      <c r="N106" s="33"/>
      <c r="O106" s="33">
        <v>18291.82447937</v>
      </c>
      <c r="P106" s="33"/>
      <c r="Q106" s="33">
        <v>18649.551957900003</v>
      </c>
      <c r="R106" s="33"/>
      <c r="S106" s="33">
        <v>18235.137814729998</v>
      </c>
      <c r="T106" s="33">
        <v>18235.137814729998</v>
      </c>
    </row>
    <row r="107" spans="2:20" x14ac:dyDescent="0.25">
      <c r="B107" s="11" t="s">
        <v>71</v>
      </c>
      <c r="C107" s="33">
        <f>C101-C106</f>
        <v>1775.7618230299995</v>
      </c>
      <c r="D107" s="33"/>
      <c r="E107" s="33">
        <f t="shared" ref="E107" si="89">E101-E106</f>
        <v>1881.2029562600001</v>
      </c>
      <c r="F107" s="33"/>
      <c r="G107" s="33">
        <f t="shared" ref="G107" si="90">G101-G106</f>
        <v>2433.3194197500015</v>
      </c>
      <c r="H107" s="33"/>
      <c r="I107" s="33">
        <f t="shared" ref="I107" si="91">I101-I106</f>
        <v>1613.076201550004</v>
      </c>
      <c r="J107" s="33"/>
      <c r="K107" s="33">
        <f t="shared" ref="K107" si="92">K101-K106</f>
        <v>1152.3567630399994</v>
      </c>
      <c r="L107" s="33"/>
      <c r="M107" s="33">
        <f t="shared" ref="M107" si="93">M101-M106</f>
        <v>363.66219092000028</v>
      </c>
      <c r="N107" s="33"/>
      <c r="O107" s="33">
        <f t="shared" ref="O107" si="94">O101-O106</f>
        <v>513.26065231999746</v>
      </c>
      <c r="P107" s="33"/>
      <c r="Q107" s="33">
        <f t="shared" ref="Q107" si="95">Q101-Q106</f>
        <v>1066.0650617899955</v>
      </c>
      <c r="R107" s="33"/>
      <c r="S107" s="33">
        <f t="shared" ref="S107:T107" si="96">S101-S106</f>
        <v>512.92362807000245</v>
      </c>
      <c r="T107" s="33">
        <f t="shared" si="96"/>
        <v>512.92362807000245</v>
      </c>
    </row>
    <row r="108" spans="2:20" ht="15.75" thickBot="1" x14ac:dyDescent="0.3">
      <c r="B108" s="36" t="s">
        <v>72</v>
      </c>
      <c r="C108" s="62">
        <f>C107/C106</f>
        <v>8.9232387212288947E-2</v>
      </c>
      <c r="D108" s="62"/>
      <c r="E108" s="62">
        <f t="shared" ref="E108" si="97">E107/E106</f>
        <v>9.8482712050755594E-2</v>
      </c>
      <c r="F108" s="62"/>
      <c r="G108" s="62">
        <f t="shared" ref="G108" si="98">G107/G106</f>
        <v>0.12939688401885588</v>
      </c>
      <c r="H108" s="62"/>
      <c r="I108" s="62">
        <f t="shared" ref="I108" si="99">I107/I106</f>
        <v>8.1817180762794484E-2</v>
      </c>
      <c r="J108" s="62"/>
      <c r="K108" s="62">
        <f t="shared" ref="K108" si="100">K107/K106</f>
        <v>6.1465382250629974E-2</v>
      </c>
      <c r="L108" s="62"/>
      <c r="M108" s="62">
        <f t="shared" ref="M108" si="101">M107/M106</f>
        <v>1.9407533152986031E-2</v>
      </c>
      <c r="N108" s="62"/>
      <c r="O108" s="62">
        <f t="shared" ref="O108" si="102">O107/O106</f>
        <v>2.805956578573484E-2</v>
      </c>
      <c r="P108" s="62"/>
      <c r="Q108" s="62">
        <f t="shared" ref="Q108" si="103">Q107/Q106</f>
        <v>5.7163038779513807E-2</v>
      </c>
      <c r="R108" s="62"/>
      <c r="S108" s="62">
        <f t="shared" ref="S108:T108" si="104">S107/S106</f>
        <v>2.8128311026839208E-2</v>
      </c>
      <c r="T108" s="62">
        <f t="shared" si="104"/>
        <v>2.8128311026839208E-2</v>
      </c>
    </row>
    <row r="109" spans="2:20" x14ac:dyDescent="0.25">
      <c r="T109" s="8"/>
    </row>
    <row r="110" spans="2:20" x14ac:dyDescent="0.25">
      <c r="L110" s="6"/>
      <c r="T110" s="8"/>
    </row>
    <row r="111" spans="2:20" x14ac:dyDescent="0.25">
      <c r="B111" s="69" t="s">
        <v>73</v>
      </c>
      <c r="C111" s="33">
        <v>41978.519945990003</v>
      </c>
      <c r="D111" s="33">
        <v>41978.519945990003</v>
      </c>
      <c r="E111" s="33">
        <v>41121.501972530001</v>
      </c>
      <c r="F111" s="33">
        <v>41121.501972530001</v>
      </c>
      <c r="G111" s="33">
        <v>40461.563345840004</v>
      </c>
      <c r="H111" s="33">
        <v>40461.563345840004</v>
      </c>
      <c r="I111" s="33">
        <v>39688.15358921</v>
      </c>
      <c r="J111" s="33">
        <v>39688.15358921</v>
      </c>
      <c r="K111" s="33">
        <v>38615.392195750006</v>
      </c>
      <c r="L111" s="33">
        <v>38615.392195750006</v>
      </c>
      <c r="M111" s="33">
        <v>37892.884928760002</v>
      </c>
      <c r="N111" s="33">
        <v>37892.884928760002</v>
      </c>
      <c r="O111" s="33">
        <v>37400.166062049997</v>
      </c>
      <c r="P111" s="33">
        <v>37400.166062049997</v>
      </c>
      <c r="Q111" s="33">
        <v>36817.428602810003</v>
      </c>
      <c r="R111" s="33">
        <v>36817.428602810003</v>
      </c>
      <c r="S111" s="33">
        <v>36326.010053079997</v>
      </c>
      <c r="T111" s="33">
        <v>36326.010053079997</v>
      </c>
    </row>
    <row r="112" spans="2:20" x14ac:dyDescent="0.25">
      <c r="B112" s="70" t="s">
        <v>74</v>
      </c>
      <c r="C112" s="45">
        <v>41121.501972530001</v>
      </c>
      <c r="D112" s="45">
        <v>41121.501972530001</v>
      </c>
      <c r="E112" s="45">
        <v>37892.884928760002</v>
      </c>
      <c r="F112" s="45">
        <v>40461.563345840004</v>
      </c>
      <c r="G112" s="45">
        <v>37892.884928760002</v>
      </c>
      <c r="H112" s="45">
        <v>39688.15358921</v>
      </c>
      <c r="I112" s="45">
        <v>37892.884928760002</v>
      </c>
      <c r="J112" s="45">
        <v>38615.392195750006</v>
      </c>
      <c r="K112" s="45">
        <v>37892.884928760002</v>
      </c>
      <c r="L112" s="45">
        <v>37892.884928760002</v>
      </c>
      <c r="M112" s="45">
        <v>35640.819651179998</v>
      </c>
      <c r="N112" s="45">
        <v>37400.166062049997</v>
      </c>
      <c r="O112" s="45">
        <v>35640.819651179998</v>
      </c>
      <c r="P112" s="45">
        <v>36817.428602810003</v>
      </c>
      <c r="Q112" s="45">
        <v>35640.819651179998</v>
      </c>
      <c r="R112" s="45">
        <v>36326.010053079997</v>
      </c>
      <c r="S112" s="45">
        <v>35640.819651179998</v>
      </c>
      <c r="T112" s="45">
        <v>35640.819651179998</v>
      </c>
    </row>
    <row r="113" spans="2:20" x14ac:dyDescent="0.25">
      <c r="B113" s="2" t="s">
        <v>75</v>
      </c>
      <c r="C113" s="71">
        <f t="shared" ref="C113:T113" si="105">C111-C112</f>
        <v>857.01797346000239</v>
      </c>
      <c r="D113" s="71">
        <f t="shared" si="105"/>
        <v>857.01797346000239</v>
      </c>
      <c r="E113" s="71">
        <f t="shared" si="105"/>
        <v>3228.6170437699984</v>
      </c>
      <c r="F113" s="71">
        <f t="shared" si="105"/>
        <v>659.93862668999645</v>
      </c>
      <c r="G113" s="71">
        <f t="shared" si="105"/>
        <v>2568.678417080002</v>
      </c>
      <c r="H113" s="71">
        <f t="shared" si="105"/>
        <v>773.40975663000427</v>
      </c>
      <c r="I113" s="71">
        <f t="shared" si="105"/>
        <v>1795.2686604499977</v>
      </c>
      <c r="J113" s="71">
        <f t="shared" si="105"/>
        <v>1072.761393459994</v>
      </c>
      <c r="K113" s="71">
        <f t="shared" si="105"/>
        <v>722.5072669900037</v>
      </c>
      <c r="L113" s="71">
        <f t="shared" si="105"/>
        <v>722.5072669900037</v>
      </c>
      <c r="M113" s="71">
        <f t="shared" si="105"/>
        <v>2252.0652775800045</v>
      </c>
      <c r="N113" s="71">
        <f t="shared" si="105"/>
        <v>492.71886671000539</v>
      </c>
      <c r="O113" s="71">
        <f t="shared" si="105"/>
        <v>1759.3464108699991</v>
      </c>
      <c r="P113" s="71">
        <f t="shared" si="105"/>
        <v>582.73745923999377</v>
      </c>
      <c r="Q113" s="71">
        <f t="shared" si="105"/>
        <v>1176.6089516300053</v>
      </c>
      <c r="R113" s="71">
        <f t="shared" si="105"/>
        <v>491.41854973000591</v>
      </c>
      <c r="S113" s="71">
        <f t="shared" si="105"/>
        <v>685.19040189999942</v>
      </c>
      <c r="T113" s="71">
        <f t="shared" si="105"/>
        <v>685.19040189999942</v>
      </c>
    </row>
    <row r="114" spans="2:20" ht="15.75" thickBot="1" x14ac:dyDescent="0.3">
      <c r="B114" s="72" t="s">
        <v>76</v>
      </c>
      <c r="C114" s="58">
        <f>C113/C112</f>
        <v>2.0841115532027693E-2</v>
      </c>
      <c r="D114" s="58">
        <f t="shared" ref="D114:T114" si="106">D113/D112</f>
        <v>2.0841115532027693E-2</v>
      </c>
      <c r="E114" s="58">
        <f t="shared" si="106"/>
        <v>8.5203780336068777E-2</v>
      </c>
      <c r="F114" s="58">
        <f t="shared" si="106"/>
        <v>1.6310260210394147E-2</v>
      </c>
      <c r="G114" s="58">
        <f t="shared" si="106"/>
        <v>6.7787882129038482E-2</v>
      </c>
      <c r="H114" s="58">
        <f t="shared" si="106"/>
        <v>1.9487169008544424E-2</v>
      </c>
      <c r="I114" s="58">
        <f t="shared" si="106"/>
        <v>4.7377460539760115E-2</v>
      </c>
      <c r="J114" s="58">
        <f t="shared" si="106"/>
        <v>2.7780668082352449E-2</v>
      </c>
      <c r="K114" s="58">
        <f t="shared" si="106"/>
        <v>1.9067095797755795E-2</v>
      </c>
      <c r="L114" s="58">
        <f t="shared" si="106"/>
        <v>1.9067095797755795E-2</v>
      </c>
      <c r="M114" s="58">
        <f t="shared" si="106"/>
        <v>6.3187808238451743E-2</v>
      </c>
      <c r="N114" s="58">
        <f t="shared" si="106"/>
        <v>1.3174242753161675E-2</v>
      </c>
      <c r="O114" s="58">
        <f t="shared" si="106"/>
        <v>4.9363242150121271E-2</v>
      </c>
      <c r="P114" s="58">
        <f t="shared" si="106"/>
        <v>1.5827760964151574E-2</v>
      </c>
      <c r="Q114" s="58">
        <f t="shared" si="106"/>
        <v>3.3012959947206211E-2</v>
      </c>
      <c r="R114" s="58">
        <f t="shared" si="106"/>
        <v>1.3528007865767236E-2</v>
      </c>
      <c r="S114" s="58">
        <f t="shared" si="106"/>
        <v>1.9224877783564499E-2</v>
      </c>
      <c r="T114" s="58">
        <f t="shared" si="106"/>
        <v>1.9224877783564499E-2</v>
      </c>
    </row>
    <row r="115" spans="2:20" x14ac:dyDescent="0.25">
      <c r="T115" s="8"/>
    </row>
    <row r="116" spans="2:20" x14ac:dyDescent="0.25">
      <c r="B116" s="69" t="s">
        <v>77</v>
      </c>
      <c r="C116" s="33">
        <v>38615.392195750006</v>
      </c>
      <c r="D116" s="33"/>
      <c r="E116" s="33">
        <v>37892.884928760002</v>
      </c>
      <c r="F116" s="33"/>
      <c r="G116" s="33">
        <v>37400.166062049997</v>
      </c>
      <c r="H116" s="33"/>
      <c r="I116" s="33">
        <v>36817.428602810003</v>
      </c>
      <c r="J116" s="33"/>
      <c r="K116" s="33">
        <v>36326.010053079997</v>
      </c>
      <c r="L116" s="33"/>
      <c r="M116" s="33">
        <v>35640.819651179998</v>
      </c>
      <c r="N116" s="33"/>
      <c r="O116" s="33">
        <v>35113.849592350001</v>
      </c>
      <c r="P116" s="33"/>
      <c r="Q116" s="33">
        <v>34734.126993370002</v>
      </c>
      <c r="R116" s="33"/>
      <c r="S116" s="33">
        <v>34491.08384603</v>
      </c>
      <c r="T116" s="33">
        <v>34491.08384603</v>
      </c>
    </row>
    <row r="117" spans="2:20" x14ac:dyDescent="0.25">
      <c r="B117" s="11" t="s">
        <v>78</v>
      </c>
      <c r="C117" s="73">
        <f>C111-C116</f>
        <v>3363.1277502399971</v>
      </c>
      <c r="E117" s="73">
        <f t="shared" ref="E117" si="107">E111-E116</f>
        <v>3228.6170437699984</v>
      </c>
      <c r="G117" s="73">
        <f t="shared" ref="G117" si="108">G111-G116</f>
        <v>3061.3972837900074</v>
      </c>
      <c r="I117" s="73">
        <f t="shared" ref="I117" si="109">I111-I116</f>
        <v>2870.7249863999969</v>
      </c>
      <c r="K117" s="73">
        <f t="shared" ref="K117" si="110">K111-K116</f>
        <v>2289.3821426700088</v>
      </c>
      <c r="M117" s="73">
        <f t="shared" ref="M117" si="111">M111-M116</f>
        <v>2252.0652775800045</v>
      </c>
      <c r="O117" s="73">
        <f t="shared" ref="O117" si="112">O111-O116</f>
        <v>2286.3164696999957</v>
      </c>
      <c r="Q117" s="73">
        <f t="shared" ref="Q117" si="113">Q111-Q116</f>
        <v>2083.3016094400009</v>
      </c>
      <c r="S117" s="73">
        <f t="shared" ref="S117:T117" si="114">S111-S116</f>
        <v>1834.9262070499972</v>
      </c>
      <c r="T117" s="73">
        <f t="shared" si="114"/>
        <v>1834.9262070499972</v>
      </c>
    </row>
    <row r="118" spans="2:20" ht="15.75" thickBot="1" x14ac:dyDescent="0.3">
      <c r="B118" s="72" t="s">
        <v>79</v>
      </c>
      <c r="C118" s="58">
        <f>C117/C116</f>
        <v>8.709293261069459E-2</v>
      </c>
      <c r="D118" s="58"/>
      <c r="E118" s="58">
        <f t="shared" ref="E118" si="115">E117/E116</f>
        <v>8.5203780336068777E-2</v>
      </c>
      <c r="F118" s="58"/>
      <c r="G118" s="58">
        <f t="shared" ref="G118" si="116">G117/G116</f>
        <v>8.1855178897090819E-2</v>
      </c>
      <c r="H118" s="58"/>
      <c r="I118" s="58">
        <f t="shared" ref="I118" si="117">I117/I116</f>
        <v>7.7971903398514245E-2</v>
      </c>
      <c r="J118" s="58"/>
      <c r="K118" s="58">
        <f t="shared" ref="K118" si="118">K117/K116</f>
        <v>6.3023220533296564E-2</v>
      </c>
      <c r="L118" s="58"/>
      <c r="M118" s="58">
        <f t="shared" ref="M118" si="119">M117/M116</f>
        <v>6.3187808238451743E-2</v>
      </c>
      <c r="N118" s="58"/>
      <c r="O118" s="58">
        <f t="shared" ref="O118" si="120">O117/O116</f>
        <v>6.5111529958768719E-2</v>
      </c>
      <c r="P118" s="58"/>
      <c r="Q118" s="58">
        <f t="shared" ref="Q118" si="121">Q117/Q116</f>
        <v>5.9978522271127134E-2</v>
      </c>
      <c r="R118" s="58"/>
      <c r="S118" s="58">
        <f t="shared" ref="S118:T118" si="122">S117/S116</f>
        <v>5.3200015842969843E-2</v>
      </c>
      <c r="T118" s="58">
        <f t="shared" si="122"/>
        <v>5.3200015842969843E-2</v>
      </c>
    </row>
    <row r="119" spans="2:20" x14ac:dyDescent="0.25">
      <c r="T119" s="8"/>
    </row>
    <row r="120" spans="2:20" x14ac:dyDescent="0.25">
      <c r="B120" s="2" t="s">
        <v>80</v>
      </c>
      <c r="C120" s="14">
        <v>14.776768949999999</v>
      </c>
      <c r="D120" s="14">
        <v>14.776768949999999</v>
      </c>
      <c r="E120" s="14">
        <v>8.9582000100000005</v>
      </c>
      <c r="F120" s="14">
        <v>-11.00587247</v>
      </c>
      <c r="G120" s="14">
        <v>19.964072479999999</v>
      </c>
      <c r="H120" s="14">
        <v>13.332711010000002</v>
      </c>
      <c r="I120" s="14">
        <v>6.6313614699999999</v>
      </c>
      <c r="J120" s="14">
        <v>-6.7917312299999999</v>
      </c>
      <c r="K120" s="14">
        <v>13.4230927</v>
      </c>
      <c r="L120" s="14">
        <v>13.4230927</v>
      </c>
      <c r="M120" s="14">
        <v>41.541219720000001</v>
      </c>
      <c r="N120" s="14">
        <v>18.980717590000001</v>
      </c>
      <c r="O120" s="14">
        <v>22.56050213</v>
      </c>
      <c r="P120" s="14">
        <v>19.322265139999999</v>
      </c>
      <c r="Q120" s="14">
        <v>3.2382369900000003</v>
      </c>
      <c r="R120" s="14">
        <v>1.0989888800000003</v>
      </c>
      <c r="S120" s="14">
        <v>2.13924811</v>
      </c>
      <c r="T120" s="14">
        <v>2.13924811</v>
      </c>
    </row>
    <row r="121" spans="2:20" x14ac:dyDescent="0.25">
      <c r="B121" s="2" t="s">
        <v>81</v>
      </c>
      <c r="C121" s="33">
        <f>C120*C14</f>
        <v>59.928007408333329</v>
      </c>
      <c r="D121" s="33">
        <f t="shared" ref="D121:T121" si="123">D120*D14</f>
        <v>59.928007408333329</v>
      </c>
      <c r="E121" s="33">
        <f t="shared" si="123"/>
        <v>8.9582000100000005</v>
      </c>
      <c r="F121" s="33">
        <f t="shared" si="123"/>
        <v>-43.664602734239132</v>
      </c>
      <c r="G121" s="33">
        <f t="shared" si="123"/>
        <v>26.691891777289374</v>
      </c>
      <c r="H121" s="33">
        <f t="shared" si="123"/>
        <v>52.896081724456529</v>
      </c>
      <c r="I121" s="33">
        <f t="shared" si="123"/>
        <v>13.372635008563536</v>
      </c>
      <c r="J121" s="33">
        <f t="shared" si="123"/>
        <v>-27.241559329120879</v>
      </c>
      <c r="K121" s="33">
        <f t="shared" si="123"/>
        <v>54.438098172222219</v>
      </c>
      <c r="L121" s="33">
        <f t="shared" si="123"/>
        <v>54.438098172222219</v>
      </c>
      <c r="M121" s="33">
        <f t="shared" si="123"/>
        <v>41.541219720000001</v>
      </c>
      <c r="N121" s="33">
        <f t="shared" si="123"/>
        <v>75.510246064565223</v>
      </c>
      <c r="O121" s="33">
        <f t="shared" si="123"/>
        <v>30.135561239343065</v>
      </c>
      <c r="P121" s="33">
        <f t="shared" si="123"/>
        <v>76.869011317826079</v>
      </c>
      <c r="Q121" s="33">
        <f t="shared" si="123"/>
        <v>6.5120590018681321</v>
      </c>
      <c r="R121" s="33">
        <f t="shared" si="123"/>
        <v>4.4201091217582427</v>
      </c>
      <c r="S121" s="33">
        <f t="shared" si="123"/>
        <v>8.6040088819780216</v>
      </c>
      <c r="T121" s="33">
        <f t="shared" si="123"/>
        <v>8.6040088819780216</v>
      </c>
    </row>
    <row r="122" spans="2:20" x14ac:dyDescent="0.25">
      <c r="B122" s="70" t="s">
        <v>82</v>
      </c>
      <c r="C122" s="18">
        <f>IF(C2="YTD",AVERAGEIFS(122:122,$2:$2,"QTD",$5:$5,"&lt;="&amp;C$5,$5:$5,"&gt;="&amp;C$7),AVERAGE(C111,E111))</f>
        <v>41550.010959260006</v>
      </c>
      <c r="D122" s="18">
        <f>IF(D2="YTD",AVERAGEIFS(122:122,$2:$2,"QTD",$5:$5,"&lt;="&amp;D$5,$5:$5,"&gt;="&amp;D$7),AVERAGE(D111,F111))</f>
        <v>41550.010959260006</v>
      </c>
      <c r="E122" s="18">
        <f>IF(E2="YTD",AVERAGEIFS(122:122,$2:$2,"QTD",$5:$5,"&lt;="&amp;E$5,$5:$5,"&gt;="&amp;E$7),AVERAGE(E111,G111))</f>
        <v>39568.075645361256</v>
      </c>
      <c r="F122" s="18">
        <f>IF(F2="YTD",AVERAGEIFS(122:122,$2:$2,"QTD",$5:$5,"&lt;="&amp;F$5,$5:$5,"&gt;="&amp;F$7),AVERAGE(F111,H111))</f>
        <v>40791.532659185003</v>
      </c>
      <c r="G122" s="18">
        <f>IF(G2="YTD",AVERAGEIFS(122:122,$2:$2,"QTD",$5:$5,"&lt;="&amp;G$5,$5:$5,"&gt;="&amp;G$7),AVERAGE(G111,I111))</f>
        <v>39160.256640753338</v>
      </c>
      <c r="H122" s="18">
        <f>IF(H2="YTD",AVERAGEIFS(122:122,$2:$2,"QTD",$5:$5,"&lt;="&amp;H$5,$5:$5,"&gt;="&amp;H$7),AVERAGE(H111,J111))</f>
        <v>40074.858467525002</v>
      </c>
      <c r="I122" s="18">
        <f>IF(I2="YTD",AVERAGEIFS(122:122,$2:$2,"QTD",$5:$5,"&lt;="&amp;I$5,$5:$5,"&gt;="&amp;I$7),AVERAGE(I111,K111))</f>
        <v>38702.955727367502</v>
      </c>
      <c r="J122" s="18">
        <f>IF(J2="YTD",AVERAGEIFS(122:122,$2:$2,"QTD",$5:$5,"&lt;="&amp;J$5,$5:$5,"&gt;="&amp;J$7),AVERAGE(J111,L111))</f>
        <v>39151.772892480003</v>
      </c>
      <c r="K122" s="18">
        <f>IF(K2="YTD",AVERAGEIFS(122:122,$2:$2,"QTD",$5:$5,"&lt;="&amp;K$5,$5:$5,"&gt;="&amp;K$7),AVERAGE(K111,M111))</f>
        <v>38254.138562255001</v>
      </c>
      <c r="L122" s="18">
        <f>IF(L2="YTD",AVERAGEIFS(122:122,$2:$2,"QTD",$5:$5,"&lt;="&amp;L$5,$5:$5,"&gt;="&amp;L$7),AVERAGE(L111,N111))</f>
        <v>38254.138562255001</v>
      </c>
      <c r="M122" s="18" t="e">
        <f>IF(M2="YTD",AVERAGEIFS(122:122,$2:$2,"QTD",$5:$5,"&lt;="&amp;M$5,$5:$5,"&gt;="&amp;M$7),AVERAGE(M111,O111))</f>
        <v>#REF!</v>
      </c>
      <c r="N122" s="18">
        <f>IF(N2="YTD",AVERAGEIFS(122:122,$2:$2,"QTD",$5:$5,"&lt;="&amp;N$5,$5:$5,"&gt;="&amp;N$7),AVERAGE(N111,P111))</f>
        <v>37646.525495405003</v>
      </c>
      <c r="O122" s="18" t="e">
        <f>IF(O2="YTD",AVERAGEIFS(122:122,$2:$2,"QTD",$5:$5,"&lt;="&amp;O$5,$5:$5,"&gt;="&amp;O$7),AVERAGE(O111,Q111))</f>
        <v>#REF!</v>
      </c>
      <c r="P122" s="18">
        <f>IF(P2="YTD",AVERAGEIFS(122:122,$2:$2,"QTD",$5:$5,"&lt;="&amp;P$5,$5:$5,"&gt;="&amp;P$7),AVERAGE(P111,R111))</f>
        <v>37108.797332429996</v>
      </c>
      <c r="Q122" s="18" t="e">
        <f>IF(Q2="YTD",AVERAGEIFS(122:122,$2:$2,"QTD",$5:$5,"&lt;="&amp;Q$5,$5:$5,"&gt;="&amp;Q$7),AVERAGE(Q111,S111))</f>
        <v>#REF!</v>
      </c>
      <c r="R122" s="18">
        <f>IF(R2="YTD",AVERAGEIFS(122:122,$2:$2,"QTD",$5:$5,"&lt;="&amp;R$5,$5:$5,"&gt;="&amp;R$7),AVERAGE(R111,T111))</f>
        <v>36571.719327945</v>
      </c>
      <c r="S122" s="18" t="e">
        <f>IF(S2="YTD",AVERAGEIFS(122:122,$2:$2,"QTD",$5:$5,"&lt;="&amp;S$5,$5:$5,"&gt;="&amp;S$7),AVERAGE(S111,#REF!))</f>
        <v>#REF!</v>
      </c>
      <c r="T122" s="18" t="e">
        <f>IF(T2="YTD",AVERAGEIFS(122:122,$2:$2,"QTD",$5:$5,"&lt;="&amp;T$5,$5:$5,"&gt;="&amp;T$7),AVERAGE(T111,#REF!))</f>
        <v>#REF!</v>
      </c>
    </row>
    <row r="123" spans="2:20" s="48" customFormat="1" ht="15.75" thickBot="1" x14ac:dyDescent="0.3">
      <c r="B123" s="49" t="s">
        <v>83</v>
      </c>
      <c r="C123" s="55">
        <f t="shared" ref="C123:D123" si="124">C121/C122</f>
        <v>1.4423102671884502E-3</v>
      </c>
      <c r="D123" s="55">
        <f t="shared" si="124"/>
        <v>1.4423102671884502E-3</v>
      </c>
      <c r="E123" s="55">
        <v>4.1720773860472437E-4</v>
      </c>
      <c r="F123" s="55">
        <v>5.0584206110407042E-4</v>
      </c>
      <c r="G123" s="55">
        <v>3.2862170623734521E-4</v>
      </c>
      <c r="H123" s="55">
        <v>3.2862170623734521E-4</v>
      </c>
      <c r="I123" s="55">
        <v>7.2464340989429556E-4</v>
      </c>
      <c r="J123" s="55">
        <v>4.8159742530704984E-4</v>
      </c>
      <c r="K123" s="55">
        <v>8.0754047810623541E-4</v>
      </c>
      <c r="L123" s="55">
        <v>1.2338231002375069E-3</v>
      </c>
      <c r="M123" s="55">
        <v>5.9030000952108388E-4</v>
      </c>
      <c r="N123" s="55">
        <v>7.8176633020513367E-4</v>
      </c>
      <c r="O123" s="56">
        <v>3.9728558721097347E-4</v>
      </c>
      <c r="P123" s="55">
        <v>3.9728558721097347E-4</v>
      </c>
      <c r="Q123" s="56">
        <v>6.0616780743455852E-5</v>
      </c>
      <c r="R123" s="55">
        <v>3.4230108594529774E-4</v>
      </c>
      <c r="S123" s="56">
        <v>-3.8660067234572042E-5</v>
      </c>
      <c r="T123" s="56">
        <v>0.99996133993276504</v>
      </c>
    </row>
    <row r="124" spans="2:20" x14ac:dyDescent="0.25">
      <c r="L124" s="6"/>
      <c r="T124" s="8"/>
    </row>
    <row r="125" spans="2:20" x14ac:dyDescent="0.25">
      <c r="T125" s="8"/>
    </row>
    <row r="126" spans="2:20" s="11" customFormat="1" x14ac:dyDescent="0.25">
      <c r="B126" s="11" t="s">
        <v>84</v>
      </c>
      <c r="C126" s="74">
        <v>2160.9827754099997</v>
      </c>
      <c r="D126" s="6"/>
      <c r="E126" s="74">
        <v>2274.77605584</v>
      </c>
      <c r="F126" s="6"/>
      <c r="G126" s="74">
        <v>2462.5393685200006</v>
      </c>
      <c r="H126" s="6"/>
      <c r="I126" s="74">
        <v>2198.6741741199994</v>
      </c>
      <c r="J126" s="6"/>
      <c r="K126" s="74">
        <v>1772.0429677300003</v>
      </c>
      <c r="L126" s="6"/>
      <c r="M126" s="74">
        <v>1856.5500852399996</v>
      </c>
      <c r="N126" s="6"/>
      <c r="O126" s="74">
        <v>2295.6695023399998</v>
      </c>
      <c r="P126" s="6"/>
      <c r="Q126" s="74">
        <v>1945.9670390399999</v>
      </c>
      <c r="R126" s="6"/>
      <c r="S126" s="74">
        <v>1993.4741498200001</v>
      </c>
      <c r="T126" s="74">
        <v>1993.4741498200001</v>
      </c>
    </row>
    <row r="127" spans="2:20" x14ac:dyDescent="0.25">
      <c r="B127" s="70" t="s">
        <v>63</v>
      </c>
      <c r="C127" s="16">
        <f>C111</f>
        <v>41978.519945990003</v>
      </c>
      <c r="E127" s="16">
        <f t="shared" ref="E127" si="125">E111</f>
        <v>41121.501972530001</v>
      </c>
      <c r="G127" s="16">
        <f t="shared" ref="G127" si="126">G111</f>
        <v>40461.563345840004</v>
      </c>
      <c r="I127" s="16">
        <f t="shared" ref="I127" si="127">I111</f>
        <v>39688.15358921</v>
      </c>
      <c r="K127" s="16">
        <f t="shared" ref="K127" si="128">K111</f>
        <v>38615.392195750006</v>
      </c>
      <c r="M127" s="16">
        <f t="shared" ref="M127" si="129">M111</f>
        <v>37892.884928760002</v>
      </c>
      <c r="O127" s="16">
        <f t="shared" ref="O127" si="130">O111</f>
        <v>37400.166062049997</v>
      </c>
      <c r="Q127" s="16">
        <f t="shared" ref="Q127" si="131">Q111</f>
        <v>36817.428602810003</v>
      </c>
      <c r="S127" s="16">
        <f t="shared" ref="S127:T127" si="132">S111</f>
        <v>36326.010053079997</v>
      </c>
      <c r="T127" s="16">
        <f t="shared" si="132"/>
        <v>36326.010053079997</v>
      </c>
    </row>
    <row r="128" spans="2:20" ht="15.75" thickBot="1" x14ac:dyDescent="0.3">
      <c r="B128" s="72" t="s">
        <v>85</v>
      </c>
      <c r="C128" s="55">
        <f>+C126/C127</f>
        <v>5.1478298381894896E-2</v>
      </c>
      <c r="D128" s="75"/>
      <c r="E128" s="55">
        <v>5.6198409549378797E-2</v>
      </c>
      <c r="F128" s="75"/>
      <c r="G128" s="56">
        <v>5.5603815336232598E-2</v>
      </c>
      <c r="H128" s="75"/>
      <c r="I128" s="56">
        <v>5.7037532437913631E-2</v>
      </c>
      <c r="J128" s="75"/>
      <c r="K128" s="55">
        <v>5.8748364846995978E-2</v>
      </c>
      <c r="L128" s="75"/>
      <c r="M128" s="56">
        <v>5.329770152696859E-2</v>
      </c>
      <c r="N128" s="75"/>
      <c r="O128" s="56">
        <v>5.8367765618300059E-2</v>
      </c>
      <c r="P128" s="75"/>
      <c r="Q128" s="56">
        <v>5.9269454091792198E-2</v>
      </c>
      <c r="R128" s="75"/>
      <c r="S128" s="56">
        <v>5.5875766696214774E-2</v>
      </c>
      <c r="T128" s="56">
        <v>1.05587576669621</v>
      </c>
    </row>
    <row r="129" spans="2:20" x14ac:dyDescent="0.25">
      <c r="G129" s="76"/>
      <c r="I129" s="8"/>
      <c r="M129" s="8"/>
      <c r="S129" s="11"/>
      <c r="T129" s="11"/>
    </row>
    <row r="130" spans="2:20" x14ac:dyDescent="0.25">
      <c r="B130" s="2" t="s">
        <v>86</v>
      </c>
      <c r="C130" s="74">
        <v>371.32106959000004</v>
      </c>
      <c r="D130" s="6"/>
      <c r="E130" s="74">
        <v>365.7086688</v>
      </c>
      <c r="F130" s="6"/>
      <c r="G130" s="74">
        <v>375.19642005999998</v>
      </c>
      <c r="H130" s="6"/>
      <c r="I130" s="74">
        <v>371.65815143000003</v>
      </c>
      <c r="J130" s="6"/>
      <c r="K130" s="74">
        <v>286.2408360500001</v>
      </c>
      <c r="L130" s="6"/>
      <c r="M130" s="74">
        <v>301.01077069000002</v>
      </c>
      <c r="N130" s="6"/>
      <c r="O130" s="74">
        <v>276.66511680999992</v>
      </c>
      <c r="P130" s="6"/>
      <c r="Q130" s="74">
        <v>206.47378459000004</v>
      </c>
      <c r="R130" s="6"/>
      <c r="S130" s="74">
        <v>230.16960325000002</v>
      </c>
      <c r="T130" s="74">
        <v>230.16960325000002</v>
      </c>
    </row>
    <row r="131" spans="2:20" x14ac:dyDescent="0.25">
      <c r="B131" s="70" t="s">
        <v>63</v>
      </c>
      <c r="C131" s="16">
        <f>C111</f>
        <v>41978.519945990003</v>
      </c>
      <c r="E131" s="16">
        <f t="shared" ref="E131" si="133">E111</f>
        <v>41121.501972530001</v>
      </c>
      <c r="G131" s="16">
        <f t="shared" ref="G131" si="134">G111</f>
        <v>40461.563345840004</v>
      </c>
      <c r="I131" s="16">
        <f t="shared" ref="I131" si="135">I111</f>
        <v>39688.15358921</v>
      </c>
      <c r="K131" s="16">
        <f t="shared" ref="K131" si="136">K111</f>
        <v>38615.392195750006</v>
      </c>
      <c r="M131" s="16">
        <f t="shared" ref="M131" si="137">M111</f>
        <v>37892.884928760002</v>
      </c>
      <c r="O131" s="16">
        <f t="shared" ref="O131" si="138">O111</f>
        <v>37400.166062049997</v>
      </c>
      <c r="Q131" s="16">
        <f t="shared" ref="Q131" si="139">Q111</f>
        <v>36817.428602810003</v>
      </c>
      <c r="S131" s="16">
        <f t="shared" ref="S131:T131" si="140">S111</f>
        <v>36326.010053079997</v>
      </c>
      <c r="T131" s="16">
        <f t="shared" si="140"/>
        <v>36326.010053079997</v>
      </c>
    </row>
    <row r="132" spans="2:20" ht="15.75" thickBot="1" x14ac:dyDescent="0.3">
      <c r="B132" s="72" t="s">
        <v>87</v>
      </c>
      <c r="C132" s="55">
        <f>+C130/C131</f>
        <v>8.8455017010543851E-3</v>
      </c>
      <c r="D132" s="75"/>
      <c r="E132" s="55">
        <v>8.4447676829424948E-3</v>
      </c>
      <c r="F132" s="75"/>
      <c r="G132" s="55">
        <v>9.249488783311147E-3</v>
      </c>
      <c r="H132" s="75"/>
      <c r="I132" s="56">
        <v>8.9456153961073939E-3</v>
      </c>
      <c r="J132" s="75"/>
      <c r="K132" s="56">
        <v>9.1439785542306688E-3</v>
      </c>
      <c r="L132" s="75"/>
      <c r="M132" s="56">
        <v>7.806800877850956E-3</v>
      </c>
      <c r="N132" s="75"/>
      <c r="O132" s="56">
        <v>8.2422134739232253E-3</v>
      </c>
      <c r="P132" s="75"/>
      <c r="Q132" s="56">
        <v>8.8205851272280915E-3</v>
      </c>
      <c r="R132" s="75"/>
      <c r="S132" s="56">
        <v>9.7680445896984568E-3</v>
      </c>
      <c r="T132" s="56">
        <v>1.0097680445896999</v>
      </c>
    </row>
    <row r="133" spans="2:20" x14ac:dyDescent="0.25">
      <c r="I133" s="8"/>
      <c r="T133" s="8"/>
    </row>
    <row r="134" spans="2:20" x14ac:dyDescent="0.25">
      <c r="B134" s="2" t="s">
        <v>88</v>
      </c>
      <c r="C134" s="33">
        <v>131.421491</v>
      </c>
      <c r="E134" s="33">
        <v>119.66811708</v>
      </c>
      <c r="G134" s="33">
        <v>132.57867362000002</v>
      </c>
      <c r="I134" s="33">
        <v>121.86003220000001</v>
      </c>
      <c r="K134" s="33">
        <v>135.07702830000002</v>
      </c>
      <c r="M134" s="33">
        <v>124.20026542000001</v>
      </c>
      <c r="O134" s="33">
        <v>107.37401459</v>
      </c>
      <c r="Q134" s="33">
        <v>89.43271833</v>
      </c>
      <c r="S134" s="33">
        <v>90.680372000000006</v>
      </c>
      <c r="T134" s="33">
        <v>90.680372000000006</v>
      </c>
    </row>
    <row r="135" spans="2:20" x14ac:dyDescent="0.25">
      <c r="B135" s="2" t="s">
        <v>89</v>
      </c>
      <c r="C135" s="33">
        <v>8.6909197200000001</v>
      </c>
      <c r="E135" s="33">
        <v>8.636286740000001</v>
      </c>
      <c r="G135" s="33">
        <v>11.243526619999999</v>
      </c>
      <c r="I135" s="33">
        <v>12.329110349999999</v>
      </c>
      <c r="K135" s="33">
        <v>7.8092294299999994</v>
      </c>
      <c r="M135" s="33">
        <v>6.7265494600000002</v>
      </c>
      <c r="O135" s="33">
        <v>9.0310729800000011</v>
      </c>
      <c r="Q135" s="33">
        <v>7.7059617300000003</v>
      </c>
      <c r="S135" s="33">
        <v>5.2614914000000006</v>
      </c>
      <c r="T135" s="33">
        <v>5.2614914000000006</v>
      </c>
    </row>
    <row r="136" spans="2:20" x14ac:dyDescent="0.25">
      <c r="B136" s="42" t="s">
        <v>90</v>
      </c>
      <c r="C136" s="64">
        <f>SUM(C134:C135)</f>
        <v>140.11241072000001</v>
      </c>
      <c r="D136" s="77"/>
      <c r="E136" s="64">
        <f>SUM(E134:E135)</f>
        <v>128.30440382</v>
      </c>
      <c r="F136" s="77"/>
      <c r="G136" s="64">
        <f t="shared" ref="G136" si="141">SUM(G134:G135)</f>
        <v>143.82220024000003</v>
      </c>
      <c r="H136" s="77"/>
      <c r="I136" s="64">
        <f t="shared" ref="I136" si="142">SUM(I134:I135)</f>
        <v>134.18914255000001</v>
      </c>
      <c r="J136" s="77"/>
      <c r="K136" s="64">
        <f t="shared" ref="K136" si="143">SUM(K134:K135)</f>
        <v>142.88625773000001</v>
      </c>
      <c r="L136" s="77"/>
      <c r="M136" s="64">
        <f t="shared" ref="M136" si="144">SUM(M134:M135)</f>
        <v>130.92681487999999</v>
      </c>
      <c r="N136" s="77"/>
      <c r="O136" s="64">
        <f t="shared" ref="O136" si="145">SUM(O134:O135)</f>
        <v>116.40508757000001</v>
      </c>
      <c r="P136" s="77"/>
      <c r="Q136" s="64">
        <f t="shared" ref="Q136" si="146">SUM(Q134:Q135)</f>
        <v>97.138680059999999</v>
      </c>
      <c r="R136" s="77"/>
      <c r="S136" s="64">
        <f t="shared" ref="S136:T136" si="147">SUM(S134:S135)</f>
        <v>95.941863400000003</v>
      </c>
      <c r="T136" s="64">
        <f t="shared" si="147"/>
        <v>95.941863400000003</v>
      </c>
    </row>
    <row r="137" spans="2:20" x14ac:dyDescent="0.25">
      <c r="B137" s="78" t="s">
        <v>91</v>
      </c>
      <c r="C137" s="31">
        <f>C111</f>
        <v>41978.519945990003</v>
      </c>
      <c r="D137" s="79"/>
      <c r="E137" s="31">
        <f>E111</f>
        <v>41121.501972530001</v>
      </c>
      <c r="F137" s="79"/>
      <c r="G137" s="31">
        <f>G111</f>
        <v>40461.563345840004</v>
      </c>
      <c r="H137" s="79"/>
      <c r="I137" s="31">
        <f>I111</f>
        <v>39688.15358921</v>
      </c>
      <c r="J137" s="79"/>
      <c r="K137" s="31">
        <f>K111</f>
        <v>38615.392195750006</v>
      </c>
      <c r="L137" s="79"/>
      <c r="M137" s="31">
        <f>M111</f>
        <v>37892.884928760002</v>
      </c>
      <c r="N137" s="79"/>
      <c r="O137" s="31">
        <f>O111</f>
        <v>37400.166062049997</v>
      </c>
      <c r="P137" s="79"/>
      <c r="Q137" s="31">
        <f>Q111</f>
        <v>36817.428602810003</v>
      </c>
      <c r="R137" s="79"/>
      <c r="S137" s="31">
        <f>S111</f>
        <v>36326.010053079997</v>
      </c>
      <c r="T137" s="31">
        <f t="shared" ref="T137" si="148">T111</f>
        <v>36326.010053079997</v>
      </c>
    </row>
    <row r="138" spans="2:20" x14ac:dyDescent="0.25">
      <c r="B138" s="80" t="s">
        <v>92</v>
      </c>
      <c r="C138" s="81">
        <f>+C136/C137</f>
        <v>3.3377167870680072E-3</v>
      </c>
      <c r="D138" s="82"/>
      <c r="E138" s="81">
        <f>+E136/E137</f>
        <v>3.1201293159405985E-3</v>
      </c>
      <c r="F138" s="82"/>
      <c r="G138" s="81">
        <f t="shared" ref="G138" si="149">+G136/G137</f>
        <v>3.554538884488923E-3</v>
      </c>
      <c r="H138" s="82"/>
      <c r="I138" s="81">
        <f t="shared" ref="I138" si="150">+I136/I137</f>
        <v>3.3810880682159515E-3</v>
      </c>
      <c r="J138" s="82"/>
      <c r="K138" s="81">
        <f t="shared" ref="K138" si="151">+K136/K137</f>
        <v>3.700241007670667E-3</v>
      </c>
      <c r="L138" s="82"/>
      <c r="M138" s="81">
        <f t="shared" ref="M138" si="152">+M136/M137</f>
        <v>3.4551820249671449E-3</v>
      </c>
      <c r="N138" s="82"/>
      <c r="O138" s="81">
        <f t="shared" ref="O138" si="153">+O136/O137</f>
        <v>3.1124216768683394E-3</v>
      </c>
      <c r="P138" s="82"/>
      <c r="Q138" s="81">
        <f t="shared" ref="Q138" si="154">+Q136/Q137</f>
        <v>2.6383884955123163E-3</v>
      </c>
      <c r="R138" s="82"/>
      <c r="S138" s="81">
        <f t="shared" ref="S138:T138" si="155">+S136/S137</f>
        <v>2.641134087113025E-3</v>
      </c>
      <c r="T138" s="81">
        <f t="shared" si="155"/>
        <v>2.641134087113025E-3</v>
      </c>
    </row>
    <row r="139" spans="2:20" s="11" customFormat="1" x14ac:dyDescent="0.25">
      <c r="C139" s="7"/>
      <c r="D139" s="7"/>
      <c r="E139" s="6"/>
      <c r="F139" s="7"/>
      <c r="G139" s="7"/>
      <c r="H139" s="7"/>
      <c r="I139" s="7"/>
      <c r="J139" s="7"/>
      <c r="K139" s="6"/>
      <c r="L139" s="7"/>
      <c r="M139" s="7"/>
      <c r="N139" s="7"/>
      <c r="O139" s="8"/>
      <c r="P139" s="7"/>
      <c r="Q139" s="8"/>
      <c r="R139" s="7"/>
      <c r="S139" s="8"/>
      <c r="T139" s="8"/>
    </row>
    <row r="140" spans="2:20" s="11" customFormat="1" x14ac:dyDescent="0.25">
      <c r="B140" s="11" t="s">
        <v>93</v>
      </c>
      <c r="C140" s="83">
        <v>4.1800000000000004E-2</v>
      </c>
      <c r="D140" s="83">
        <v>4.1800000000000004E-2</v>
      </c>
      <c r="E140" s="83">
        <v>4.3975000000000007E-2</v>
      </c>
      <c r="F140" s="83">
        <v>4.2000000000000003E-2</v>
      </c>
      <c r="G140" s="83">
        <v>4.4633333333333337E-2</v>
      </c>
      <c r="H140" s="83">
        <v>4.2733333333333338E-2</v>
      </c>
      <c r="I140" s="83">
        <v>4.558333333333333E-2</v>
      </c>
      <c r="J140" s="83">
        <v>4.5733333333333327E-2</v>
      </c>
      <c r="K140" s="83">
        <v>4.5433333333333333E-2</v>
      </c>
      <c r="L140" s="83">
        <v>4.5433333333333333E-2</v>
      </c>
      <c r="M140" s="83">
        <v>4.7174999999999995E-2</v>
      </c>
      <c r="N140" s="83">
        <v>4.6933333333333327E-2</v>
      </c>
      <c r="O140" s="83">
        <v>4.7255555555555558E-2</v>
      </c>
      <c r="P140" s="83">
        <v>4.7433333333333334E-2</v>
      </c>
      <c r="Q140" s="83">
        <v>4.7166666666666669E-2</v>
      </c>
      <c r="R140" s="83">
        <v>4.7233333333333342E-2</v>
      </c>
      <c r="S140" s="83">
        <v>4.7100000000000003E-2</v>
      </c>
      <c r="T140" s="83">
        <v>4.7100000000000003E-2</v>
      </c>
    </row>
    <row r="141" spans="2:20" s="11" customFormat="1" x14ac:dyDescent="0.25">
      <c r="C141" s="84"/>
      <c r="D141" s="84"/>
      <c r="E141" s="84"/>
      <c r="F141" s="84"/>
      <c r="G141" s="84"/>
      <c r="H141" s="84"/>
      <c r="I141" s="84"/>
      <c r="J141" s="84"/>
      <c r="K141" s="84"/>
      <c r="L141" s="84"/>
      <c r="M141" s="84"/>
      <c r="N141" s="84"/>
      <c r="O141" s="84"/>
      <c r="P141" s="84"/>
      <c r="Q141" s="84"/>
      <c r="R141" s="84"/>
      <c r="S141" s="84"/>
      <c r="T141" s="84"/>
    </row>
    <row r="142" spans="2:20" s="11" customFormat="1" x14ac:dyDescent="0.25">
      <c r="B142" s="11" t="s">
        <v>94</v>
      </c>
      <c r="C142" s="85">
        <v>143.80199188999998</v>
      </c>
      <c r="D142" s="85">
        <v>143.80199188999998</v>
      </c>
      <c r="E142" s="85">
        <v>577.64156348999995</v>
      </c>
      <c r="F142" s="85">
        <v>146.63676776</v>
      </c>
      <c r="G142" s="85">
        <v>431.00479573000001</v>
      </c>
      <c r="H142" s="85">
        <v>149.41423884000002</v>
      </c>
      <c r="I142" s="85">
        <v>281.59055688999996</v>
      </c>
      <c r="J142" s="85">
        <v>142.59932623999998</v>
      </c>
      <c r="K142" s="85">
        <v>138.99123065000001</v>
      </c>
      <c r="L142" s="85">
        <v>138.99123065000001</v>
      </c>
      <c r="M142" s="85">
        <v>554.54615452999997</v>
      </c>
      <c r="N142" s="85">
        <v>140.39374254999996</v>
      </c>
      <c r="O142" s="85">
        <v>414.15241198000001</v>
      </c>
      <c r="P142" s="85">
        <v>140.96362929000003</v>
      </c>
      <c r="Q142" s="85">
        <v>273.18878268999998</v>
      </c>
      <c r="R142" s="85">
        <v>139.85748440999998</v>
      </c>
      <c r="S142" s="85">
        <v>133.33129828</v>
      </c>
      <c r="T142" s="85">
        <v>133.33129828</v>
      </c>
    </row>
    <row r="143" spans="2:20" s="11" customFormat="1" x14ac:dyDescent="0.25">
      <c r="B143" s="60" t="s">
        <v>95</v>
      </c>
      <c r="C143" s="86">
        <f>C146*C$140/C$14</f>
        <v>87.663296746571845</v>
      </c>
      <c r="D143" s="86">
        <f>D146*D$140/D$14</f>
        <v>87.663296746571845</v>
      </c>
      <c r="E143" s="86">
        <f>E146*E$140/E$14</f>
        <v>351.5714835066658</v>
      </c>
      <c r="F143" s="86">
        <f>F146*F$140/F$14</f>
        <v>86.701557929460265</v>
      </c>
      <c r="G143" s="86">
        <f>G146*G$140/G$14</f>
        <v>264.72098749209738</v>
      </c>
      <c r="H143" s="86">
        <f>H146*H$140/H$14</f>
        <v>88.486473825972737</v>
      </c>
      <c r="I143" s="86">
        <f>I146*I$140/I$14</f>
        <v>176.02104249553796</v>
      </c>
      <c r="J143" s="86">
        <f>J146*J$140/J$14</f>
        <v>90.265455891228896</v>
      </c>
      <c r="K143" s="86">
        <f>K146*K$140/K$14</f>
        <v>85.784608127033408</v>
      </c>
      <c r="L143" s="86">
        <f>L146*L$140/L$14</f>
        <v>85.784608127033408</v>
      </c>
      <c r="M143" s="86">
        <f>M146*M$140/M$14</f>
        <v>351.62587807783933</v>
      </c>
      <c r="N143" s="86">
        <f>N146*N$140/N$14</f>
        <v>88.514421035044904</v>
      </c>
      <c r="O143" s="86">
        <f>O146*O$140/O$14</f>
        <v>263.108425896185</v>
      </c>
      <c r="P143" s="86">
        <f>P146*P$140/P$14</f>
        <v>89.546142950558419</v>
      </c>
      <c r="Q143" s="86">
        <f>Q146*Q$140/Q$14</f>
        <v>173.58020331200282</v>
      </c>
      <c r="R143" s="86">
        <f>R146*R$140/R$14</f>
        <v>88.320320694960941</v>
      </c>
      <c r="S143" s="86">
        <f>S146*S$140/S$14</f>
        <v>85.263855933957032</v>
      </c>
      <c r="T143" s="86">
        <f>T146*T$140/T$14</f>
        <v>85.263855933957032</v>
      </c>
    </row>
    <row r="144" spans="2:20" s="11" customFormat="1" x14ac:dyDescent="0.25">
      <c r="B144" s="11" t="s">
        <v>96</v>
      </c>
      <c r="C144" s="85">
        <f>C142-C143</f>
        <v>56.138695143428137</v>
      </c>
      <c r="D144" s="85">
        <f>D142-D143</f>
        <v>56.138695143428137</v>
      </c>
      <c r="E144" s="85">
        <f t="shared" ref="E144:T144" si="156">E142-E143</f>
        <v>226.07007998333415</v>
      </c>
      <c r="F144" s="85">
        <f t="shared" si="156"/>
        <v>59.935209830539733</v>
      </c>
      <c r="G144" s="85">
        <f t="shared" si="156"/>
        <v>166.28380823790263</v>
      </c>
      <c r="H144" s="85">
        <f t="shared" si="156"/>
        <v>60.927765014027287</v>
      </c>
      <c r="I144" s="85">
        <f t="shared" si="156"/>
        <v>105.569514394462</v>
      </c>
      <c r="J144" s="85">
        <f t="shared" si="156"/>
        <v>52.333870348771086</v>
      </c>
      <c r="K144" s="85">
        <f t="shared" si="156"/>
        <v>53.206622522966597</v>
      </c>
      <c r="L144" s="85">
        <f t="shared" si="156"/>
        <v>53.206622522966597</v>
      </c>
      <c r="M144" s="85">
        <f t="shared" si="156"/>
        <v>202.92027645216064</v>
      </c>
      <c r="N144" s="85">
        <f t="shared" si="156"/>
        <v>51.879321514955052</v>
      </c>
      <c r="O144" s="85">
        <f t="shared" si="156"/>
        <v>151.04398608381501</v>
      </c>
      <c r="P144" s="85">
        <f t="shared" si="156"/>
        <v>51.417486339441609</v>
      </c>
      <c r="Q144" s="85">
        <f t="shared" si="156"/>
        <v>99.60857937799716</v>
      </c>
      <c r="R144" s="85">
        <f t="shared" si="156"/>
        <v>51.537163715039043</v>
      </c>
      <c r="S144" s="85">
        <f t="shared" si="156"/>
        <v>48.067442346042967</v>
      </c>
      <c r="T144" s="85">
        <f t="shared" si="156"/>
        <v>48.067442346042967</v>
      </c>
    </row>
    <row r="145" spans="2:20" s="11" customFormat="1" x14ac:dyDescent="0.25">
      <c r="B145" s="11" t="s">
        <v>97</v>
      </c>
      <c r="C145" s="85">
        <v>8733.7530178600009</v>
      </c>
      <c r="D145" s="85" t="s">
        <v>171</v>
      </c>
      <c r="E145" s="85">
        <v>8415.1454231400003</v>
      </c>
      <c r="F145" s="85" t="s">
        <v>171</v>
      </c>
      <c r="G145" s="85">
        <v>8233.4529501699999</v>
      </c>
      <c r="H145" s="85" t="s">
        <v>171</v>
      </c>
      <c r="I145" s="85">
        <v>8033.9572694600001</v>
      </c>
      <c r="J145" s="85" t="s">
        <v>171</v>
      </c>
      <c r="K145" s="85">
        <v>7849.5641867799995</v>
      </c>
      <c r="L145" s="85" t="s">
        <v>171</v>
      </c>
      <c r="M145" s="85">
        <v>7537.64865293</v>
      </c>
      <c r="N145" s="85" t="s">
        <v>171</v>
      </c>
      <c r="O145" s="85">
        <v>7623.4346860200003</v>
      </c>
      <c r="P145" s="85" t="s">
        <v>171</v>
      </c>
      <c r="Q145" s="85">
        <v>7419.2987160600005</v>
      </c>
      <c r="R145" s="85" t="s">
        <v>171</v>
      </c>
      <c r="S145" s="85">
        <v>7684.9011557600006</v>
      </c>
      <c r="T145" s="85" t="s">
        <v>171</v>
      </c>
    </row>
    <row r="146" spans="2:20" s="11" customFormat="1" x14ac:dyDescent="0.25">
      <c r="B146" s="11" t="s">
        <v>98</v>
      </c>
      <c r="C146" s="85">
        <v>8505.3437832266663</v>
      </c>
      <c r="D146" s="85">
        <v>8505.3437832266663</v>
      </c>
      <c r="E146" s="85">
        <v>7994.8034907712499</v>
      </c>
      <c r="F146" s="85">
        <v>8189.976357208333</v>
      </c>
      <c r="G146" s="85">
        <v>7929.7458686255559</v>
      </c>
      <c r="H146" s="85">
        <v>8215.1435290850004</v>
      </c>
      <c r="I146" s="85">
        <v>7787.0470383958336</v>
      </c>
      <c r="J146" s="85">
        <v>7916.6272227033332</v>
      </c>
      <c r="K146" s="85">
        <v>7657.4668540883331</v>
      </c>
      <c r="L146" s="85">
        <v>7657.4668540883331</v>
      </c>
      <c r="M146" s="85">
        <v>7453.6487138916664</v>
      </c>
      <c r="N146" s="85">
        <v>7502.8435567316665</v>
      </c>
      <c r="O146" s="85">
        <v>7437.2504329450003</v>
      </c>
      <c r="P146" s="85">
        <v>7510.2863637533337</v>
      </c>
      <c r="Q146" s="85">
        <v>7400.7324675408336</v>
      </c>
      <c r="R146" s="85">
        <v>7520.5869173433339</v>
      </c>
      <c r="S146" s="85">
        <v>7280.8780177383333</v>
      </c>
      <c r="T146" s="85">
        <v>7280.8780177383333</v>
      </c>
    </row>
    <row r="147" spans="2:20" s="87" customFormat="1" ht="15.75" thickBot="1" x14ac:dyDescent="0.3">
      <c r="B147" s="88" t="s">
        <v>99</v>
      </c>
      <c r="C147" s="89">
        <f>C144/C146*C$14</f>
        <v>2.6768300350135554E-2</v>
      </c>
      <c r="D147" s="89">
        <f>D144/D146*D$14</f>
        <v>2.6768300350135554E-2</v>
      </c>
      <c r="E147" s="89">
        <f>E144/E146*E$14</f>
        <v>2.8277127792358712E-2</v>
      </c>
      <c r="F147" s="89">
        <f>F144/F146*F$14</f>
        <v>2.9033835988630189E-2</v>
      </c>
      <c r="G147" s="89">
        <f>G144/G146*G$14</f>
        <v>2.8036313672484877E-2</v>
      </c>
      <c r="H147" s="89">
        <f>H144/H146*H$14</f>
        <v>2.9424231512717433E-2</v>
      </c>
      <c r="I147" s="89">
        <f>I144/I146*I$14</f>
        <v>2.7338835722455625E-2</v>
      </c>
      <c r="J147" s="89">
        <f>J144/J146*J$14</f>
        <v>2.6515152597998064E-2</v>
      </c>
      <c r="K147" s="89">
        <f>K144/K146*K$14</f>
        <v>2.8179346731374746E-2</v>
      </c>
      <c r="L147" s="89">
        <f>L144/L146*L$14</f>
        <v>2.8179346731374746E-2</v>
      </c>
      <c r="M147" s="89">
        <f>M144/M146*M$14</f>
        <v>2.7224287626269522E-2</v>
      </c>
      <c r="N147" s="89">
        <f>N144/N146*N$14</f>
        <v>2.7508167158485232E-2</v>
      </c>
      <c r="O147" s="89">
        <f>O144/O146*O$14</f>
        <v>2.7128236016784196E-2</v>
      </c>
      <c r="P147" s="89">
        <f>P144/P146*P$14</f>
        <v>2.7236268233769165E-2</v>
      </c>
      <c r="Q147" s="89">
        <f>Q144/Q146*Q$14</f>
        <v>2.7066477461242411E-2</v>
      </c>
      <c r="R147" s="89">
        <f>R144/R146*R$14</f>
        <v>2.7561856814520117E-2</v>
      </c>
      <c r="S147" s="89">
        <f>S144/S146*S$14</f>
        <v>2.6552593824190125E-2</v>
      </c>
      <c r="T147" s="89">
        <f>T144/T146*T$14</f>
        <v>2.6552593824190125E-2</v>
      </c>
    </row>
    <row r="148" spans="2:20" s="11" customFormat="1" x14ac:dyDescent="0.25">
      <c r="C148" s="84"/>
      <c r="D148" s="8"/>
    </row>
    <row r="149" spans="2:20" s="11" customFormat="1" x14ac:dyDescent="0.25">
      <c r="C149" s="7"/>
      <c r="D149" s="8"/>
    </row>
    <row r="150" spans="2:20" s="11" customFormat="1" x14ac:dyDescent="0.25">
      <c r="B150" s="11" t="s">
        <v>100</v>
      </c>
      <c r="C150" s="85">
        <v>206.05151350999998</v>
      </c>
      <c r="D150" s="85">
        <v>206.05151350999998</v>
      </c>
      <c r="E150" s="85">
        <v>887.76073129999997</v>
      </c>
      <c r="F150" s="85">
        <v>218.11628831999994</v>
      </c>
      <c r="G150" s="85">
        <v>669.64444298000001</v>
      </c>
      <c r="H150" s="85">
        <v>224.29888980000001</v>
      </c>
      <c r="I150" s="85">
        <v>445.34555318000002</v>
      </c>
      <c r="J150" s="85">
        <v>224.69198377000001</v>
      </c>
      <c r="K150" s="85">
        <v>220.65356940999999</v>
      </c>
      <c r="L150" s="85">
        <v>220.65356940999999</v>
      </c>
      <c r="M150" s="85">
        <v>854.97454755999991</v>
      </c>
      <c r="N150" s="85">
        <v>224.35081045999991</v>
      </c>
      <c r="O150" s="85">
        <v>630.62373709999997</v>
      </c>
      <c r="P150" s="85">
        <v>216.01603617000001</v>
      </c>
      <c r="Q150" s="85">
        <v>414.60770093000002</v>
      </c>
      <c r="R150" s="85">
        <v>209.22720154000001</v>
      </c>
      <c r="S150" s="85">
        <v>205.38049938999998</v>
      </c>
      <c r="T150" s="85">
        <v>205.38049938999998</v>
      </c>
    </row>
    <row r="151" spans="2:20" s="11" customFormat="1" x14ac:dyDescent="0.25">
      <c r="B151" s="60" t="s">
        <v>95</v>
      </c>
      <c r="C151" s="86">
        <f>C154*C$140/C$14</f>
        <v>168.45109042916934</v>
      </c>
      <c r="D151" s="86">
        <f>D154*D$140/D$14</f>
        <v>168.45109042916934</v>
      </c>
      <c r="E151" s="86">
        <f>E154*E$140/E$14</f>
        <v>706.59109316708918</v>
      </c>
      <c r="F151" s="86">
        <f>F154*F$140/F$14</f>
        <v>173.52117086105932</v>
      </c>
      <c r="G151" s="86">
        <f>G154*G$140/G$14</f>
        <v>532.80804020018525</v>
      </c>
      <c r="H151" s="86">
        <f>H154*H$140/H$14</f>
        <v>174.30882162279329</v>
      </c>
      <c r="I151" s="86">
        <f>I154*I$140/I$14</f>
        <v>358.25637678580205</v>
      </c>
      <c r="J151" s="86">
        <f>J154*J$140/J$14</f>
        <v>182.36629167451599</v>
      </c>
      <c r="K151" s="86">
        <f>K154*K$140/K$14</f>
        <v>175.92553517839315</v>
      </c>
      <c r="L151" s="86">
        <f>L154*L$140/L$14</f>
        <v>175.92553517839315</v>
      </c>
      <c r="M151" s="86">
        <f>M154*M$140/M$14</f>
        <v>698.34785965064304</v>
      </c>
      <c r="N151" s="86">
        <f>N154*N$140/N$14</f>
        <v>182.38581721954552</v>
      </c>
      <c r="O151" s="86">
        <f>O154*O$140/O$14</f>
        <v>515.95886065862226</v>
      </c>
      <c r="P151" s="86">
        <f>P154*P$140/P$14</f>
        <v>176.9120094715604</v>
      </c>
      <c r="Q151" s="86">
        <f>Q154*Q$140/Q$14</f>
        <v>339.10353218494737</v>
      </c>
      <c r="R151" s="86">
        <f>R154*R$140/R$14</f>
        <v>169.93230237674308</v>
      </c>
      <c r="S151" s="86">
        <f>S154*S$140/S$14</f>
        <v>169.17162751362397</v>
      </c>
      <c r="T151" s="86">
        <f>T154*T$140/T$14</f>
        <v>169.17162751362397</v>
      </c>
    </row>
    <row r="152" spans="2:20" s="11" customFormat="1" x14ac:dyDescent="0.25">
      <c r="B152" s="11" t="s">
        <v>101</v>
      </c>
      <c r="C152" s="85">
        <f>C150-C151</f>
        <v>37.600423080830637</v>
      </c>
      <c r="D152" s="85">
        <f t="shared" ref="D152:T152" si="157">D150-D151</f>
        <v>37.600423080830637</v>
      </c>
      <c r="E152" s="85">
        <f t="shared" si="157"/>
        <v>181.16963813291079</v>
      </c>
      <c r="F152" s="85">
        <f t="shared" si="157"/>
        <v>44.595117458940621</v>
      </c>
      <c r="G152" s="85">
        <f t="shared" si="157"/>
        <v>136.83640277981476</v>
      </c>
      <c r="H152" s="85">
        <f t="shared" si="157"/>
        <v>49.990068177206723</v>
      </c>
      <c r="I152" s="85">
        <f t="shared" si="157"/>
        <v>87.089176394197978</v>
      </c>
      <c r="J152" s="85">
        <f t="shared" si="157"/>
        <v>42.325692095484015</v>
      </c>
      <c r="K152" s="85">
        <f t="shared" si="157"/>
        <v>44.728034231606841</v>
      </c>
      <c r="L152" s="85">
        <f t="shared" si="157"/>
        <v>44.728034231606841</v>
      </c>
      <c r="M152" s="85">
        <f t="shared" si="157"/>
        <v>156.62668790935686</v>
      </c>
      <c r="N152" s="85">
        <f t="shared" si="157"/>
        <v>41.96499324045439</v>
      </c>
      <c r="O152" s="85">
        <f t="shared" si="157"/>
        <v>114.66487644137771</v>
      </c>
      <c r="P152" s="85">
        <f t="shared" si="157"/>
        <v>39.104026698439611</v>
      </c>
      <c r="Q152" s="85">
        <f t="shared" si="157"/>
        <v>75.504168745052652</v>
      </c>
      <c r="R152" s="85">
        <f t="shared" si="157"/>
        <v>39.294899163256929</v>
      </c>
      <c r="S152" s="85">
        <f t="shared" si="157"/>
        <v>36.208871876376008</v>
      </c>
      <c r="T152" s="85">
        <f t="shared" si="157"/>
        <v>36.208871876376008</v>
      </c>
    </row>
    <row r="153" spans="2:20" s="11" customFormat="1" x14ac:dyDescent="0.25">
      <c r="B153" s="11" t="s">
        <v>102</v>
      </c>
      <c r="C153" s="85">
        <v>16505.640917479999</v>
      </c>
      <c r="D153" s="85" t="s">
        <v>171</v>
      </c>
      <c r="E153" s="85">
        <v>16383.299179649999</v>
      </c>
      <c r="F153" s="85" t="s">
        <v>171</v>
      </c>
      <c r="G153" s="85">
        <v>16308.517225469999</v>
      </c>
      <c r="H153" s="85" t="s">
        <v>171</v>
      </c>
      <c r="I153" s="85">
        <v>16103.26777423</v>
      </c>
      <c r="J153" s="85" t="s">
        <v>171</v>
      </c>
      <c r="K153" s="85">
        <v>15968.532649389999</v>
      </c>
      <c r="L153" s="85" t="s">
        <v>171</v>
      </c>
      <c r="M153" s="85">
        <v>15484.806874399999</v>
      </c>
      <c r="N153" s="85" t="s">
        <v>171</v>
      </c>
      <c r="O153" s="85">
        <v>15091.065994629998</v>
      </c>
      <c r="P153" s="85" t="s">
        <v>171</v>
      </c>
      <c r="Q153" s="85">
        <v>14673.18193583</v>
      </c>
      <c r="R153" s="85" t="s">
        <v>171</v>
      </c>
      <c r="S153" s="85">
        <v>14406.745397969999</v>
      </c>
      <c r="T153" s="85" t="s">
        <v>171</v>
      </c>
    </row>
    <row r="154" spans="2:20" s="11" customFormat="1" x14ac:dyDescent="0.25">
      <c r="B154" s="11" t="s">
        <v>103</v>
      </c>
      <c r="C154" s="85">
        <v>16343.606594004998</v>
      </c>
      <c r="D154" s="85">
        <v>16343.606594004998</v>
      </c>
      <c r="E154" s="85">
        <v>16068.018036772917</v>
      </c>
      <c r="F154" s="85">
        <v>16391.104390343335</v>
      </c>
      <c r="G154" s="85">
        <v>15960.322585582779</v>
      </c>
      <c r="H154" s="85">
        <v>16182.947812263332</v>
      </c>
      <c r="I154" s="85">
        <v>15849.0099722425</v>
      </c>
      <c r="J154" s="85">
        <v>15994.224312273334</v>
      </c>
      <c r="K154" s="85">
        <v>15703.795632211666</v>
      </c>
      <c r="L154" s="85">
        <v>15703.795632211666</v>
      </c>
      <c r="M154" s="85">
        <v>14803.34625650542</v>
      </c>
      <c r="N154" s="85">
        <v>15459.766189095002</v>
      </c>
      <c r="O154" s="85">
        <v>14584.539612308889</v>
      </c>
      <c r="P154" s="85">
        <v>14837.711692976665</v>
      </c>
      <c r="Q154" s="85">
        <v>14457.953571975</v>
      </c>
      <c r="R154" s="85">
        <v>14469.950290403334</v>
      </c>
      <c r="S154" s="85">
        <v>14445.956853546668</v>
      </c>
      <c r="T154" s="85">
        <v>14445.956853546668</v>
      </c>
    </row>
    <row r="155" spans="2:20" s="87" customFormat="1" ht="15.75" thickBot="1" x14ac:dyDescent="0.3">
      <c r="B155" s="88" t="s">
        <v>104</v>
      </c>
      <c r="C155" s="89">
        <f>C152/C154*C$14</f>
        <v>9.3302909513642562E-3</v>
      </c>
      <c r="D155" s="89">
        <f>D152/D154*D$14</f>
        <v>9.3302909513642562E-3</v>
      </c>
      <c r="E155" s="89">
        <f>E152/E154*E$14</f>
        <v>1.1275170199478858E-2</v>
      </c>
      <c r="F155" s="89">
        <f>F152/F154*F$14</f>
        <v>1.0794042732544942E-2</v>
      </c>
      <c r="G155" s="89">
        <f>G152/G154*G$14</f>
        <v>1.146278643826593E-2</v>
      </c>
      <c r="H155" s="89">
        <f>H152/H154*H$14</f>
        <v>1.2255502773092529E-2</v>
      </c>
      <c r="I155" s="89">
        <f>I152/I154*I$14</f>
        <v>1.1080933137655506E-2</v>
      </c>
      <c r="J155" s="89">
        <f>J152/J154*J$14</f>
        <v>1.0614324431302223E-2</v>
      </c>
      <c r="K155" s="89">
        <f>K152/K154*K$14</f>
        <v>1.1551158201841988E-2</v>
      </c>
      <c r="L155" s="89">
        <f>L152/L154*L$14</f>
        <v>1.1551158201841988E-2</v>
      </c>
      <c r="M155" s="89">
        <f>M152/M154*M$14</f>
        <v>1.0580492085735435E-2</v>
      </c>
      <c r="N155" s="89">
        <f>N152/N154*N$14</f>
        <v>1.0798849637055312E-2</v>
      </c>
      <c r="O155" s="89">
        <f>O152/O154*O$14</f>
        <v>1.0501907907986399E-2</v>
      </c>
      <c r="P155" s="89">
        <f>P152/P154*P$14</f>
        <v>1.0484502090067703E-2</v>
      </c>
      <c r="Q155" s="89">
        <f>Q152/Q154*Q$14</f>
        <v>1.0502043243829515E-2</v>
      </c>
      <c r="R155" s="89">
        <f>R152/R154*R$14</f>
        <v>1.0922167501520605E-2</v>
      </c>
      <c r="S155" s="89">
        <f>S152/S154*S$14</f>
        <v>1.0081110470134628E-2</v>
      </c>
      <c r="T155" s="89">
        <f>T152/T154*T$14</f>
        <v>1.0081110470134628E-2</v>
      </c>
    </row>
    <row r="156" spans="2:20" x14ac:dyDescent="0.25">
      <c r="B156" s="11"/>
      <c r="D156" s="8"/>
      <c r="E156" s="11"/>
      <c r="F156" s="11"/>
      <c r="G156" s="11"/>
      <c r="H156" s="11"/>
      <c r="I156" s="11"/>
      <c r="J156" s="11"/>
      <c r="K156" s="11"/>
      <c r="L156" s="11"/>
      <c r="M156" s="11"/>
      <c r="N156" s="11"/>
      <c r="O156" s="11"/>
      <c r="P156" s="11"/>
      <c r="Q156" s="11"/>
      <c r="R156" s="11"/>
      <c r="S156" s="11"/>
      <c r="T156" s="11"/>
    </row>
    <row r="157" spans="2:20" x14ac:dyDescent="0.25">
      <c r="B157" s="11"/>
      <c r="D157" s="8"/>
      <c r="E157" s="11"/>
      <c r="F157" s="11"/>
      <c r="G157" s="11"/>
      <c r="H157" s="11"/>
      <c r="I157" s="11"/>
      <c r="J157" s="11"/>
      <c r="K157" s="11"/>
      <c r="L157" s="11"/>
      <c r="M157" s="11"/>
      <c r="N157" s="11"/>
      <c r="O157" s="11"/>
      <c r="P157" s="11"/>
      <c r="Q157" s="11"/>
      <c r="R157" s="11"/>
      <c r="S157" s="11"/>
      <c r="T157" s="11"/>
    </row>
    <row r="158" spans="2:20" x14ac:dyDescent="0.25">
      <c r="B158" s="11" t="s">
        <v>105</v>
      </c>
      <c r="C158" s="85">
        <v>41.592430899999997</v>
      </c>
      <c r="D158" s="85">
        <v>41.592430899999997</v>
      </c>
      <c r="E158" s="85">
        <v>177.67901416000001</v>
      </c>
      <c r="F158" s="85">
        <v>42.270974389999985</v>
      </c>
      <c r="G158" s="85">
        <v>135.40803977000002</v>
      </c>
      <c r="H158" s="85">
        <v>45.818390320000006</v>
      </c>
      <c r="I158" s="85">
        <v>89.589649449999996</v>
      </c>
      <c r="J158" s="85">
        <v>48.883240300000004</v>
      </c>
      <c r="K158" s="85">
        <v>40.706409149999999</v>
      </c>
      <c r="L158" s="85">
        <v>40.706409149999999</v>
      </c>
      <c r="M158" s="85">
        <v>178.14621543999999</v>
      </c>
      <c r="N158" s="85">
        <v>43.336459340000005</v>
      </c>
      <c r="O158" s="85">
        <v>134.80975609999999</v>
      </c>
      <c r="P158" s="85">
        <v>43.12259319999999</v>
      </c>
      <c r="Q158" s="85">
        <v>91.687162900000004</v>
      </c>
      <c r="R158" s="85">
        <v>46.921274550000007</v>
      </c>
      <c r="S158" s="85">
        <v>44.765888350000004</v>
      </c>
      <c r="T158" s="85">
        <v>44.765888350000004</v>
      </c>
    </row>
    <row r="159" spans="2:20" x14ac:dyDescent="0.25">
      <c r="B159" s="60" t="s">
        <v>95</v>
      </c>
      <c r="C159" s="86">
        <f>C162*C$140/C14</f>
        <v>65.742893382875437</v>
      </c>
      <c r="D159" s="86">
        <f>D162*D$140/D14</f>
        <v>65.742893382875437</v>
      </c>
      <c r="E159" s="86">
        <f>E162*E$140/E14</f>
        <v>278.28510588055565</v>
      </c>
      <c r="F159" s="86">
        <f>F162*F$140/F14</f>
        <v>68.852313389551995</v>
      </c>
      <c r="G159" s="86">
        <f>G162*G$140/G14</f>
        <v>209.30344326419907</v>
      </c>
      <c r="H159" s="86">
        <f>H162*H$140/H14</f>
        <v>70.033197935670302</v>
      </c>
      <c r="I159" s="86">
        <f>I162*I$140/I14</f>
        <v>139.09797399279611</v>
      </c>
      <c r="J159" s="86">
        <f>J162*J$140/J14</f>
        <v>73.402685987238939</v>
      </c>
      <c r="K159" s="86">
        <f>K162*K$140/K14</f>
        <v>65.754429528904325</v>
      </c>
      <c r="L159" s="86">
        <f>L162*L$140/L14</f>
        <v>65.754429528904325</v>
      </c>
      <c r="M159" s="86">
        <f>M162*M$140/M14</f>
        <v>293.983586462858</v>
      </c>
      <c r="N159" s="86">
        <f>N162*N$140/N14</f>
        <v>71.222975693986101</v>
      </c>
      <c r="O159" s="86">
        <f>O162*O$140/O14</f>
        <v>222.75687894024091</v>
      </c>
      <c r="P159" s="86">
        <f>P162*P$140/P14</f>
        <v>73.462513067028596</v>
      </c>
      <c r="Q159" s="86">
        <f>Q162*Q$140/Q14</f>
        <v>149.2709197220928</v>
      </c>
      <c r="R159" s="86">
        <f>R162*R$140/R14</f>
        <v>75.921145070460156</v>
      </c>
      <c r="S159" s="86">
        <f>S162*S$140/S14</f>
        <v>73.353106178501676</v>
      </c>
      <c r="T159" s="86">
        <f>T162*T$140/T14</f>
        <v>73.353106178501676</v>
      </c>
    </row>
    <row r="160" spans="2:20" x14ac:dyDescent="0.25">
      <c r="B160" s="11" t="s">
        <v>106</v>
      </c>
      <c r="C160" s="85">
        <f>C159-C158</f>
        <v>24.15046248287544</v>
      </c>
      <c r="D160" s="85">
        <f t="shared" ref="D160:T160" si="158">D159-D158</f>
        <v>24.15046248287544</v>
      </c>
      <c r="E160" s="85">
        <f t="shared" si="158"/>
        <v>100.60609172055564</v>
      </c>
      <c r="F160" s="85">
        <f t="shared" si="158"/>
        <v>26.58133899955201</v>
      </c>
      <c r="G160" s="85">
        <f t="shared" si="158"/>
        <v>73.895403494199059</v>
      </c>
      <c r="H160" s="85">
        <f t="shared" si="158"/>
        <v>24.214807615670296</v>
      </c>
      <c r="I160" s="85">
        <f t="shared" si="158"/>
        <v>49.508324542796117</v>
      </c>
      <c r="J160" s="85">
        <f t="shared" si="158"/>
        <v>24.519445687238935</v>
      </c>
      <c r="K160" s="85">
        <f t="shared" si="158"/>
        <v>25.048020378904326</v>
      </c>
      <c r="L160" s="85">
        <f t="shared" si="158"/>
        <v>25.048020378904326</v>
      </c>
      <c r="M160" s="85">
        <f t="shared" si="158"/>
        <v>115.83737102285801</v>
      </c>
      <c r="N160" s="85">
        <f t="shared" si="158"/>
        <v>27.886516353986096</v>
      </c>
      <c r="O160" s="85">
        <f t="shared" si="158"/>
        <v>87.947122840240922</v>
      </c>
      <c r="P160" s="85">
        <f t="shared" si="158"/>
        <v>30.339919867028605</v>
      </c>
      <c r="Q160" s="85">
        <f t="shared" si="158"/>
        <v>57.583756822092795</v>
      </c>
      <c r="R160" s="85">
        <f t="shared" si="158"/>
        <v>28.999870520460149</v>
      </c>
      <c r="S160" s="85">
        <f t="shared" si="158"/>
        <v>28.587217828501672</v>
      </c>
      <c r="T160" s="85">
        <f t="shared" si="158"/>
        <v>28.587217828501672</v>
      </c>
    </row>
    <row r="161" spans="2:20" x14ac:dyDescent="0.25">
      <c r="B161" s="11" t="s">
        <v>107</v>
      </c>
      <c r="C161" s="85">
        <v>6560.1343594199998</v>
      </c>
      <c r="D161" s="90"/>
      <c r="E161" s="85">
        <v>6588.9915285500001</v>
      </c>
      <c r="F161" s="90"/>
      <c r="G161" s="85">
        <v>6858.75064957</v>
      </c>
      <c r="H161" s="90"/>
      <c r="I161" s="85">
        <v>6916.4642292500002</v>
      </c>
      <c r="J161" s="90"/>
      <c r="K161" s="85">
        <v>6427.9721725299996</v>
      </c>
      <c r="L161" s="90"/>
      <c r="M161" s="85">
        <v>6256.4610877899995</v>
      </c>
      <c r="N161" s="90"/>
      <c r="O161" s="85">
        <v>6226.5252263299999</v>
      </c>
      <c r="P161" s="90"/>
      <c r="Q161" s="85">
        <v>6972.6665013000002</v>
      </c>
      <c r="R161" s="90"/>
      <c r="S161" s="85">
        <v>6551.3637412899998</v>
      </c>
      <c r="T161" s="85">
        <v>6551.3637412899998</v>
      </c>
    </row>
    <row r="162" spans="2:20" x14ac:dyDescent="0.25">
      <c r="B162" s="11" t="s">
        <v>108</v>
      </c>
      <c r="C162" s="85">
        <v>6378.5635525649996</v>
      </c>
      <c r="D162" s="85">
        <v>6378.5635525649996</v>
      </c>
      <c r="E162" s="85">
        <v>6328.2570979091661</v>
      </c>
      <c r="F162" s="85">
        <v>6503.9064149033329</v>
      </c>
      <c r="G162" s="85">
        <v>6269.7073255777768</v>
      </c>
      <c r="H162" s="85">
        <v>6501.9290289933333</v>
      </c>
      <c r="I162" s="85">
        <v>6153.5964738699995</v>
      </c>
      <c r="J162" s="85">
        <v>6437.6975263533341</v>
      </c>
      <c r="K162" s="85">
        <v>5869.4954213866658</v>
      </c>
      <c r="L162" s="85">
        <v>5869.4954213866658</v>
      </c>
      <c r="M162" s="85">
        <v>6231.766538693334</v>
      </c>
      <c r="N162" s="85">
        <v>6037.150082756667</v>
      </c>
      <c r="O162" s="85">
        <v>6296.6386906722219</v>
      </c>
      <c r="P162" s="85">
        <v>6161.3431014999996</v>
      </c>
      <c r="Q162" s="85">
        <v>6364.2864852583343</v>
      </c>
      <c r="R162" s="85">
        <v>6464.7814441100008</v>
      </c>
      <c r="S162" s="85">
        <v>6263.791526406666</v>
      </c>
      <c r="T162" s="85">
        <v>6263.791526406666</v>
      </c>
    </row>
    <row r="163" spans="2:20" s="48" customFormat="1" ht="15.75" thickBot="1" x14ac:dyDescent="0.3">
      <c r="B163" s="88" t="s">
        <v>109</v>
      </c>
      <c r="C163" s="89">
        <f>C160/C162*C$14</f>
        <v>1.5355109576712715E-2</v>
      </c>
      <c r="D163" s="89">
        <f>D160/D162*D$14</f>
        <v>1.5355109576712715E-2</v>
      </c>
      <c r="E163" s="89">
        <f>E160/E162*E$14</f>
        <v>1.5897914728179349E-2</v>
      </c>
      <c r="F163" s="89">
        <f>F160/F162*F$14</f>
        <v>1.6214651084630004E-2</v>
      </c>
      <c r="G163" s="89">
        <f>G160/G162*G$14</f>
        <v>1.5757973803586733E-2</v>
      </c>
      <c r="H163" s="89">
        <f>H160/H162*H$14</f>
        <v>1.4775556106883546E-2</v>
      </c>
      <c r="I163" s="89">
        <f>I160/I162*I$14</f>
        <v>1.6224207985416093E-2</v>
      </c>
      <c r="J163" s="89">
        <f>J160/J162*J$14</f>
        <v>1.5276770429872393E-2</v>
      </c>
      <c r="K163" s="89">
        <f>K160/K162*K$14</f>
        <v>1.7307047865340205E-2</v>
      </c>
      <c r="L163" s="89">
        <f>L160/L162*L$14</f>
        <v>1.7307047865340205E-2</v>
      </c>
      <c r="M163" s="89">
        <f>M160/M162*M$14</f>
        <v>1.8588207742318053E-2</v>
      </c>
      <c r="N163" s="89">
        <f>N160/N162*N$14</f>
        <v>1.837619328305589E-2</v>
      </c>
      <c r="O163" s="89">
        <f>O160/O162*O$14</f>
        <v>1.8657067602582112E-2</v>
      </c>
      <c r="P163" s="89">
        <f>P160/P162*P$14</f>
        <v>1.9589903370802283E-2</v>
      </c>
      <c r="Q163" s="89">
        <f>Q160/Q162*Q$14</f>
        <v>1.8195331471787386E-2</v>
      </c>
      <c r="R163" s="89">
        <f>R160/R162*R$14</f>
        <v>1.8041884769324373E-2</v>
      </c>
      <c r="S163" s="89">
        <f>S160/S162*S$14</f>
        <v>1.8355841079802135E-2</v>
      </c>
      <c r="T163" s="89">
        <f>T160/T162*T$14</f>
        <v>1.8355841079802135E-2</v>
      </c>
    </row>
    <row r="164" spans="2:20" x14ac:dyDescent="0.25">
      <c r="B164" s="11"/>
      <c r="C164" s="6"/>
      <c r="D164" s="11"/>
      <c r="E164" s="11"/>
      <c r="F164" s="11"/>
      <c r="G164" s="11"/>
      <c r="H164" s="11"/>
      <c r="I164" s="11"/>
      <c r="J164" s="11"/>
      <c r="K164" s="11"/>
      <c r="L164" s="11"/>
      <c r="M164" s="11"/>
      <c r="N164" s="11"/>
      <c r="O164" s="11"/>
      <c r="P164" s="11"/>
      <c r="Q164" s="11"/>
      <c r="R164" s="11"/>
      <c r="S164" s="11"/>
      <c r="T164" s="11"/>
    </row>
    <row r="165" spans="2:20" x14ac:dyDescent="0.25">
      <c r="B165" s="11"/>
      <c r="C165" s="6"/>
      <c r="D165" s="11"/>
      <c r="E165" s="11"/>
      <c r="F165" s="11"/>
      <c r="G165" s="11"/>
      <c r="H165" s="11"/>
      <c r="I165" s="11"/>
      <c r="J165" s="11"/>
      <c r="K165" s="11"/>
      <c r="L165" s="11"/>
      <c r="M165" s="11"/>
      <c r="N165" s="11"/>
      <c r="O165" s="11"/>
      <c r="P165" s="11"/>
      <c r="Q165" s="11"/>
      <c r="R165" s="11"/>
      <c r="S165" s="11"/>
      <c r="T165" s="11"/>
    </row>
    <row r="166" spans="2:20" x14ac:dyDescent="0.25">
      <c r="B166" s="11" t="s">
        <v>110</v>
      </c>
      <c r="C166" s="85">
        <v>110.23188242000001</v>
      </c>
      <c r="D166" s="85">
        <v>110.23188242000001</v>
      </c>
      <c r="E166" s="85">
        <v>454.43963119</v>
      </c>
      <c r="F166" s="85">
        <v>111.39122438</v>
      </c>
      <c r="G166" s="85">
        <v>343.04840681000002</v>
      </c>
      <c r="H166" s="85">
        <v>117.71806178</v>
      </c>
      <c r="I166" s="85">
        <v>225.33034502999999</v>
      </c>
      <c r="J166" s="85">
        <v>115.6304317</v>
      </c>
      <c r="K166" s="85">
        <v>109.69991333</v>
      </c>
      <c r="L166" s="85">
        <v>109.69991333</v>
      </c>
      <c r="M166" s="85">
        <v>401.25977171</v>
      </c>
      <c r="N166" s="85">
        <v>104.19135585999996</v>
      </c>
      <c r="O166" s="85">
        <v>297.06841585000001</v>
      </c>
      <c r="P166" s="85">
        <v>102.07306917000001</v>
      </c>
      <c r="Q166" s="85">
        <v>194.99534668000001</v>
      </c>
      <c r="R166" s="85">
        <v>99.842690950000005</v>
      </c>
      <c r="S166" s="85">
        <v>95.152655730000006</v>
      </c>
      <c r="T166" s="85">
        <v>95.152655730000006</v>
      </c>
    </row>
    <row r="167" spans="2:20" x14ac:dyDescent="0.25">
      <c r="B167" s="60" t="s">
        <v>95</v>
      </c>
      <c r="C167" s="86">
        <f>C170*C$140/C$14</f>
        <v>152.4788716057607</v>
      </c>
      <c r="D167" s="86">
        <f>D170*D$140/D$14</f>
        <v>152.4788716057607</v>
      </c>
      <c r="E167" s="86">
        <f>E170*E$140/E$14</f>
        <v>619.42538064779649</v>
      </c>
      <c r="F167" s="86">
        <f>F170*F$140/F$14</f>
        <v>153.90177395892658</v>
      </c>
      <c r="G167" s="86">
        <f>G170*G$140/G$14</f>
        <v>465.2026645239448</v>
      </c>
      <c r="H167" s="86">
        <f>H170*H$140/H$14</f>
        <v>156.46881182773311</v>
      </c>
      <c r="I167" s="86">
        <f>I170*I$140/I$14</f>
        <v>308.31095520001514</v>
      </c>
      <c r="J167" s="86">
        <f>J170*J$140/J$14</f>
        <v>159.26850569159237</v>
      </c>
      <c r="K167" s="86">
        <f>K170*K$140/K$14</f>
        <v>149.11361441699049</v>
      </c>
      <c r="L167" s="86">
        <f>L170*L$140/L$14</f>
        <v>149.11361441699049</v>
      </c>
      <c r="M167" s="86">
        <f>M170*M$140/M$14</f>
        <v>598.64748425149901</v>
      </c>
      <c r="N167" s="86">
        <f>N170*N$140/N$14</f>
        <v>152.330852790645</v>
      </c>
      <c r="O167" s="86">
        <f>O170*O$140/O$14</f>
        <v>446.31217446335239</v>
      </c>
      <c r="P167" s="86">
        <f>P170*P$140/P$14</f>
        <v>153.39916943648879</v>
      </c>
      <c r="Q167" s="86">
        <f>Q170*Q$140/Q$14</f>
        <v>292.96807508801038</v>
      </c>
      <c r="R167" s="86">
        <f>R170*R$140/R$14</f>
        <v>147.59093661055948</v>
      </c>
      <c r="S167" s="86">
        <f>S170*S$140/S$14</f>
        <v>145.37967864538462</v>
      </c>
      <c r="T167" s="86">
        <f>T170*T$140/T$14</f>
        <v>145.37967864538462</v>
      </c>
    </row>
    <row r="168" spans="2:20" x14ac:dyDescent="0.25">
      <c r="B168" s="11" t="s">
        <v>111</v>
      </c>
      <c r="C168" s="85">
        <f>+C167-C166</f>
        <v>42.246989185760697</v>
      </c>
      <c r="D168" s="85">
        <f t="shared" ref="D168:T168" si="159">+D167-D166</f>
        <v>42.246989185760697</v>
      </c>
      <c r="E168" s="85">
        <f t="shared" si="159"/>
        <v>164.98574945779649</v>
      </c>
      <c r="F168" s="85">
        <f t="shared" si="159"/>
        <v>42.510549578926586</v>
      </c>
      <c r="G168" s="85">
        <f t="shared" si="159"/>
        <v>122.15425771394479</v>
      </c>
      <c r="H168" s="85">
        <f t="shared" si="159"/>
        <v>38.750750047733106</v>
      </c>
      <c r="I168" s="85">
        <f t="shared" si="159"/>
        <v>82.980610170015154</v>
      </c>
      <c r="J168" s="85">
        <f t="shared" si="159"/>
        <v>43.638073991592364</v>
      </c>
      <c r="K168" s="85">
        <f t="shared" si="159"/>
        <v>39.413701086990486</v>
      </c>
      <c r="L168" s="85">
        <f t="shared" si="159"/>
        <v>39.413701086990486</v>
      </c>
      <c r="M168" s="85">
        <f t="shared" si="159"/>
        <v>197.38771254149901</v>
      </c>
      <c r="N168" s="85">
        <f t="shared" si="159"/>
        <v>48.139496930645038</v>
      </c>
      <c r="O168" s="85">
        <f t="shared" si="159"/>
        <v>149.24375861335238</v>
      </c>
      <c r="P168" s="85">
        <f t="shared" si="159"/>
        <v>51.32610026648878</v>
      </c>
      <c r="Q168" s="85">
        <f t="shared" si="159"/>
        <v>97.972728408010369</v>
      </c>
      <c r="R168" s="85">
        <f t="shared" si="159"/>
        <v>47.748245660559476</v>
      </c>
      <c r="S168" s="85">
        <f t="shared" si="159"/>
        <v>50.227022915384609</v>
      </c>
      <c r="T168" s="85">
        <f t="shared" si="159"/>
        <v>50.227022915384609</v>
      </c>
    </row>
    <row r="169" spans="2:20" x14ac:dyDescent="0.25">
      <c r="B169" s="11" t="s">
        <v>112</v>
      </c>
      <c r="C169" s="85">
        <v>14922.843237309999</v>
      </c>
      <c r="D169" s="85" t="s">
        <v>171</v>
      </c>
      <c r="E169" s="85">
        <v>14565.4746559</v>
      </c>
      <c r="F169" s="85" t="s">
        <v>171</v>
      </c>
      <c r="G169" s="85">
        <v>14500.29196525</v>
      </c>
      <c r="H169" s="85" t="s">
        <v>171</v>
      </c>
      <c r="I169" s="85">
        <v>14534.101679790001</v>
      </c>
      <c r="J169" s="85" t="s">
        <v>171</v>
      </c>
      <c r="K169" s="85">
        <v>13617.05498961</v>
      </c>
      <c r="L169" s="85" t="s">
        <v>171</v>
      </c>
      <c r="M169" s="85">
        <v>13011.549220110001</v>
      </c>
      <c r="N169" s="85" t="s">
        <v>171</v>
      </c>
      <c r="O169" s="85">
        <v>12820.436621590001</v>
      </c>
      <c r="P169" s="85" t="s">
        <v>171</v>
      </c>
      <c r="Q169" s="85">
        <v>13009.365583229999</v>
      </c>
      <c r="R169" s="85" t="s">
        <v>171</v>
      </c>
      <c r="S169" s="85">
        <v>12452.210295340001</v>
      </c>
      <c r="T169" s="85" t="s">
        <v>171</v>
      </c>
    </row>
    <row r="170" spans="2:20" x14ac:dyDescent="0.25">
      <c r="B170" s="11" t="s">
        <v>113</v>
      </c>
      <c r="C170" s="85">
        <v>14793.936240325</v>
      </c>
      <c r="D170" s="85">
        <v>14793.936240325</v>
      </c>
      <c r="E170" s="85">
        <v>14085.852885680417</v>
      </c>
      <c r="F170" s="85">
        <v>14537.822850675</v>
      </c>
      <c r="G170" s="85">
        <v>13935.196230682222</v>
      </c>
      <c r="H170" s="85">
        <v>14526.669347433335</v>
      </c>
      <c r="I170" s="85">
        <v>13639.45967230667</v>
      </c>
      <c r="J170" s="85">
        <v>13968.459754933334</v>
      </c>
      <c r="K170" s="85">
        <v>13310.45958968</v>
      </c>
      <c r="L170" s="85">
        <v>13310.45958968</v>
      </c>
      <c r="M170" s="85">
        <v>12689.930773746668</v>
      </c>
      <c r="N170" s="85">
        <v>12912.184748959999</v>
      </c>
      <c r="O170" s="85">
        <v>12615.846115342221</v>
      </c>
      <c r="P170" s="85">
        <v>12865.67631468</v>
      </c>
      <c r="Q170" s="85">
        <v>12490.931015673334</v>
      </c>
      <c r="R170" s="85">
        <v>12567.554762685002</v>
      </c>
      <c r="S170" s="85">
        <v>12414.307268661665</v>
      </c>
      <c r="T170" s="85">
        <v>12414.307268661665</v>
      </c>
    </row>
    <row r="171" spans="2:20" s="48" customFormat="1" ht="15.75" thickBot="1" x14ac:dyDescent="0.3">
      <c r="B171" s="88" t="s">
        <v>114</v>
      </c>
      <c r="C171" s="89">
        <f>C168/C170*C$14</f>
        <v>1.158143504977302E-2</v>
      </c>
      <c r="D171" s="89">
        <f>D168/D170*D$14</f>
        <v>1.158143504977302E-2</v>
      </c>
      <c r="E171" s="89">
        <f>E168/E170*E$14</f>
        <v>1.1712868989674021E-2</v>
      </c>
      <c r="F171" s="89">
        <f>F168/F170*F$14</f>
        <v>1.1601185849822738E-2</v>
      </c>
      <c r="G171" s="89">
        <f>G168/G170*G$14</f>
        <v>1.1719949429377723E-2</v>
      </c>
      <c r="H171" s="89">
        <f>H168/H170*H$14</f>
        <v>1.0583251060470795E-2</v>
      </c>
      <c r="I171" s="89">
        <f>I168/I170*I$14</f>
        <v>1.2268564414551186E-2</v>
      </c>
      <c r="J171" s="89">
        <f>J168/J170*J$14</f>
        <v>1.253050359966747E-2</v>
      </c>
      <c r="K171" s="89">
        <f>K168/K170*K$14</f>
        <v>1.2008935779519026E-2</v>
      </c>
      <c r="L171" s="89">
        <f>L168/L170*L$14</f>
        <v>1.2008935779519026E-2</v>
      </c>
      <c r="M171" s="89">
        <f>M168/M170*M$14</f>
        <v>1.5554672130273632E-2</v>
      </c>
      <c r="N171" s="89">
        <f>N168/N170*N$14</f>
        <v>1.4831841446132124E-2</v>
      </c>
      <c r="O171" s="89">
        <f>O168/O170*O$14</f>
        <v>1.5801936693645581E-2</v>
      </c>
      <c r="P171" s="89">
        <f>P168/P170*P$14</f>
        <v>1.5870803157434464E-2</v>
      </c>
      <c r="Q171" s="89">
        <f>Q168/Q170*Q$14</f>
        <v>1.5773210176079026E-2</v>
      </c>
      <c r="R171" s="89">
        <f>R168/R170*R$14</f>
        <v>1.5280808260727138E-2</v>
      </c>
      <c r="S171" s="89">
        <f>S168/S170*S$14</f>
        <v>1.6272513472017636E-2</v>
      </c>
      <c r="T171" s="89">
        <f>T168/T170*T$14</f>
        <v>1.6272513472017636E-2</v>
      </c>
    </row>
    <row r="172" spans="2:20" x14ac:dyDescent="0.25">
      <c r="B172" s="11"/>
      <c r="C172" s="91"/>
      <c r="D172" s="91"/>
      <c r="E172" s="92"/>
      <c r="F172" s="91"/>
      <c r="G172" s="91"/>
      <c r="H172" s="91"/>
      <c r="I172" s="91"/>
      <c r="J172" s="91"/>
      <c r="K172" s="92"/>
      <c r="L172" s="91"/>
      <c r="M172" s="91"/>
      <c r="N172" s="91"/>
      <c r="O172" s="91"/>
      <c r="P172" s="91"/>
      <c r="Q172" s="91"/>
      <c r="R172" s="91"/>
      <c r="S172" s="91"/>
      <c r="T172" s="91"/>
    </row>
    <row r="173" spans="2:20" x14ac:dyDescent="0.25">
      <c r="O173" s="7"/>
      <c r="Q173" s="7"/>
      <c r="S173" s="7"/>
    </row>
  </sheetData>
  <pageMargins left="0.70866141732283472" right="0.70866141732283472" top="0.74803149606299213" bottom="0.74803149606299213" header="0.31496062992125984" footer="0.31496062992125984"/>
  <pageSetup paperSize="9" scale="24" fitToHeight="2" orientation="landscape" r:id="rId1"/>
  <headerFooter>
    <oddHeader>&amp;R&amp;"Aptos"&amp;12&amp;KFF0000 Fortrolig&amp;1#_x000D_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4FC6BB6B5E58E408EEC6C6DA74DDF38" ma:contentTypeVersion="19" ma:contentTypeDescription="Opprett et nytt dokument." ma:contentTypeScope="" ma:versionID="1ec5c58b78f886a6b24f40cf71422a3f">
  <xsd:schema xmlns:xsd="http://www.w3.org/2001/XMLSchema" xmlns:xs="http://www.w3.org/2001/XMLSchema" xmlns:p="http://schemas.microsoft.com/office/2006/metadata/properties" xmlns:ns1="http://schemas.microsoft.com/sharepoint/v3" xmlns:ns2="309e505d-0284-4506-b885-89d6f57d98f9" xmlns:ns3="de053a4f-d7ac-4f07-b828-d19c9bbf63e7" targetNamespace="http://schemas.microsoft.com/office/2006/metadata/properties" ma:root="true" ma:fieldsID="1d48f75657251ef42a1285116fb16631" ns1:_="" ns2:_="" ns3:_="">
    <xsd:import namespace="http://schemas.microsoft.com/sharepoint/v3"/>
    <xsd:import namespace="309e505d-0284-4506-b885-89d6f57d98f9"/>
    <xsd:import namespace="de053a4f-d7ac-4f07-b828-d19c9bbf63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ServiceObjectDetectorVersions" minOccurs="0"/>
                <xsd:element ref="ns2:MediaServiceSearchProperties" minOccurs="0"/>
                <xsd:element ref="ns2:MediaLengthInSeconds" minOccurs="0"/>
                <xsd:element ref="ns2:MediaServiceBillingMetadata" minOccurs="0"/>
                <xsd:element ref="ns2:Sistendre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genskaper for samordnet samsvarspolicy" ma:hidden="true" ma:internalName="_ip_UnifiedCompliancePolicyProperties">
      <xsd:simpleType>
        <xsd:restriction base="dms:Note"/>
      </xsd:simpleType>
    </xsd:element>
    <xsd:element name="_ip_UnifiedCompliancePolicyUIAction" ma:index="22"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9e505d-0284-4506-b885-89d6f57d9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Bildemerkelapper" ma:readOnly="false" ma:fieldId="{5cf76f15-5ced-4ddc-b409-7134ff3c332f}" ma:taxonomyMulti="true" ma:sspId="ef4f67c6-55dc-44b9-af20-23fc16b6999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Sistendret" ma:index="28" nillable="true" ma:displayName="Sist endret" ma:format="DateTime" ma:internalName="Sistendret">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e053a4f-d7ac-4f07-b828-d19c9bbf63e7"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17" nillable="true" ma:displayName="Taxonomy Catch All Column" ma:hidden="true" ma:list="{ec887d59-a13c-40a4-8f0a-bf5b091b8263}" ma:internalName="TaxCatchAll" ma:readOnly="false" ma:showField="CatchAllData" ma:web="de053a4f-d7ac-4f07-b828-d19c9bbf63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09e505d-0284-4506-b885-89d6f57d98f9">
      <Terms xmlns="http://schemas.microsoft.com/office/infopath/2007/PartnerControls"/>
    </lcf76f155ced4ddcb4097134ff3c332f>
    <TaxCatchAll xmlns="de053a4f-d7ac-4f07-b828-d19c9bbf63e7" xsi:nil="true"/>
    <Sistendret xmlns="309e505d-0284-4506-b885-89d6f57d98f9" xsi:nil="true"/>
  </documentManagement>
</p:properties>
</file>

<file path=customXml/itemProps1.xml><?xml version="1.0" encoding="utf-8"?>
<ds:datastoreItem xmlns:ds="http://schemas.openxmlformats.org/officeDocument/2006/customXml" ds:itemID="{9625118E-3E7B-4C07-9C27-83F232C7314A}"/>
</file>

<file path=customXml/itemProps2.xml><?xml version="1.0" encoding="utf-8"?>
<ds:datastoreItem xmlns:ds="http://schemas.openxmlformats.org/officeDocument/2006/customXml" ds:itemID="{A28B0167-C3C7-4C2A-8FCC-4FFEBF8B43B5}"/>
</file>

<file path=customXml/itemProps3.xml><?xml version="1.0" encoding="utf-8"?>
<ds:datastoreItem xmlns:ds="http://schemas.openxmlformats.org/officeDocument/2006/customXml" ds:itemID="{2BC3684E-2D89-48F2-83A5-87B8457199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APMd</vt:lpstr>
      <vt:lpstr>APMu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Baard Skamsar Øien</dc:creator>
  <cp:lastModifiedBy>Baard Skamsar Øien</cp:lastModifiedBy>
  <dcterms:created xsi:type="dcterms:W3CDTF">2026-05-07T19:53:45Z</dcterms:created>
  <dcterms:modified xsi:type="dcterms:W3CDTF">2026-05-07T19:58:53Z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79448-ebd7-4819-972f-c7da8aaf5562_Enabled">
    <vt:lpwstr>true</vt:lpwstr>
  </property>
  <property fmtid="{D5CDD505-2E9C-101B-9397-08002B2CF9AE}" pid="3" name="MSIP_Label_7f179448-ebd7-4819-972f-c7da8aaf5562_SetDate">
    <vt:lpwstr>2026-05-07T19:54:33Z</vt:lpwstr>
  </property>
  <property fmtid="{D5CDD505-2E9C-101B-9397-08002B2CF9AE}" pid="4" name="MSIP_Label_7f179448-ebd7-4819-972f-c7da8aaf5562_Method">
    <vt:lpwstr>Privileged</vt:lpwstr>
  </property>
  <property fmtid="{D5CDD505-2E9C-101B-9397-08002B2CF9AE}" pid="5" name="MSIP_Label_7f179448-ebd7-4819-972f-c7da8aaf5562_Name">
    <vt:lpwstr>Åpen</vt:lpwstr>
  </property>
  <property fmtid="{D5CDD505-2E9C-101B-9397-08002B2CF9AE}" pid="6" name="MSIP_Label_7f179448-ebd7-4819-972f-c7da8aaf5562_SiteId">
    <vt:lpwstr>637562f2-2183-407d-98a8-8fadd6657277</vt:lpwstr>
  </property>
  <property fmtid="{D5CDD505-2E9C-101B-9397-08002B2CF9AE}" pid="7" name="MSIP_Label_7f179448-ebd7-4819-972f-c7da8aaf5562_ActionId">
    <vt:lpwstr>e7202799-b030-4eac-a09b-5a33afc2c9cd</vt:lpwstr>
  </property>
  <property fmtid="{D5CDD505-2E9C-101B-9397-08002B2CF9AE}" pid="8" name="MSIP_Label_7f179448-ebd7-4819-972f-c7da8aaf5562_ContentBits">
    <vt:lpwstr>0</vt:lpwstr>
  </property>
  <property fmtid="{D5CDD505-2E9C-101B-9397-08002B2CF9AE}" pid="9" name="MSIP_Label_7f179448-ebd7-4819-972f-c7da8aaf5562_Tag">
    <vt:lpwstr>10, 0, 1, 1</vt:lpwstr>
  </property>
  <property fmtid="{D5CDD505-2E9C-101B-9397-08002B2CF9AE}" pid="10" name="ContentTypeId">
    <vt:lpwstr>0x010100D4FC6BB6B5E58E408EEC6C6DA74DDF38</vt:lpwstr>
  </property>
</Properties>
</file>