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M:\Kommunikasjon-Rapportering\Resultat 2021_Q2\"/>
    </mc:Choice>
  </mc:AlternateContent>
  <xr:revisionPtr revIDLastSave="0" documentId="8_{2B19C998-250E-4946-9CFE-79DD6A1C80D3}" xr6:coauthVersionLast="45" xr6:coauthVersionMax="45" xr10:uidLastSave="{00000000-0000-0000-0000-000000000000}"/>
  <bookViews>
    <workbookView xWindow="1560" yWindow="1560" windowWidth="21600" windowHeight="11385" tabRatio="828" xr2:uid="{00000000-000D-0000-FFFF-FFFF00000000}"/>
  </bookViews>
  <sheets>
    <sheet name="Front" sheetId="87" r:id="rId1"/>
    <sheet name="Contact info" sheetId="95" r:id="rId2"/>
    <sheet name="Contents" sheetId="1" r:id="rId3"/>
    <sheet name="APM definition" sheetId="101" r:id="rId4"/>
    <sheet name="1 APM" sheetId="96" r:id="rId5"/>
    <sheet name="2 Results and key figures" sheetId="5" r:id="rId6"/>
    <sheet name="3 Balance sheet" sheetId="104" r:id="rId7"/>
    <sheet name="4 Capital Adequacy" sheetId="105" r:id="rId8"/>
    <sheet name="5 Income" sheetId="6" r:id="rId9"/>
    <sheet name="6 Expences" sheetId="7" r:id="rId10"/>
    <sheet name="7 Margins" sheetId="57" r:id="rId11"/>
    <sheet name="8 Lending" sheetId="86" r:id="rId12"/>
    <sheet name="9 Deposits" sheetId="3" r:id="rId13"/>
    <sheet name="10 Customers" sheetId="97" r:id="rId14"/>
    <sheet name="11 Macro sensitivity" sheetId="103" r:id="rId15"/>
  </sheets>
  <externalReferences>
    <externalReference r:id="rId16"/>
    <externalReference r:id="rId17"/>
    <externalReference r:id="rId18"/>
    <externalReference r:id="rId19"/>
    <externalReference r:id="rId20"/>
  </externalReferences>
  <definedNames>
    <definedName name="__123Graph_ABALADAGS" localSheetId="5" hidden="1">[1]Tabell!#REF!</definedName>
    <definedName name="__123Graph_ABALADAGS" localSheetId="8" hidden="1">[1]Tabell!#REF!</definedName>
    <definedName name="__123Graph_ABALADAGS" localSheetId="9" hidden="1">[1]Tabell!#REF!</definedName>
    <definedName name="__123Graph_ABALADAGS" localSheetId="10" hidden="1">[1]Tabell!#REF!</definedName>
    <definedName name="__123Graph_ABALADAGS" localSheetId="11" hidden="1">[1]Tabell!#REF!</definedName>
    <definedName name="__123Graph_ABALADAGS" localSheetId="12" hidden="1">[1]Tabell!#REF!</definedName>
    <definedName name="__123Graph_ABALADAGS" hidden="1">[1]Tabell!#REF!</definedName>
    <definedName name="__123Graph_BBALADAGS" localSheetId="5" hidden="1">[1]Tabell!#REF!</definedName>
    <definedName name="__123Graph_BBALADAGS" localSheetId="8" hidden="1">[1]Tabell!#REF!</definedName>
    <definedName name="__123Graph_BBALADAGS" localSheetId="9" hidden="1">[1]Tabell!#REF!</definedName>
    <definedName name="__123Graph_BBALADAGS" localSheetId="10" hidden="1">[1]Tabell!#REF!</definedName>
    <definedName name="__123Graph_BBALADAGS" localSheetId="11" hidden="1">[1]Tabell!#REF!</definedName>
    <definedName name="__123Graph_BBALADAGS" localSheetId="12" hidden="1">[1]Tabell!#REF!</definedName>
    <definedName name="__123Graph_BBALADAGS" hidden="1">[1]Tabell!#REF!</definedName>
    <definedName name="__123Graph_CBALADAGS" localSheetId="5" hidden="1">[1]Tabell!#REF!</definedName>
    <definedName name="__123Graph_CBALADAGS" localSheetId="8" hidden="1">[1]Tabell!#REF!</definedName>
    <definedName name="__123Graph_CBALADAGS" localSheetId="9" hidden="1">[1]Tabell!#REF!</definedName>
    <definedName name="__123Graph_CBALADAGS" localSheetId="10" hidden="1">[1]Tabell!#REF!</definedName>
    <definedName name="__123Graph_CBALADAGS" localSheetId="11" hidden="1">[1]Tabell!#REF!</definedName>
    <definedName name="__123Graph_CBALADAGS" localSheetId="12" hidden="1">[1]Tabell!#REF!</definedName>
    <definedName name="__123Graph_CBALADAGS" hidden="1">[1]Tabell!#REF!</definedName>
    <definedName name="__123Graph_DBALADAGS" localSheetId="5" hidden="1">[1]Tabell!#REF!</definedName>
    <definedName name="__123Graph_DBALADAGS" localSheetId="8" hidden="1">[1]Tabell!#REF!</definedName>
    <definedName name="__123Graph_DBALADAGS" localSheetId="9" hidden="1">[1]Tabell!#REF!</definedName>
    <definedName name="__123Graph_DBALADAGS" localSheetId="10" hidden="1">[1]Tabell!#REF!</definedName>
    <definedName name="__123Graph_DBALADAGS" localSheetId="11" hidden="1">[1]Tabell!#REF!</definedName>
    <definedName name="__123Graph_DBALADAGS" localSheetId="12" hidden="1">[1]Tabell!#REF!</definedName>
    <definedName name="__123Graph_DBALADAGS" hidden="1">[1]Tabell!#REF!</definedName>
    <definedName name="__123Graph_EBALADAGS" localSheetId="5" hidden="1">[1]Tabell!#REF!</definedName>
    <definedName name="__123Graph_EBALADAGS" localSheetId="8" hidden="1">[1]Tabell!#REF!</definedName>
    <definedName name="__123Graph_EBALADAGS" localSheetId="9" hidden="1">[1]Tabell!#REF!</definedName>
    <definedName name="__123Graph_EBALADAGS" localSheetId="10" hidden="1">[1]Tabell!#REF!</definedName>
    <definedName name="__123Graph_EBALADAGS" localSheetId="11" hidden="1">[1]Tabell!#REF!</definedName>
    <definedName name="__123Graph_EBALADAGS" localSheetId="12" hidden="1">[1]Tabell!#REF!</definedName>
    <definedName name="__123Graph_EBALADAGS" hidden="1">[1]Tabell!#REF!</definedName>
    <definedName name="__123Graph_FBALADAGS" localSheetId="5" hidden="1">[1]Tabell!#REF!</definedName>
    <definedName name="__123Graph_FBALADAGS" localSheetId="8" hidden="1">[1]Tabell!#REF!</definedName>
    <definedName name="__123Graph_FBALADAGS" localSheetId="9" hidden="1">[1]Tabell!#REF!</definedName>
    <definedName name="__123Graph_FBALADAGS" localSheetId="10" hidden="1">[1]Tabell!#REF!</definedName>
    <definedName name="__123Graph_FBALADAGS" localSheetId="11" hidden="1">[1]Tabell!#REF!</definedName>
    <definedName name="__123Graph_FBALADAGS" localSheetId="12" hidden="1">[1]Tabell!#REF!</definedName>
    <definedName name="__123Graph_FBALADAGS" hidden="1">[1]Tabell!#REF!</definedName>
    <definedName name="__123Graph_LBL_ABALADAGS" localSheetId="5" hidden="1">[1]Tabell!#REF!</definedName>
    <definedName name="__123Graph_LBL_ABALADAGS" localSheetId="8" hidden="1">[1]Tabell!#REF!</definedName>
    <definedName name="__123Graph_LBL_ABALADAGS" localSheetId="9" hidden="1">[1]Tabell!#REF!</definedName>
    <definedName name="__123Graph_LBL_ABALADAGS" localSheetId="10" hidden="1">[1]Tabell!#REF!</definedName>
    <definedName name="__123Graph_LBL_ABALADAGS" localSheetId="11" hidden="1">[1]Tabell!#REF!</definedName>
    <definedName name="__123Graph_LBL_ABALADAGS" localSheetId="12" hidden="1">[1]Tabell!#REF!</definedName>
    <definedName name="__123Graph_LBL_ABALADAGS" hidden="1">[1]Tabell!#REF!</definedName>
    <definedName name="__123Graph_LBL_BBALADAGS" localSheetId="5" hidden="1">[1]Tabell!#REF!</definedName>
    <definedName name="__123Graph_LBL_BBALADAGS" localSheetId="8" hidden="1">[1]Tabell!#REF!</definedName>
    <definedName name="__123Graph_LBL_BBALADAGS" localSheetId="9" hidden="1">[1]Tabell!#REF!</definedName>
    <definedName name="__123Graph_LBL_BBALADAGS" localSheetId="10" hidden="1">[1]Tabell!#REF!</definedName>
    <definedName name="__123Graph_LBL_BBALADAGS" localSheetId="11" hidden="1">[1]Tabell!#REF!</definedName>
    <definedName name="__123Graph_LBL_BBALADAGS" localSheetId="12" hidden="1">[1]Tabell!#REF!</definedName>
    <definedName name="__123Graph_LBL_BBALADAGS" hidden="1">[1]Tabell!#REF!</definedName>
    <definedName name="__123Graph_LBL_CBALADAGS" localSheetId="5" hidden="1">[1]Tabell!#REF!</definedName>
    <definedName name="__123Graph_LBL_CBALADAGS" localSheetId="8" hidden="1">[1]Tabell!#REF!</definedName>
    <definedName name="__123Graph_LBL_CBALADAGS" localSheetId="9" hidden="1">[1]Tabell!#REF!</definedName>
    <definedName name="__123Graph_LBL_CBALADAGS" localSheetId="10" hidden="1">[1]Tabell!#REF!</definedName>
    <definedName name="__123Graph_LBL_CBALADAGS" localSheetId="11" hidden="1">[1]Tabell!#REF!</definedName>
    <definedName name="__123Graph_LBL_CBALADAGS" localSheetId="12" hidden="1">[1]Tabell!#REF!</definedName>
    <definedName name="__123Graph_LBL_CBALADAGS" hidden="1">[1]Tabell!#REF!</definedName>
    <definedName name="__123Graph_LBL_DBALADAGS" localSheetId="5" hidden="1">[1]Tabell!#REF!</definedName>
    <definedName name="__123Graph_LBL_DBALADAGS" localSheetId="8" hidden="1">[1]Tabell!#REF!</definedName>
    <definedName name="__123Graph_LBL_DBALADAGS" localSheetId="9" hidden="1">[1]Tabell!#REF!</definedName>
    <definedName name="__123Graph_LBL_DBALADAGS" localSheetId="10" hidden="1">[1]Tabell!#REF!</definedName>
    <definedName name="__123Graph_LBL_DBALADAGS" localSheetId="11" hidden="1">[1]Tabell!#REF!</definedName>
    <definedName name="__123Graph_LBL_DBALADAGS" localSheetId="12" hidden="1">[1]Tabell!#REF!</definedName>
    <definedName name="__123Graph_LBL_DBALADAGS" hidden="1">[1]Tabell!#REF!</definedName>
    <definedName name="__123Graph_LBL_EBALADAGS" localSheetId="5" hidden="1">[1]Tabell!#REF!</definedName>
    <definedName name="__123Graph_LBL_EBALADAGS" localSheetId="8" hidden="1">[1]Tabell!#REF!</definedName>
    <definedName name="__123Graph_LBL_EBALADAGS" localSheetId="9" hidden="1">[1]Tabell!#REF!</definedName>
    <definedName name="__123Graph_LBL_EBALADAGS" localSheetId="10" hidden="1">[1]Tabell!#REF!</definedName>
    <definedName name="__123Graph_LBL_EBALADAGS" localSheetId="11" hidden="1">[1]Tabell!#REF!</definedName>
    <definedName name="__123Graph_LBL_EBALADAGS" localSheetId="12" hidden="1">[1]Tabell!#REF!</definedName>
    <definedName name="__123Graph_LBL_EBALADAGS" hidden="1">[1]Tabell!#REF!</definedName>
    <definedName name="__123Graph_LBL_FBALADAGS" localSheetId="5" hidden="1">[1]Tabell!#REF!</definedName>
    <definedName name="__123Graph_LBL_FBALADAGS" localSheetId="8" hidden="1">[1]Tabell!#REF!</definedName>
    <definedName name="__123Graph_LBL_FBALADAGS" localSheetId="9" hidden="1">[1]Tabell!#REF!</definedName>
    <definedName name="__123Graph_LBL_FBALADAGS" localSheetId="10" hidden="1">[1]Tabell!#REF!</definedName>
    <definedName name="__123Graph_LBL_FBALADAGS" localSheetId="11" hidden="1">[1]Tabell!#REF!</definedName>
    <definedName name="__123Graph_LBL_FBALADAGS" localSheetId="12" hidden="1">[1]Tabell!#REF!</definedName>
    <definedName name="__123Graph_LBL_FBALADAGS" hidden="1">[1]Tabell!#REF!</definedName>
    <definedName name="__123Graph_XBALADAGS" localSheetId="5" hidden="1">[1]Tabell!#REF!</definedName>
    <definedName name="__123Graph_XBALADAGS" localSheetId="8" hidden="1">[1]Tabell!#REF!</definedName>
    <definedName name="__123Graph_XBALADAGS" localSheetId="9" hidden="1">[1]Tabell!#REF!</definedName>
    <definedName name="__123Graph_XBALADAGS" localSheetId="10" hidden="1">[1]Tabell!#REF!</definedName>
    <definedName name="__123Graph_XBALADAGS" localSheetId="11" hidden="1">[1]Tabell!#REF!</definedName>
    <definedName name="__123Graph_XBALADAGS" localSheetId="12" hidden="1">[1]Tabell!#REF!</definedName>
    <definedName name="__123Graph_XBALADAGS" hidden="1">[1]Tabell!#REF!</definedName>
    <definedName name="_a1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localSheetId="5" hidden="1">'[2]Market Cap'!#REF!</definedName>
    <definedName name="_GSRATESR_2" localSheetId="8" hidden="1">'[2]Market Cap'!#REF!</definedName>
    <definedName name="_GSRATESR_2" localSheetId="9" hidden="1">'[2]Market Cap'!#REF!</definedName>
    <definedName name="_GSRATESR_2" localSheetId="10" hidden="1">'[2]Market Cap'!#REF!</definedName>
    <definedName name="_GSRATESR_2" localSheetId="11" hidden="1">'[2]Market Cap'!#REF!</definedName>
    <definedName name="_GSRATESR_2" localSheetId="12" hidden="1">'[2]Market Cap'!#REF!</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localSheetId="5" hidden="1">#REF!</definedName>
    <definedName name="_Key1" localSheetId="8" hidden="1">#REF!</definedName>
    <definedName name="_Key1" localSheetId="9" hidden="1">#REF!</definedName>
    <definedName name="_Key1" localSheetId="10" hidden="1">#REF!</definedName>
    <definedName name="_Key1" localSheetId="11" hidden="1">#REF!</definedName>
    <definedName name="_Key1" localSheetId="12" hidden="1">#REF!</definedName>
    <definedName name="_Key1" hidden="1">#REF!</definedName>
    <definedName name="_Order1" hidden="1">255</definedName>
    <definedName name="_SA1"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essDatabase" hidden="1">"H:\KAPFORV\FELLES\accessdb\MndRapport.mdb"</definedName>
    <definedName name="ads" localSheetId="5" hidden="1">[1]Tabell!#REF!</definedName>
    <definedName name="ads" localSheetId="8" hidden="1">[1]Tabell!#REF!</definedName>
    <definedName name="ads" localSheetId="9" hidden="1">[1]Tabell!#REF!</definedName>
    <definedName name="ads" localSheetId="10" hidden="1">[1]Tabell!#REF!</definedName>
    <definedName name="ads" localSheetId="11" hidden="1">[1]Tabell!#REF!</definedName>
    <definedName name="ads" localSheetId="12" hidden="1">[1]Tabell!#REF!</definedName>
    <definedName name="ads" hidden="1">[1]Tabell!#REF!</definedName>
    <definedName name="AS2DocOpenMode" hidden="1">"AS2DocumentEdit"</definedName>
    <definedName name="Balanse_konsern">[3]Balanse!$E$4:$I$109</definedName>
    <definedName name="BLPB1" localSheetId="5" hidden="1">#REF!</definedName>
    <definedName name="BLPB1" localSheetId="8" hidden="1">#REF!</definedName>
    <definedName name="BLPB1" localSheetId="9" hidden="1">#REF!</definedName>
    <definedName name="BLPB1" localSheetId="10" hidden="1">#REF!</definedName>
    <definedName name="BLPB1" localSheetId="11" hidden="1">#REF!</definedName>
    <definedName name="BLPB1" localSheetId="12" hidden="1">#REF!</definedName>
    <definedName name="BLPB1" hidden="1">#REF!</definedName>
    <definedName name="BLPB2" localSheetId="5" hidden="1">#REF!</definedName>
    <definedName name="BLPB2" localSheetId="8" hidden="1">#REF!</definedName>
    <definedName name="BLPB2" localSheetId="9" hidden="1">#REF!</definedName>
    <definedName name="BLPB2" localSheetId="10" hidden="1">#REF!</definedName>
    <definedName name="BLPB2" localSheetId="11" hidden="1">#REF!</definedName>
    <definedName name="BLPB2" localSheetId="12" hidden="1">#REF!</definedName>
    <definedName name="BLPB2" hidden="1">#REF!</definedName>
    <definedName name="BLPH1" localSheetId="5" hidden="1">#REF!</definedName>
    <definedName name="BLPH1" localSheetId="8" hidden="1">#REF!</definedName>
    <definedName name="BLPH1" localSheetId="9" hidden="1">#REF!</definedName>
    <definedName name="BLPH1" localSheetId="10" hidden="1">#REF!</definedName>
    <definedName name="BLPH1" localSheetId="11" hidden="1">#REF!</definedName>
    <definedName name="BLPH1" localSheetId="12" hidden="1">#REF!</definedName>
    <definedName name="BLPH1" hidden="1">#REF!</definedName>
    <definedName name="BLPH2" localSheetId="5" hidden="1">#REF!</definedName>
    <definedName name="BLPH2" localSheetId="8" hidden="1">#REF!</definedName>
    <definedName name="BLPH2" localSheetId="9" hidden="1">#REF!</definedName>
    <definedName name="BLPH2" localSheetId="10" hidden="1">#REF!</definedName>
    <definedName name="BLPH2" localSheetId="11" hidden="1">#REF!</definedName>
    <definedName name="BLPH2" localSheetId="12" hidden="1">#REF!</definedName>
    <definedName name="BLPH2" hidden="1">#REF!</definedName>
    <definedName name="BLPH3" localSheetId="5" hidden="1">#REF!</definedName>
    <definedName name="BLPH3" localSheetId="8" hidden="1">#REF!</definedName>
    <definedName name="BLPH3" localSheetId="9" hidden="1">#REF!</definedName>
    <definedName name="BLPH3" localSheetId="10" hidden="1">#REF!</definedName>
    <definedName name="BLPH3" localSheetId="11" hidden="1">#REF!</definedName>
    <definedName name="BLPH3" localSheetId="12" hidden="1">#REF!</definedName>
    <definedName name="BLPH3" hidden="1">#REF!</definedName>
    <definedName name="BLPH4" localSheetId="5" hidden="1">#REF!</definedName>
    <definedName name="BLPH4" localSheetId="8" hidden="1">#REF!</definedName>
    <definedName name="BLPH4" localSheetId="9" hidden="1">#REF!</definedName>
    <definedName name="BLPH4" localSheetId="10" hidden="1">#REF!</definedName>
    <definedName name="BLPH4" localSheetId="11" hidden="1">#REF!</definedName>
    <definedName name="BLPH4" localSheetId="12" hidden="1">#REF!</definedName>
    <definedName name="BLPH4" hidden="1">#REF!</definedName>
    <definedName name="BLPH5" localSheetId="5" hidden="1">#REF!</definedName>
    <definedName name="BLPH5" localSheetId="8" hidden="1">#REF!</definedName>
    <definedName name="BLPH5" localSheetId="9" hidden="1">#REF!</definedName>
    <definedName name="BLPH5" localSheetId="10" hidden="1">#REF!</definedName>
    <definedName name="BLPH5" localSheetId="11" hidden="1">#REF!</definedName>
    <definedName name="BLPH5" localSheetId="12" hidden="1">#REF!</definedName>
    <definedName name="BLPH5" hidden="1">#REF!</definedName>
    <definedName name="BLPH6" localSheetId="5" hidden="1">#REF!</definedName>
    <definedName name="BLPH6" localSheetId="8" hidden="1">#REF!</definedName>
    <definedName name="BLPH6" localSheetId="9" hidden="1">#REF!</definedName>
    <definedName name="BLPH6" localSheetId="10" hidden="1">#REF!</definedName>
    <definedName name="BLPH6" localSheetId="11" hidden="1">#REF!</definedName>
    <definedName name="BLPH6" localSheetId="12" hidden="1">#REF!</definedName>
    <definedName name="BLPH6" hidden="1">#REF!</definedName>
    <definedName name="BLPH7" localSheetId="5" hidden="1">#REF!</definedName>
    <definedName name="BLPH7" localSheetId="8" hidden="1">#REF!</definedName>
    <definedName name="BLPH7" localSheetId="9" hidden="1">#REF!</definedName>
    <definedName name="BLPH7" localSheetId="10" hidden="1">#REF!</definedName>
    <definedName name="BLPH7" localSheetId="11" hidden="1">#REF!</definedName>
    <definedName name="BLPH7" localSheetId="12" hidden="1">#REF!</definedName>
    <definedName name="BLPH7" hidden="1">#REF!</definedName>
    <definedName name="BLPH8" localSheetId="5" hidden="1">#REF!</definedName>
    <definedName name="BLPH8" localSheetId="8" hidden="1">#REF!</definedName>
    <definedName name="BLPH8" localSheetId="9" hidden="1">#REF!</definedName>
    <definedName name="BLPH8" localSheetId="10" hidden="1">#REF!</definedName>
    <definedName name="BLPH8" localSheetId="11" hidden="1">#REF!</definedName>
    <definedName name="BLPH8" localSheetId="12" hidden="1">#REF!</definedName>
    <definedName name="BLPH8" hidden="1">#REF!</definedName>
    <definedName name="business_model" hidden="1">{#N/A,#N/A,FALSE,"Annual Earnings Model";#N/A,#N/A,FALSE,"Quarterly Earnings Model";#N/A,#N/A,FALSE,"Header";#N/A,#N/A,FALSE,"Notes"}</definedName>
    <definedName name="D" hidden="1">{#N/A,#N/A,TRUE,"0 Deckbl.";#N/A,#N/A,TRUE,"S 1 Komm";#N/A,#N/A,TRUE,"S 1a Komm";#N/A,#N/A,TRUE,"S 1b Komm";#N/A,#N/A,TRUE,"S  2 DBR";#N/A,#N/A,TRUE,"S  3 Sparten";#N/A,#N/A,TRUE,"S 4  Betr. K.";#N/A,#N/A,TRUE,"6 Bilanz";#N/A,#N/A,TRUE,"6a Bilanz ";#N/A,#N/A,TRUE,"6b Bilanz ";#N/A,#N/A,TRUE,"7 GS I";#N/A,#N/A,TRUE,"S 8 EQ-GuV"}</definedName>
    <definedName name="Dager" localSheetId="3">#REF!</definedName>
    <definedName name="Dager">[3]Hovedtall!$P$1</definedName>
    <definedName name="dfhgd" localSheetId="8" hidden="1">[1]Tabell!#REF!</definedName>
    <definedName name="dfhgd" localSheetId="10" hidden="1">[1]Tabell!#REF!</definedName>
    <definedName name="dfhgd" localSheetId="11" hidden="1">[1]Tabell!#REF!</definedName>
    <definedName name="dfhgd" hidden="1">[1]Tabell!#REF!</definedName>
    <definedName name="E" hidden="1">{#N/A,#N/A,TRUE,"0 Deckbl.";#N/A,#N/A,TRUE,"S 1 Komm";#N/A,#N/A,TRUE,"S 1a Komm";#N/A,#N/A,TRUE,"S 1b Komm";#N/A,#N/A,TRUE,"S  2 DBR";#N/A,#N/A,TRUE,"S  3 Sparten";#N/A,#N/A,TRUE,"S 4  Betr. K.";#N/A,#N/A,TRUE,"6 Bilanz";#N/A,#N/A,TRUE,"6a Bilanz ";#N/A,#N/A,TRUE,"6b Bilanz ";#N/A,#N/A,TRUE,"7 GS I";#N/A,#N/A,TRUE,"S 8 EQ-GuV"}</definedName>
    <definedName name="fffff"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LI" localSheetId="8" hidden="1">[1]Tabell!#REF!</definedName>
    <definedName name="LI" localSheetId="10" hidden="1">[1]Tabell!#REF!</definedName>
    <definedName name="LI" localSheetId="11" hidden="1">[1]Tabell!#REF!</definedName>
    <definedName name="LI" hidden="1">[1]Tabell!#REF!</definedName>
    <definedName name="M"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MIL">[4]Cover!$J$8</definedName>
    <definedName name="N"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Print_A">#N/A</definedName>
    <definedName name="q"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hidden="1">{#N/A,#N/A,FALSE,"Annual Earnings Model";#N/A,#N/A,FALSE,"Quarterly Earnings Model";#N/A,#N/A,FALSE,"Header";#N/A,#N/A,FALSE,"Notes"}</definedName>
    <definedName name="SD" hidden="1">{#N/A,#N/A,TRUE,"0 Deckbl.";#N/A,#N/A,TRUE,"S 1 Komm";#N/A,#N/A,TRUE,"S 1a Komm";#N/A,#N/A,TRUE,"S 1b Komm";#N/A,#N/A,TRUE,"S  2 DBR";#N/A,#N/A,TRUE,"S  3 Sparten";#N/A,#N/A,TRUE,"S 4  Betr. K.";#N/A,#N/A,TRUE,"6 Bilanz";#N/A,#N/A,TRUE,"6a Bilanz ";#N/A,#N/A,TRUE,"6b Bilanz ";#N/A,#N/A,TRUE,"7 GS I";#N/A,#N/A,TRUE,"S 8 EQ-GuV"}</definedName>
    <definedName name="TEST" localSheetId="8" hidden="1">[1]Tabell!#REF!</definedName>
    <definedName name="TEST" localSheetId="10" hidden="1">[1]Tabell!#REF!</definedName>
    <definedName name="TEST" localSheetId="11" hidden="1">[1]Tabell!#REF!</definedName>
    <definedName name="TEST" hidden="1">[1]Tabell!#REF!</definedName>
    <definedName name="u" hidden="1">{#N/A,#N/A,TRUE,"0 Deckbl.";#N/A,#N/A,TRUE,"S 1 Komm";#N/A,#N/A,TRUE,"S 1a Komm";#N/A,#N/A,TRUE,"S 1b Komm";#N/A,#N/A,TRUE,"S  2 DBR";#N/A,#N/A,TRUE,"S  3 Sparten";#N/A,#N/A,TRUE,"S 4  Betr. K.";#N/A,#N/A,TRUE,"6 Bilanz";#N/A,#N/A,TRUE,"6a Bilanz ";#N/A,#N/A,TRUE,"6b Bilanz ";#N/A,#N/A,TRUE,"7 GS I";#N/A,#N/A,TRUE,"S 8 EQ-GuV"}</definedName>
    <definedName name="_xlnm.Print_Area">#N/A</definedName>
    <definedName name="v"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hidden="1">{#N/A,#N/A,FALSE,"Annual Earnings Model";#N/A,#N/A,FALSE,"Quarterly Earnings Model";#N/A,#N/A,FALSE,"Header";#N/A,#N/A,FALSE,"Notes"}</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localSheetId="5" hidden="1">[5]In99!#REF!</definedName>
    <definedName name="xxxxxxx" localSheetId="8" hidden="1">[5]In99!#REF!</definedName>
    <definedName name="xxxxxxx" localSheetId="9" hidden="1">[5]In99!#REF!</definedName>
    <definedName name="xxxxxxx" localSheetId="10" hidden="1">[5]In99!#REF!</definedName>
    <definedName name="xxxxxxx" localSheetId="11" hidden="1">[5]In99!#REF!</definedName>
    <definedName name="xxxxxxx" localSheetId="12" hidden="1">[5]In99!#REF!</definedName>
    <definedName name="xxxxxxx" hidden="1">[5]In99!#REF!</definedName>
    <definedName name="Y"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AAAA" hidden="1">{#N/A,#N/A,TRUE,"0 Deckbl.";#N/A,#N/A,TRUE,"S 1 Komm";#N/A,#N/A,TRUE,"S 1a Komm";#N/A,#N/A,TRUE,"S 1b Komm";#N/A,#N/A,TRUE,"S  2 DBR";#N/A,#N/A,TRUE,"S  3 Sparten";#N/A,#N/A,TRUE,"S 4  Betr. K.";#N/A,#N/A,TRUE,"6 Bilanz";#N/A,#N/A,TRUE,"6a Bilanz ";#N/A,#N/A,TRUE,"6b Bilanz ";#N/A,#N/A,TRUE,"7 GS I";#N/A,#N/A,TRUE,"S 8 EQ-GuV"}</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4" i="6" l="1"/>
  <c r="G134" i="6"/>
  <c r="F134" i="6"/>
  <c r="E134" i="6"/>
  <c r="D134" i="6"/>
  <c r="H135" i="6"/>
  <c r="G135" i="6"/>
  <c r="F135" i="6"/>
  <c r="E135" i="6"/>
  <c r="H133" i="6"/>
  <c r="G133" i="6"/>
  <c r="F133" i="6"/>
  <c r="E133" i="6"/>
  <c r="H132" i="6"/>
  <c r="G132" i="6"/>
  <c r="F132" i="6"/>
  <c r="E132" i="6"/>
  <c r="H131" i="6"/>
  <c r="G131" i="6"/>
  <c r="F131" i="6"/>
  <c r="E131" i="6"/>
  <c r="H130" i="6"/>
  <c r="G130" i="6"/>
  <c r="F130" i="6"/>
  <c r="E130" i="6"/>
  <c r="H129" i="6"/>
  <c r="G129" i="6"/>
  <c r="F129" i="6"/>
  <c r="E129" i="6"/>
  <c r="H128" i="6"/>
  <c r="G128" i="6"/>
  <c r="F128" i="6"/>
  <c r="E128" i="6"/>
  <c r="D133" i="6"/>
  <c r="D132" i="6"/>
  <c r="D131" i="6"/>
  <c r="D130" i="6"/>
  <c r="D129" i="6"/>
  <c r="D128" i="6"/>
  <c r="D21" i="86"/>
  <c r="D22" i="86"/>
  <c r="D19" i="86"/>
  <c r="D124" i="6"/>
  <c r="D46" i="6"/>
  <c r="D19" i="3"/>
  <c r="E19" i="3"/>
  <c r="F19" i="3"/>
  <c r="G19" i="3"/>
  <c r="H19" i="3"/>
  <c r="E18" i="86"/>
  <c r="F18" i="86"/>
  <c r="G18" i="86"/>
  <c r="H18" i="86"/>
  <c r="E19" i="86"/>
  <c r="F19" i="86"/>
  <c r="E20" i="86"/>
  <c r="F20" i="86"/>
  <c r="G20" i="86"/>
  <c r="H20" i="86"/>
  <c r="E21" i="86"/>
  <c r="F21" i="86"/>
  <c r="E22" i="86"/>
  <c r="F22" i="86"/>
  <c r="E23" i="86"/>
  <c r="F23" i="86"/>
  <c r="G23" i="86"/>
  <c r="H23" i="86"/>
  <c r="E26" i="86"/>
  <c r="F26" i="86"/>
  <c r="G26" i="86"/>
  <c r="H26" i="86"/>
  <c r="D54" i="7"/>
  <c r="E54" i="7"/>
  <c r="F54" i="7"/>
  <c r="G54" i="7"/>
  <c r="D12" i="7"/>
  <c r="E12" i="7"/>
  <c r="F12" i="7"/>
  <c r="G12" i="7"/>
  <c r="E124" i="6"/>
  <c r="F124" i="6"/>
  <c r="G124" i="6"/>
  <c r="H124" i="6"/>
  <c r="E97" i="6"/>
  <c r="F97" i="6"/>
  <c r="G97" i="6"/>
  <c r="H97" i="6"/>
  <c r="F46" i="6"/>
  <c r="E53" i="6"/>
  <c r="F53" i="6"/>
  <c r="G53" i="6"/>
  <c r="H53" i="6"/>
  <c r="E7" i="6"/>
  <c r="F7" i="6"/>
  <c r="G7" i="6"/>
  <c r="C20" i="104"/>
  <c r="C31" i="104"/>
  <c r="C46" i="104"/>
  <c r="C48" i="104"/>
  <c r="C31" i="5"/>
  <c r="C30" i="5"/>
  <c r="G36" i="104"/>
  <c r="G38" i="104"/>
  <c r="G44" i="104"/>
  <c r="I44" i="104"/>
  <c r="M13" i="104"/>
  <c r="M20" i="104"/>
  <c r="M34" i="104"/>
  <c r="M24" i="104"/>
  <c r="M31" i="104"/>
  <c r="P20" i="104"/>
  <c r="O20" i="104"/>
  <c r="N20" i="104"/>
  <c r="L20" i="104"/>
  <c r="H20" i="104"/>
  <c r="E20" i="104"/>
  <c r="D20" i="104"/>
  <c r="P31" i="104"/>
  <c r="O31" i="104"/>
  <c r="N31" i="104"/>
  <c r="L31" i="104"/>
  <c r="K31" i="104"/>
  <c r="J31" i="104"/>
  <c r="I31" i="104"/>
  <c r="H31" i="104"/>
  <c r="G31" i="104"/>
  <c r="F31" i="104"/>
  <c r="E31" i="104"/>
  <c r="D31" i="104"/>
  <c r="J46" i="104"/>
  <c r="H46" i="104"/>
  <c r="F46" i="104"/>
  <c r="E46" i="104"/>
  <c r="D46" i="104"/>
  <c r="F48" i="104"/>
  <c r="J48" i="104"/>
  <c r="H48" i="104"/>
  <c r="E48" i="104"/>
  <c r="D48" i="104"/>
  <c r="N44" i="104"/>
  <c r="N46" i="104"/>
  <c r="N48" i="104"/>
  <c r="O44" i="104"/>
  <c r="O46" i="104"/>
  <c r="O48" i="104"/>
  <c r="K44" i="104"/>
  <c r="K46" i="104"/>
  <c r="K48" i="104"/>
  <c r="K18" i="104"/>
  <c r="K20" i="104"/>
  <c r="G46" i="104"/>
  <c r="G48" i="104"/>
  <c r="G18" i="104"/>
  <c r="G20" i="104"/>
  <c r="J18" i="104"/>
  <c r="J20" i="104"/>
  <c r="F18" i="104"/>
  <c r="F20" i="104"/>
  <c r="M44" i="104"/>
  <c r="M46" i="104"/>
  <c r="M48" i="104"/>
  <c r="I46" i="104"/>
  <c r="I48" i="104"/>
  <c r="I18" i="104"/>
  <c r="I20" i="104"/>
  <c r="P44" i="104"/>
  <c r="P46" i="104"/>
  <c r="P48" i="104"/>
  <c r="L44" i="104"/>
  <c r="L46" i="104"/>
  <c r="L48" i="104"/>
  <c r="E46" i="86"/>
  <c r="F46" i="86"/>
  <c r="G46" i="86"/>
  <c r="F43" i="86"/>
  <c r="F45" i="86"/>
  <c r="F47" i="86"/>
  <c r="E43" i="86"/>
  <c r="E45" i="86"/>
  <c r="E47" i="86"/>
  <c r="E30" i="5"/>
  <c r="G30" i="5"/>
  <c r="E31" i="5"/>
  <c r="G31" i="5"/>
  <c r="D31" i="5"/>
  <c r="D30" i="5"/>
  <c r="D135" i="6"/>
  <c r="F43" i="3"/>
  <c r="G43" i="3"/>
  <c r="H43" i="3"/>
  <c r="E43" i="3"/>
  <c r="D7" i="6"/>
  <c r="C12" i="7"/>
  <c r="D18" i="86"/>
  <c r="D20" i="86"/>
  <c r="D23" i="86"/>
  <c r="D26" i="86"/>
  <c r="Y167" i="96"/>
  <c r="AA167" i="96"/>
  <c r="W167" i="96"/>
  <c r="D43" i="86"/>
  <c r="S173" i="96"/>
  <c r="S170" i="96"/>
  <c r="S171" i="96"/>
  <c r="S174" i="96"/>
  <c r="S143" i="96"/>
  <c r="S142" i="96"/>
  <c r="S138" i="96"/>
  <c r="S137" i="96"/>
  <c r="S127" i="96"/>
  <c r="S134" i="96"/>
  <c r="S133" i="96"/>
  <c r="S126" i="96"/>
  <c r="S129" i="96"/>
  <c r="S124" i="96"/>
  <c r="S120" i="96"/>
  <c r="S116" i="96"/>
  <c r="S112" i="96"/>
  <c r="S107" i="96"/>
  <c r="S106" i="96"/>
  <c r="S100" i="96"/>
  <c r="S99" i="96"/>
  <c r="S98" i="96"/>
  <c r="S76" i="96"/>
  <c r="S75" i="96"/>
  <c r="S80" i="96"/>
  <c r="S72" i="96"/>
  <c r="S51" i="96"/>
  <c r="S50" i="96"/>
  <c r="S44" i="96"/>
  <c r="S43" i="96"/>
  <c r="S39" i="96"/>
  <c r="T34" i="96"/>
  <c r="S34" i="96"/>
  <c r="T28" i="96"/>
  <c r="S28" i="96"/>
  <c r="T21" i="96"/>
  <c r="S21" i="96"/>
  <c r="T14" i="96"/>
  <c r="S14" i="96"/>
  <c r="T8" i="96"/>
  <c r="S8" i="96"/>
  <c r="S108" i="96"/>
  <c r="S144" i="96"/>
  <c r="S45" i="96"/>
  <c r="S27" i="96"/>
  <c r="S29" i="96"/>
  <c r="T27" i="96"/>
  <c r="T29" i="96"/>
  <c r="S101" i="96"/>
  <c r="S139" i="96"/>
  <c r="S52" i="96"/>
  <c r="S128" i="96"/>
  <c r="S130" i="96"/>
  <c r="S175" i="96"/>
  <c r="S77" i="96"/>
  <c r="S135" i="96"/>
  <c r="AC115" i="96"/>
  <c r="AC116" i="96"/>
  <c r="AA115" i="96"/>
  <c r="AA116" i="96"/>
  <c r="Y115" i="96"/>
  <c r="Y116" i="96"/>
  <c r="W115" i="96"/>
  <c r="W116" i="96"/>
  <c r="U115" i="96"/>
  <c r="U116" i="96"/>
  <c r="AC111" i="96"/>
  <c r="AC112" i="96"/>
  <c r="AA111" i="96"/>
  <c r="AA112" i="96"/>
  <c r="Y111" i="96"/>
  <c r="Y112" i="96"/>
  <c r="W111" i="96"/>
  <c r="W112" i="96"/>
  <c r="U111" i="96"/>
  <c r="U112" i="96"/>
  <c r="V27" i="96"/>
  <c r="U27" i="96"/>
  <c r="V34" i="96"/>
  <c r="U34" i="96"/>
  <c r="U39" i="96"/>
  <c r="U45" i="96"/>
  <c r="U52" i="96"/>
  <c r="U72" i="96"/>
  <c r="U77" i="96"/>
  <c r="U84" i="96"/>
  <c r="U101" i="96"/>
  <c r="U120" i="96"/>
  <c r="U124" i="96"/>
  <c r="U130" i="96"/>
  <c r="U135" i="96"/>
  <c r="U139" i="96"/>
  <c r="U144" i="96"/>
  <c r="U171" i="96"/>
  <c r="U175" i="96"/>
  <c r="V28" i="96"/>
  <c r="U28" i="96"/>
  <c r="X27" i="96"/>
  <c r="V21" i="96"/>
  <c r="U21" i="96"/>
  <c r="V29" i="96"/>
  <c r="U29" i="96"/>
  <c r="W143" i="96"/>
  <c r="W144" i="96"/>
  <c r="W137" i="96"/>
  <c r="W133" i="96"/>
  <c r="W122" i="96"/>
  <c r="W119" i="96"/>
  <c r="W118" i="96"/>
  <c r="W95" i="96"/>
  <c r="W76" i="96"/>
  <c r="W120" i="96"/>
  <c r="W126" i="96"/>
  <c r="W173" i="96"/>
  <c r="W134" i="96"/>
  <c r="W135" i="96"/>
  <c r="W138" i="96"/>
  <c r="W139" i="96"/>
  <c r="W129" i="96"/>
  <c r="W127" i="96"/>
  <c r="W123" i="96"/>
  <c r="W124" i="96"/>
  <c r="W100" i="96"/>
  <c r="W99" i="96"/>
  <c r="W98" i="96"/>
  <c r="X96" i="96"/>
  <c r="W83" i="96"/>
  <c r="W75" i="96"/>
  <c r="W80" i="96"/>
  <c r="W82" i="96"/>
  <c r="W51" i="96"/>
  <c r="W50" i="96"/>
  <c r="W44" i="96"/>
  <c r="W41" i="96"/>
  <c r="W43" i="96"/>
  <c r="W39" i="96"/>
  <c r="X34" i="96"/>
  <c r="W34" i="96"/>
  <c r="X28" i="96"/>
  <c r="W28" i="96"/>
  <c r="W27" i="96"/>
  <c r="W21" i="96"/>
  <c r="X21" i="96"/>
  <c r="W52" i="96"/>
  <c r="W77" i="96"/>
  <c r="W170" i="96"/>
  <c r="W171" i="96"/>
  <c r="W128" i="96"/>
  <c r="W130" i="96"/>
  <c r="W84" i="96"/>
  <c r="W71" i="96"/>
  <c r="W72" i="96"/>
  <c r="W101" i="96"/>
  <c r="W45" i="96"/>
  <c r="W29" i="96"/>
  <c r="X29" i="96"/>
  <c r="W174" i="96"/>
  <c r="W175" i="96"/>
  <c r="Y173" i="96"/>
  <c r="Y143" i="96"/>
  <c r="Y142" i="96"/>
  <c r="Y137" i="96"/>
  <c r="Y133" i="96"/>
  <c r="Y129" i="96"/>
  <c r="Y123" i="96"/>
  <c r="Y122" i="96"/>
  <c r="Y119" i="96"/>
  <c r="Y118" i="96"/>
  <c r="Y124" i="96"/>
  <c r="Y126" i="96"/>
  <c r="Y127" i="96"/>
  <c r="Y144" i="96"/>
  <c r="Y138" i="96"/>
  <c r="Y139" i="96"/>
  <c r="Y120" i="96"/>
  <c r="Y134" i="96"/>
  <c r="Y135" i="96"/>
  <c r="Y100" i="96"/>
  <c r="Y99" i="96"/>
  <c r="Y76" i="96"/>
  <c r="Y75" i="96"/>
  <c r="Y80" i="96"/>
  <c r="Y41" i="96"/>
  <c r="Y71" i="96"/>
  <c r="Y72" i="96"/>
  <c r="Z27" i="96"/>
  <c r="Y27" i="96"/>
  <c r="Y128" i="96"/>
  <c r="Y130" i="96"/>
  <c r="Y77" i="96"/>
  <c r="Y50" i="96"/>
  <c r="Y51" i="96"/>
  <c r="Y44" i="96"/>
  <c r="Y43" i="96"/>
  <c r="Y45" i="96"/>
  <c r="Y83" i="96"/>
  <c r="Y82" i="96"/>
  <c r="Y52" i="96"/>
  <c r="Y84" i="96"/>
  <c r="D46" i="86"/>
  <c r="D97" i="6"/>
  <c r="C54" i="7"/>
  <c r="D53" i="6"/>
  <c r="AA95" i="96"/>
  <c r="AA173" i="96"/>
  <c r="AA174" i="96"/>
  <c r="AA143" i="96"/>
  <c r="AA142" i="96"/>
  <c r="AA139" i="96"/>
  <c r="AA135" i="96"/>
  <c r="AA129" i="96"/>
  <c r="AA128" i="96"/>
  <c r="AA120" i="96"/>
  <c r="AA107" i="96"/>
  <c r="AA124" i="96"/>
  <c r="AA106" i="96"/>
  <c r="AA100" i="96"/>
  <c r="AA99" i="96"/>
  <c r="AA98" i="96"/>
  <c r="AA80" i="96"/>
  <c r="AA75" i="96"/>
  <c r="AA72" i="96"/>
  <c r="AA51" i="96"/>
  <c r="AA45" i="96"/>
  <c r="AA44" i="96"/>
  <c r="AA43" i="96"/>
  <c r="AA39" i="96"/>
  <c r="AB34" i="96"/>
  <c r="AA34" i="96"/>
  <c r="AB21" i="96"/>
  <c r="AA21" i="96"/>
  <c r="AB12" i="96"/>
  <c r="AB13" i="96"/>
  <c r="AB14" i="96"/>
  <c r="AB27" i="96"/>
  <c r="AA12" i="96"/>
  <c r="AA13" i="96"/>
  <c r="AA14" i="96"/>
  <c r="AA27" i="96"/>
  <c r="AB106" i="96"/>
  <c r="AC8" i="96"/>
  <c r="AC167" i="96"/>
  <c r="AD8" i="96"/>
  <c r="AF8" i="96"/>
  <c r="AH8" i="96"/>
  <c r="AJ8" i="96"/>
  <c r="AL8" i="96"/>
  <c r="AK8" i="96"/>
  <c r="AK167" i="96"/>
  <c r="AN8" i="96"/>
  <c r="AP8" i="96"/>
  <c r="AR8" i="96"/>
  <c r="AT8" i="96"/>
  <c r="AS8" i="96"/>
  <c r="AV8" i="96"/>
  <c r="AX8" i="96"/>
  <c r="AZ8" i="96"/>
  <c r="BB8" i="96"/>
  <c r="BA8" i="96"/>
  <c r="AA108" i="96"/>
  <c r="AA144" i="96"/>
  <c r="AA170" i="96"/>
  <c r="AA171" i="96"/>
  <c r="AA130" i="96"/>
  <c r="AA101" i="96"/>
  <c r="AA175" i="96"/>
  <c r="AB107" i="96"/>
  <c r="AB108" i="96"/>
  <c r="AY8" i="96"/>
  <c r="AW8" i="96"/>
  <c r="AU8" i="96"/>
  <c r="AI8" i="96"/>
  <c r="AQ8" i="96"/>
  <c r="AO8" i="96"/>
  <c r="AO104" i="96"/>
  <c r="AO106" i="96"/>
  <c r="AQ167" i="96"/>
  <c r="AG8" i="96"/>
  <c r="AG104" i="96"/>
  <c r="AG106" i="96"/>
  <c r="AI167" i="96"/>
  <c r="AA50" i="96"/>
  <c r="AA76" i="96"/>
  <c r="AA77" i="96"/>
  <c r="AC143" i="96"/>
  <c r="AI173" i="96"/>
  <c r="AC173" i="96"/>
  <c r="BA162" i="96"/>
  <c r="AY162" i="96"/>
  <c r="AW162" i="96"/>
  <c r="AU162" i="96"/>
  <c r="AS162" i="96"/>
  <c r="AI174" i="96"/>
  <c r="AG174" i="96"/>
  <c r="AG175" i="96"/>
  <c r="AE174" i="96"/>
  <c r="AE175" i="96"/>
  <c r="BA143" i="96"/>
  <c r="AY143" i="96"/>
  <c r="AW143" i="96"/>
  <c r="AU143" i="96"/>
  <c r="AS143" i="96"/>
  <c r="AQ143" i="96"/>
  <c r="AO143" i="96"/>
  <c r="AM143" i="96"/>
  <c r="AK143" i="96"/>
  <c r="AI143" i="96"/>
  <c r="AG143" i="96"/>
  <c r="AE143" i="96"/>
  <c r="BA142" i="96"/>
  <c r="AY142" i="96"/>
  <c r="AW142" i="96"/>
  <c r="AU142" i="96"/>
  <c r="AS142" i="96"/>
  <c r="AO142" i="96"/>
  <c r="AM142" i="96"/>
  <c r="AK142" i="96"/>
  <c r="AI142" i="96"/>
  <c r="AG142" i="96"/>
  <c r="AE142" i="96"/>
  <c r="BA138" i="96"/>
  <c r="BA139" i="96"/>
  <c r="AY138" i="96"/>
  <c r="AY139" i="96"/>
  <c r="AW138" i="96"/>
  <c r="AW139" i="96"/>
  <c r="AU138" i="96"/>
  <c r="AU139" i="96"/>
  <c r="AS138" i="96"/>
  <c r="AS139" i="96"/>
  <c r="AQ138" i="96"/>
  <c r="AQ139" i="96"/>
  <c r="AO138" i="96"/>
  <c r="AO139" i="96"/>
  <c r="AM138" i="96"/>
  <c r="AM139" i="96"/>
  <c r="AK138" i="96"/>
  <c r="AK139" i="96"/>
  <c r="AI138" i="96"/>
  <c r="AI139" i="96"/>
  <c r="AG138" i="96"/>
  <c r="AG139" i="96"/>
  <c r="AE138" i="96"/>
  <c r="AE139" i="96"/>
  <c r="BA134" i="96"/>
  <c r="BA135" i="96"/>
  <c r="AY134" i="96"/>
  <c r="AY135" i="96"/>
  <c r="AW134" i="96"/>
  <c r="AW135" i="96"/>
  <c r="AU134" i="96"/>
  <c r="AU135" i="96"/>
  <c r="AS134" i="96"/>
  <c r="AS135" i="96"/>
  <c r="AQ134" i="96"/>
  <c r="AQ135" i="96"/>
  <c r="AO134" i="96"/>
  <c r="AO135" i="96"/>
  <c r="AM134" i="96"/>
  <c r="AM135" i="96"/>
  <c r="AK134" i="96"/>
  <c r="AK135" i="96"/>
  <c r="AI134" i="96"/>
  <c r="AI135" i="96"/>
  <c r="AG134" i="96"/>
  <c r="AG135" i="96"/>
  <c r="AE134" i="96"/>
  <c r="AE135" i="96"/>
  <c r="BA129" i="96"/>
  <c r="AY129" i="96"/>
  <c r="AW129" i="96"/>
  <c r="AU129" i="96"/>
  <c r="AS129" i="96"/>
  <c r="AQ129" i="96"/>
  <c r="AO129" i="96"/>
  <c r="AM129" i="96"/>
  <c r="AI129" i="96"/>
  <c r="AG129" i="96"/>
  <c r="AE129" i="96"/>
  <c r="BA128" i="96"/>
  <c r="AY128" i="96"/>
  <c r="AW128" i="96"/>
  <c r="AU128" i="96"/>
  <c r="AS128" i="96"/>
  <c r="AQ128" i="96"/>
  <c r="AO128" i="96"/>
  <c r="AM128" i="96"/>
  <c r="AK128" i="96"/>
  <c r="AI128" i="96"/>
  <c r="AG128" i="96"/>
  <c r="AE128" i="96"/>
  <c r="BA123" i="96"/>
  <c r="BA124" i="96"/>
  <c r="AY123" i="96"/>
  <c r="AY124" i="96"/>
  <c r="AW123" i="96"/>
  <c r="AW124" i="96"/>
  <c r="AU123" i="96"/>
  <c r="AU124" i="96"/>
  <c r="AS123" i="96"/>
  <c r="AS124" i="96"/>
  <c r="AQ123" i="96"/>
  <c r="AQ124" i="96"/>
  <c r="AO123" i="96"/>
  <c r="AO124" i="96"/>
  <c r="AM123" i="96"/>
  <c r="AM124" i="96"/>
  <c r="AI123" i="96"/>
  <c r="AI124" i="96"/>
  <c r="AG123" i="96"/>
  <c r="AG124" i="96"/>
  <c r="AE123" i="96"/>
  <c r="AE124" i="96"/>
  <c r="AC138" i="96"/>
  <c r="AC139" i="96"/>
  <c r="BA119" i="96"/>
  <c r="BA120" i="96"/>
  <c r="AY119" i="96"/>
  <c r="AY120" i="96"/>
  <c r="AW119" i="96"/>
  <c r="AW120" i="96"/>
  <c r="AU119" i="96"/>
  <c r="AU120" i="96"/>
  <c r="AS119" i="96"/>
  <c r="AS120" i="96"/>
  <c r="AQ119" i="96"/>
  <c r="AQ120" i="96"/>
  <c r="AO119" i="96"/>
  <c r="AO120" i="96"/>
  <c r="AM119" i="96"/>
  <c r="AM120" i="96"/>
  <c r="AI119" i="96"/>
  <c r="AI120" i="96"/>
  <c r="AG119" i="96"/>
  <c r="AG120" i="96"/>
  <c r="AE119" i="96"/>
  <c r="AE120" i="96"/>
  <c r="AC134" i="96"/>
  <c r="AC135" i="96"/>
  <c r="BA107" i="96"/>
  <c r="BB107" i="96"/>
  <c r="AY107" i="96"/>
  <c r="AZ107" i="96"/>
  <c r="AW107" i="96"/>
  <c r="AX107" i="96"/>
  <c r="AU107" i="96"/>
  <c r="AV107" i="96"/>
  <c r="AS107" i="96"/>
  <c r="AT107" i="96"/>
  <c r="AQ107" i="96"/>
  <c r="AR107" i="96"/>
  <c r="AO107" i="96"/>
  <c r="AP107" i="96"/>
  <c r="AM107" i="96"/>
  <c r="AN107" i="96"/>
  <c r="AI107" i="96"/>
  <c r="AJ107" i="96"/>
  <c r="AG107" i="96"/>
  <c r="AH107" i="96"/>
  <c r="AE107" i="96"/>
  <c r="AF107" i="96"/>
  <c r="BB106" i="96"/>
  <c r="BA100" i="96"/>
  <c r="AY100" i="96"/>
  <c r="AW100" i="96"/>
  <c r="AU100" i="96"/>
  <c r="AS100" i="96"/>
  <c r="AQ100" i="96"/>
  <c r="AO100" i="96"/>
  <c r="AM100" i="96"/>
  <c r="AI100" i="96"/>
  <c r="AG100" i="96"/>
  <c r="AE100" i="96"/>
  <c r="BA99" i="96"/>
  <c r="AY99" i="96"/>
  <c r="AW99" i="96"/>
  <c r="AU99" i="96"/>
  <c r="AS99" i="96"/>
  <c r="AQ99" i="96"/>
  <c r="AO99" i="96"/>
  <c r="AM99" i="96"/>
  <c r="AI99" i="96"/>
  <c r="AG99" i="96"/>
  <c r="AE99" i="96"/>
  <c r="BA98" i="96"/>
  <c r="AY98" i="96"/>
  <c r="AW98" i="96"/>
  <c r="AU98" i="96"/>
  <c r="AS98" i="96"/>
  <c r="AQ98" i="96"/>
  <c r="AO98" i="96"/>
  <c r="AM98" i="96"/>
  <c r="AK98" i="96"/>
  <c r="AI98" i="96"/>
  <c r="AG98" i="96"/>
  <c r="AE98" i="96"/>
  <c r="BB96" i="96"/>
  <c r="AZ96" i="96"/>
  <c r="AX96" i="96"/>
  <c r="AV96" i="96"/>
  <c r="AT96" i="96"/>
  <c r="AR96" i="96"/>
  <c r="BA95" i="96"/>
  <c r="AY95" i="96"/>
  <c r="AW95" i="96"/>
  <c r="AU95" i="96"/>
  <c r="AS95" i="96"/>
  <c r="AQ95" i="96"/>
  <c r="BA83" i="96"/>
  <c r="AY83" i="96"/>
  <c r="AW83" i="96"/>
  <c r="AU83" i="96"/>
  <c r="AE81" i="96"/>
  <c r="AE83" i="96"/>
  <c r="BA80" i="96"/>
  <c r="AS81" i="96"/>
  <c r="AY80" i="96"/>
  <c r="AY82" i="96"/>
  <c r="AW80" i="96"/>
  <c r="AW82" i="96"/>
  <c r="AU80" i="96"/>
  <c r="AM81" i="96"/>
  <c r="AM83" i="96"/>
  <c r="AS80" i="96"/>
  <c r="AK81" i="96"/>
  <c r="AQ80" i="96"/>
  <c r="AI81" i="96"/>
  <c r="AI83" i="96"/>
  <c r="AO80" i="96"/>
  <c r="AG81" i="96"/>
  <c r="AG83" i="96"/>
  <c r="AM80" i="96"/>
  <c r="AI80" i="96"/>
  <c r="AA81" i="96"/>
  <c r="AG80" i="96"/>
  <c r="AE80" i="96"/>
  <c r="BA75" i="96"/>
  <c r="AY75" i="96"/>
  <c r="AW75" i="96"/>
  <c r="AU75" i="96"/>
  <c r="AS75" i="96"/>
  <c r="AQ75" i="96"/>
  <c r="AO75" i="96"/>
  <c r="AM75" i="96"/>
  <c r="AK75" i="96"/>
  <c r="AI75" i="96"/>
  <c r="AG75" i="96"/>
  <c r="AE75" i="96"/>
  <c r="AC75" i="96"/>
  <c r="BA71" i="96"/>
  <c r="BA72" i="96"/>
  <c r="AY71" i="96"/>
  <c r="AY72" i="96"/>
  <c r="AW71" i="96"/>
  <c r="AW72" i="96"/>
  <c r="AU71" i="96"/>
  <c r="AU72" i="96"/>
  <c r="AS71" i="96"/>
  <c r="AS72" i="96"/>
  <c r="AQ71" i="96"/>
  <c r="AQ72" i="96"/>
  <c r="AO71" i="96"/>
  <c r="AO72" i="96"/>
  <c r="AM71" i="96"/>
  <c r="AM72" i="96"/>
  <c r="AI71" i="96"/>
  <c r="AI72" i="96"/>
  <c r="AG71" i="96"/>
  <c r="AG72" i="96"/>
  <c r="AE71" i="96"/>
  <c r="AE72" i="96"/>
  <c r="AK80" i="96"/>
  <c r="AC81" i="96"/>
  <c r="AC83" i="96"/>
  <c r="BA51" i="96"/>
  <c r="AY51" i="96"/>
  <c r="AW51" i="96"/>
  <c r="AU51" i="96"/>
  <c r="BA44" i="96"/>
  <c r="AY44" i="96"/>
  <c r="AW44" i="96"/>
  <c r="AU44" i="96"/>
  <c r="BA41" i="96"/>
  <c r="BA43" i="96"/>
  <c r="AY41" i="96"/>
  <c r="AY43" i="96"/>
  <c r="AW41" i="96"/>
  <c r="AW43" i="96"/>
  <c r="AU41" i="96"/>
  <c r="AU43" i="96"/>
  <c r="AS41" i="96"/>
  <c r="AQ41" i="96"/>
  <c r="AI42" i="96"/>
  <c r="AO41" i="96"/>
  <c r="AG42" i="96"/>
  <c r="AM41" i="96"/>
  <c r="AE42" i="96"/>
  <c r="AE44" i="96"/>
  <c r="AI41" i="96"/>
  <c r="AG41" i="96"/>
  <c r="AE41" i="96"/>
  <c r="AC41" i="96"/>
  <c r="BA39" i="96"/>
  <c r="BA48" i="96"/>
  <c r="BA50" i="96"/>
  <c r="AY39" i="96"/>
  <c r="AY48" i="96"/>
  <c r="AY50" i="96"/>
  <c r="AW39" i="96"/>
  <c r="AW48" i="96"/>
  <c r="AW76" i="96"/>
  <c r="AU39" i="96"/>
  <c r="AM49" i="96"/>
  <c r="AS39" i="96"/>
  <c r="AQ39" i="96"/>
  <c r="AI49" i="96"/>
  <c r="AI51" i="96"/>
  <c r="AO39" i="96"/>
  <c r="AG49" i="96"/>
  <c r="AG51" i="96"/>
  <c r="AM39" i="96"/>
  <c r="AM48" i="96"/>
  <c r="AM76" i="96"/>
  <c r="AI39" i="96"/>
  <c r="AG39" i="96"/>
  <c r="AG48" i="96"/>
  <c r="AG76" i="96"/>
  <c r="AE39" i="96"/>
  <c r="AE48" i="96"/>
  <c r="AE76" i="96"/>
  <c r="AK100" i="96"/>
  <c r="AC100" i="96"/>
  <c r="AK99" i="96"/>
  <c r="AC99" i="96"/>
  <c r="AC107" i="96"/>
  <c r="AC123" i="96"/>
  <c r="AC124" i="96"/>
  <c r="BB34" i="96"/>
  <c r="BA34" i="96"/>
  <c r="AZ34" i="96"/>
  <c r="AY34" i="96"/>
  <c r="AX34" i="96"/>
  <c r="AW34" i="96"/>
  <c r="AV34" i="96"/>
  <c r="AU34" i="96"/>
  <c r="AT34" i="96"/>
  <c r="AS34" i="96"/>
  <c r="AR34" i="96"/>
  <c r="AQ34" i="96"/>
  <c r="AP34" i="96"/>
  <c r="AO34" i="96"/>
  <c r="AN34" i="96"/>
  <c r="AM34" i="96"/>
  <c r="AL34" i="96"/>
  <c r="AK34" i="96"/>
  <c r="AJ34" i="96"/>
  <c r="AI34" i="96"/>
  <c r="AH34" i="96"/>
  <c r="AG34" i="96"/>
  <c r="AF34" i="96"/>
  <c r="AE34" i="96"/>
  <c r="AD34" i="96"/>
  <c r="AC34" i="96"/>
  <c r="BA21" i="96"/>
  <c r="AY21" i="96"/>
  <c r="AW21" i="96"/>
  <c r="AU21" i="96"/>
  <c r="AS21" i="96"/>
  <c r="AP21" i="96"/>
  <c r="AO21" i="96"/>
  <c r="AN21" i="96"/>
  <c r="AM21" i="96"/>
  <c r="AJ21" i="96"/>
  <c r="AI21" i="96"/>
  <c r="AH21" i="96"/>
  <c r="AG21" i="96"/>
  <c r="AF21" i="96"/>
  <c r="AE21" i="96"/>
  <c r="AD21" i="96"/>
  <c r="BB19" i="96"/>
  <c r="BB21" i="96"/>
  <c r="AZ19" i="96"/>
  <c r="AZ21" i="96"/>
  <c r="AX19" i="96"/>
  <c r="AX21" i="96"/>
  <c r="AV19" i="96"/>
  <c r="AV21" i="96"/>
  <c r="AT19" i="96"/>
  <c r="AT21" i="96"/>
  <c r="AR19" i="96"/>
  <c r="AR21" i="96"/>
  <c r="AQ19" i="96"/>
  <c r="AQ142" i="96"/>
  <c r="AL21" i="96"/>
  <c r="AC174" i="96"/>
  <c r="AC175" i="96"/>
  <c r="BA14" i="96"/>
  <c r="BA27" i="96"/>
  <c r="AZ14" i="96"/>
  <c r="AZ27" i="96"/>
  <c r="AY14" i="96"/>
  <c r="AY27" i="96"/>
  <c r="AX14" i="96"/>
  <c r="AX27" i="96"/>
  <c r="AW14" i="96"/>
  <c r="AW27" i="96"/>
  <c r="AV14" i="96"/>
  <c r="AV27" i="96"/>
  <c r="AU14" i="96"/>
  <c r="AU27" i="96"/>
  <c r="AT14" i="96"/>
  <c r="AT27" i="96"/>
  <c r="AS14" i="96"/>
  <c r="AS27" i="96"/>
  <c r="AP12" i="96"/>
  <c r="AP13" i="96"/>
  <c r="AP14" i="96"/>
  <c r="AP27" i="96"/>
  <c r="AO12" i="96"/>
  <c r="AO13" i="96"/>
  <c r="AO14" i="96"/>
  <c r="AN12" i="96"/>
  <c r="AN13" i="96"/>
  <c r="AN14" i="96"/>
  <c r="AN27" i="96"/>
  <c r="AM12" i="96"/>
  <c r="AM13" i="96"/>
  <c r="AM14" i="96"/>
  <c r="AL12" i="96"/>
  <c r="AL13" i="96"/>
  <c r="AL14" i="96"/>
  <c r="AL27" i="96"/>
  <c r="AK12" i="96"/>
  <c r="AK13" i="96"/>
  <c r="AK14" i="96"/>
  <c r="AK27" i="96"/>
  <c r="AJ12" i="96"/>
  <c r="AJ13" i="96"/>
  <c r="AJ14" i="96"/>
  <c r="AJ27" i="96"/>
  <c r="AI12" i="96"/>
  <c r="AI13" i="96"/>
  <c r="AI14" i="96"/>
  <c r="AI27" i="96"/>
  <c r="AH12" i="96"/>
  <c r="AH13" i="96"/>
  <c r="AH14" i="96"/>
  <c r="AH27" i="96"/>
  <c r="AG12" i="96"/>
  <c r="AG13" i="96"/>
  <c r="AG14" i="96"/>
  <c r="AG27" i="96"/>
  <c r="AF12" i="96"/>
  <c r="AF13" i="96"/>
  <c r="AF14" i="96"/>
  <c r="AE12" i="96"/>
  <c r="AE13" i="96"/>
  <c r="AE14" i="96"/>
  <c r="AR11" i="96"/>
  <c r="AR14" i="96"/>
  <c r="AQ11" i="96"/>
  <c r="BB104" i="96"/>
  <c r="AZ104" i="96"/>
  <c r="AZ106" i="96"/>
  <c r="AX104" i="96"/>
  <c r="AX106" i="96"/>
  <c r="AX108" i="96"/>
  <c r="AR104" i="96"/>
  <c r="AR106" i="96"/>
  <c r="AR108" i="96"/>
  <c r="AP104" i="96"/>
  <c r="AP106" i="96"/>
  <c r="AL104" i="96"/>
  <c r="AL106" i="96"/>
  <c r="AK104" i="96"/>
  <c r="AK106" i="96"/>
  <c r="AF104" i="96"/>
  <c r="AF106" i="96"/>
  <c r="AF108" i="96"/>
  <c r="AD104" i="96"/>
  <c r="AD106" i="96"/>
  <c r="AC104" i="96"/>
  <c r="AC106" i="96"/>
  <c r="BA104" i="96"/>
  <c r="BA106" i="96"/>
  <c r="BB27" i="96"/>
  <c r="AV104" i="96"/>
  <c r="AV106" i="96"/>
  <c r="AN104" i="96"/>
  <c r="AN106" i="96"/>
  <c r="AJ104" i="96"/>
  <c r="AJ106" i="96"/>
  <c r="AS104" i="96"/>
  <c r="AS106" i="96"/>
  <c r="AC128" i="96"/>
  <c r="AT104" i="96"/>
  <c r="AT106" i="96"/>
  <c r="AH104" i="96"/>
  <c r="AH106" i="96"/>
  <c r="AK21" i="96"/>
  <c r="AD12" i="96"/>
  <c r="AD13" i="96"/>
  <c r="AD14" i="96"/>
  <c r="AD27" i="96"/>
  <c r="AC142" i="96"/>
  <c r="AC80" i="96"/>
  <c r="S81" i="96"/>
  <c r="AC72" i="96"/>
  <c r="AI104" i="96"/>
  <c r="AI106" i="96"/>
  <c r="AY104" i="96"/>
  <c r="AY106" i="96"/>
  <c r="AC12" i="96"/>
  <c r="AC13" i="96"/>
  <c r="AC14" i="96"/>
  <c r="AC27" i="96"/>
  <c r="AC21" i="96"/>
  <c r="AK123" i="96"/>
  <c r="AK124" i="96"/>
  <c r="AK107" i="96"/>
  <c r="AL107" i="96"/>
  <c r="AK129" i="96"/>
  <c r="AK119" i="96"/>
  <c r="AK120" i="96"/>
  <c r="AK71" i="96"/>
  <c r="AK72" i="96"/>
  <c r="AC45" i="96"/>
  <c r="AK41" i="96"/>
  <c r="AC42" i="96"/>
  <c r="AC44" i="96"/>
  <c r="AK39" i="96"/>
  <c r="AC49" i="96"/>
  <c r="AC51" i="96"/>
  <c r="AC39" i="96"/>
  <c r="AC48" i="96"/>
  <c r="AC98" i="96"/>
  <c r="AC71" i="96"/>
  <c r="AC119" i="96"/>
  <c r="AC120" i="96"/>
  <c r="AC129" i="96"/>
  <c r="AQ104" i="96"/>
  <c r="AQ106" i="96"/>
  <c r="AQ108" i="96"/>
  <c r="AW104" i="96"/>
  <c r="AW106" i="96"/>
  <c r="AW108" i="96"/>
  <c r="D41" i="3"/>
  <c r="D43" i="3"/>
  <c r="D9" i="6"/>
  <c r="E9" i="6"/>
  <c r="F9" i="6"/>
  <c r="G9" i="6"/>
  <c r="H9" i="6"/>
  <c r="AN108" i="96"/>
  <c r="AO108" i="96"/>
  <c r="AO27" i="96"/>
  <c r="AH108" i="96"/>
  <c r="AP108" i="96"/>
  <c r="AY108" i="96"/>
  <c r="AZ108" i="96"/>
  <c r="AG108" i="96"/>
  <c r="AC108" i="96"/>
  <c r="AK108" i="96"/>
  <c r="AT108" i="96"/>
  <c r="AS108" i="96"/>
  <c r="AV108" i="96"/>
  <c r="AJ108" i="96"/>
  <c r="AL108" i="96"/>
  <c r="BA108" i="96"/>
  <c r="BB108" i="96"/>
  <c r="AI108" i="96"/>
  <c r="AD107" i="96"/>
  <c r="AD108" i="96"/>
  <c r="AU45" i="96"/>
  <c r="AM42" i="96"/>
  <c r="AM44" i="96"/>
  <c r="AQ49" i="96"/>
  <c r="AQ51" i="96"/>
  <c r="AY76" i="96"/>
  <c r="AY77" i="96"/>
  <c r="AQ14" i="96"/>
  <c r="AQ27" i="96"/>
  <c r="AE8" i="96"/>
  <c r="AG167" i="96"/>
  <c r="AG170" i="96"/>
  <c r="AG171" i="96"/>
  <c r="AM8" i="96"/>
  <c r="AO167" i="96"/>
  <c r="BA52" i="96"/>
  <c r="AE130" i="96"/>
  <c r="AY144" i="96"/>
  <c r="S83" i="96"/>
  <c r="S82" i="96"/>
  <c r="AU144" i="96"/>
  <c r="AI130" i="96"/>
  <c r="AS144" i="96"/>
  <c r="AG130" i="96"/>
  <c r="BA144" i="96"/>
  <c r="AS52" i="96"/>
  <c r="BA45" i="96"/>
  <c r="AA83" i="96"/>
  <c r="AA82" i="96"/>
  <c r="AI48" i="96"/>
  <c r="AI76" i="96"/>
  <c r="AI77" i="96"/>
  <c r="AA52" i="96"/>
  <c r="AA24" i="96"/>
  <c r="AA28" i="96"/>
  <c r="AA29" i="96"/>
  <c r="AB25" i="96"/>
  <c r="AB28" i="96"/>
  <c r="AB29" i="96"/>
  <c r="D45" i="86"/>
  <c r="D47" i="86"/>
  <c r="AO81" i="96"/>
  <c r="AO83" i="96"/>
  <c r="AM77" i="96"/>
  <c r="AC144" i="96"/>
  <c r="AK130" i="96"/>
  <c r="AG77" i="96"/>
  <c r="AQ81" i="96"/>
  <c r="AQ83" i="96"/>
  <c r="AQ12" i="96"/>
  <c r="AQ13" i="96"/>
  <c r="AU48" i="96"/>
  <c r="AU76" i="96"/>
  <c r="AU77" i="96"/>
  <c r="AI170" i="96"/>
  <c r="AI171" i="96"/>
  <c r="AS101" i="96"/>
  <c r="AK24" i="96"/>
  <c r="AK28" i="96"/>
  <c r="AK29" i="96"/>
  <c r="AT25" i="96"/>
  <c r="AT28" i="96"/>
  <c r="AT29" i="96"/>
  <c r="AK48" i="96"/>
  <c r="AK76" i="96"/>
  <c r="AK77" i="96"/>
  <c r="AS48" i="96"/>
  <c r="AS76" i="96"/>
  <c r="AS77" i="96"/>
  <c r="AR12" i="96"/>
  <c r="AR13" i="96"/>
  <c r="AS49" i="96"/>
  <c r="AS51" i="96"/>
  <c r="AY84" i="96"/>
  <c r="AS130" i="96"/>
  <c r="BA130" i="96"/>
  <c r="AI144" i="96"/>
  <c r="AK144" i="96"/>
  <c r="AK49" i="96"/>
  <c r="AK51" i="96"/>
  <c r="AD25" i="96"/>
  <c r="AD28" i="96"/>
  <c r="AD29" i="96"/>
  <c r="AH25" i="96"/>
  <c r="AH28" i="96"/>
  <c r="AH29" i="96"/>
  <c r="AK101" i="96"/>
  <c r="AU101" i="96"/>
  <c r="AI44" i="96"/>
  <c r="AI43" i="96"/>
  <c r="AQ48" i="96"/>
  <c r="AX25" i="96"/>
  <c r="AX28" i="96"/>
  <c r="AX29" i="96"/>
  <c r="AE82" i="96"/>
  <c r="AE84" i="96"/>
  <c r="AO130" i="96"/>
  <c r="AW130" i="96"/>
  <c r="AQ130" i="96"/>
  <c r="AY130" i="96"/>
  <c r="AC82" i="96"/>
  <c r="AC84" i="96"/>
  <c r="AO101" i="96"/>
  <c r="AW101" i="96"/>
  <c r="AI101" i="96"/>
  <c r="AE144" i="96"/>
  <c r="AG144" i="96"/>
  <c r="AO144" i="96"/>
  <c r="AC24" i="96"/>
  <c r="AC28" i="96"/>
  <c r="AC29" i="96"/>
  <c r="AQ42" i="96"/>
  <c r="AQ44" i="96"/>
  <c r="AI82" i="96"/>
  <c r="AI84" i="96"/>
  <c r="AM130" i="96"/>
  <c r="AU130" i="96"/>
  <c r="AK52" i="96"/>
  <c r="AO42" i="96"/>
  <c r="AO44" i="96"/>
  <c r="AY101" i="96"/>
  <c r="AW50" i="96"/>
  <c r="AW52" i="96"/>
  <c r="AC130" i="96"/>
  <c r="AQ21" i="96"/>
  <c r="AR25" i="96"/>
  <c r="AR28" i="96"/>
  <c r="AO49" i="96"/>
  <c r="AO51" i="96"/>
  <c r="AI175" i="96"/>
  <c r="AG44" i="96"/>
  <c r="AG43" i="96"/>
  <c r="AE77" i="96"/>
  <c r="AI24" i="96"/>
  <c r="AI28" i="96"/>
  <c r="AI29" i="96"/>
  <c r="BA76" i="96"/>
  <c r="BA77" i="96"/>
  <c r="AU82" i="96"/>
  <c r="AU84" i="96"/>
  <c r="AC43" i="96"/>
  <c r="AS42" i="96"/>
  <c r="AS44" i="96"/>
  <c r="AQ101" i="96"/>
  <c r="AG24" i="96"/>
  <c r="AG28" i="96"/>
  <c r="AG29" i="96"/>
  <c r="AS24" i="96"/>
  <c r="AS28" i="96"/>
  <c r="AS29" i="96"/>
  <c r="AW84" i="96"/>
  <c r="AE101" i="96"/>
  <c r="AM51" i="96"/>
  <c r="AM50" i="96"/>
  <c r="AC52" i="96"/>
  <c r="AL25" i="96"/>
  <c r="AL28" i="96"/>
  <c r="AL29" i="96"/>
  <c r="AE43" i="96"/>
  <c r="AE45" i="96"/>
  <c r="AV25" i="96"/>
  <c r="AV28" i="96"/>
  <c r="AV29" i="96"/>
  <c r="AG50" i="96"/>
  <c r="AJ25" i="96"/>
  <c r="AJ28" i="96"/>
  <c r="AJ29" i="96"/>
  <c r="AO48" i="96"/>
  <c r="AG52" i="96"/>
  <c r="AG101" i="96"/>
  <c r="BA101" i="96"/>
  <c r="AW144" i="96"/>
  <c r="AY52" i="96"/>
  <c r="AC101" i="96"/>
  <c r="AG82" i="96"/>
  <c r="AG84" i="96"/>
  <c r="AO52" i="96"/>
  <c r="AY45" i="96"/>
  <c r="AM82" i="96"/>
  <c r="AM84" i="96"/>
  <c r="AM101" i="96"/>
  <c r="AM144" i="96"/>
  <c r="AC76" i="96"/>
  <c r="AC77" i="96"/>
  <c r="AC50" i="96"/>
  <c r="AF25" i="96"/>
  <c r="AF28" i="96"/>
  <c r="AE24" i="96"/>
  <c r="AE28" i="96"/>
  <c r="AN25" i="96"/>
  <c r="AN28" i="96"/>
  <c r="AN29" i="96"/>
  <c r="BB25" i="96"/>
  <c r="BB28" i="96"/>
  <c r="BB29" i="96"/>
  <c r="AY24" i="96"/>
  <c r="AY28" i="96"/>
  <c r="AY29" i="96"/>
  <c r="BA24" i="96"/>
  <c r="BA28" i="96"/>
  <c r="BA29" i="96"/>
  <c r="AW24" i="96"/>
  <c r="AW28" i="96"/>
  <c r="AW29" i="96"/>
  <c r="AE49" i="96"/>
  <c r="AE51" i="96"/>
  <c r="AM52" i="96"/>
  <c r="AK42" i="96"/>
  <c r="AF27" i="96"/>
  <c r="AQ144" i="96"/>
  <c r="AS83" i="96"/>
  <c r="AS82" i="96"/>
  <c r="AR27" i="96"/>
  <c r="AZ25" i="96"/>
  <c r="AZ28" i="96"/>
  <c r="AZ29" i="96"/>
  <c r="AI52" i="96"/>
  <c r="AQ52" i="96"/>
  <c r="AW77" i="96"/>
  <c r="AU104" i="96"/>
  <c r="AU106" i="96"/>
  <c r="AU108" i="96"/>
  <c r="AU24" i="96"/>
  <c r="AU28" i="96"/>
  <c r="AU29" i="96"/>
  <c r="AW45" i="96"/>
  <c r="AK82" i="96"/>
  <c r="AK83" i="96"/>
  <c r="AC170" i="96"/>
  <c r="AC171" i="96"/>
  <c r="BA82" i="96"/>
  <c r="BA84" i="96"/>
  <c r="AM43" i="96"/>
  <c r="AM45" i="96"/>
  <c r="AM167" i="96"/>
  <c r="AM104" i="96"/>
  <c r="AM106" i="96"/>
  <c r="AM108" i="96"/>
  <c r="AE167" i="96"/>
  <c r="AE170" i="96"/>
  <c r="AE171" i="96"/>
  <c r="AE104" i="96"/>
  <c r="AE106" i="96"/>
  <c r="AE108" i="96"/>
  <c r="AM27" i="96"/>
  <c r="AE27" i="96"/>
  <c r="AE29" i="96"/>
  <c r="S84" i="96"/>
  <c r="AA84" i="96"/>
  <c r="AI50" i="96"/>
  <c r="AO24" i="96"/>
  <c r="AO28" i="96"/>
  <c r="AO29" i="96"/>
  <c r="AO82" i="96"/>
  <c r="AO84" i="96"/>
  <c r="AU50" i="96"/>
  <c r="AU52" i="96"/>
  <c r="AK50" i="96"/>
  <c r="AQ82" i="96"/>
  <c r="AQ84" i="96"/>
  <c r="AI45" i="96"/>
  <c r="AM24" i="96"/>
  <c r="AM28" i="96"/>
  <c r="AS50" i="96"/>
  <c r="AO43" i="96"/>
  <c r="AO45" i="96"/>
  <c r="AQ76" i="96"/>
  <c r="AQ77" i="96"/>
  <c r="AQ50" i="96"/>
  <c r="AE50" i="96"/>
  <c r="AE52" i="96"/>
  <c r="AQ43" i="96"/>
  <c r="AQ45" i="96"/>
  <c r="AS43" i="96"/>
  <c r="AS45" i="96"/>
  <c r="AS84" i="96"/>
  <c r="AP25" i="96"/>
  <c r="AP28" i="96"/>
  <c r="AP29" i="96"/>
  <c r="AQ24" i="96"/>
  <c r="AQ28" i="96"/>
  <c r="AQ29" i="96"/>
  <c r="AR29" i="96"/>
  <c r="AF29" i="96"/>
  <c r="AG45" i="96"/>
  <c r="AO50" i="96"/>
  <c r="AO76" i="96"/>
  <c r="AO77" i="96"/>
  <c r="AK84" i="96"/>
  <c r="AK44" i="96"/>
  <c r="AK43" i="96"/>
  <c r="AM29" i="96"/>
  <c r="AK45" i="96"/>
  <c r="Z21" i="96"/>
  <c r="Y21" i="96"/>
  <c r="Y34" i="96"/>
  <c r="Z34" i="96"/>
  <c r="Y39" i="96"/>
  <c r="Y95" i="96"/>
  <c r="Z96" i="96"/>
  <c r="Y98" i="96"/>
  <c r="Y101" i="96"/>
  <c r="Y174" i="96"/>
  <c r="Y175" i="96"/>
  <c r="Y170" i="96"/>
  <c r="Y171" i="96"/>
  <c r="Z25" i="96"/>
  <c r="Z28" i="96"/>
  <c r="Z29" i="96"/>
  <c r="Y24" i="96"/>
  <c r="Y28" i="96"/>
  <c r="Y29" i="96"/>
</calcChain>
</file>

<file path=xl/sharedStrings.xml><?xml version="1.0" encoding="utf-8"?>
<sst xmlns="http://schemas.openxmlformats.org/spreadsheetml/2006/main" count="916" uniqueCount="523">
  <si>
    <t>Other</t>
  </si>
  <si>
    <t>Total assets</t>
  </si>
  <si>
    <t xml:space="preserve"> </t>
  </si>
  <si>
    <t>Name</t>
  </si>
  <si>
    <t>No.</t>
  </si>
  <si>
    <t>Contents (linked)</t>
  </si>
  <si>
    <t>SpareBank 1 Finans Østlandet AS</t>
  </si>
  <si>
    <t>SpareBank 1 Boligkreditt AS</t>
  </si>
  <si>
    <t>SpareBank 1 Næringskreditt AS</t>
  </si>
  <si>
    <t>SpareBank 1 Gruppen AS</t>
  </si>
  <si>
    <t>SpareBank 1 Betaling AS</t>
  </si>
  <si>
    <t>Results from the quarterly accounts Group</t>
  </si>
  <si>
    <t>Interest income</t>
  </si>
  <si>
    <t>Interest expense</t>
  </si>
  <si>
    <t>Net interest income</t>
  </si>
  <si>
    <t>Commission income</t>
  </si>
  <si>
    <t>Commission expenses</t>
  </si>
  <si>
    <t>Other operating income</t>
  </si>
  <si>
    <t>Net commission and other operating income</t>
  </si>
  <si>
    <t>Dividends from other than Group companies</t>
  </si>
  <si>
    <t>Net profit from ownership interests</t>
  </si>
  <si>
    <t>Net profit from other financial assets and liabilities</t>
  </si>
  <si>
    <t>Net income from financial assets and liabilities</t>
  </si>
  <si>
    <t>Total income</t>
  </si>
  <si>
    <t>Personnel expenses</t>
  </si>
  <si>
    <t>Depreciation</t>
  </si>
  <si>
    <t>Other operating expenses</t>
  </si>
  <si>
    <t>Total operating expenses</t>
  </si>
  <si>
    <t>Operating profit before losses on loans and guarantees</t>
  </si>
  <si>
    <t>Losses on loans and guarantees</t>
  </si>
  <si>
    <t>Pre-tax operating profit</t>
  </si>
  <si>
    <t>Tax expense</t>
  </si>
  <si>
    <t>Profit after tax</t>
  </si>
  <si>
    <t>Profitability</t>
  </si>
  <si>
    <t>Gross loans to customers</t>
  </si>
  <si>
    <t>Deposits from customers</t>
  </si>
  <si>
    <t>Growth in deposits in the last 12 months</t>
  </si>
  <si>
    <t>Average total assets</t>
  </si>
  <si>
    <t>Losses and commitments in default</t>
  </si>
  <si>
    <t>Financial strength</t>
  </si>
  <si>
    <t>Common equity Tier 1 capital ratio</t>
  </si>
  <si>
    <t xml:space="preserve">Tier 1 capital ratio </t>
  </si>
  <si>
    <t>Capital ratio</t>
  </si>
  <si>
    <t>Net subordinated capital</t>
  </si>
  <si>
    <t>Return on equity capital 1)</t>
  </si>
  <si>
    <t>Net interest income 2)</t>
  </si>
  <si>
    <t>Cost-income-ratio 3)</t>
  </si>
  <si>
    <t>Gross loans to customers including loans transferred to covered bond companies 1)</t>
  </si>
  <si>
    <t>Growth in loans during the last 12 months 1)</t>
  </si>
  <si>
    <t>Growth in loans including loans transferred to covered bond companies in the last 12 months 1)</t>
  </si>
  <si>
    <t>Deposit-to-loan-ratio 1)</t>
  </si>
  <si>
    <t>Total assets including loans transferred to covered bond companies 1)</t>
  </si>
  <si>
    <t>Losses on loans as a percentage of gross loans 1)</t>
  </si>
  <si>
    <t>Commitments in default, percentage of gross loans 1)</t>
  </si>
  <si>
    <t>Other doubtful commitments, percentage of gross loans 1)</t>
  </si>
  <si>
    <t>Net commitments in default and other doutful commitments,  percentage of gross loans 1)</t>
  </si>
  <si>
    <t>Contact information</t>
  </si>
  <si>
    <t>For further information, please contact</t>
  </si>
  <si>
    <t>Address</t>
  </si>
  <si>
    <t>Telephone number</t>
  </si>
  <si>
    <t>Information on the Internet</t>
  </si>
  <si>
    <t>Financial calendar</t>
  </si>
  <si>
    <t>+47 918 82 071</t>
  </si>
  <si>
    <t>Geir-Egil Bolstad, CFO</t>
  </si>
  <si>
    <t>geir-egil.bolstad@sb1ostlandet.no</t>
  </si>
  <si>
    <t>Richard Heiberg</t>
  </si>
  <si>
    <t>Chief Executive Officer</t>
  </si>
  <si>
    <t>+47 915 07040</t>
  </si>
  <si>
    <t>Visiting address: SpareBank 1 Østlandet, Strandgata 15, Hamar</t>
  </si>
  <si>
    <t>SpareBank 1 Østlandet, Postboks 203, 2302 Hamar</t>
  </si>
  <si>
    <t>Commission fees from covered bond companies</t>
  </si>
  <si>
    <t>Net interest income an commission fees from covered bond companies (MNOK)</t>
  </si>
  <si>
    <t xml:space="preserve">Net interest income in % of average of average total assets </t>
  </si>
  <si>
    <t>Deposit margin RM</t>
  </si>
  <si>
    <t>Deposit margin CM</t>
  </si>
  <si>
    <t>Group</t>
  </si>
  <si>
    <t>RESULTAT KVARTAL</t>
  </si>
  <si>
    <t>Payrolls</t>
  </si>
  <si>
    <t>Pensions</t>
  </si>
  <si>
    <t>Social security</t>
  </si>
  <si>
    <t>Admin. and other operating costs</t>
  </si>
  <si>
    <t>Lending margin, RM, incl. covered bond companies</t>
  </si>
  <si>
    <t>Lending margin, CM, incl. covered bond companies</t>
  </si>
  <si>
    <t>Income</t>
  </si>
  <si>
    <t>Expences</t>
  </si>
  <si>
    <t>Margins</t>
  </si>
  <si>
    <t>Commission income from credit cards</t>
  </si>
  <si>
    <t>Payment transmission</t>
  </si>
  <si>
    <t>Mutual fund and insurance commisions</t>
  </si>
  <si>
    <t>Income from real estate brokerage</t>
  </si>
  <si>
    <t>Income from accounting services</t>
  </si>
  <si>
    <t>Other income</t>
  </si>
  <si>
    <t>Sum</t>
  </si>
  <si>
    <t xml:space="preserve">of which restructuring costs and non-recurring effects </t>
  </si>
  <si>
    <t>Runar Hauge, Investor relations</t>
  </si>
  <si>
    <t>runar.hauge@sb1ostlandet.no</t>
  </si>
  <si>
    <t>+47 482 95 659</t>
  </si>
  <si>
    <t>NOK million</t>
  </si>
  <si>
    <t>Specification of the consolidated profit after tax in NOK millions:</t>
  </si>
  <si>
    <t>Parent Bank's profit after tax</t>
  </si>
  <si>
    <t>Dividends received from subsidiaries/associated companies</t>
  </si>
  <si>
    <t>Share of the result from:</t>
  </si>
  <si>
    <t>Other associated companies/joint ventures</t>
  </si>
  <si>
    <t>Consolidated profit after tax</t>
  </si>
  <si>
    <t>Contribution from Associated companies and joint ventures</t>
  </si>
  <si>
    <t>Public sector</t>
  </si>
  <si>
    <t>Primary industries</t>
  </si>
  <si>
    <t>Paper and pulp industries</t>
  </si>
  <si>
    <t>Other industry</t>
  </si>
  <si>
    <t>Building and constructions</t>
  </si>
  <si>
    <t>Power and water supply</t>
  </si>
  <si>
    <t>Wholesale and retail trade</t>
  </si>
  <si>
    <t>Hotel and restaurants</t>
  </si>
  <si>
    <t>Real estate</t>
  </si>
  <si>
    <t>Commercial services</t>
  </si>
  <si>
    <t>Transport and communication</t>
  </si>
  <si>
    <t>Gross corporate loans by sector and industry</t>
  </si>
  <si>
    <t>Private customers</t>
  </si>
  <si>
    <t>Total gross loans by sector and industry</t>
  </si>
  <si>
    <t>Loan loss allowance for loans at amortised cost</t>
  </si>
  <si>
    <t>Fair value adjustments for loans at fair value through OCI</t>
  </si>
  <si>
    <t>Total loans to customers</t>
  </si>
  <si>
    <t>Loans transferred to SpareBank 1 Boligkreditt AS</t>
  </si>
  <si>
    <t>Loans transferred to SpareBank 1 Næringskreditt AS</t>
  </si>
  <si>
    <t>Total loans including loans transferred to covered bond companies</t>
  </si>
  <si>
    <t>Building and construction</t>
  </si>
  <si>
    <t>Transport and communications</t>
  </si>
  <si>
    <t>Other operations</t>
  </si>
  <si>
    <t>Total deposits by sector and industry</t>
  </si>
  <si>
    <t>Lending</t>
  </si>
  <si>
    <t>Deposits</t>
  </si>
  <si>
    <t>+47 902 06 018</t>
  </si>
  <si>
    <t>richard.heiberg@sb1ostlandet.no</t>
  </si>
  <si>
    <t>APM</t>
  </si>
  <si>
    <t>-</t>
  </si>
  <si>
    <t>2.1 Results from the quarterly accounts Group</t>
  </si>
  <si>
    <t>Alternative performance measures</t>
  </si>
  <si>
    <t xml:space="preserve">SpareBank 1 Østlandet Investor Relations: </t>
  </si>
  <si>
    <t>Link IR</t>
  </si>
  <si>
    <t>(NOK million, excluding percentages)</t>
  </si>
  <si>
    <t>1) See attachment Alternative performance measures.</t>
  </si>
  <si>
    <t xml:space="preserve">2) Net interest income as a percentage of average total assets for the period.  </t>
  </si>
  <si>
    <t>3) Total operating costs as a percentage of total operating income (isolated for the quarter).</t>
  </si>
  <si>
    <t>Deposit-to-loan-ratio including loans transferred to covered bond companies1)</t>
  </si>
  <si>
    <t>Total operating expences</t>
  </si>
  <si>
    <t>Cost-income-ratio</t>
  </si>
  <si>
    <t>+ Loans transferred to SpareBank 1 Boligkreditt AS</t>
  </si>
  <si>
    <t>+ Loans transferred to SpareBank 1 Næringskreditt AS</t>
  </si>
  <si>
    <t>Deposits from and liabilities to customers</t>
  </si>
  <si>
    <t>Number of days</t>
  </si>
  <si>
    <t>Interest expenses on hybrid capital</t>
  </si>
  <si>
    <t>Tax on interest expenses on hybrid capital</t>
  </si>
  <si>
    <t>- Interest expenses on hybrid capital after tax</t>
  </si>
  <si>
    <t>Profit after tax excl. interest on hybrid capital</t>
  </si>
  <si>
    <t>Equity</t>
  </si>
  <si>
    <t>- Hybrid capital</t>
  </si>
  <si>
    <t>Equity excl. hybrid capital</t>
  </si>
  <si>
    <t>Accumulated average equity excl. hybrid capital</t>
  </si>
  <si>
    <t>Isolated averege equity excl. hybrid capital</t>
  </si>
  <si>
    <t>Annualized profit after tax excl. interest on hybrid capital after tax</t>
  </si>
  <si>
    <t>Diveded by average equity excl. hybrid capital</t>
  </si>
  <si>
    <t xml:space="preserve">Return on equity capital </t>
  </si>
  <si>
    <t xml:space="preserve">Cost-income-ratio </t>
  </si>
  <si>
    <t>Gross loans including loans transferred to covered bond companies</t>
  </si>
  <si>
    <t xml:space="preserve">Gross loans to customers at the end of the period </t>
  </si>
  <si>
    <t>-Gross loans to customers at the end of the same period last year</t>
  </si>
  <si>
    <t>Growth in loans during the last 12 month in NOK mill.</t>
  </si>
  <si>
    <t>Growth in loans during the last 12 months in per cent</t>
  </si>
  <si>
    <t>Gross loans to customers  incl. Loans transferred to covered bond companies at the end of the period</t>
  </si>
  <si>
    <t>-Gross loans to customers  incl. Loans transferred to covered bond companies at the end of the same period last year</t>
  </si>
  <si>
    <t>Growth in loans  incl. Loans transferred to coverd bond companies in NOK mill.</t>
  </si>
  <si>
    <t>Divided by gross loans to customers  incl. Loans transferred to covered bond companies at the end of the same period last year</t>
  </si>
  <si>
    <t>Growth in loans incl. Loans transferred to covered bond companies during the last 12 months in per cent</t>
  </si>
  <si>
    <t>Dividet by gross loans to and receivables from customers</t>
  </si>
  <si>
    <t xml:space="preserve">Divided by gross loans to customers  incl. Loans transferred to covered bond companies </t>
  </si>
  <si>
    <t>Cost-income-ratio incl. loans transferred to covered bond companies</t>
  </si>
  <si>
    <t>Deposits from customers at the end of the period</t>
  </si>
  <si>
    <t>- Deposits from customers at the end of the same period last year</t>
  </si>
  <si>
    <t>Growth in deposits in the last 12 months in NOK mill</t>
  </si>
  <si>
    <t>Diveded by deposits from customers at the end of the same period last year</t>
  </si>
  <si>
    <t>Growth in deposits in the last 12 months in per cent</t>
  </si>
  <si>
    <t>Accumulated average total assets</t>
  </si>
  <si>
    <t>Isolated averege total assets</t>
  </si>
  <si>
    <t>Total assets incl. Loans transferred to covered bond companies (Business capital)</t>
  </si>
  <si>
    <t>Losses on loans and guarantess annulized</t>
  </si>
  <si>
    <t>Losses on loans and guarantees as a percentageof gross loans</t>
  </si>
  <si>
    <t>Total equity capital</t>
  </si>
  <si>
    <t>Divided by total assets</t>
  </si>
  <si>
    <t>Equity ratio</t>
  </si>
  <si>
    <t>- Minority interest</t>
  </si>
  <si>
    <t>- Provision for gifts</t>
  </si>
  <si>
    <t>-Hybrid capital</t>
  </si>
  <si>
    <t>= Book equity</t>
  </si>
  <si>
    <t>Multiply by equity capital certificate ratio</t>
  </si>
  <si>
    <t>= Equity certificate owners share of equity</t>
  </si>
  <si>
    <t>Divided by number of EC's issued</t>
  </si>
  <si>
    <t>Book equity per EC</t>
  </si>
  <si>
    <t>Profit after tax for majority interest</t>
  </si>
  <si>
    <t>= Equity capital owner's share of profit after tax</t>
  </si>
  <si>
    <t>Earnings per equity certificate (in NOK)</t>
  </si>
  <si>
    <t>Earnings per equity certificate annualized</t>
  </si>
  <si>
    <t>Market price (in NOK)</t>
  </si>
  <si>
    <t>Divided by earnings per EC</t>
  </si>
  <si>
    <t>Price/Earnings per EC</t>
  </si>
  <si>
    <t>Divided by book equity per EC</t>
  </si>
  <si>
    <t>Price/Book equity</t>
  </si>
  <si>
    <t>Gross defaulted commitments for more than 90 days 2)</t>
  </si>
  <si>
    <t>Gross defaulted commitments for more than 90 days</t>
  </si>
  <si>
    <t>Divided by gross loans to customers</t>
  </si>
  <si>
    <t>Gross doubtful commitments (not in default)</t>
  </si>
  <si>
    <t>Net defaulted commitments</t>
  </si>
  <si>
    <t>+ Net doubtful commitments</t>
  </si>
  <si>
    <t>= Net defaulted and doubtful commitments</t>
  </si>
  <si>
    <t>Loan loss impairment ratio on defaulted commitments</t>
  </si>
  <si>
    <t>Individual impairments on defaulted commitments</t>
  </si>
  <si>
    <t>Individual impairments on doubtful commitments</t>
  </si>
  <si>
    <t>Loan loss impairment ratio on doubtful commitments</t>
  </si>
  <si>
    <t>Net commitments in default and other doutful commitments,  percentage of gross loans</t>
  </si>
  <si>
    <t xml:space="preserve">1.1 Return on equity capital </t>
  </si>
  <si>
    <t xml:space="preserve">1.2 Cost-income-ratio </t>
  </si>
  <si>
    <t>1.3 Gross loans including loans transferred to covered bond companies</t>
  </si>
  <si>
    <t>1.4 Growth in loans during the last 12 months in per cent</t>
  </si>
  <si>
    <t>Parent bank (adjusted)</t>
  </si>
  <si>
    <t>Gross defaulted commitments in percentage of gross loans</t>
  </si>
  <si>
    <t>Gross doubtful commitments (not in default) in percentage of gross loans</t>
  </si>
  <si>
    <t>Customers*</t>
  </si>
  <si>
    <t>*Defined as customer by having one or more active accounts</t>
  </si>
  <si>
    <t>Customers</t>
  </si>
  <si>
    <t>Loans sensitive to changes in the NIBOR rate</t>
  </si>
  <si>
    <t>Gross loans</t>
  </si>
  <si>
    <t>Total lending volume sensitive to changes in the NIBOR rate</t>
  </si>
  <si>
    <t>Deposits sensitive to changes in the NIBOR rate</t>
  </si>
  <si>
    <t>*All loans transferred to covered bond companies are sensitive to ahanges in the NIBOR-rate</t>
  </si>
  <si>
    <t>Loans transferred to covered bond companies*</t>
  </si>
  <si>
    <t>Total deposits</t>
  </si>
  <si>
    <t>Gross loans linked to the NIBOR rate</t>
  </si>
  <si>
    <t>Deposits linked to the NIBOR rate</t>
  </si>
  <si>
    <t>Total lending volume sensitive to changes in the NIBOR rate including Loans transferred to covered bond companies</t>
  </si>
  <si>
    <t>APM definition</t>
  </si>
  <si>
    <t>Definition and rationale</t>
  </si>
  <si>
    <t>Return on equity capital</t>
  </si>
  <si>
    <t>The return on equity after tax is one of SpareBank 1 Østlandet’s most important financial measures and provides relevant information about the company’s profitability in that it measures the company’s profitability in relation to the capital invested in the business. The result is corrected for interest on hybrid capital, which is classified as equity under IFRS, but which it is more natural in this context to treat as debt, as hybrid capital is interest-bearing and is not entitled to dividend payments.</t>
  </si>
  <si>
    <t>Underlaying banking operations</t>
  </si>
  <si>
    <t>The result from underlying banking operations provides relevant information about the profitability of the Bank’s core business.</t>
  </si>
  <si>
    <t xml:space="preserve">This indicator provides information about the relationship between revenue and costs, and is a useful measure to assess the cost-effectiveness of the enterprise. It is calculated as total operating costs divided by total revenue. </t>
  </si>
  <si>
    <t>Lending margin</t>
  </si>
  <si>
    <t>The loan margin is calculated for the retail and corporate market divisions and provides information on the profitability of the divisions’ lending activities. Loans transferred to covered bond companies are included in the selection as they are included in the total lending activity.</t>
  </si>
  <si>
    <t>Deposit margin</t>
  </si>
  <si>
    <t>The deposit margin is calculated for the retail and corporate market divisions and provides information on the profitability of the divisions’ deposit activities.</t>
  </si>
  <si>
    <t>Net interest margin</t>
  </si>
  <si>
    <t>The net interest margin is calculated for the retail and corporate market divisions and provides information on the profitability of the divisions’ overall lending and deposit activities. Loans transferred to covered bond companies are included in the selection as they are included in the total lending activity.</t>
  </si>
  <si>
    <t>Net interest income inclusive of commissions from covered bond companies</t>
  </si>
  <si>
    <t>Loans transferred to covered bond companies are part of total lending, but the income and expenses associated with these loans are recognised as commission income. The indicator is presented because it gives a good impression of net income from the overall lending and deposit activities.</t>
  </si>
  <si>
    <t>Adjusted total assets</t>
  </si>
  <si>
    <t>Total assets is an established industry-specific name for all assets plus loans transferred to covered bond companies included in the lending business.</t>
  </si>
  <si>
    <t>Gross loans to customers including loans transferred to covered bond companies</t>
  </si>
  <si>
    <t>Loans transferred to covered bond companies are subtracted from the balance sheet, but are included in the total lending business.</t>
  </si>
  <si>
    <t>Deposit to loan ratio</t>
  </si>
  <si>
    <t>The deposit coverage ratio provides relevant information about SpareBank 1 Østlandet’s financing mix. Deposits from customers are an important means of financing the Bank’s lending business and the indicator provides important information about the Bank’s dependence on market financing.</t>
  </si>
  <si>
    <t>Deposit to loan ratio including loans transferred to covered bond companies</t>
  </si>
  <si>
    <t xml:space="preserve">The deposit coverage ratio provides information about the financing mix in the overall lending business. Deposits from customers are an important means of financing the Bank’s lending business and the indicator provides important information about the dependence of the overall lending business on market financing. </t>
  </si>
  <si>
    <t>Growth in loans during the last 12 months</t>
  </si>
  <si>
    <t>This indicator provides information about activity and growth in the Bank’s lending activity.</t>
  </si>
  <si>
    <t>Growth in loans including loans transferred to covered bond companies (CB) in the last 12 months</t>
  </si>
  <si>
    <t>This indicator provides information about activity and growth in the Bank’s total lending activity.  The Bank uses the covered bond companies as a source of funding, and the indicator includes loans transferred to the covered bond companies to highlight the activity and growth in overall lending including these loans.</t>
  </si>
  <si>
    <t>This indicator provides information about the activity and growth of the depositing business which is an important part of financing the Bank’s lending activity.</t>
  </si>
  <si>
    <t>Losses on loans as a percentage of gross loans</t>
  </si>
  <si>
    <t xml:space="preserve">The indicator shows the impairment loss in relation to gross lending and provides relevant information about the company’s impairment losses in relation to lending volume. This provides useful additional information to the recognised impairment losses as the cost is also viewed in the context of lending volume and is thus better suited for comparison with other banks. </t>
  </si>
  <si>
    <t>Commitments in default as percentage of gross loans</t>
  </si>
  <si>
    <t>The indicator provides relevant information about the Bank’s credit risk and is considered as useful additional information to the notes on losses.</t>
  </si>
  <si>
    <t>Other doubtful commitments as percentage of gross loans</t>
  </si>
  <si>
    <t>Net commitments in default and other doubtful commitments in percentage of gross loans</t>
  </si>
  <si>
    <t>Loan loss impairment ratio for defaulted commitments</t>
  </si>
  <si>
    <t>Loan loss impairment ratio for doubtful commitments</t>
  </si>
  <si>
    <t>The indicator provides information about the company’s unweighted solvency ratio.</t>
  </si>
  <si>
    <t xml:space="preserve">The indicator provides information about the value of the book equity per equity certificate. This allows the reader to assess the reasonableness of the quoted price for the equity certificate. It is calculated as the equity certificate holders’ share of the equity at the end of the period divided by the number of equity certificates. </t>
  </si>
  <si>
    <t xml:space="preserve">The indicator provides information on earnings per equity certificate against the exchange price on the relevant date, helping to assess the reasonableness of the price for the equity certificate. It is calculated as the price per equity certificate divided by annualised earnings per equity certificate. </t>
  </si>
  <si>
    <t>Price/book equity</t>
  </si>
  <si>
    <t xml:space="preserve">The indicator provides information about the book value of the equity per equity certificate against the price at any given time. This allows the reader to assess the reasonableness of the quoted price for the equity certificate. It is calculated as the price per equity certificate divided by book equity per equity certificate (see definition of this measure above). </t>
  </si>
  <si>
    <t>Average LTV (Loan to value)</t>
  </si>
  <si>
    <t>The indicator provides information about the loan-to-value ratio in the lending portfolio and is relevant for assessing risk of loss in the lending portfolio.</t>
  </si>
  <si>
    <t>Loans transferred to covered bond (CB) companies</t>
  </si>
  <si>
    <t>Loans transferred to covered bond companies are subtracted from the balance sheet, but are included in the total lending business. The indicator is used in calculating other APMs.</t>
  </si>
  <si>
    <t>Act/Act</t>
  </si>
  <si>
    <t>Act/Act is used to annualise the results figures included in the indicators. Results figures are annualised in the indicators to make them comparable with figures for other periods.</t>
  </si>
  <si>
    <t>Notable items</t>
  </si>
  <si>
    <t>The indicator is used to calculate the underlying banking activity, which is shown as a separate APM.</t>
  </si>
  <si>
    <t>4Q</t>
  </si>
  <si>
    <t>3Q</t>
  </si>
  <si>
    <t>2Q</t>
  </si>
  <si>
    <t>1Q</t>
  </si>
  <si>
    <t>3Q 2018</t>
  </si>
  <si>
    <t>2Q 2018</t>
  </si>
  <si>
    <t>1Q 2018</t>
  </si>
  <si>
    <t>4Q 2017</t>
  </si>
  <si>
    <t>3Q 2017</t>
  </si>
  <si>
    <t>2Q 2017</t>
  </si>
  <si>
    <t>1Q 2017</t>
  </si>
  <si>
    <t>4Q 2016</t>
  </si>
  <si>
    <t>3Q 2016</t>
  </si>
  <si>
    <t>2Q 2016</t>
  </si>
  <si>
    <t>1Q 2016</t>
  </si>
  <si>
    <t>4Q 2015</t>
  </si>
  <si>
    <t>3Q 2015</t>
  </si>
  <si>
    <t>2Q 2015</t>
  </si>
  <si>
    <t>1Q 2015</t>
  </si>
  <si>
    <t>Profit after tax incl. interest hybrid capital</t>
  </si>
  <si>
    <t>The key figure shows Result after tax adjusted for interest on hybrid capital. Hybrid capital is according to IFRS classified as equity and interest expences are booked as an equity transaction. Hybrid capital has many similarities with debt items and differs from other equity in that it is interest-bearing and is not entitled to dividend payments. The key figure shows what profit after tax would have been if the interest expenses related to the hybrid capital had been recognized in the income statement.</t>
  </si>
  <si>
    <t>1Q-2019</t>
  </si>
  <si>
    <t>4Q 2018</t>
  </si>
  <si>
    <t>2Q-2019</t>
  </si>
  <si>
    <t>Loans and advances to customers at Stage 2 in percentage of gross loans</t>
  </si>
  <si>
    <t>Loans and advances to customers at Stage 2</t>
  </si>
  <si>
    <t>Loans and advances to customers at Stage 3</t>
  </si>
  <si>
    <t>Loans and advances to customers at Stage 3 in percentage of gross loans</t>
  </si>
  <si>
    <t>BN Bank ASA</t>
  </si>
  <si>
    <t>3Q-2019</t>
  </si>
  <si>
    <t>Minority interest</t>
  </si>
  <si>
    <t>4Q-2019</t>
  </si>
  <si>
    <t>Balance sheet and ratios</t>
  </si>
  <si>
    <t>Growth in loans during the last quarter 1)</t>
  </si>
  <si>
    <t>Growth in loans including loans transferred to covered bond companies in the last quarter 1)</t>
  </si>
  <si>
    <t>Growth in deposits in the last quarter</t>
  </si>
  <si>
    <t>1Q-2020</t>
  </si>
  <si>
    <t>-Gross loans to customers at the end last quarter</t>
  </si>
  <si>
    <t>Divided by gross loans to customers at the end of the same period last year</t>
  </si>
  <si>
    <t>Divided by gross loans to customers at the end of last quarter</t>
  </si>
  <si>
    <t>Growth in loans during the last quarter</t>
  </si>
  <si>
    <t>Growth in loans incl. Loans transferred to covered bond companies during the last  quarter</t>
  </si>
  <si>
    <t>Divided by gross loans to customers  incl. Loans transferred to covered bond companies last quarter</t>
  </si>
  <si>
    <t>-Gross loans to customers  incl. Loans transferred to covered bond companies at the end of last quarter</t>
  </si>
  <si>
    <t>- Deposits from customers at the end of the last quarter</t>
  </si>
  <si>
    <t>Growth in deposits in the last quarter in NOK mill</t>
  </si>
  <si>
    <t>Diveded by deposits from customers at the end of last quarter</t>
  </si>
  <si>
    <t>Growth in deposits in the last quarter in per cent</t>
  </si>
  <si>
    <t>Profit after tax for controlling interest</t>
  </si>
  <si>
    <t xml:space="preserve">Diluted earnings per equity certificate (in NOK) </t>
  </si>
  <si>
    <t>Number of days before emission</t>
  </si>
  <si>
    <t>Number of days after emission</t>
  </si>
  <si>
    <t>Number of equity certificates by the end of the period</t>
  </si>
  <si>
    <t>Average equity certificates</t>
  </si>
  <si>
    <t>Dividet by average equity certificates</t>
  </si>
  <si>
    <t xml:space="preserve">Earnings per average equity certificate (in NOK) </t>
  </si>
  <si>
    <t>Divided by average equity certificates+Equity certificates issued next year that is entitled to dividends</t>
  </si>
  <si>
    <t>Diluted earnings earnings per average equity certificates</t>
  </si>
  <si>
    <t>1.8 Cost-income-ratio</t>
  </si>
  <si>
    <t>1.9 Cost-income-ratio incl. loans transferred to covered bond companies</t>
  </si>
  <si>
    <t>1.9 Growth in deposits in the last 12 months in per cent</t>
  </si>
  <si>
    <t>1.10 Growth in deposits in the last 12 months in per cent</t>
  </si>
  <si>
    <t>1.11 Total assets incl. Loans transferred to CB companies (Business capital)</t>
  </si>
  <si>
    <t>1.12 Losses on loans and guarantees as a percentageof gross loans</t>
  </si>
  <si>
    <t>1.13 Loans and advances to customers at Stage 2 in percentage of gross loans</t>
  </si>
  <si>
    <t>1.14 Loans and advances to customers at Stage 3 in percentage of gross loans</t>
  </si>
  <si>
    <t>1.15 Gross defaulted commitments in percentage of gross loans</t>
  </si>
  <si>
    <t>1.16 Gross doubtful commitments (not in default) in percentage of gross loans</t>
  </si>
  <si>
    <t>1.17 Net commitments in default and other doutful commitments</t>
  </si>
  <si>
    <t>1.18 Loan loss impairment ratio on defaulted commitments</t>
  </si>
  <si>
    <t>1.19 Loan loss impairment ratio on doubtful commitments</t>
  </si>
  <si>
    <t>1.20 Equity ratio</t>
  </si>
  <si>
    <t>1.21 Book equity per EC</t>
  </si>
  <si>
    <t>1.22 Earnings per equity certificate (in NOK)</t>
  </si>
  <si>
    <t>1.23 Price/Earnings per EC</t>
  </si>
  <si>
    <t>1.24 Price/Book equity</t>
  </si>
  <si>
    <t xml:space="preserve">1.25 Diluted earnings per equity certificate (in NOK) </t>
  </si>
  <si>
    <t>1.26 Average equity certificates</t>
  </si>
  <si>
    <t xml:space="preserve">1.27 Earnings per average equity certificate (in NOK) </t>
  </si>
  <si>
    <t>1.28 Diluted earnings earnings per average equity certificates</t>
  </si>
  <si>
    <t>1.5 Growth in loans incl. Loans transferred to CB companies during last 12 months</t>
  </si>
  <si>
    <t>1.6 Growth in loans during the last quarter</t>
  </si>
  <si>
    <t>1.7 Growth in loans incl. Loans transferred to covered bond companies during the last  quarter</t>
  </si>
  <si>
    <t>1Q-20</t>
  </si>
  <si>
    <t>EiendomsMegler 1 Innlandet AS</t>
  </si>
  <si>
    <t>EiendomsMegler 1 Oslo Akershus - consolidated figures</t>
  </si>
  <si>
    <t>SpareBank 1 Gruppen - consolidated figures</t>
  </si>
  <si>
    <t>BN Bank ASA - consolidated figures</t>
  </si>
  <si>
    <t>Youngstorget 5 AS</t>
  </si>
  <si>
    <t>Loans to and receivables from customers in stage 2, percentage of gross loans</t>
  </si>
  <si>
    <t>Loans to and receivables from customers in stage 3, percentage of gross loans</t>
  </si>
  <si>
    <t>Earnings per average equity certificate</t>
  </si>
  <si>
    <t>The indicator shows the equity capital certificate holders' share of profit after tax distributed by average number of equity capital certificates during the accounting period.</t>
  </si>
  <si>
    <t>Diluted earnings per average equity certificate</t>
  </si>
  <si>
    <t>The indicator shows the equity capital certificate holders' share of profit after tax distributed by the sum of average number of equity capital certificates during the accounting period and the number of equity capital certificates issued after the accounting period.</t>
  </si>
  <si>
    <t>2Q-2020</t>
  </si>
  <si>
    <t>2Q-20</t>
  </si>
  <si>
    <t>Retail market</t>
  </si>
  <si>
    <t>Corporate market</t>
  </si>
  <si>
    <t>Macro sensitivity</t>
  </si>
  <si>
    <t>ECL in expected scenario</t>
  </si>
  <si>
    <t>ECL in downside scenario</t>
  </si>
  <si>
    <t>ECL in upside scenario</t>
  </si>
  <si>
    <t>ECL with used scenario weighting 70/20/10 per cent</t>
  </si>
  <si>
    <t>ECL with alternative scenario weighting 80/10/10 per cent</t>
  </si>
  <si>
    <t>ECL with alternative scenario weighting 75/15/10 per cent</t>
  </si>
  <si>
    <t>ECL with alternative scenario weighting 65/25/10 per cent</t>
  </si>
  <si>
    <t>ECL with alternative scenario weighting 60/30/10 per cent</t>
  </si>
  <si>
    <t>3Q-2020</t>
  </si>
  <si>
    <t>3Q-20</t>
  </si>
  <si>
    <t>SpareBank 1 Kreditt AS</t>
  </si>
  <si>
    <t>Preliminary annual report 2020</t>
  </si>
  <si>
    <t>Friday 12 February</t>
  </si>
  <si>
    <t>Annual report 2020</t>
  </si>
  <si>
    <t>Thursday 4 March</t>
  </si>
  <si>
    <t>Friday 30 April</t>
  </si>
  <si>
    <t>1. quarter 2021</t>
  </si>
  <si>
    <t>2. quarter 2021</t>
  </si>
  <si>
    <t>3. quarter 2021</t>
  </si>
  <si>
    <t>Tuesday 10 August</t>
  </si>
  <si>
    <t>Friday 29 October </t>
  </si>
  <si>
    <t>4Q-2020</t>
  </si>
  <si>
    <t>4Q-20</t>
  </si>
  <si>
    <t>Thursday 25 March </t>
  </si>
  <si>
    <t>Supervisory Board Meeting</t>
  </si>
  <si>
    <t>Ex. Dividend</t>
  </si>
  <si>
    <t>Friday 26 March</t>
  </si>
  <si>
    <t>Dividend payment day</t>
  </si>
  <si>
    <t>Wednesday 7 April</t>
  </si>
  <si>
    <t>Cash and deposits with central banks</t>
  </si>
  <si>
    <t>Loans to and receivables from credit institutions</t>
  </si>
  <si>
    <t>Loans to and receivables from customers</t>
  </si>
  <si>
    <t>Certificates, bonds and fixed-income funds</t>
  </si>
  <si>
    <t>Financial derivatives</t>
  </si>
  <si>
    <t>Investments in associates and joint ventures</t>
  </si>
  <si>
    <t>Investments in subsidiaries</t>
  </si>
  <si>
    <t>Goodwill and other intangible assets</t>
  </si>
  <si>
    <t>Property, plant and equipment</t>
  </si>
  <si>
    <t>Other assets</t>
  </si>
  <si>
    <t>Deposits from and liabilities to credit institutions</t>
  </si>
  <si>
    <t>Liabilities arising from issuance of securities</t>
  </si>
  <si>
    <t>Current tax liabilities</t>
  </si>
  <si>
    <t>Deferred tax liabilities</t>
  </si>
  <si>
    <t>Other debt and liabilities recognised in the balance sheet</t>
  </si>
  <si>
    <t>Subordinated loan capital</t>
  </si>
  <si>
    <t>Total liabilites</t>
  </si>
  <si>
    <t>Equity capital certificates</t>
  </si>
  <si>
    <t>Premium fund</t>
  </si>
  <si>
    <t>Dividend equalisation fund</t>
  </si>
  <si>
    <t>Primary capital</t>
  </si>
  <si>
    <t>Other paid-up equity</t>
  </si>
  <si>
    <t>Provision for gifts</t>
  </si>
  <si>
    <t xml:space="preserve">Recommended dividend customer return </t>
  </si>
  <si>
    <t>Fund for unrealised gains</t>
  </si>
  <si>
    <t>Hybrid capital</t>
  </si>
  <si>
    <t>Other equity</t>
  </si>
  <si>
    <t>Non-controlling interests</t>
  </si>
  <si>
    <t>Total equity capital and liabilities</t>
  </si>
  <si>
    <t>Total equity carried</t>
  </si>
  <si>
    <t>Common equity tier 1 capital</t>
  </si>
  <si>
    <t>Results for the accounting year not included</t>
  </si>
  <si>
    <t>Hybridcapital</t>
  </si>
  <si>
    <t>Minority interests that is not eligible as CET1 capital</t>
  </si>
  <si>
    <t>Cumulative gains and losses due to changes in own credit risk on fair valued liabilities</t>
  </si>
  <si>
    <t>Positive value of expected losses under the IRB approach</t>
  </si>
  <si>
    <t>CET 1 instruments of financial sector entities where the institution does have a significant investement</t>
  </si>
  <si>
    <t>Value adjustments due to the requirements for prudent valuation (AVA)</t>
  </si>
  <si>
    <t>Other adjustments in CET1</t>
  </si>
  <si>
    <t>Additional Tier 1 capital</t>
  </si>
  <si>
    <t>Instruments issued by consolidated entities that are given recognition in AT1 Capital</t>
  </si>
  <si>
    <t>Tier 1 capital</t>
  </si>
  <si>
    <t>Supplementary capital in excess of Tier 1 capital</t>
  </si>
  <si>
    <t>Instruments issued by consolidated entities that are given recognition in T2 Capital</t>
  </si>
  <si>
    <t>Total supplementary capital</t>
  </si>
  <si>
    <t>Total eligible capital</t>
  </si>
  <si>
    <t>Corporates - SME</t>
  </si>
  <si>
    <t>Corporates - Specialised Lending</t>
  </si>
  <si>
    <t>Corporates - Other</t>
  </si>
  <si>
    <t>Retail - SME</t>
  </si>
  <si>
    <t>Retail - Mortgage exposures</t>
  </si>
  <si>
    <t>Retail - Other</t>
  </si>
  <si>
    <t>Equity exposures</t>
  </si>
  <si>
    <t>Credit exposures calculated using IRB-approach</t>
  </si>
  <si>
    <t>Credit exposures calculated using the standardised approach</t>
  </si>
  <si>
    <t>Counterparty credit risk</t>
  </si>
  <si>
    <t>Market risk</t>
  </si>
  <si>
    <t>Operational risk</t>
  </si>
  <si>
    <t>Risk-weighted assets</t>
  </si>
  <si>
    <t>Capital requirements (8%)</t>
  </si>
  <si>
    <t>Pillar 2 (1.8%)</t>
  </si>
  <si>
    <t>Buffer requirements</t>
  </si>
  <si>
    <t>Capital ratios</t>
  </si>
  <si>
    <t>CET 1 capital ratio</t>
  </si>
  <si>
    <t>Tier 1 Capital ratio</t>
  </si>
  <si>
    <t>Capital adequacy ratio</t>
  </si>
  <si>
    <t>Leverage Ratio</t>
  </si>
  <si>
    <t>1Q-2021</t>
  </si>
  <si>
    <t>1Q-21</t>
  </si>
  <si>
    <t>Parent   Bank</t>
  </si>
  <si>
    <t>SpareBank 1 Finans Østlandet</t>
  </si>
  <si>
    <t>Basel I floor adjustment</t>
  </si>
  <si>
    <t>Shares and other equity interests</t>
  </si>
  <si>
    <t xml:space="preserve">Recommended dividends and other equity capital </t>
  </si>
  <si>
    <t>T2 instruments of financial sector where the institution does have a significant investement</t>
  </si>
  <si>
    <t>3.1 Balance sheet quarterly</t>
  </si>
  <si>
    <t>4.1 Capital Adequacy quarterly</t>
  </si>
  <si>
    <t>5.1 Net interest income and commissionfees from covered bonds companies</t>
  </si>
  <si>
    <t>5.2 Net commision and other income</t>
  </si>
  <si>
    <t>5.3 Net income from financial assets and liabilities</t>
  </si>
  <si>
    <t>5.4 Specification of the consolidated profit after tax in NOK millions:</t>
  </si>
  <si>
    <t>6.1 Expences Group</t>
  </si>
  <si>
    <t>6.2 Expences Parent bank (adjusted)</t>
  </si>
  <si>
    <t>7.1 Deposit margins</t>
  </si>
  <si>
    <t>7.2 Lending margins</t>
  </si>
  <si>
    <t>8.1 Development in volumes - Loans to customers</t>
  </si>
  <si>
    <t>8.2 Loans sensitive to changes in the NIBOR rate</t>
  </si>
  <si>
    <t>9.1 Development in volumes - Deposits from customers</t>
  </si>
  <si>
    <t>9.2 Deposits sensitive to changes in the NIBOR rate</t>
  </si>
  <si>
    <t>10.1 Number of customers</t>
  </si>
  <si>
    <t>11.1 Sensitivity related to key assumptions in the general loss model</t>
  </si>
  <si>
    <t>Balance sheet</t>
  </si>
  <si>
    <t>Capital Adequacy</t>
  </si>
  <si>
    <t>Capital conservation buffer</t>
  </si>
  <si>
    <t>Countercyclical capital buffer</t>
  </si>
  <si>
    <t>Systemic risk buffer</t>
  </si>
  <si>
    <t>Total buffer requirements for CET1</t>
  </si>
  <si>
    <t>Available CET1 above current requirements</t>
  </si>
  <si>
    <t>Assets</t>
  </si>
  <si>
    <t>Liabilities</t>
  </si>
  <si>
    <t>Equity Capital</t>
  </si>
  <si>
    <t>SpareBank 1 Østlandet VIT - consolidated figures</t>
  </si>
  <si>
    <t>2Q-2021</t>
  </si>
  <si>
    <t>Systemic risk buffer rate (%)</t>
  </si>
  <si>
    <t>CET1 requirement</t>
  </si>
  <si>
    <t>2Q-21</t>
  </si>
  <si>
    <t>SpareBank 1 Forvaltning AS - Konserntall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</si>
</sst>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0_-;\-* #,##0_-;_-* &quot;-&quot;_-;_-@_-"/>
    <numFmt numFmtId="43" formatCode="_-* #,##0.00_-;\-* #,##0.00_-;_-* &quot;-&quot;??_-;_-@_-"/>
    <numFmt numFmtId="164" formatCode="_ * #,##0.00_ ;_ * \-#,##0.00_ ;_ * &quot;-&quot;??_ ;_ @_ "/>
    <numFmt numFmtId="165" formatCode="_ * #,##0_ ;_ * \-#,##0_ ;_ * &quot;-&quot;??_ ;_ @_ "/>
    <numFmt numFmtId="166" formatCode="0.0\ %"/>
    <numFmt numFmtId="167" formatCode="dd/mm/yy;@"/>
    <numFmt numFmtId="168" formatCode="0.0"/>
    <numFmt numFmtId="169" formatCode="#\ ###\ ###\ ##0"/>
    <numFmt numFmtId="170" formatCode="yyyy\-mm\-dd;@"/>
    <numFmt numFmtId="171" formatCode="_-&quot;£&quot;* #,##0.00_-;\-&quot;£&quot;* #,##0.00_-;_-&quot;£&quot;* &quot;-&quot;??_-;_-@_-"/>
    <numFmt numFmtId="172" formatCode="_ * #,##0_ ;_ * \-#,##0_ ;_ * &quot;-&quot;_ ;_ @_ "/>
    <numFmt numFmtId="173" formatCode="#,##0;\(#,##0\);&quot;-&quot;"/>
    <numFmt numFmtId="174" formatCode="_(* #,##0.0_);_(* \(#,##0.0\);_(* &quot; - &quot;_);_(@_)"/>
    <numFmt numFmtId="175" formatCode="_(* #,##0_);_(* \(#,##0\);_(* &quot; - &quot;_);_(@_)"/>
    <numFmt numFmtId="176" formatCode="_(* #,##0.0_%_);_(* \(#,##0.0_%\);_(* &quot; - &quot;_%_);_(@_)"/>
    <numFmt numFmtId="177" formatCode="_(* #,##0.0%_);_(* \(#,##0.0%\);_(* &quot; - &quot;\%_);_(@_)"/>
    <numFmt numFmtId="178" formatCode="_(* #,##0.00_);_(* \(#,##0.00\);_(* &quot; - &quot;_);_(@_)"/>
    <numFmt numFmtId="179" formatCode="_(* #,##0.000_);_(* \(#,##0.000\);_(* &quot; - &quot;_);_(@_)"/>
    <numFmt numFmtId="180" formatCode="_-* #,##0\ _€_-;\-* #,##0\ _€_-;_-* &quot;-&quot;\ _€_-;_-@_-"/>
    <numFmt numFmtId="181" formatCode="_-* #,##0.00\ _€_-;\-* #,##0.00\ _€_-;_-* &quot;-&quot;??\ _€_-;_-@_-"/>
    <numFmt numFmtId="182" formatCode="_-* #,##0\ &quot;€&quot;_-;\-* #,##0\ &quot;€&quot;_-;_-* &quot;-&quot;\ &quot;€&quot;_-;_-@_-"/>
    <numFmt numFmtId="183" formatCode="_-* #,##0.00\ &quot;€&quot;_-;\-* #,##0.00\ &quot;€&quot;_-;_-* &quot;-&quot;??\ &quot;€&quot;_-;_-@_-"/>
    <numFmt numFmtId="184" formatCode="_-* #,##0.00_-;\-* #,##0.00_-;_-* \-??_-;_-@_-"/>
    <numFmt numFmtId="185" formatCode="#,##0_ ;\-#,##0\ "/>
  </numFmts>
  <fonts count="16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Verdana"/>
      <family val="2"/>
    </font>
    <font>
      <b/>
      <sz val="16"/>
      <color rgb="FF002060"/>
      <name val="Verdana"/>
      <family val="2"/>
    </font>
    <font>
      <sz val="7"/>
      <name val="Verdana"/>
      <family val="2"/>
    </font>
    <font>
      <b/>
      <sz val="7"/>
      <name val="Verdana"/>
      <family val="2"/>
    </font>
    <font>
      <b/>
      <sz val="9"/>
      <name val="Verdana"/>
      <family val="2"/>
    </font>
    <font>
      <sz val="6.5"/>
      <name val="Verdana"/>
      <family val="2"/>
    </font>
    <font>
      <sz val="11"/>
      <color theme="1"/>
      <name val="Verdana"/>
      <family val="2"/>
    </font>
    <font>
      <b/>
      <u/>
      <sz val="12"/>
      <color rgb="FF002060"/>
      <name val="Verdana"/>
      <family val="2"/>
    </font>
    <font>
      <sz val="11"/>
      <color rgb="FF002060"/>
      <name val="Verdana"/>
      <family val="2"/>
    </font>
    <font>
      <sz val="11"/>
      <name val="Verdana"/>
      <family val="2"/>
    </font>
    <font>
      <sz val="6.5"/>
      <color theme="1"/>
      <name val="Verdana"/>
      <family val="2"/>
    </font>
    <font>
      <sz val="10"/>
      <name val="Arial"/>
      <family val="2"/>
    </font>
    <font>
      <sz val="6.5"/>
      <color rgb="FFFF0000"/>
      <name val="Verdana"/>
      <family val="2"/>
    </font>
    <font>
      <b/>
      <sz val="6.5"/>
      <color theme="1"/>
      <name val="Verdana"/>
      <family val="2"/>
    </font>
    <font>
      <b/>
      <sz val="6.5"/>
      <name val="Verdana"/>
      <family val="2"/>
    </font>
    <font>
      <i/>
      <sz val="6.5"/>
      <name val="Verdana"/>
      <family val="2"/>
    </font>
    <font>
      <sz val="6.5"/>
      <color rgb="FF002060"/>
      <name val="Verdana"/>
      <family val="2"/>
    </font>
    <font>
      <sz val="11"/>
      <color rgb="FFFF0000"/>
      <name val="Verdana"/>
      <family val="2"/>
    </font>
    <font>
      <i/>
      <sz val="7"/>
      <name val="Verdana"/>
      <family val="2"/>
    </font>
    <font>
      <sz val="12"/>
      <name val="Verdana"/>
      <family val="2"/>
    </font>
    <font>
      <sz val="10"/>
      <color theme="0"/>
      <name val="Verdana"/>
      <family val="2"/>
    </font>
    <font>
      <b/>
      <sz val="16"/>
      <color theme="0"/>
      <name val="Verdana"/>
      <family val="2"/>
    </font>
    <font>
      <b/>
      <sz val="8"/>
      <color theme="0"/>
      <name val="Verdana"/>
      <family val="2"/>
    </font>
    <font>
      <sz val="11"/>
      <color theme="0"/>
      <name val="Calibri"/>
      <family val="2"/>
      <scheme val="minor"/>
    </font>
    <font>
      <u/>
      <sz val="10"/>
      <color theme="10"/>
      <name val="Arial"/>
      <family val="2"/>
    </font>
    <font>
      <sz val="10"/>
      <color theme="1"/>
      <name val="Calibri"/>
      <family val="2"/>
      <scheme val="minor"/>
    </font>
    <font>
      <b/>
      <sz val="10"/>
      <color theme="1"/>
      <name val="Calibri"/>
      <family val="2"/>
      <scheme val="minor"/>
    </font>
    <font>
      <i/>
      <sz val="10"/>
      <color theme="1"/>
      <name val="Calibri"/>
      <family val="2"/>
      <scheme val="minor"/>
    </font>
    <font>
      <sz val="10"/>
      <name val="Calibri"/>
      <family val="2"/>
      <scheme val="minor"/>
    </font>
    <font>
      <b/>
      <sz val="20"/>
      <color theme="4"/>
      <name val="Arial"/>
      <family val="2"/>
    </font>
    <font>
      <b/>
      <sz val="11"/>
      <name val="Arial"/>
      <family val="2"/>
    </font>
    <font>
      <b/>
      <u/>
      <sz val="10"/>
      <color indexed="59"/>
      <name val="Arial"/>
      <family val="2"/>
    </font>
    <font>
      <u/>
      <sz val="10"/>
      <color theme="4"/>
      <name val="Arial"/>
      <family val="2"/>
    </font>
    <font>
      <u/>
      <sz val="10"/>
      <color theme="5"/>
      <name val="Arial"/>
      <family val="2"/>
    </font>
    <font>
      <sz val="10"/>
      <color theme="5"/>
      <name val="Arial"/>
      <family val="2"/>
    </font>
    <font>
      <sz val="8"/>
      <name val="Arial"/>
      <family val="2"/>
    </font>
    <font>
      <b/>
      <u/>
      <sz val="8"/>
      <color indexed="59"/>
      <name val="Arial"/>
      <family val="2"/>
    </font>
    <font>
      <sz val="15"/>
      <name val="Arial"/>
      <family val="2"/>
    </font>
    <font>
      <b/>
      <sz val="10"/>
      <name val="Arial"/>
      <family val="2"/>
    </font>
    <font>
      <i/>
      <sz val="7"/>
      <name val="Arial"/>
      <family val="2"/>
    </font>
    <font>
      <b/>
      <sz val="10"/>
      <name val="Calibri"/>
      <family val="2"/>
    </font>
    <font>
      <sz val="11"/>
      <name val="Calibri"/>
      <family val="2"/>
      <scheme val="minor"/>
    </font>
    <font>
      <b/>
      <sz val="11"/>
      <name val="Calibri"/>
      <family val="2"/>
      <scheme val="minor"/>
    </font>
    <font>
      <sz val="10"/>
      <name val="Calibri"/>
      <family val="2"/>
    </font>
    <font>
      <b/>
      <sz val="10"/>
      <name val="Calibri"/>
      <family val="2"/>
      <scheme val="minor"/>
    </font>
    <font>
      <sz val="9"/>
      <name val="Arial"/>
      <family val="2"/>
    </font>
    <font>
      <sz val="9"/>
      <color indexed="8"/>
      <name val="Calibri"/>
      <family val="2"/>
    </font>
    <font>
      <sz val="11"/>
      <color theme="1"/>
      <name val="Calibri"/>
      <family val="2"/>
    </font>
    <font>
      <sz val="12"/>
      <color indexed="8"/>
      <name val="Gill Sans"/>
    </font>
    <font>
      <sz val="8"/>
      <name val="Calibri"/>
      <family val="2"/>
    </font>
    <font>
      <u/>
      <sz val="8"/>
      <color theme="10"/>
      <name val="Arial"/>
      <family val="2"/>
    </font>
    <font>
      <sz val="8"/>
      <name val="Verdana"/>
      <family val="2"/>
    </font>
    <font>
      <sz val="10"/>
      <color indexed="8"/>
      <name val="Calibri"/>
      <family val="2"/>
    </font>
    <font>
      <b/>
      <sz val="10"/>
      <color indexed="8"/>
      <name val="Calibri"/>
      <family val="2"/>
    </font>
    <font>
      <b/>
      <sz val="9"/>
      <name val="Calibri"/>
      <family val="2"/>
      <scheme val="minor"/>
    </font>
    <font>
      <sz val="9"/>
      <name val="Calibri"/>
      <family val="2"/>
      <scheme val="minor"/>
    </font>
    <font>
      <sz val="9"/>
      <color rgb="FFFF0000"/>
      <name val="Calibri"/>
      <family val="2"/>
      <scheme val="minor"/>
    </font>
    <font>
      <i/>
      <sz val="9"/>
      <color theme="1"/>
      <name val="Calibri"/>
      <family val="2"/>
      <scheme val="minor"/>
    </font>
    <font>
      <i/>
      <sz val="9"/>
      <name val="Calibri"/>
      <family val="2"/>
      <scheme val="minor"/>
    </font>
    <font>
      <b/>
      <sz val="9"/>
      <color theme="1"/>
      <name val="Calibri"/>
      <family val="2"/>
      <scheme val="minor"/>
    </font>
    <font>
      <b/>
      <sz val="9"/>
      <color rgb="FFFF0000"/>
      <name val="Calibri"/>
      <family val="2"/>
      <scheme val="minor"/>
    </font>
    <font>
      <b/>
      <u/>
      <sz val="10"/>
      <color rgb="FF002060"/>
      <name val="Verdana"/>
      <family val="2"/>
    </font>
    <font>
      <sz val="10"/>
      <color theme="0"/>
      <name val="Calibri"/>
      <family val="2"/>
      <scheme val="minor"/>
    </font>
    <font>
      <sz val="10"/>
      <color rgb="FF002060"/>
      <name val="Verdana"/>
      <family val="2"/>
    </font>
    <font>
      <sz val="10"/>
      <color theme="1"/>
      <name val="Verdana"/>
      <family val="2"/>
    </font>
    <font>
      <i/>
      <sz val="10"/>
      <name val="Verdana"/>
      <family val="2"/>
    </font>
    <font>
      <sz val="10"/>
      <color rgb="FFFF0000"/>
      <name val="Verdana"/>
      <family val="2"/>
    </font>
    <font>
      <i/>
      <sz val="9"/>
      <name val="Arial"/>
      <family val="2"/>
    </font>
    <font>
      <sz val="8"/>
      <color theme="1"/>
      <name val="Verdana"/>
      <family val="2"/>
    </font>
    <font>
      <b/>
      <sz val="12"/>
      <color theme="1"/>
      <name val="Verdana"/>
      <family val="2"/>
    </font>
    <font>
      <sz val="11"/>
      <color rgb="FFFF0000"/>
      <name val="Calibri"/>
      <family val="2"/>
      <scheme val="minor"/>
    </font>
    <font>
      <sz val="8"/>
      <color theme="2" tint="-0.74999237037263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0"/>
      <color theme="1"/>
      <name val="Arial"/>
      <family val="2"/>
    </font>
    <font>
      <b/>
      <sz val="10"/>
      <color theme="1"/>
      <name val="Verdana"/>
      <family val="2"/>
    </font>
    <font>
      <b/>
      <sz val="18"/>
      <color theme="3"/>
      <name val="Calibri Light"/>
      <family val="2"/>
      <scheme val="major"/>
    </font>
    <font>
      <sz val="11"/>
      <color rgb="FF9C6500"/>
      <name val="Calibri"/>
      <family val="2"/>
      <scheme val="minor"/>
    </font>
    <font>
      <sz val="9"/>
      <name val="Times New Roman"/>
      <family val="1"/>
    </font>
    <font>
      <b/>
      <u val="singleAccounting"/>
      <sz val="9"/>
      <name val="Times New Roman"/>
      <family val="1"/>
    </font>
    <font>
      <b/>
      <sz val="16"/>
      <name val="Arial"/>
      <family val="2"/>
    </font>
    <font>
      <b/>
      <sz val="10"/>
      <name val="Times New Roman"/>
      <family val="1"/>
    </font>
    <font>
      <b/>
      <sz val="10"/>
      <color rgb="FFFA7D00"/>
      <name val="verdana"/>
      <family val="2"/>
    </font>
    <font>
      <sz val="10"/>
      <color rgb="FF9C0006"/>
      <name val="verdana"/>
      <family val="2"/>
    </font>
    <font>
      <i/>
      <sz val="8"/>
      <name val="Times New Roman"/>
      <family val="1"/>
    </font>
    <font>
      <b/>
      <sz val="11"/>
      <name val="Times New Roman"/>
      <family val="1"/>
    </font>
    <font>
      <b/>
      <i/>
      <sz val="9.5"/>
      <name val="Times New Roman"/>
      <family val="1"/>
    </font>
    <font>
      <i/>
      <sz val="10"/>
      <color rgb="FF7F7F7F"/>
      <name val="verdana"/>
      <family val="2"/>
    </font>
    <font>
      <sz val="10"/>
      <color rgb="FF006100"/>
      <name val="verdana"/>
      <family val="2"/>
    </font>
    <font>
      <sz val="10"/>
      <color rgb="FF3F3F76"/>
      <name val="verdana"/>
      <family val="2"/>
    </font>
    <font>
      <sz val="10"/>
      <color rgb="FFFA7D00"/>
      <name val="verdana"/>
      <family val="2"/>
    </font>
    <font>
      <b/>
      <sz val="10"/>
      <color theme="0"/>
      <name val="verdana"/>
      <family val="2"/>
    </font>
    <font>
      <sz val="10"/>
      <color rgb="FF9C6500"/>
      <name val="verdana"/>
      <family val="2"/>
    </font>
    <font>
      <b/>
      <sz val="15"/>
      <color theme="3"/>
      <name val="verdana"/>
      <family val="2"/>
    </font>
    <font>
      <b/>
      <sz val="13"/>
      <color theme="3"/>
      <name val="verdana"/>
      <family val="2"/>
    </font>
    <font>
      <b/>
      <sz val="11"/>
      <color theme="3"/>
      <name val="verdana"/>
      <family val="2"/>
    </font>
    <font>
      <b/>
      <sz val="10"/>
      <color rgb="FF3F3F3F"/>
      <name val="verdana"/>
      <family val="2"/>
    </font>
    <font>
      <sz val="12"/>
      <name val="Times New Roman"/>
      <family val="1"/>
    </font>
    <font>
      <u/>
      <sz val="10"/>
      <color indexed="12"/>
      <name val="Arial"/>
      <family val="2"/>
    </font>
    <font>
      <sz val="11"/>
      <color indexed="8"/>
      <name val="Calibri"/>
      <family val="2"/>
    </font>
    <font>
      <sz val="11"/>
      <color indexed="9"/>
      <name val="Calibri"/>
      <family val="2"/>
    </font>
    <font>
      <sz val="11"/>
      <color indexed="62"/>
      <name val="Calibri"/>
      <family val="2"/>
    </font>
    <font>
      <sz val="11"/>
      <color indexed="17"/>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0"/>
      <name val="Calibri"/>
      <family val="2"/>
    </font>
    <font>
      <sz val="11"/>
      <color indexed="20"/>
      <name val="Calibri"/>
      <family val="2"/>
    </font>
    <font>
      <sz val="10"/>
      <color indexed="62"/>
      <name val="Arial"/>
      <family val="2"/>
    </font>
    <font>
      <b/>
      <sz val="11"/>
      <color indexed="63"/>
      <name val="Calibri"/>
      <family val="2"/>
    </font>
    <font>
      <u/>
      <sz val="6.5"/>
      <color indexed="12"/>
      <name val="Arial"/>
      <family val="2"/>
    </font>
    <font>
      <i/>
      <sz val="11"/>
      <color indexed="23"/>
      <name val="Calibri"/>
      <family val="2"/>
    </font>
    <font>
      <b/>
      <sz val="10"/>
      <color indexed="63"/>
      <name val="Arial"/>
      <family val="2"/>
    </font>
    <font>
      <sz val="11"/>
      <color indexed="60"/>
      <name val="Calibri"/>
      <family val="2"/>
    </font>
    <font>
      <b/>
      <sz val="11"/>
      <color indexed="8"/>
      <name val="Calibri"/>
      <family val="2"/>
    </font>
    <font>
      <i/>
      <sz val="10"/>
      <color indexed="23"/>
      <name val="Arial"/>
      <family val="2"/>
    </font>
    <font>
      <u/>
      <sz val="12"/>
      <color indexed="36"/>
      <name val="Times New Roman"/>
      <family val="1"/>
    </font>
    <font>
      <u/>
      <sz val="12"/>
      <color indexed="12"/>
      <name val="Times New Roman"/>
      <family val="1"/>
    </font>
    <font>
      <sz val="10"/>
      <color indexed="60"/>
      <name val="Arial"/>
      <family val="2"/>
    </font>
    <font>
      <sz val="10"/>
      <name val="MS Sans Serif"/>
      <family val="2"/>
    </font>
    <font>
      <b/>
      <sz val="18"/>
      <color indexed="32"/>
      <name val="Arial"/>
      <family val="2"/>
    </font>
    <font>
      <b/>
      <sz val="10"/>
      <color indexed="18"/>
      <name val="Arial"/>
      <family val="2"/>
    </font>
    <font>
      <sz val="10"/>
      <color indexed="8"/>
      <name val="Arial"/>
      <family val="2"/>
    </font>
    <font>
      <sz val="12"/>
      <name val="Arial MT"/>
    </font>
    <font>
      <sz val="10"/>
      <color indexed="18"/>
      <name val="Arial"/>
      <family val="2"/>
    </font>
    <font>
      <sz val="10"/>
      <color indexed="10"/>
      <name val="Arial"/>
      <family val="2"/>
    </font>
    <font>
      <sz val="9.5"/>
      <color rgb="FF00000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b/>
      <sz val="10"/>
      <color indexed="8"/>
      <name val="Arial"/>
      <family val="2"/>
    </font>
    <font>
      <sz val="11"/>
      <color theme="1"/>
      <name val="Calibri"/>
      <family val="2"/>
      <charset val="238"/>
      <scheme val="minor"/>
    </font>
    <font>
      <sz val="8"/>
      <color indexed="8"/>
      <name val="Arial"/>
      <family val="2"/>
    </font>
    <font>
      <b/>
      <sz val="8"/>
      <color theme="1"/>
      <name val="Verdana"/>
      <family val="2"/>
    </font>
    <font>
      <sz val="10.5"/>
      <name val="Calibri"/>
      <family val="2"/>
      <scheme val="minor"/>
    </font>
    <font>
      <i/>
      <sz val="11"/>
      <name val="Calibri"/>
      <family val="2"/>
      <scheme val="minor"/>
    </font>
    <font>
      <i/>
      <sz val="10"/>
      <name val="Calibri"/>
      <family val="2"/>
      <scheme val="minor"/>
    </font>
  </fonts>
  <fills count="6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FFF"/>
        <bgColor indexed="64"/>
      </patternFill>
    </fill>
    <fill>
      <patternFill patternType="solid">
        <fgColor theme="8" tint="0.39997558519241921"/>
        <bgColor indexed="64"/>
      </patternFill>
    </fill>
    <fill>
      <patternFill patternType="solid">
        <fgColor indexed="9"/>
        <bgColor indexed="64"/>
      </patternFill>
    </fill>
    <fill>
      <patternFill patternType="solid">
        <fgColor rgb="FF8DB4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43"/>
      </patternFill>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13"/>
        <bgColor indexed="64"/>
      </patternFill>
    </fill>
    <fill>
      <patternFill patternType="solid">
        <fgColor theme="6" tint="0.79998168889431442"/>
        <bgColor indexed="64"/>
      </patternFill>
    </fill>
  </fills>
  <borders count="36">
    <border>
      <left/>
      <right/>
      <top/>
      <bottom/>
      <diagonal/>
    </border>
    <border>
      <left/>
      <right/>
      <top style="hair">
        <color indexed="64"/>
      </top>
      <bottom/>
      <diagonal/>
    </border>
    <border>
      <left/>
      <right/>
      <top/>
      <bottom style="thin">
        <color rgb="FF002060"/>
      </bottom>
      <diagonal/>
    </border>
    <border>
      <left/>
      <right/>
      <top/>
      <bottom style="thin">
        <color indexed="64"/>
      </bottom>
      <diagonal/>
    </border>
    <border>
      <left/>
      <right/>
      <top style="thin">
        <color indexed="64"/>
      </top>
      <bottom style="thin">
        <color indexed="64"/>
      </bottom>
      <diagonal/>
    </border>
    <border>
      <left/>
      <right/>
      <top style="thin">
        <color rgb="FF002060"/>
      </top>
      <bottom style="thin">
        <color indexed="64"/>
      </bottom>
      <diagonal/>
    </border>
    <border>
      <left/>
      <right/>
      <top/>
      <bottom style="thin">
        <color theme="4"/>
      </bottom>
      <diagonal/>
    </border>
    <border>
      <left/>
      <right/>
      <top style="thin">
        <color auto="1"/>
      </top>
      <bottom style="thin">
        <color indexed="64"/>
      </bottom>
      <diagonal/>
    </border>
    <border>
      <left/>
      <right/>
      <top style="thin">
        <color auto="1"/>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32"/>
      </left>
      <right/>
      <top style="thin">
        <color indexed="32"/>
      </top>
      <bottom/>
      <diagonal/>
    </border>
    <border>
      <left style="thin">
        <color indexed="18"/>
      </left>
      <right style="dotted">
        <color indexed="18"/>
      </right>
      <top style="thin">
        <color indexed="18"/>
      </top>
      <bottom style="thin">
        <color indexed="18"/>
      </bottom>
      <diagonal/>
    </border>
    <border>
      <left style="thin">
        <color indexed="18"/>
      </left>
      <right style="dotted">
        <color indexed="18"/>
      </right>
      <top/>
      <bottom/>
      <diagonal/>
    </border>
    <border>
      <left style="thin">
        <color indexed="64"/>
      </left>
      <right/>
      <top style="thin">
        <color indexed="64"/>
      </top>
      <bottom style="thin">
        <color indexed="64"/>
      </bottom>
      <diagonal/>
    </border>
    <border>
      <left/>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325">
    <xf numFmtId="0" fontId="0" fillId="0" borderId="0" applyProtection="0"/>
    <xf numFmtId="164" fontId="19" fillId="0" borderId="0" applyFont="0" applyFill="0" applyBorder="0" applyAlignment="0" applyProtection="0"/>
    <xf numFmtId="9" fontId="19" fillId="0" borderId="0" applyFont="0" applyFill="0" applyBorder="0" applyAlignment="0" applyProtection="0"/>
    <xf numFmtId="0" fontId="7" fillId="0" borderId="0"/>
    <xf numFmtId="164" fontId="7" fillId="0" borderId="0" applyFont="0" applyFill="0" applyBorder="0" applyAlignment="0" applyProtection="0"/>
    <xf numFmtId="0" fontId="10" fillId="0" borderId="0"/>
    <xf numFmtId="0" fontId="12" fillId="0" borderId="0"/>
    <xf numFmtId="0" fontId="19" fillId="0" borderId="0" applyProtection="0"/>
    <xf numFmtId="0" fontId="6" fillId="0" borderId="0"/>
    <xf numFmtId="164" fontId="5" fillId="0" borderId="0" applyFont="0" applyFill="0" applyBorder="0" applyAlignment="0" applyProtection="0"/>
    <xf numFmtId="0" fontId="4" fillId="0" borderId="0"/>
    <xf numFmtId="0" fontId="19" fillId="0" borderId="0" applyProtection="0"/>
    <xf numFmtId="0" fontId="19" fillId="0" borderId="0"/>
    <xf numFmtId="0" fontId="19" fillId="0" borderId="0"/>
    <xf numFmtId="0" fontId="53" fillId="0" borderId="0"/>
    <xf numFmtId="0" fontId="56" fillId="0" borderId="0"/>
    <xf numFmtId="0" fontId="3" fillId="0" borderId="0"/>
    <xf numFmtId="0" fontId="84" fillId="8" borderId="0" applyNumberFormat="0" applyBorder="0" applyAlignment="0" applyProtection="0"/>
    <xf numFmtId="0" fontId="86" fillId="11" borderId="14" applyNumberFormat="0" applyAlignment="0" applyProtection="0"/>
    <xf numFmtId="0" fontId="88" fillId="12" borderId="14" applyNumberFormat="0" applyAlignment="0" applyProtection="0"/>
    <xf numFmtId="0" fontId="89" fillId="0" borderId="16" applyNumberFormat="0" applyFill="0" applyAlignment="0" applyProtection="0"/>
    <xf numFmtId="0" fontId="78" fillId="0" borderId="0" applyNumberFormat="0" applyFill="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0" borderId="0"/>
    <xf numFmtId="164" fontId="2" fillId="0" borderId="0" applyFont="0" applyFill="0" applyBorder="0" applyAlignment="0" applyProtection="0"/>
    <xf numFmtId="0" fontId="95" fillId="0" borderId="0" applyNumberFormat="0" applyFill="0" applyBorder="0" applyAlignment="0" applyProtection="0"/>
    <xf numFmtId="0" fontId="81" fillId="0" borderId="11" applyNumberFormat="0" applyFill="0" applyAlignment="0" applyProtection="0"/>
    <xf numFmtId="0" fontId="82" fillId="0" borderId="12" applyNumberFormat="0" applyFill="0" applyAlignment="0" applyProtection="0"/>
    <xf numFmtId="0" fontId="83" fillId="0" borderId="13" applyNumberFormat="0" applyFill="0" applyAlignment="0" applyProtection="0"/>
    <xf numFmtId="0" fontId="83" fillId="0" borderId="0" applyNumberFormat="0" applyFill="0" applyBorder="0" applyAlignment="0" applyProtection="0"/>
    <xf numFmtId="0" fontId="85" fillId="9" borderId="0" applyNumberFormat="0" applyBorder="0" applyAlignment="0" applyProtection="0"/>
    <xf numFmtId="0" fontId="96" fillId="10" borderId="0" applyNumberFormat="0" applyBorder="0" applyAlignment="0" applyProtection="0"/>
    <xf numFmtId="0" fontId="87" fillId="12" borderId="15" applyNumberFormat="0" applyAlignment="0" applyProtection="0"/>
    <xf numFmtId="0" fontId="90" fillId="13" borderId="17" applyNumberFormat="0" applyAlignment="0" applyProtection="0"/>
    <xf numFmtId="0" fontId="91" fillId="0" borderId="0" applyNumberFormat="0" applyFill="0" applyBorder="0" applyAlignment="0" applyProtection="0"/>
    <xf numFmtId="0" fontId="92" fillId="0" borderId="19" applyNumberFormat="0" applyFill="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97" fillId="0" borderId="0" applyFill="0" applyBorder="0">
      <alignment horizontal="left" vertical="top"/>
    </xf>
    <xf numFmtId="41" fontId="97" fillId="0" borderId="0" applyFill="0" applyBorder="0" applyAlignment="0" applyProtection="0">
      <alignment horizontal="right" vertical="top"/>
    </xf>
    <xf numFmtId="0" fontId="98" fillId="0" borderId="0">
      <alignment horizontal="center" wrapText="1"/>
    </xf>
    <xf numFmtId="173" fontId="99" fillId="0" borderId="0"/>
    <xf numFmtId="175" fontId="97" fillId="0" borderId="0" applyFill="0" applyBorder="0">
      <alignment horizontal="right" vertical="top"/>
    </xf>
    <xf numFmtId="9"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0" fontId="72" fillId="16" borderId="0" applyNumberFormat="0" applyBorder="0" applyAlignment="0" applyProtection="0"/>
    <xf numFmtId="0" fontId="72" fillId="20" borderId="0" applyNumberFormat="0" applyBorder="0" applyAlignment="0" applyProtection="0"/>
    <xf numFmtId="0" fontId="72" fillId="24" borderId="0" applyNumberFormat="0" applyBorder="0" applyAlignment="0" applyProtection="0"/>
    <xf numFmtId="0" fontId="72" fillId="28" borderId="0" applyNumberFormat="0" applyBorder="0" applyAlignment="0" applyProtection="0"/>
    <xf numFmtId="0" fontId="72" fillId="32" borderId="0" applyNumberFormat="0" applyBorder="0" applyAlignment="0" applyProtection="0"/>
    <xf numFmtId="0" fontId="72" fillId="36" borderId="0" applyNumberFormat="0" applyBorder="0" applyAlignment="0" applyProtection="0"/>
    <xf numFmtId="0" fontId="72" fillId="17" borderId="0" applyNumberFormat="0" applyBorder="0" applyAlignment="0" applyProtection="0"/>
    <xf numFmtId="0" fontId="72" fillId="21" borderId="0" applyNumberFormat="0" applyBorder="0" applyAlignment="0" applyProtection="0"/>
    <xf numFmtId="0" fontId="72" fillId="25" borderId="0" applyNumberFormat="0" applyBorder="0" applyAlignment="0" applyProtection="0"/>
    <xf numFmtId="0" fontId="72" fillId="29" borderId="0" applyNumberFormat="0" applyBorder="0" applyAlignment="0" applyProtection="0"/>
    <xf numFmtId="0" fontId="72" fillId="33" borderId="0" applyNumberFormat="0" applyBorder="0" applyAlignment="0" applyProtection="0"/>
    <xf numFmtId="0" fontId="72" fillId="37" borderId="0" applyNumberFormat="0" applyBorder="0" applyAlignment="0" applyProtection="0"/>
    <xf numFmtId="0" fontId="28" fillId="18" borderId="0" applyNumberFormat="0" applyBorder="0" applyAlignment="0" applyProtection="0"/>
    <xf numFmtId="0" fontId="28" fillId="22" borderId="0" applyNumberFormat="0" applyBorder="0" applyAlignment="0" applyProtection="0"/>
    <xf numFmtId="0" fontId="28" fillId="26" borderId="0" applyNumberFormat="0" applyBorder="0" applyAlignment="0" applyProtection="0"/>
    <xf numFmtId="0" fontId="28" fillId="30" borderId="0" applyNumberFormat="0" applyBorder="0" applyAlignment="0" applyProtection="0"/>
    <xf numFmtId="0" fontId="28" fillId="34" borderId="0" applyNumberFormat="0" applyBorder="0" applyAlignment="0" applyProtection="0"/>
    <xf numFmtId="0" fontId="28" fillId="38" borderId="0" applyNumberFormat="0" applyBorder="0" applyAlignment="0" applyProtection="0"/>
    <xf numFmtId="0" fontId="101" fillId="12" borderId="14" applyNumberFormat="0" applyAlignment="0" applyProtection="0"/>
    <xf numFmtId="0" fontId="102" fillId="9" borderId="0" applyNumberFormat="0" applyBorder="0" applyAlignment="0" applyProtection="0"/>
    <xf numFmtId="176" fontId="103" fillId="0" borderId="0">
      <alignment horizontal="right" vertical="top"/>
    </xf>
    <xf numFmtId="177" fontId="97" fillId="0" borderId="0">
      <alignment horizontal="right" vertical="top"/>
    </xf>
    <xf numFmtId="177" fontId="103" fillId="0" borderId="0">
      <alignment horizontal="right" vertical="top"/>
    </xf>
    <xf numFmtId="174" fontId="97" fillId="0" borderId="0" applyFill="0" applyBorder="0">
      <alignment horizontal="right" vertical="top"/>
    </xf>
    <xf numFmtId="178" fontId="97" fillId="0" borderId="0" applyFill="0" applyBorder="0">
      <alignment horizontal="right" vertical="top"/>
    </xf>
    <xf numFmtId="179" fontId="97" fillId="0" borderId="0" applyFill="0" applyBorder="0">
      <alignment horizontal="right" vertical="top"/>
    </xf>
    <xf numFmtId="173" fontId="104" fillId="0" borderId="0" applyFill="0" applyBorder="0">
      <alignment vertical="top"/>
    </xf>
    <xf numFmtId="173" fontId="100" fillId="0" borderId="0" applyFill="0" applyBorder="0" applyProtection="0">
      <alignment vertical="top"/>
    </xf>
    <xf numFmtId="173" fontId="105" fillId="0" borderId="0">
      <alignment vertical="top"/>
    </xf>
    <xf numFmtId="0" fontId="106" fillId="0" borderId="0" applyNumberFormat="0" applyFill="0" applyBorder="0" applyAlignment="0" applyProtection="0"/>
    <xf numFmtId="0" fontId="107" fillId="8" borderId="0" applyNumberFormat="0" applyBorder="0" applyAlignment="0" applyProtection="0"/>
    <xf numFmtId="0" fontId="108" fillId="11" borderId="14" applyNumberFormat="0" applyAlignment="0" applyProtection="0"/>
    <xf numFmtId="0" fontId="109" fillId="0" borderId="16" applyNumberFormat="0" applyFill="0" applyAlignment="0" applyProtection="0"/>
    <xf numFmtId="0" fontId="110" fillId="13" borderId="17" applyNumberFormat="0" applyAlignment="0" applyProtection="0"/>
    <xf numFmtId="0" fontId="72" fillId="14" borderId="18" applyNumberFormat="0" applyFont="0" applyAlignment="0" applyProtection="0"/>
    <xf numFmtId="0" fontId="2" fillId="0" borderId="0"/>
    <xf numFmtId="0" fontId="2" fillId="0" borderId="0"/>
    <xf numFmtId="0" fontId="72" fillId="0" borderId="0"/>
    <xf numFmtId="0" fontId="2" fillId="0" borderId="0"/>
    <xf numFmtId="0" fontId="111" fillId="10" borderId="0" applyNumberFormat="0" applyBorder="0" applyAlignment="0" applyProtection="0"/>
    <xf numFmtId="0" fontId="112" fillId="0" borderId="11" applyNumberFormat="0" applyFill="0" applyAlignment="0" applyProtection="0"/>
    <xf numFmtId="0" fontId="113" fillId="0" borderId="12" applyNumberFormat="0" applyFill="0" applyAlignment="0" applyProtection="0"/>
    <xf numFmtId="0" fontId="114" fillId="0" borderId="13" applyNumberFormat="0" applyFill="0" applyAlignment="0" applyProtection="0"/>
    <xf numFmtId="0" fontId="114" fillId="0" borderId="0" applyNumberFormat="0" applyFill="0" applyBorder="0" applyAlignment="0" applyProtection="0"/>
    <xf numFmtId="0" fontId="94" fillId="0" borderId="19" applyNumberFormat="0" applyFill="0" applyAlignment="0" applyProtection="0"/>
    <xf numFmtId="172"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0" fontId="115" fillId="12" borderId="15" applyNumberFormat="0" applyAlignment="0" applyProtection="0"/>
    <xf numFmtId="0" fontId="28" fillId="15" borderId="0" applyNumberFormat="0" applyBorder="0" applyAlignment="0" applyProtection="0"/>
    <xf numFmtId="0" fontId="28" fillId="19" borderId="0" applyNumberFormat="0" applyBorder="0" applyAlignment="0" applyProtection="0"/>
    <xf numFmtId="0" fontId="28" fillId="23" borderId="0" applyNumberFormat="0" applyBorder="0" applyAlignment="0" applyProtection="0"/>
    <xf numFmtId="0" fontId="28" fillId="27" borderId="0" applyNumberFormat="0" applyBorder="0" applyAlignment="0" applyProtection="0"/>
    <xf numFmtId="0" fontId="28" fillId="31" borderId="0" applyNumberFormat="0" applyBorder="0" applyAlignment="0" applyProtection="0"/>
    <xf numFmtId="0" fontId="28" fillId="35" borderId="0" applyNumberFormat="0" applyBorder="0" applyAlignment="0" applyProtection="0"/>
    <xf numFmtId="0" fontId="74" fillId="0" borderId="0" applyNumberFormat="0" applyFill="0" applyBorder="0" applyAlignment="0" applyProtection="0"/>
    <xf numFmtId="0" fontId="19" fillId="0" borderId="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0" fontId="19" fillId="0" borderId="0"/>
    <xf numFmtId="0" fontId="2" fillId="0" borderId="0"/>
    <xf numFmtId="0" fontId="2" fillId="0" borderId="0"/>
    <xf numFmtId="0" fontId="72" fillId="0" borderId="0"/>
    <xf numFmtId="0" fontId="72" fillId="16" borderId="0" applyNumberFormat="0" applyBorder="0" applyAlignment="0" applyProtection="0"/>
    <xf numFmtId="0" fontId="7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34" borderId="0" applyNumberFormat="0" applyBorder="0" applyAlignment="0" applyProtection="0"/>
    <xf numFmtId="0" fontId="31" fillId="38" borderId="0" applyNumberFormat="0" applyBorder="0" applyAlignment="0" applyProtection="0"/>
    <xf numFmtId="0" fontId="88" fillId="12" borderId="14" applyNumberFormat="0" applyAlignment="0" applyProtection="0"/>
    <xf numFmtId="0" fontId="85" fillId="9" borderId="0" applyNumberFormat="0" applyBorder="0" applyAlignment="0" applyProtection="0"/>
    <xf numFmtId="0" fontId="91" fillId="0" borderId="0" applyNumberFormat="0" applyFill="0" applyBorder="0" applyAlignment="0" applyProtection="0"/>
    <xf numFmtId="0" fontId="84" fillId="8" borderId="0" applyNumberFormat="0" applyBorder="0" applyAlignment="0" applyProtection="0"/>
    <xf numFmtId="0" fontId="86" fillId="11" borderId="14" applyNumberFormat="0" applyAlignment="0" applyProtection="0"/>
    <xf numFmtId="0" fontId="89" fillId="0" borderId="16" applyNumberFormat="0" applyFill="0" applyAlignment="0" applyProtection="0"/>
    <xf numFmtId="0" fontId="90" fillId="13" borderId="17" applyNumberForma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0" borderId="0"/>
    <xf numFmtId="0" fontId="7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2" fillId="0" borderId="0"/>
    <xf numFmtId="0" fontId="72" fillId="0" borderId="0"/>
    <xf numFmtId="0" fontId="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9"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6" fillId="10" borderId="0" applyNumberFormat="0" applyBorder="0" applyAlignment="0" applyProtection="0"/>
    <xf numFmtId="0" fontId="81" fillId="0" borderId="11" applyNumberFormat="0" applyFill="0" applyAlignment="0" applyProtection="0"/>
    <xf numFmtId="0" fontId="82" fillId="0" borderId="12" applyNumberFormat="0" applyFill="0" applyAlignment="0" applyProtection="0"/>
    <xf numFmtId="0" fontId="83" fillId="0" borderId="13" applyNumberFormat="0" applyFill="0" applyAlignment="0" applyProtection="0"/>
    <xf numFmtId="0" fontId="83" fillId="0" borderId="0" applyNumberFormat="0" applyFill="0" applyBorder="0" applyAlignment="0" applyProtection="0"/>
    <xf numFmtId="0" fontId="92" fillId="0" borderId="19" applyNumberFormat="0" applyFill="0" applyAlignment="0" applyProtection="0"/>
    <xf numFmtId="0" fontId="87" fillId="12" borderId="15" applyNumberFormat="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78" fillId="0" borderId="0" applyNumberFormat="0" applyFill="0" applyBorder="0" applyAlignment="0" applyProtection="0"/>
    <xf numFmtId="0" fontId="2" fillId="0" borderId="0"/>
    <xf numFmtId="0" fontId="19" fillId="0" borderId="0"/>
    <xf numFmtId="164" fontId="19" fillId="0" borderId="0" applyFont="0" applyFill="0" applyBorder="0" applyAlignment="0" applyProtection="0"/>
    <xf numFmtId="0" fontId="2" fillId="0" borderId="0"/>
    <xf numFmtId="0" fontId="19" fillId="0" borderId="0"/>
    <xf numFmtId="0" fontId="19"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9" fillId="0" borderId="0" applyFont="0" applyFill="0" applyBorder="0" applyAlignment="0" applyProtection="0"/>
    <xf numFmtId="164" fontId="19" fillId="0" borderId="0" applyFont="0" applyFill="0" applyBorder="0" applyAlignment="0" applyProtection="0"/>
    <xf numFmtId="0" fontId="2" fillId="0" borderId="0"/>
    <xf numFmtId="0" fontId="2" fillId="0" borderId="0"/>
    <xf numFmtId="0" fontId="19" fillId="0" borderId="0"/>
    <xf numFmtId="0" fontId="19" fillId="0" borderId="0"/>
    <xf numFmtId="9" fontId="2" fillId="0" borderId="0" applyFont="0" applyFill="0" applyBorder="0" applyAlignment="0" applyProtection="0"/>
    <xf numFmtId="0" fontId="2" fillId="36" borderId="0" applyNumberFormat="0" applyBorder="0" applyAlignment="0" applyProtection="0"/>
    <xf numFmtId="0" fontId="2" fillId="14" borderId="18" applyNumberFormat="0" applyFont="0" applyAlignment="0" applyProtection="0"/>
    <xf numFmtId="0" fontId="2" fillId="32" borderId="0" applyNumberFormat="0" applyBorder="0" applyAlignment="0" applyProtection="0"/>
    <xf numFmtId="0" fontId="2" fillId="29"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36" borderId="0" applyNumberFormat="0" applyBorder="0" applyAlignment="0" applyProtection="0"/>
    <xf numFmtId="0" fontId="2" fillId="20" borderId="0" applyNumberFormat="0" applyBorder="0" applyAlignment="0" applyProtection="0"/>
    <xf numFmtId="0" fontId="2" fillId="36" borderId="0" applyNumberFormat="0" applyBorder="0" applyAlignment="0" applyProtection="0"/>
    <xf numFmtId="0" fontId="2" fillId="20" borderId="0" applyNumberFormat="0" applyBorder="0" applyAlignment="0" applyProtection="0"/>
    <xf numFmtId="0" fontId="2" fillId="14" borderId="18" applyNumberFormat="0" applyFont="0" applyAlignment="0" applyProtection="0"/>
    <xf numFmtId="0" fontId="2" fillId="32" borderId="0" applyNumberFormat="0" applyBorder="0" applyAlignment="0" applyProtection="0"/>
    <xf numFmtId="0" fontId="2" fillId="32" borderId="0" applyNumberFormat="0" applyBorder="0" applyAlignment="0" applyProtection="0"/>
    <xf numFmtId="0" fontId="2" fillId="21" borderId="0" applyNumberFormat="0" applyBorder="0" applyAlignment="0" applyProtection="0"/>
    <xf numFmtId="0" fontId="2" fillId="36"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0" borderId="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1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8" borderId="0" applyNumberFormat="0" applyBorder="0" applyAlignment="0" applyProtection="0"/>
    <xf numFmtId="0" fontId="2" fillId="36"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3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37" borderId="0" applyNumberFormat="0" applyBorder="0" applyAlignment="0" applyProtection="0"/>
    <xf numFmtId="0" fontId="2" fillId="3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32" borderId="0" applyNumberFormat="0" applyBorder="0" applyAlignment="0" applyProtection="0"/>
    <xf numFmtId="0" fontId="2" fillId="29" borderId="0" applyNumberFormat="0" applyBorder="0" applyAlignment="0" applyProtection="0"/>
    <xf numFmtId="0" fontId="2" fillId="0" borderId="0"/>
    <xf numFmtId="0" fontId="2" fillId="28" borderId="0" applyNumberFormat="0" applyBorder="0" applyAlignment="0" applyProtection="0"/>
    <xf numFmtId="0" fontId="2" fillId="25" borderId="0" applyNumberFormat="0" applyBorder="0" applyAlignment="0" applyProtection="0"/>
    <xf numFmtId="0" fontId="2" fillId="20" borderId="0" applyNumberFormat="0" applyBorder="0" applyAlignment="0" applyProtection="0"/>
    <xf numFmtId="0" fontId="2" fillId="28" borderId="0" applyNumberFormat="0" applyBorder="0" applyAlignment="0" applyProtection="0"/>
    <xf numFmtId="0" fontId="2" fillId="33" borderId="0" applyNumberFormat="0" applyBorder="0" applyAlignment="0" applyProtection="0"/>
    <xf numFmtId="164" fontId="19" fillId="0" borderId="0" applyFont="0" applyFill="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0" borderId="0"/>
    <xf numFmtId="0" fontId="2" fillId="36"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28" borderId="0" applyNumberFormat="0" applyBorder="0" applyAlignment="0" applyProtection="0"/>
    <xf numFmtId="0" fontId="2" fillId="17" borderId="0" applyNumberFormat="0" applyBorder="0" applyAlignment="0" applyProtection="0"/>
    <xf numFmtId="0" fontId="2" fillId="28"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36" borderId="0" applyNumberFormat="0" applyBorder="0" applyAlignment="0" applyProtection="0"/>
    <xf numFmtId="0" fontId="2" fillId="0" borderId="0"/>
    <xf numFmtId="0" fontId="2" fillId="32" borderId="0" applyNumberFormat="0" applyBorder="0" applyAlignment="0" applyProtection="0"/>
    <xf numFmtId="0" fontId="2" fillId="3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0" borderId="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28" borderId="0" applyNumberFormat="0" applyBorder="0" applyAlignment="0" applyProtection="0"/>
    <xf numFmtId="0" fontId="2" fillId="28"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180" fontId="19"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83" fontId="19" fillId="0" borderId="0" applyFont="0" applyFill="0" applyBorder="0" applyAlignment="0" applyProtection="0"/>
    <xf numFmtId="0" fontId="2" fillId="0" borderId="0"/>
    <xf numFmtId="0" fontId="2" fillId="0" borderId="0"/>
    <xf numFmtId="0" fontId="118" fillId="39" borderId="0" applyNumberFormat="0" applyBorder="0" applyAlignment="0" applyProtection="0"/>
    <xf numFmtId="0" fontId="118" fillId="40" borderId="0" applyNumberFormat="0" applyBorder="0" applyAlignment="0" applyProtection="0"/>
    <xf numFmtId="0" fontId="118" fillId="41" borderId="0" applyNumberFormat="0" applyBorder="0" applyAlignment="0" applyProtection="0"/>
    <xf numFmtId="0" fontId="118" fillId="42" borderId="0" applyNumberFormat="0" applyBorder="0" applyAlignment="0" applyProtection="0"/>
    <xf numFmtId="0" fontId="118" fillId="43" borderId="0" applyNumberFormat="0" applyBorder="0" applyAlignment="0" applyProtection="0"/>
    <xf numFmtId="0" fontId="118" fillId="44" borderId="0" applyNumberFormat="0" applyBorder="0" applyAlignment="0" applyProtection="0"/>
    <xf numFmtId="0" fontId="118" fillId="39" borderId="0" applyNumberFormat="0" applyBorder="0" applyAlignment="0" applyProtection="0"/>
    <xf numFmtId="0" fontId="118" fillId="40" borderId="0" applyNumberFormat="0" applyBorder="0" applyAlignment="0" applyProtection="0"/>
    <xf numFmtId="0" fontId="118" fillId="41" borderId="0" applyNumberFormat="0" applyBorder="0" applyAlignment="0" applyProtection="0"/>
    <xf numFmtId="0" fontId="118" fillId="42" borderId="0" applyNumberFormat="0" applyBorder="0" applyAlignment="0" applyProtection="0"/>
    <xf numFmtId="0" fontId="118" fillId="43" borderId="0" applyNumberFormat="0" applyBorder="0" applyAlignment="0" applyProtection="0"/>
    <xf numFmtId="0" fontId="118" fillId="44" borderId="0" applyNumberFormat="0" applyBorder="0" applyAlignment="0" applyProtection="0"/>
    <xf numFmtId="0" fontId="118" fillId="45" borderId="0" applyNumberFormat="0" applyBorder="0" applyAlignment="0" applyProtection="0"/>
    <xf numFmtId="0" fontId="118" fillId="46" borderId="0" applyNumberFormat="0" applyBorder="0" applyAlignment="0" applyProtection="0"/>
    <xf numFmtId="0" fontId="118" fillId="47" borderId="0" applyNumberFormat="0" applyBorder="0" applyAlignment="0" applyProtection="0"/>
    <xf numFmtId="0" fontId="118" fillId="42" borderId="0" applyNumberFormat="0" applyBorder="0" applyAlignment="0" applyProtection="0"/>
    <xf numFmtId="0" fontId="118" fillId="45" borderId="0" applyNumberFormat="0" applyBorder="0" applyAlignment="0" applyProtection="0"/>
    <xf numFmtId="0" fontId="118" fillId="48" borderId="0" applyNumberFormat="0" applyBorder="0" applyAlignment="0" applyProtection="0"/>
    <xf numFmtId="0" fontId="118" fillId="45" borderId="0" applyNumberFormat="0" applyBorder="0" applyAlignment="0" applyProtection="0"/>
    <xf numFmtId="0" fontId="118" fillId="46" borderId="0" applyNumberFormat="0" applyBorder="0" applyAlignment="0" applyProtection="0"/>
    <xf numFmtId="0" fontId="118" fillId="47" borderId="0" applyNumberFormat="0" applyBorder="0" applyAlignment="0" applyProtection="0"/>
    <xf numFmtId="0" fontId="118" fillId="42" borderId="0" applyNumberFormat="0" applyBorder="0" applyAlignment="0" applyProtection="0"/>
    <xf numFmtId="0" fontId="118" fillId="45" borderId="0" applyNumberFormat="0" applyBorder="0" applyAlignment="0" applyProtection="0"/>
    <xf numFmtId="0" fontId="118" fillId="48" borderId="0" applyNumberFormat="0" applyBorder="0" applyAlignment="0" applyProtection="0"/>
    <xf numFmtId="0" fontId="119" fillId="49" borderId="0" applyNumberFormat="0" applyBorder="0" applyAlignment="0" applyProtection="0"/>
    <xf numFmtId="0" fontId="119" fillId="46" borderId="0" applyNumberFormat="0" applyBorder="0" applyAlignment="0" applyProtection="0"/>
    <xf numFmtId="0" fontId="119" fillId="47" borderId="0" applyNumberFormat="0" applyBorder="0" applyAlignment="0" applyProtection="0"/>
    <xf numFmtId="0" fontId="119" fillId="50" borderId="0" applyNumberFormat="0" applyBorder="0" applyAlignment="0" applyProtection="0"/>
    <xf numFmtId="0" fontId="119" fillId="51" borderId="0" applyNumberFormat="0" applyBorder="0" applyAlignment="0" applyProtection="0"/>
    <xf numFmtId="0" fontId="119" fillId="52" borderId="0" applyNumberFormat="0" applyBorder="0" applyAlignment="0" applyProtection="0"/>
    <xf numFmtId="0" fontId="119" fillId="49" borderId="0" applyNumberFormat="0" applyBorder="0" applyAlignment="0" applyProtection="0"/>
    <xf numFmtId="0" fontId="119" fillId="46" borderId="0" applyNumberFormat="0" applyBorder="0" applyAlignment="0" applyProtection="0"/>
    <xf numFmtId="0" fontId="119" fillId="47" borderId="0" applyNumberFormat="0" applyBorder="0" applyAlignment="0" applyProtection="0"/>
    <xf numFmtId="0" fontId="119" fillId="50" borderId="0" applyNumberFormat="0" applyBorder="0" applyAlignment="0" applyProtection="0"/>
    <xf numFmtId="0" fontId="119" fillId="51" borderId="0" applyNumberFormat="0" applyBorder="0" applyAlignment="0" applyProtection="0"/>
    <xf numFmtId="0" fontId="119" fillId="52" borderId="0" applyNumberFormat="0" applyBorder="0" applyAlignment="0" applyProtection="0"/>
    <xf numFmtId="0" fontId="120" fillId="44" borderId="20" applyNumberFormat="0" applyAlignment="0" applyProtection="0"/>
    <xf numFmtId="0" fontId="121" fillId="41" borderId="0" applyNumberFormat="0" applyBorder="0" applyAlignment="0" applyProtection="0"/>
    <xf numFmtId="0" fontId="123" fillId="53" borderId="20" applyNumberFormat="0" applyAlignment="0" applyProtection="0"/>
    <xf numFmtId="0" fontId="124" fillId="54" borderId="21" applyNumberFormat="0" applyAlignment="0" applyProtection="0"/>
    <xf numFmtId="0" fontId="125" fillId="0" borderId="22" applyNumberFormat="0" applyFill="0" applyAlignment="0" applyProtection="0"/>
    <xf numFmtId="0" fontId="126" fillId="0" borderId="0" applyNumberFormat="0" applyFill="0" applyBorder="0" applyAlignment="0" applyProtection="0"/>
    <xf numFmtId="0" fontId="127" fillId="0" borderId="23" applyNumberFormat="0" applyFill="0" applyAlignment="0" applyProtection="0"/>
    <xf numFmtId="0" fontId="128" fillId="0" borderId="24" applyNumberFormat="0" applyFill="0" applyAlignment="0" applyProtection="0"/>
    <xf numFmtId="0" fontId="129" fillId="0" borderId="25" applyNumberFormat="0" applyFill="0" applyAlignment="0" applyProtection="0"/>
    <xf numFmtId="0" fontId="129" fillId="0" borderId="0" applyNumberFormat="0" applyFill="0" applyBorder="0" applyAlignment="0" applyProtection="0"/>
    <xf numFmtId="0" fontId="124" fillId="54" borderId="21" applyNumberFormat="0" applyAlignment="0" applyProtection="0"/>
    <xf numFmtId="0" fontId="129" fillId="0" borderId="0" applyNumberFormat="0" applyFill="0" applyBorder="0" applyAlignment="0" applyProtection="0"/>
    <xf numFmtId="0" fontId="119" fillId="55" borderId="0" applyNumberFormat="0" applyBorder="0" applyAlignment="0" applyProtection="0"/>
    <xf numFmtId="0" fontId="119" fillId="56" borderId="0" applyNumberFormat="0" applyBorder="0" applyAlignment="0" applyProtection="0"/>
    <xf numFmtId="0" fontId="119" fillId="57" borderId="0" applyNumberFormat="0" applyBorder="0" applyAlignment="0" applyProtection="0"/>
    <xf numFmtId="0" fontId="119" fillId="50" borderId="0" applyNumberFormat="0" applyBorder="0" applyAlignment="0" applyProtection="0"/>
    <xf numFmtId="0" fontId="119" fillId="51" borderId="0" applyNumberFormat="0" applyBorder="0" applyAlignment="0" applyProtection="0"/>
    <xf numFmtId="0" fontId="119" fillId="58" borderId="0" applyNumberFormat="0" applyBorder="0" applyAlignment="0" applyProtection="0"/>
    <xf numFmtId="0" fontId="120" fillId="44" borderId="20" applyNumberFormat="0" applyAlignment="0" applyProtection="0"/>
    <xf numFmtId="0" fontId="130" fillId="0" borderId="0" applyNumberFormat="0" applyFill="0" applyBorder="0" applyAlignment="0" applyProtection="0"/>
    <xf numFmtId="0" fontId="117" fillId="0" borderId="0" applyNumberFormat="0" applyFill="0" applyBorder="0" applyAlignment="0" applyProtection="0">
      <alignment vertical="top"/>
      <protection locked="0"/>
    </xf>
    <xf numFmtId="0" fontId="125" fillId="0" borderId="22" applyNumberFormat="0" applyFill="0" applyAlignment="0" applyProtection="0"/>
    <xf numFmtId="0" fontId="117" fillId="0" borderId="0" applyNumberFormat="0" applyFill="0" applyBorder="0" applyAlignment="0" applyProtection="0">
      <alignment vertical="top"/>
      <protection locked="0"/>
    </xf>
    <xf numFmtId="0" fontId="131" fillId="40" borderId="0" applyNumberFormat="0" applyBorder="0" applyAlignment="0" applyProtection="0"/>
    <xf numFmtId="0" fontId="19" fillId="59" borderId="26" applyNumberFormat="0" applyFont="0" applyAlignment="0" applyProtection="0"/>
    <xf numFmtId="0" fontId="119" fillId="55" borderId="0" applyNumberFormat="0" applyBorder="0" applyAlignment="0" applyProtection="0"/>
    <xf numFmtId="0" fontId="119" fillId="56" borderId="0" applyNumberFormat="0" applyBorder="0" applyAlignment="0" applyProtection="0"/>
    <xf numFmtId="0" fontId="119" fillId="57" borderId="0" applyNumberFormat="0" applyBorder="0" applyAlignment="0" applyProtection="0"/>
    <xf numFmtId="0" fontId="119" fillId="50" borderId="0" applyNumberFormat="0" applyBorder="0" applyAlignment="0" applyProtection="0"/>
    <xf numFmtId="0" fontId="119" fillId="51" borderId="0" applyNumberFormat="0" applyBorder="0" applyAlignment="0" applyProtection="0"/>
    <xf numFmtId="0" fontId="119" fillId="58" borderId="0" applyNumberFormat="0" applyBorder="0" applyAlignment="0" applyProtection="0"/>
    <xf numFmtId="0" fontId="121" fillId="41" borderId="0" applyNumberFormat="0" applyBorder="0" applyAlignment="0" applyProtection="0"/>
    <xf numFmtId="0" fontId="133" fillId="53" borderId="27" applyNumberFormat="0" applyAlignment="0" applyProtection="0"/>
    <xf numFmtId="0" fontId="117"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5"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18" fillId="0" borderId="0"/>
    <xf numFmtId="0" fontId="19" fillId="0" borderId="0"/>
    <xf numFmtId="0" fontId="19" fillId="0" borderId="0"/>
    <xf numFmtId="0" fontId="19" fillId="0" borderId="0"/>
    <xf numFmtId="0" fontId="19" fillId="0" borderId="0"/>
    <xf numFmtId="0" fontId="19" fillId="59" borderId="26" applyNumberFormat="0" applyFont="0" applyAlignment="0" applyProtection="0"/>
    <xf numFmtId="0" fontId="131" fillId="40" borderId="0" applyNumberFormat="0" applyBorder="0" applyAlignment="0" applyProtection="0"/>
    <xf numFmtId="0" fontId="133" fillId="53" borderId="27" applyNumberFormat="0" applyAlignment="0" applyProtection="0"/>
    <xf numFmtId="0" fontId="137" fillId="60" borderId="0" applyNumberFormat="0" applyBorder="0" applyAlignment="0" applyProtection="0"/>
    <xf numFmtId="0" fontId="19" fillId="0" borderId="0"/>
    <xf numFmtId="0" fontId="19" fillId="0" borderId="0"/>
    <xf numFmtId="0" fontId="19" fillId="0" borderId="0"/>
    <xf numFmtId="0" fontId="123" fillId="53" borderId="20" applyNumberFormat="0" applyAlignment="0" applyProtection="0"/>
    <xf numFmtId="0" fontId="130" fillId="0" borderId="0" applyNumberFormat="0" applyFill="0" applyBorder="0" applyAlignment="0" applyProtection="0"/>
    <xf numFmtId="0" fontId="135" fillId="0" borderId="0" applyNumberFormat="0" applyFill="0" applyBorder="0" applyAlignment="0" applyProtection="0"/>
    <xf numFmtId="0" fontId="126" fillId="0" borderId="0" applyNumberFormat="0" applyFill="0" applyBorder="0" applyAlignment="0" applyProtection="0"/>
    <xf numFmtId="0" fontId="127" fillId="0" borderId="23" applyNumberFormat="0" applyFill="0" applyAlignment="0" applyProtection="0"/>
    <xf numFmtId="0" fontId="128" fillId="0" borderId="24" applyNumberFormat="0" applyFill="0" applyAlignment="0" applyProtection="0"/>
    <xf numFmtId="0" fontId="129" fillId="0" borderId="25" applyNumberFormat="0" applyFill="0" applyAlignment="0" applyProtection="0"/>
    <xf numFmtId="0" fontId="126" fillId="0" borderId="0" applyNumberFormat="0" applyFill="0" applyBorder="0" applyAlignment="0" applyProtection="0"/>
    <xf numFmtId="0" fontId="138" fillId="0" borderId="28" applyNumberFormat="0" applyFill="0" applyAlignment="0" applyProtection="0"/>
    <xf numFmtId="0" fontId="117" fillId="0" borderId="0" applyNumberFormat="0" applyFill="0" applyBorder="0" applyAlignment="0" applyProtection="0">
      <alignment vertical="top"/>
      <protection locked="0"/>
    </xf>
    <xf numFmtId="0" fontId="19" fillId="14" borderId="18" applyNumberFormat="0" applyFont="0" applyAlignment="0" applyProtection="0"/>
    <xf numFmtId="0" fontId="19" fillId="14" borderId="18" applyNumberFormat="0" applyFont="0" applyAlignment="0" applyProtection="0"/>
    <xf numFmtId="0" fontId="19" fillId="0" borderId="0"/>
    <xf numFmtId="0" fontId="19" fillId="0" borderId="0"/>
    <xf numFmtId="0" fontId="2" fillId="0" borderId="0"/>
    <xf numFmtId="0" fontId="19" fillId="14" borderId="18" applyNumberFormat="0" applyFont="0" applyAlignment="0" applyProtection="0"/>
    <xf numFmtId="0" fontId="19" fillId="14" borderId="18" applyNumberFormat="0" applyFont="0" applyAlignment="0" applyProtection="0"/>
    <xf numFmtId="171" fontId="19" fillId="0" borderId="0" applyFont="0" applyFill="0" applyBorder="0" applyAlignment="0" applyProtection="0"/>
    <xf numFmtId="0" fontId="19" fillId="0" borderId="0"/>
    <xf numFmtId="0" fontId="117" fillId="0" borderId="0" applyNumberFormat="0" applyFill="0" applyBorder="0" applyAlignment="0" applyProtection="0">
      <alignment vertical="top"/>
      <protection locked="0"/>
    </xf>
    <xf numFmtId="9" fontId="19" fillId="0" borderId="0" applyFont="0" applyFill="0" applyBorder="0" applyAlignment="0" applyProtection="0"/>
    <xf numFmtId="0" fontId="2" fillId="0" borderId="0"/>
    <xf numFmtId="0" fontId="2" fillId="0" borderId="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2" fillId="0" borderId="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0" borderId="0"/>
    <xf numFmtId="0" fontId="2" fillId="0" borderId="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0" borderId="0"/>
    <xf numFmtId="0" fontId="2" fillId="14" borderId="18" applyNumberFormat="0" applyFont="0" applyAlignment="0" applyProtection="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0" fillId="44" borderId="20" applyNumberFormat="0" applyAlignment="0" applyProtection="0"/>
    <xf numFmtId="0" fontId="122" fillId="53" borderId="20" applyNumberFormat="0" applyAlignment="0" applyProtection="0"/>
    <xf numFmtId="0" fontId="123" fillId="53" borderId="20" applyNumberFormat="0" applyAlignment="0" applyProtection="0"/>
    <xf numFmtId="0" fontId="120" fillId="44" borderId="20" applyNumberFormat="0" applyAlignment="0" applyProtection="0"/>
    <xf numFmtId="0" fontId="132" fillId="44" borderId="20" applyNumberFormat="0" applyAlignment="0" applyProtection="0"/>
    <xf numFmtId="0" fontId="19" fillId="59" borderId="26" applyNumberFormat="0" applyFont="0" applyAlignment="0" applyProtection="0"/>
    <xf numFmtId="0" fontId="133" fillId="53" borderId="27" applyNumberFormat="0" applyAlignment="0" applyProtection="0"/>
    <xf numFmtId="0" fontId="19" fillId="59" borderId="26" applyNumberFormat="0" applyFont="0" applyAlignment="0" applyProtection="0"/>
    <xf numFmtId="0" fontId="136" fillId="53" borderId="27" applyNumberFormat="0" applyAlignment="0" applyProtection="0"/>
    <xf numFmtId="0" fontId="133" fillId="53" borderId="27" applyNumberFormat="0" applyAlignment="0" applyProtection="0"/>
    <xf numFmtId="0" fontId="123" fillId="53" borderId="20" applyNumberFormat="0" applyAlignment="0" applyProtection="0"/>
    <xf numFmtId="0" fontId="138" fillId="0" borderId="28" applyNumberFormat="0" applyFill="0" applyAlignment="0" applyProtection="0"/>
    <xf numFmtId="164" fontId="2" fillId="0" borderId="0" applyFont="0" applyFill="0" applyBorder="0" applyAlignment="0" applyProtection="0"/>
    <xf numFmtId="0" fontId="19" fillId="0" borderId="0"/>
    <xf numFmtId="164" fontId="19" fillId="0" borderId="0" applyFont="0" applyFill="0" applyBorder="0" applyAlignment="0" applyProtection="0"/>
    <xf numFmtId="0" fontId="19" fillId="0" borderId="0"/>
    <xf numFmtId="0" fontId="2" fillId="14" borderId="18" applyNumberFormat="0" applyFont="0" applyAlignment="0" applyProtection="0"/>
    <xf numFmtId="0" fontId="2" fillId="32" borderId="0" applyNumberFormat="0" applyBorder="0" applyAlignment="0" applyProtection="0"/>
    <xf numFmtId="0" fontId="80" fillId="0" borderId="0" applyNumberFormat="0" applyFill="0" applyBorder="0" applyAlignment="0" applyProtection="0"/>
    <xf numFmtId="164" fontId="2" fillId="0" borderId="0" applyFont="0" applyFill="0" applyBorder="0" applyAlignment="0" applyProtection="0"/>
    <xf numFmtId="0" fontId="95" fillId="0" borderId="0" applyNumberFormat="0" applyFill="0" applyBorder="0" applyAlignment="0" applyProtection="0"/>
    <xf numFmtId="41" fontId="97"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9" fillId="0" borderId="0"/>
    <xf numFmtId="164" fontId="19" fillId="0" borderId="0" applyFont="0" applyFill="0" applyBorder="0" applyAlignment="0" applyProtection="0"/>
    <xf numFmtId="0" fontId="19" fillId="0" borderId="0"/>
    <xf numFmtId="0" fontId="2" fillId="21" borderId="0" applyNumberFormat="0" applyBorder="0" applyAlignment="0" applyProtection="0"/>
    <xf numFmtId="0" fontId="2" fillId="37"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32" borderId="0" applyNumberFormat="0" applyBorder="0" applyAlignment="0" applyProtection="0"/>
    <xf numFmtId="0" fontId="2" fillId="20"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43" fontId="19" fillId="0" borderId="0" applyFont="0" applyFill="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43" fontId="19" fillId="0" borderId="0" applyFont="0" applyFill="0" applyBorder="0" applyAlignment="0" applyProtection="0"/>
    <xf numFmtId="0" fontId="2" fillId="0" borderId="0"/>
    <xf numFmtId="0" fontId="149" fillId="0" borderId="0" applyNumberFormat="0" applyFill="0" applyBorder="0" applyAlignment="0" applyProtection="0"/>
    <xf numFmtId="0" fontId="148" fillId="62" borderId="31"/>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9" fillId="0" borderId="0" applyFont="0" applyFill="0" applyBorder="0" applyAlignment="0" applyProtection="0"/>
    <xf numFmtId="164" fontId="2" fillId="0" borderId="0" applyFont="0" applyFill="0" applyBorder="0" applyAlignment="0" applyProtection="0"/>
    <xf numFmtId="164" fontId="7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16"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2" fillId="0" borderId="0"/>
    <xf numFmtId="0" fontId="2" fillId="0" borderId="0"/>
    <xf numFmtId="0" fontId="2" fillId="0" borderId="0"/>
    <xf numFmtId="0" fontId="19" fillId="0" borderId="0"/>
    <xf numFmtId="0" fontId="139" fillId="0" borderId="0" applyNumberFormat="0" applyFill="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8"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164" fontId="143"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9"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0" fontId="144" fillId="62" borderId="29" applyNumberFormat="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116" fillId="0" borderId="0"/>
    <xf numFmtId="0" fontId="2" fillId="0" borderId="0"/>
    <xf numFmtId="0" fontId="2" fillId="0" borderId="0"/>
    <xf numFmtId="0" fontId="2" fillId="14" borderId="18" applyNumberFormat="0" applyFont="0" applyAlignment="0" applyProtection="0"/>
    <xf numFmtId="0" fontId="141"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14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1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45" fillId="62" borderId="3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42" fillId="60" borderId="0" applyNumberFormat="0" applyBorder="0" applyAlignment="0" applyProtection="0"/>
    <xf numFmtId="0" fontId="2" fillId="14" borderId="18" applyNumberFormat="0" applyFont="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37" borderId="0" applyNumberFormat="0" applyBorder="0" applyAlignment="0" applyProtection="0"/>
    <xf numFmtId="0" fontId="2" fillId="20"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4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1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18" fillId="0" borderId="0"/>
    <xf numFmtId="0" fontId="2" fillId="0" borderId="0"/>
    <xf numFmtId="0" fontId="2" fillId="0" borderId="0"/>
    <xf numFmtId="0" fontId="116" fillId="0" borderId="0"/>
    <xf numFmtId="0" fontId="117" fillId="0" borderId="0" applyNumberFormat="0" applyFill="0" applyBorder="0" applyAlignment="0" applyProtection="0">
      <alignment vertical="top"/>
      <protection locked="0"/>
    </xf>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43" fillId="0" borderId="0"/>
    <xf numFmtId="0" fontId="147" fillId="0" borderId="0"/>
    <xf numFmtId="164" fontId="2" fillId="0" borderId="0" applyFont="0" applyFill="0" applyBorder="0" applyAlignment="0" applyProtection="0"/>
    <xf numFmtId="164" fontId="2" fillId="0" borderId="0" applyFont="0" applyFill="0" applyBorder="0" applyAlignment="0" applyProtection="0"/>
    <xf numFmtId="164" fontId="146" fillId="0" borderId="0" applyFont="0" applyFill="0" applyBorder="0" applyAlignment="0" applyProtection="0"/>
    <xf numFmtId="164" fontId="11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14" borderId="18" applyNumberFormat="0" applyFont="0" applyAlignment="0" applyProtection="0"/>
    <xf numFmtId="0" fontId="99" fillId="61" borderId="7">
      <alignment horizontal="left"/>
    </xf>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9" borderId="0" applyNumberFormat="0" applyBorder="0" applyAlignment="0" applyProtection="0"/>
    <xf numFmtId="0" fontId="2" fillId="20"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50" fillId="0" borderId="0"/>
    <xf numFmtId="164" fontId="2" fillId="0" borderId="0" applyFont="0" applyFill="0" applyBorder="0" applyAlignment="0" applyProtection="0"/>
    <xf numFmtId="41" fontId="97" fillId="0" borderId="0" applyFill="0" applyBorder="0" applyAlignment="0" applyProtection="0">
      <alignment horizontal="right" vertical="top"/>
    </xf>
    <xf numFmtId="0" fontId="19" fillId="0" borderId="0"/>
    <xf numFmtId="43" fontId="19" fillId="0" borderId="0" applyFont="0" applyFill="0" applyBorder="0" applyAlignment="0" applyProtection="0"/>
    <xf numFmtId="43" fontId="19" fillId="0" borderId="0" applyFont="0" applyFill="0" applyBorder="0" applyAlignment="0" applyProtection="0"/>
    <xf numFmtId="0" fontId="80" fillId="0" borderId="0" applyNumberFormat="0" applyFill="0" applyBorder="0" applyAlignment="0" applyProtection="0"/>
    <xf numFmtId="41" fontId="97"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18" fillId="39" borderId="0" applyNumberFormat="0" applyBorder="0" applyAlignment="0" applyProtection="0"/>
    <xf numFmtId="0" fontId="118" fillId="39" borderId="0" applyNumberFormat="0" applyBorder="0" applyAlignment="0" applyProtection="0"/>
    <xf numFmtId="0" fontId="118" fillId="40" borderId="0" applyNumberFormat="0" applyBorder="0" applyAlignment="0" applyProtection="0"/>
    <xf numFmtId="0" fontId="118" fillId="40" borderId="0" applyNumberFormat="0" applyBorder="0" applyAlignment="0" applyProtection="0"/>
    <xf numFmtId="0" fontId="118" fillId="41" borderId="0" applyNumberFormat="0" applyBorder="0" applyAlignment="0" applyProtection="0"/>
    <xf numFmtId="0" fontId="118" fillId="41" borderId="0" applyNumberFormat="0" applyBorder="0" applyAlignment="0" applyProtection="0"/>
    <xf numFmtId="0" fontId="118" fillId="42" borderId="0" applyNumberFormat="0" applyBorder="0" applyAlignment="0" applyProtection="0"/>
    <xf numFmtId="0" fontId="118" fillId="42" borderId="0" applyNumberFormat="0" applyBorder="0" applyAlignment="0" applyProtection="0"/>
    <xf numFmtId="0" fontId="118" fillId="43" borderId="0" applyNumberFormat="0" applyBorder="0" applyAlignment="0" applyProtection="0"/>
    <xf numFmtId="0" fontId="118" fillId="43" borderId="0" applyNumberFormat="0" applyBorder="0" applyAlignment="0" applyProtection="0"/>
    <xf numFmtId="0" fontId="118" fillId="44" borderId="0" applyNumberFormat="0" applyBorder="0" applyAlignment="0" applyProtection="0"/>
    <xf numFmtId="0" fontId="118" fillId="44" borderId="0" applyNumberFormat="0" applyBorder="0" applyAlignment="0" applyProtection="0"/>
    <xf numFmtId="0" fontId="146" fillId="39" borderId="0" applyNumberFormat="0" applyBorder="0" applyAlignment="0" applyProtection="0"/>
    <xf numFmtId="0" fontId="146" fillId="40" borderId="0" applyNumberFormat="0" applyBorder="0" applyAlignment="0" applyProtection="0"/>
    <xf numFmtId="0" fontId="146" fillId="41" borderId="0" applyNumberFormat="0" applyBorder="0" applyAlignment="0" applyProtection="0"/>
    <xf numFmtId="0" fontId="146" fillId="42" borderId="0" applyNumberFormat="0" applyBorder="0" applyAlignment="0" applyProtection="0"/>
    <xf numFmtId="0" fontId="146" fillId="43" borderId="0" applyNumberFormat="0" applyBorder="0" applyAlignment="0" applyProtection="0"/>
    <xf numFmtId="0" fontId="146" fillId="44" borderId="0" applyNumberFormat="0" applyBorder="0" applyAlignment="0" applyProtection="0"/>
    <xf numFmtId="0" fontId="118" fillId="45" borderId="0" applyNumberFormat="0" applyBorder="0" applyAlignment="0" applyProtection="0"/>
    <xf numFmtId="0" fontId="118" fillId="45" borderId="0" applyNumberFormat="0" applyBorder="0" applyAlignment="0" applyProtection="0"/>
    <xf numFmtId="0" fontId="118" fillId="46" borderId="0" applyNumberFormat="0" applyBorder="0" applyAlignment="0" applyProtection="0"/>
    <xf numFmtId="0" fontId="118" fillId="46" borderId="0" applyNumberFormat="0" applyBorder="0" applyAlignment="0" applyProtection="0"/>
    <xf numFmtId="0" fontId="118" fillId="47" borderId="0" applyNumberFormat="0" applyBorder="0" applyAlignment="0" applyProtection="0"/>
    <xf numFmtId="0" fontId="118" fillId="47" borderId="0" applyNumberFormat="0" applyBorder="0" applyAlignment="0" applyProtection="0"/>
    <xf numFmtId="0" fontId="118" fillId="42" borderId="0" applyNumberFormat="0" applyBorder="0" applyAlignment="0" applyProtection="0"/>
    <xf numFmtId="0" fontId="118" fillId="42" borderId="0" applyNumberFormat="0" applyBorder="0" applyAlignment="0" applyProtection="0"/>
    <xf numFmtId="0" fontId="118" fillId="45" borderId="0" applyNumberFormat="0" applyBorder="0" applyAlignment="0" applyProtection="0"/>
    <xf numFmtId="0" fontId="118" fillId="45" borderId="0" applyNumberFormat="0" applyBorder="0" applyAlignment="0" applyProtection="0"/>
    <xf numFmtId="0" fontId="118" fillId="48" borderId="0" applyNumberFormat="0" applyBorder="0" applyAlignment="0" applyProtection="0"/>
    <xf numFmtId="0" fontId="118" fillId="48" borderId="0" applyNumberFormat="0" applyBorder="0" applyAlignment="0" applyProtection="0"/>
    <xf numFmtId="0" fontId="146" fillId="45" borderId="0" applyNumberFormat="0" applyBorder="0" applyAlignment="0" applyProtection="0"/>
    <xf numFmtId="0" fontId="146" fillId="46" borderId="0" applyNumberFormat="0" applyBorder="0" applyAlignment="0" applyProtection="0"/>
    <xf numFmtId="0" fontId="146" fillId="47" borderId="0" applyNumberFormat="0" applyBorder="0" applyAlignment="0" applyProtection="0"/>
    <xf numFmtId="0" fontId="146" fillId="42" borderId="0" applyNumberFormat="0" applyBorder="0" applyAlignment="0" applyProtection="0"/>
    <xf numFmtId="0" fontId="146" fillId="45" borderId="0" applyNumberFormat="0" applyBorder="0" applyAlignment="0" applyProtection="0"/>
    <xf numFmtId="0" fontId="146" fillId="48" borderId="0" applyNumberFormat="0" applyBorder="0" applyAlignment="0" applyProtection="0"/>
    <xf numFmtId="0" fontId="151" fillId="49" borderId="0" applyNumberFormat="0" applyBorder="0" applyAlignment="0" applyProtection="0"/>
    <xf numFmtId="0" fontId="151" fillId="46" borderId="0" applyNumberFormat="0" applyBorder="0" applyAlignment="0" applyProtection="0"/>
    <xf numFmtId="0" fontId="151" fillId="47" borderId="0" applyNumberFormat="0" applyBorder="0" applyAlignment="0" applyProtection="0"/>
    <xf numFmtId="0" fontId="151" fillId="50" borderId="0" applyNumberFormat="0" applyBorder="0" applyAlignment="0" applyProtection="0"/>
    <xf numFmtId="0" fontId="151" fillId="51" borderId="0" applyNumberFormat="0" applyBorder="0" applyAlignment="0" applyProtection="0"/>
    <xf numFmtId="0" fontId="151" fillId="52" borderId="0" applyNumberFormat="0" applyBorder="0" applyAlignment="0" applyProtection="0"/>
    <xf numFmtId="0" fontId="151" fillId="55" borderId="0" applyNumberFormat="0" applyBorder="0" applyAlignment="0" applyProtection="0"/>
    <xf numFmtId="0" fontId="151" fillId="56" borderId="0" applyNumberFormat="0" applyBorder="0" applyAlignment="0" applyProtection="0"/>
    <xf numFmtId="0" fontId="151" fillId="57" borderId="0" applyNumberFormat="0" applyBorder="0" applyAlignment="0" applyProtection="0"/>
    <xf numFmtId="0" fontId="151" fillId="50" borderId="0" applyNumberFormat="0" applyBorder="0" applyAlignment="0" applyProtection="0"/>
    <xf numFmtId="0" fontId="151" fillId="51" borderId="0" applyNumberFormat="0" applyBorder="0" applyAlignment="0" applyProtection="0"/>
    <xf numFmtId="0" fontId="151" fillId="58" borderId="0" applyNumberFormat="0" applyBorder="0" applyAlignment="0" applyProtection="0"/>
    <xf numFmtId="0" fontId="152" fillId="40" borderId="0" applyNumberFormat="0" applyBorder="0" applyAlignment="0" applyProtection="0"/>
    <xf numFmtId="0" fontId="153" fillId="54" borderId="21" applyNumberFormat="0" applyAlignment="0" applyProtection="0"/>
    <xf numFmtId="0" fontId="154" fillId="41" borderId="0" applyNumberFormat="0" applyBorder="0" applyAlignment="0" applyProtection="0"/>
    <xf numFmtId="0" fontId="19" fillId="61" borderId="10" applyNumberFormat="0" applyFont="0" applyBorder="0" applyProtection="0">
      <alignment horizontal="center" vertical="center"/>
    </xf>
    <xf numFmtId="0" fontId="155" fillId="0" borderId="23" applyNumberFormat="0" applyFill="0" applyAlignment="0" applyProtection="0"/>
    <xf numFmtId="0" fontId="156" fillId="0" borderId="24" applyNumberFormat="0" applyFill="0" applyAlignment="0" applyProtection="0"/>
    <xf numFmtId="0" fontId="157" fillId="0" borderId="25" applyNumberFormat="0" applyFill="0" applyAlignment="0" applyProtection="0"/>
    <xf numFmtId="0" fontId="157" fillId="0" borderId="0" applyNumberFormat="0" applyFill="0" applyBorder="0" applyAlignment="0" applyProtection="0"/>
    <xf numFmtId="3" fontId="19" fillId="63" borderId="10" applyFont="0" applyProtection="0">
      <alignment horizontal="right" vertical="center"/>
    </xf>
    <xf numFmtId="0" fontId="19" fillId="63" borderId="32" applyNumberFormat="0" applyFont="0" applyBorder="0" applyProtection="0">
      <alignment horizontal="left" vertical="center"/>
    </xf>
    <xf numFmtId="0" fontId="117"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3" fontId="19" fillId="64" borderId="10" applyFont="0">
      <alignment horizontal="right" vertical="center"/>
      <protection locked="0"/>
    </xf>
    <xf numFmtId="0" fontId="158" fillId="0" borderId="22" applyNumberFormat="0" applyFill="0" applyAlignment="0" applyProtection="0"/>
    <xf numFmtId="184" fontId="19" fillId="0" borderId="0" applyFill="0" applyBorder="0" applyAlignment="0" applyProtection="0"/>
    <xf numFmtId="184" fontId="19" fillId="0" borderId="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18" fillId="0" borderId="0"/>
    <xf numFmtId="0" fontId="93" fillId="0" borderId="0"/>
    <xf numFmtId="0" fontId="19" fillId="0" borderId="0"/>
    <xf numFmtId="0" fontId="19" fillId="0" borderId="0"/>
    <xf numFmtId="0" fontId="160" fillId="0" borderId="0"/>
    <xf numFmtId="0" fontId="19" fillId="0" borderId="0"/>
    <xf numFmtId="0" fontId="19" fillId="59" borderId="26" applyNumberFormat="0" applyFont="0" applyAlignment="0" applyProtection="0"/>
    <xf numFmtId="9" fontId="118" fillId="0" borderId="0" applyFont="0" applyFill="0" applyBorder="0" applyAlignment="0" applyProtection="0"/>
    <xf numFmtId="9" fontId="118" fillId="0" borderId="0" applyFont="0" applyFill="0" applyBorder="0" applyAlignment="0" applyProtection="0"/>
    <xf numFmtId="9" fontId="118" fillId="0" borderId="0" applyFont="0" applyFill="0" applyBorder="0" applyAlignment="0" applyProtection="0"/>
    <xf numFmtId="9" fontId="118" fillId="0" borderId="0" applyFont="0" applyFill="0" applyBorder="0" applyAlignment="0" applyProtection="0"/>
    <xf numFmtId="3" fontId="19" fillId="6" borderId="10" applyFont="0">
      <alignment horizontal="right" vertical="center"/>
    </xf>
    <xf numFmtId="0" fontId="118" fillId="0" borderId="0"/>
    <xf numFmtId="0" fontId="19" fillId="0" borderId="0"/>
    <xf numFmtId="0" fontId="126" fillId="0" borderId="0" applyNumberFormat="0" applyFill="0" applyBorder="0" applyAlignment="0" applyProtection="0"/>
    <xf numFmtId="0" fontId="159" fillId="0" borderId="28" applyNumberFormat="0" applyFill="0" applyAlignment="0" applyProtection="0"/>
    <xf numFmtId="0" fontId="161" fillId="0" borderId="0" applyNumberFormat="0" applyFill="0" applyBorder="0" applyAlignment="0" applyProtection="0"/>
    <xf numFmtId="172" fontId="97" fillId="0" borderId="0" applyFill="0" applyBorder="0" applyAlignment="0" applyProtection="0">
      <alignment horizontal="right" vertical="top"/>
    </xf>
    <xf numFmtId="43" fontId="2" fillId="0" borderId="0" applyFont="0" applyFill="0" applyBorder="0" applyAlignment="0" applyProtection="0"/>
    <xf numFmtId="41" fontId="97"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0" fontId="120" fillId="44" borderId="20" applyNumberFormat="0" applyAlignment="0" applyProtection="0"/>
    <xf numFmtId="0" fontId="123" fillId="53" borderId="20" applyNumberFormat="0" applyAlignment="0" applyProtection="0"/>
    <xf numFmtId="0" fontId="120" fillId="44" borderId="20" applyNumberFormat="0" applyAlignment="0" applyProtection="0"/>
    <xf numFmtId="0" fontId="19" fillId="59" borderId="26" applyNumberFormat="0" applyFont="0" applyAlignment="0" applyProtection="0"/>
    <xf numFmtId="0" fontId="133" fillId="53" borderId="27" applyNumberFormat="0" applyAlignment="0" applyProtection="0"/>
    <xf numFmtId="0" fontId="19" fillId="59" borderId="26" applyNumberFormat="0" applyFont="0" applyAlignment="0" applyProtection="0"/>
    <xf numFmtId="0" fontId="133" fillId="53" borderId="27" applyNumberFormat="0" applyAlignment="0" applyProtection="0"/>
    <xf numFmtId="0" fontId="123" fillId="53" borderId="20" applyNumberFormat="0" applyAlignment="0" applyProtection="0"/>
    <xf numFmtId="0" fontId="138" fillId="0" borderId="28" applyNumberFormat="0" applyFill="0" applyAlignment="0" applyProtection="0"/>
    <xf numFmtId="0" fontId="120" fillId="44" borderId="20" applyNumberFormat="0" applyAlignment="0" applyProtection="0"/>
    <xf numFmtId="0" fontId="122" fillId="53" borderId="20" applyNumberFormat="0" applyAlignment="0" applyProtection="0"/>
    <xf numFmtId="0" fontId="123" fillId="53" borderId="20" applyNumberFormat="0" applyAlignment="0" applyProtection="0"/>
    <xf numFmtId="0" fontId="120" fillId="44" borderId="20" applyNumberFormat="0" applyAlignment="0" applyProtection="0"/>
    <xf numFmtId="0" fontId="132" fillId="44" borderId="20" applyNumberFormat="0" applyAlignment="0" applyProtection="0"/>
    <xf numFmtId="0" fontId="19" fillId="59" borderId="26" applyNumberFormat="0" applyFont="0" applyAlignment="0" applyProtection="0"/>
    <xf numFmtId="0" fontId="133" fillId="53" borderId="27" applyNumberFormat="0" applyAlignment="0" applyProtection="0"/>
    <xf numFmtId="0" fontId="19" fillId="59" borderId="26" applyNumberFormat="0" applyFont="0" applyAlignment="0" applyProtection="0"/>
    <xf numFmtId="0" fontId="136" fillId="53" borderId="27" applyNumberFormat="0" applyAlignment="0" applyProtection="0"/>
    <xf numFmtId="0" fontId="133" fillId="53" borderId="27" applyNumberFormat="0" applyAlignment="0" applyProtection="0"/>
    <xf numFmtId="0" fontId="123" fillId="53" borderId="20" applyNumberFormat="0" applyAlignment="0" applyProtection="0"/>
    <xf numFmtId="0" fontId="138" fillId="0" borderId="28" applyNumberFormat="0" applyFill="0" applyAlignment="0" applyProtection="0"/>
    <xf numFmtId="41" fontId="97"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44" fillId="62" borderId="29" applyNumberFormat="0">
      <alignment horizontal="center"/>
    </xf>
    <xf numFmtId="43" fontId="116" fillId="0" borderId="0" applyFont="0" applyFill="0" applyBorder="0" applyAlignment="0" applyProtection="0"/>
    <xf numFmtId="0" fontId="145" fillId="62" borderId="30"/>
    <xf numFmtId="43" fontId="116" fillId="0" borderId="0" applyFont="0" applyFill="0" applyBorder="0" applyAlignment="0" applyProtection="0"/>
    <xf numFmtId="0" fontId="99" fillId="61" borderId="33">
      <alignment horizontal="left"/>
    </xf>
    <xf numFmtId="43" fontId="19" fillId="0" borderId="0" applyFont="0" applyFill="0" applyBorder="0" applyAlignment="0" applyProtection="0"/>
    <xf numFmtId="43" fontId="19" fillId="0" borderId="0" applyFont="0" applyFill="0" applyBorder="0" applyAlignment="0" applyProtection="0"/>
    <xf numFmtId="41" fontId="97"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1" fontId="97"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59" borderId="26" applyNumberFormat="0" applyFont="0" applyAlignment="0" applyProtection="0"/>
    <xf numFmtId="0" fontId="159" fillId="0" borderId="28" applyNumberFormat="0" applyFill="0" applyAlignment="0" applyProtection="0"/>
    <xf numFmtId="0" fontId="123" fillId="53" borderId="20" applyNumberFormat="0" applyAlignment="0" applyProtection="0"/>
    <xf numFmtId="0" fontId="138" fillId="0" borderId="28" applyNumberFormat="0" applyFill="0" applyAlignment="0" applyProtection="0"/>
    <xf numFmtId="0" fontId="136" fillId="53" borderId="27" applyNumberFormat="0" applyAlignment="0" applyProtection="0"/>
    <xf numFmtId="0" fontId="120" fillId="44" borderId="20" applyNumberFormat="0" applyAlignment="0" applyProtection="0"/>
    <xf numFmtId="0" fontId="99" fillId="61" borderId="33">
      <alignment horizontal="left"/>
    </xf>
    <xf numFmtId="0" fontId="19" fillId="59" borderId="26" applyNumberFormat="0" applyFont="0" applyAlignment="0" applyProtection="0"/>
    <xf numFmtId="0" fontId="120" fillId="44" borderId="20" applyNumberFormat="0" applyAlignment="0" applyProtection="0"/>
    <xf numFmtId="0" fontId="123" fillId="53" borderId="20" applyNumberFormat="0" applyAlignment="0" applyProtection="0"/>
    <xf numFmtId="0" fontId="133" fillId="53" borderId="27" applyNumberFormat="0" applyAlignment="0" applyProtection="0"/>
    <xf numFmtId="0" fontId="123" fillId="53" borderId="20" applyNumberFormat="0" applyAlignment="0" applyProtection="0"/>
    <xf numFmtId="0" fontId="19" fillId="59" borderId="26" applyNumberFormat="0" applyFont="0" applyAlignment="0" applyProtection="0"/>
    <xf numFmtId="0" fontId="19" fillId="59" borderId="26" applyNumberFormat="0" applyFont="0" applyAlignment="0" applyProtection="0"/>
    <xf numFmtId="0" fontId="123" fillId="53" borderId="20" applyNumberFormat="0" applyAlignment="0" applyProtection="0"/>
    <xf numFmtId="0" fontId="133" fillId="53" borderId="27" applyNumberFormat="0" applyAlignment="0" applyProtection="0"/>
    <xf numFmtId="0" fontId="133" fillId="53" borderId="27" applyNumberFormat="0" applyAlignment="0" applyProtection="0"/>
    <xf numFmtId="0" fontId="19" fillId="59" borderId="26" applyNumberFormat="0" applyFont="0" applyAlignment="0" applyProtection="0"/>
    <xf numFmtId="0" fontId="120" fillId="44" borderId="20" applyNumberFormat="0" applyAlignment="0" applyProtection="0"/>
    <xf numFmtId="0" fontId="145" fillId="62" borderId="30"/>
    <xf numFmtId="0" fontId="138" fillId="0" borderId="28" applyNumberFormat="0" applyFill="0" applyAlignment="0" applyProtection="0"/>
    <xf numFmtId="0" fontId="133" fillId="53" borderId="27" applyNumberFormat="0" applyAlignment="0" applyProtection="0"/>
    <xf numFmtId="0" fontId="19" fillId="59" borderId="26" applyNumberFormat="0" applyFont="0" applyAlignment="0" applyProtection="0"/>
    <xf numFmtId="0" fontId="136" fillId="53" borderId="27" applyNumberFormat="0" applyAlignment="0" applyProtection="0"/>
    <xf numFmtId="0" fontId="120" fillId="44" borderId="20" applyNumberFormat="0" applyAlignment="0" applyProtection="0"/>
    <xf numFmtId="0" fontId="123" fillId="53" borderId="20" applyNumberFormat="0" applyAlignment="0" applyProtection="0"/>
    <xf numFmtId="0" fontId="123" fillId="53" borderId="20" applyNumberFormat="0" applyAlignment="0" applyProtection="0"/>
    <xf numFmtId="0" fontId="144" fillId="62" borderId="29" applyNumberFormat="0">
      <alignment horizontal="center"/>
    </xf>
    <xf numFmtId="0" fontId="136" fillId="53" borderId="27" applyNumberFormat="0" applyAlignment="0" applyProtection="0"/>
    <xf numFmtId="0" fontId="122" fillId="53" borderId="20" applyNumberFormat="0" applyAlignment="0" applyProtection="0"/>
    <xf numFmtId="0" fontId="133" fillId="53" borderId="27" applyNumberFormat="0" applyAlignment="0" applyProtection="0"/>
    <xf numFmtId="0" fontId="138" fillId="0" borderId="28" applyNumberFormat="0" applyFill="0" applyAlignment="0" applyProtection="0"/>
    <xf numFmtId="0" fontId="133" fillId="53" borderId="27" applyNumberFormat="0" applyAlignment="0" applyProtection="0"/>
    <xf numFmtId="0" fontId="132" fillId="44" borderId="20" applyNumberFormat="0" applyAlignment="0" applyProtection="0"/>
    <xf numFmtId="0" fontId="145" fillId="62" borderId="30"/>
    <xf numFmtId="0" fontId="144" fillId="62" borderId="29" applyNumberFormat="0">
      <alignment horizontal="center"/>
    </xf>
    <xf numFmtId="0" fontId="123" fillId="53" borderId="20" applyNumberFormat="0" applyAlignment="0" applyProtection="0"/>
    <xf numFmtId="0" fontId="19" fillId="59" borderId="26" applyNumberFormat="0" applyFont="0" applyAlignment="0" applyProtection="0"/>
    <xf numFmtId="0" fontId="120" fillId="44" borderId="20" applyNumberFormat="0" applyAlignment="0" applyProtection="0"/>
    <xf numFmtId="0" fontId="138" fillId="0" borderId="28" applyNumberFormat="0" applyFill="0" applyAlignment="0" applyProtection="0"/>
    <xf numFmtId="0" fontId="133" fillId="53" borderId="27" applyNumberFormat="0" applyAlignment="0" applyProtection="0"/>
    <xf numFmtId="0" fontId="145" fillId="62" borderId="30"/>
    <xf numFmtId="0" fontId="138" fillId="0" borderId="28" applyNumberFormat="0" applyFill="0" applyAlignment="0" applyProtection="0"/>
    <xf numFmtId="0" fontId="123" fillId="53" borderId="20" applyNumberFormat="0" applyAlignment="0" applyProtection="0"/>
    <xf numFmtId="0" fontId="120" fillId="44" borderId="20" applyNumberFormat="0" applyAlignment="0" applyProtection="0"/>
    <xf numFmtId="0" fontId="122" fillId="53" borderId="20" applyNumberFormat="0" applyAlignment="0" applyProtection="0"/>
    <xf numFmtId="0" fontId="99" fillId="61" borderId="7">
      <alignment horizontal="left"/>
    </xf>
    <xf numFmtId="0" fontId="133" fillId="53" borderId="27" applyNumberFormat="0" applyAlignment="0" applyProtection="0"/>
    <xf numFmtId="0" fontId="138" fillId="0" borderId="28" applyNumberFormat="0" applyFill="0" applyAlignment="0" applyProtection="0"/>
    <xf numFmtId="0" fontId="144" fillId="62" borderId="29" applyNumberFormat="0">
      <alignment horizontal="center"/>
    </xf>
    <xf numFmtId="0" fontId="123" fillId="53" borderId="20" applyNumberFormat="0" applyAlignment="0" applyProtection="0"/>
    <xf numFmtId="0" fontId="120" fillId="44" borderId="20" applyNumberFormat="0" applyAlignment="0" applyProtection="0"/>
    <xf numFmtId="0" fontId="123" fillId="53" borderId="20" applyNumberFormat="0" applyAlignment="0" applyProtection="0"/>
    <xf numFmtId="0" fontId="133" fillId="53" borderId="27" applyNumberFormat="0" applyAlignment="0" applyProtection="0"/>
    <xf numFmtId="0" fontId="19" fillId="59" borderId="26" applyNumberFormat="0" applyFont="0" applyAlignment="0" applyProtection="0"/>
    <xf numFmtId="0" fontId="120" fillId="44" borderId="20" applyNumberFormat="0" applyAlignment="0" applyProtection="0"/>
    <xf numFmtId="0" fontId="19" fillId="59" borderId="26" applyNumberFormat="0" applyFont="0" applyAlignment="0" applyProtection="0"/>
    <xf numFmtId="0" fontId="133" fillId="53" borderId="27" applyNumberFormat="0" applyAlignment="0" applyProtection="0"/>
    <xf numFmtId="0" fontId="19" fillId="59" borderId="26" applyNumberFormat="0" applyFont="0" applyAlignment="0" applyProtection="0"/>
    <xf numFmtId="0" fontId="123" fillId="53" borderId="20" applyNumberFormat="0" applyAlignment="0" applyProtection="0"/>
    <xf numFmtId="0" fontId="133" fillId="53" borderId="27" applyNumberFormat="0" applyAlignment="0" applyProtection="0"/>
    <xf numFmtId="0" fontId="19" fillId="59" borderId="26" applyNumberFormat="0" applyFont="0" applyAlignment="0" applyProtection="0"/>
    <xf numFmtId="0" fontId="120" fillId="44" borderId="20" applyNumberFormat="0" applyAlignment="0" applyProtection="0"/>
    <xf numFmtId="0" fontId="120" fillId="44" borderId="20" applyNumberFormat="0" applyAlignment="0" applyProtection="0"/>
    <xf numFmtId="0" fontId="19" fillId="59" borderId="26" applyNumberFormat="0" applyFont="0" applyAlignment="0" applyProtection="0"/>
    <xf numFmtId="0" fontId="120" fillId="44" borderId="20" applyNumberFormat="0" applyAlignment="0" applyProtection="0"/>
    <xf numFmtId="0" fontId="19" fillId="59" borderId="26" applyNumberFormat="0" applyFont="0" applyAlignment="0" applyProtection="0"/>
    <xf numFmtId="0" fontId="99" fillId="61" borderId="7">
      <alignment horizontal="left"/>
    </xf>
    <xf numFmtId="0" fontId="19" fillId="59" borderId="26" applyNumberFormat="0" applyFont="0" applyAlignment="0" applyProtection="0"/>
    <xf numFmtId="0" fontId="123" fillId="53" borderId="20" applyNumberFormat="0" applyAlignment="0" applyProtection="0"/>
    <xf numFmtId="0" fontId="120" fillId="44" borderId="20" applyNumberFormat="0" applyAlignment="0" applyProtection="0"/>
    <xf numFmtId="0" fontId="19" fillId="59" borderId="26" applyNumberFormat="0" applyFont="0" applyAlignment="0" applyProtection="0"/>
    <xf numFmtId="0" fontId="120" fillId="44" borderId="20" applyNumberFormat="0" applyAlignment="0" applyProtection="0"/>
    <xf numFmtId="0" fontId="123" fillId="53" borderId="20" applyNumberFormat="0" applyAlignment="0" applyProtection="0"/>
    <xf numFmtId="0" fontId="99" fillId="61" borderId="7">
      <alignment horizontal="left"/>
    </xf>
    <xf numFmtId="0" fontId="144" fillId="62" borderId="29" applyNumberFormat="0">
      <alignment horizontal="center"/>
    </xf>
    <xf numFmtId="0" fontId="19" fillId="59" borderId="26" applyNumberFormat="0" applyFont="0" applyAlignment="0" applyProtection="0"/>
    <xf numFmtId="0" fontId="138" fillId="0" borderId="28" applyNumberFormat="0" applyFill="0" applyAlignment="0" applyProtection="0"/>
    <xf numFmtId="0" fontId="123" fillId="53" borderId="20" applyNumberFormat="0" applyAlignment="0" applyProtection="0"/>
    <xf numFmtId="0" fontId="19" fillId="59" borderId="26" applyNumberFormat="0" applyFont="0" applyAlignment="0" applyProtection="0"/>
    <xf numFmtId="0" fontId="132" fillId="44" borderId="20" applyNumberFormat="0" applyAlignment="0" applyProtection="0"/>
    <xf numFmtId="0" fontId="133" fillId="53" borderId="27" applyNumberFormat="0" applyAlignment="0" applyProtection="0"/>
    <xf numFmtId="0" fontId="19" fillId="59" borderId="26" applyNumberFormat="0" applyFont="0" applyAlignment="0" applyProtection="0"/>
    <xf numFmtId="0" fontId="145" fillId="62" borderId="30"/>
    <xf numFmtId="0" fontId="132" fillId="44" borderId="20" applyNumberFormat="0" applyAlignment="0" applyProtection="0"/>
    <xf numFmtId="0" fontId="122" fillId="53" borderId="20" applyNumberFormat="0" applyAlignment="0" applyProtection="0"/>
    <xf numFmtId="41" fontId="97"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0" fontId="19" fillId="59" borderId="26"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0" fontId="138" fillId="0" borderId="28" applyNumberFormat="0" applyFill="0" applyAlignment="0" applyProtection="0"/>
    <xf numFmtId="0" fontId="120" fillId="44" borderId="20" applyNumberFormat="0" applyAlignment="0" applyProtection="0"/>
    <xf numFmtId="0" fontId="120" fillId="44" borderId="20" applyNumberFormat="0" applyAlignment="0" applyProtection="0"/>
    <xf numFmtId="0" fontId="133" fillId="53" borderId="27" applyNumberFormat="0" applyAlignment="0" applyProtection="0"/>
    <xf numFmtId="0" fontId="133" fillId="53" borderId="27" applyNumberFormat="0" applyAlignment="0" applyProtection="0"/>
    <xf numFmtId="0" fontId="123" fillId="53" borderId="20" applyNumberFormat="0" applyAlignment="0" applyProtection="0"/>
    <xf numFmtId="0" fontId="122" fillId="53" borderId="20" applyNumberFormat="0" applyAlignment="0" applyProtection="0"/>
    <xf numFmtId="0" fontId="123" fillId="53" borderId="20" applyNumberFormat="0" applyAlignment="0" applyProtection="0"/>
    <xf numFmtId="0" fontId="136" fillId="53" borderId="27" applyNumberFormat="0" applyAlignment="0" applyProtection="0"/>
    <xf numFmtId="43" fontId="116" fillId="0" borderId="0" applyFont="0" applyFill="0" applyBorder="0" applyAlignment="0" applyProtection="0"/>
    <xf numFmtId="0" fontId="132" fillId="44" borderId="20" applyNumberFormat="0" applyAlignment="0" applyProtection="0"/>
    <xf numFmtId="0" fontId="133" fillId="53" borderId="27" applyNumberFormat="0" applyAlignment="0" applyProtection="0"/>
    <xf numFmtId="0" fontId="133" fillId="53" borderId="27" applyNumberFormat="0" applyAlignment="0" applyProtection="0"/>
    <xf numFmtId="0" fontId="120" fillId="44" borderId="20" applyNumberFormat="0" applyAlignment="0" applyProtection="0"/>
    <xf numFmtId="43" fontId="11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1" fontId="97"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1" fontId="97"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59" borderId="26"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59" borderId="26" applyNumberFormat="0" applyFont="0" applyAlignment="0" applyProtection="0"/>
    <xf numFmtId="0" fontId="159" fillId="0" borderId="28" applyNumberFormat="0" applyFill="0" applyAlignment="0" applyProtection="0"/>
    <xf numFmtId="0" fontId="159" fillId="0" borderId="28" applyNumberFormat="0" applyFill="0" applyAlignment="0" applyProtection="0"/>
    <xf numFmtId="0" fontId="159" fillId="0" borderId="28" applyNumberFormat="0" applyFill="0" applyAlignment="0" applyProtection="0"/>
    <xf numFmtId="0" fontId="159" fillId="0" borderId="28" applyNumberFormat="0" applyFill="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34" borderId="0" applyNumberFormat="0" applyBorder="0" applyAlignment="0" applyProtection="0"/>
    <xf numFmtId="0" fontId="31" fillId="38" borderId="0" applyNumberFormat="0" applyBorder="0" applyAlignment="0" applyProtection="0"/>
    <xf numFmtId="164"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0"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88" fillId="12" borderId="14" applyNumberFormat="0" applyAlignment="0" applyProtection="0"/>
    <xf numFmtId="0" fontId="85" fillId="9" borderId="0" applyNumberFormat="0" applyBorder="0" applyAlignment="0" applyProtection="0"/>
    <xf numFmtId="0" fontId="91" fillId="0" borderId="0" applyNumberFormat="0" applyFill="0" applyBorder="0" applyAlignment="0" applyProtection="0"/>
    <xf numFmtId="0" fontId="84" fillId="8" borderId="0" applyNumberFormat="0" applyBorder="0" applyAlignment="0" applyProtection="0"/>
    <xf numFmtId="0" fontId="86" fillId="11" borderId="14" applyNumberFormat="0" applyAlignment="0" applyProtection="0"/>
    <xf numFmtId="0" fontId="89" fillId="0" borderId="16" applyNumberFormat="0" applyFill="0" applyAlignment="0" applyProtection="0"/>
    <xf numFmtId="0" fontId="90" fillId="13" borderId="17" applyNumberFormat="0" applyAlignment="0" applyProtection="0"/>
    <xf numFmtId="0" fontId="2" fillId="0" borderId="0"/>
    <xf numFmtId="0" fontId="2" fillId="0" borderId="0"/>
    <xf numFmtId="0" fontId="2" fillId="0" borderId="0"/>
    <xf numFmtId="0" fontId="2" fillId="0" borderId="0"/>
    <xf numFmtId="0" fontId="2" fillId="0" borderId="0"/>
    <xf numFmtId="0" fontId="96" fillId="10" borderId="0" applyNumberFormat="0" applyBorder="0" applyAlignment="0" applyProtection="0"/>
    <xf numFmtId="0" fontId="81" fillId="0" borderId="11" applyNumberFormat="0" applyFill="0" applyAlignment="0" applyProtection="0"/>
    <xf numFmtId="0" fontId="82" fillId="0" borderId="12" applyNumberFormat="0" applyFill="0" applyAlignment="0" applyProtection="0"/>
    <xf numFmtId="0" fontId="83" fillId="0" borderId="13" applyNumberFormat="0" applyFill="0" applyAlignment="0" applyProtection="0"/>
    <xf numFmtId="0" fontId="83" fillId="0" borderId="0" applyNumberFormat="0" applyFill="0" applyBorder="0" applyAlignment="0" applyProtection="0"/>
    <xf numFmtId="0" fontId="92" fillId="0" borderId="19" applyNumberFormat="0" applyFill="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87" fillId="12" borderId="15" applyNumberFormat="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78" fillId="0" borderId="0" applyNumberFormat="0" applyFill="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34" borderId="0" applyNumberFormat="0" applyBorder="0" applyAlignment="0" applyProtection="0"/>
    <xf numFmtId="0" fontId="31" fillId="38" borderId="0" applyNumberFormat="0" applyBorder="0" applyAlignment="0" applyProtection="0"/>
    <xf numFmtId="164" fontId="2" fillId="0" borderId="0" applyFont="0" applyFill="0" applyBorder="0" applyAlignment="0" applyProtection="0"/>
    <xf numFmtId="0" fontId="1" fillId="0" borderId="0"/>
  </cellStyleXfs>
  <cellXfs count="475">
    <xf numFmtId="0" fontId="0" fillId="0" borderId="0" xfId="0"/>
    <xf numFmtId="0" fontId="8" fillId="0" borderId="1" xfId="0" applyFont="1" applyBorder="1"/>
    <xf numFmtId="0" fontId="9" fillId="0" borderId="2" xfId="0" applyFont="1" applyFill="1" applyBorder="1" applyAlignment="1">
      <alignment horizontal="left" vertical="center"/>
    </xf>
    <xf numFmtId="0" fontId="8" fillId="0" borderId="0" xfId="0" applyFont="1"/>
    <xf numFmtId="49" fontId="8" fillId="0" borderId="0" xfId="0" applyNumberFormat="1" applyFont="1"/>
    <xf numFmtId="0" fontId="10" fillId="0" borderId="0" xfId="0" applyFont="1" applyFill="1" applyAlignment="1">
      <alignment horizontal="left" vertical="center"/>
    </xf>
    <xf numFmtId="0" fontId="10" fillId="0" borderId="0" xfId="0" applyFont="1" applyAlignment="1">
      <alignment vertical="center"/>
    </xf>
    <xf numFmtId="0" fontId="8" fillId="0" borderId="0" xfId="0" applyFont="1" applyFill="1" applyAlignment="1">
      <alignment horizontal="left" vertical="top"/>
    </xf>
    <xf numFmtId="0" fontId="8" fillId="0" borderId="1" xfId="0" applyFont="1" applyFill="1" applyBorder="1" applyAlignment="1">
      <alignment horizontal="left" vertical="center"/>
    </xf>
    <xf numFmtId="49" fontId="8" fillId="0" borderId="1" xfId="0" applyNumberFormat="1" applyFont="1" applyBorder="1" applyAlignment="1">
      <alignment vertical="center"/>
    </xf>
    <xf numFmtId="0" fontId="8" fillId="0" borderId="1" xfId="0" applyFont="1" applyBorder="1" applyAlignment="1">
      <alignment vertical="center"/>
    </xf>
    <xf numFmtId="0" fontId="8" fillId="0" borderId="2" xfId="0" applyFont="1" applyFill="1" applyBorder="1" applyAlignment="1">
      <alignment vertical="center"/>
    </xf>
    <xf numFmtId="0" fontId="26" fillId="0" borderId="0" xfId="5" applyFont="1" applyAlignment="1">
      <alignment vertical="center"/>
    </xf>
    <xf numFmtId="0" fontId="28" fillId="3" borderId="0" xfId="0" applyFont="1" applyFill="1"/>
    <xf numFmtId="0" fontId="29" fillId="3" borderId="0" xfId="0" applyFont="1" applyFill="1"/>
    <xf numFmtId="0" fontId="8" fillId="3" borderId="0" xfId="0" applyFont="1" applyFill="1"/>
    <xf numFmtId="0" fontId="30" fillId="3" borderId="0" xfId="0" applyFont="1" applyFill="1"/>
    <xf numFmtId="0" fontId="11" fillId="0" borderId="5" xfId="5" applyFont="1" applyBorder="1" applyAlignment="1">
      <alignment horizontal="center" vertical="center"/>
    </xf>
    <xf numFmtId="0" fontId="11" fillId="0" borderId="5" xfId="5" applyFont="1" applyBorder="1" applyAlignment="1">
      <alignment vertical="center"/>
    </xf>
    <xf numFmtId="0" fontId="14" fillId="0" borderId="0" xfId="3" applyFont="1" applyFill="1"/>
    <xf numFmtId="0" fontId="15" fillId="0" borderId="0" xfId="3" applyFont="1" applyFill="1"/>
    <xf numFmtId="0" fontId="16" fillId="0" borderId="0" xfId="3" applyFont="1" applyFill="1" applyAlignment="1">
      <alignment vertical="top" wrapText="1"/>
    </xf>
    <xf numFmtId="0" fontId="14" fillId="0" borderId="0" xfId="3" applyFont="1" applyFill="1" applyAlignment="1">
      <alignment vertical="top" wrapText="1"/>
    </xf>
    <xf numFmtId="0" fontId="12" fillId="0" borderId="0" xfId="3" applyFont="1" applyFill="1" applyAlignment="1">
      <alignment vertical="top"/>
    </xf>
    <xf numFmtId="0" fontId="18" fillId="0" borderId="0" xfId="3" applyFont="1" applyFill="1" applyBorder="1"/>
    <xf numFmtId="0" fontId="33" fillId="4" borderId="0" xfId="0" applyFont="1" applyFill="1" applyAlignment="1">
      <alignment vertical="center"/>
    </xf>
    <xf numFmtId="0" fontId="34" fillId="2" borderId="0" xfId="0" applyFont="1" applyFill="1" applyAlignment="1">
      <alignment horizontal="right" vertical="center"/>
    </xf>
    <xf numFmtId="0" fontId="35" fillId="4" borderId="3" xfId="0" applyFont="1" applyFill="1" applyBorder="1" applyAlignment="1">
      <alignment vertical="center"/>
    </xf>
    <xf numFmtId="0" fontId="34" fillId="2" borderId="3" xfId="0" applyFont="1" applyFill="1" applyBorder="1" applyAlignment="1">
      <alignment horizontal="right" vertical="center"/>
    </xf>
    <xf numFmtId="0" fontId="33" fillId="4" borderId="0" xfId="0" applyFont="1" applyFill="1" applyAlignment="1">
      <alignment wrapText="1"/>
    </xf>
    <xf numFmtId="3" fontId="33" fillId="2" borderId="0" xfId="1" applyNumberFormat="1" applyFont="1" applyFill="1" applyAlignment="1">
      <alignment horizontal="right"/>
    </xf>
    <xf numFmtId="0" fontId="33" fillId="4" borderId="3" xfId="0" applyFont="1" applyFill="1" applyBorder="1" applyAlignment="1"/>
    <xf numFmtId="3" fontId="33" fillId="2" borderId="3" xfId="1" applyNumberFormat="1" applyFont="1" applyFill="1" applyBorder="1" applyAlignment="1">
      <alignment horizontal="right"/>
    </xf>
    <xf numFmtId="0" fontId="34" fillId="4" borderId="0" xfId="0" applyFont="1" applyFill="1" applyBorder="1" applyAlignment="1">
      <alignment vertical="top"/>
    </xf>
    <xf numFmtId="3" fontId="34" fillId="2" borderId="0" xfId="1" applyNumberFormat="1" applyFont="1" applyFill="1" applyBorder="1" applyAlignment="1">
      <alignment horizontal="right" vertical="top"/>
    </xf>
    <xf numFmtId="3" fontId="34" fillId="2" borderId="0" xfId="1" applyNumberFormat="1" applyFont="1" applyFill="1" applyAlignment="1">
      <alignment horizontal="right" vertical="top"/>
    </xf>
    <xf numFmtId="0" fontId="33" fillId="4" borderId="0" xfId="0" applyFont="1" applyFill="1" applyAlignment="1"/>
    <xf numFmtId="0" fontId="36" fillId="4" borderId="0" xfId="0" applyFont="1" applyFill="1" applyAlignment="1"/>
    <xf numFmtId="3" fontId="34" fillId="2" borderId="0" xfId="1" applyNumberFormat="1" applyFont="1" applyFill="1" applyAlignment="1">
      <alignment horizontal="right"/>
    </xf>
    <xf numFmtId="0" fontId="34" fillId="4" borderId="0" xfId="0" applyFont="1" applyFill="1" applyBorder="1" applyAlignment="1"/>
    <xf numFmtId="0" fontId="34" fillId="4" borderId="0" xfId="0" applyFont="1" applyFill="1" applyAlignment="1"/>
    <xf numFmtId="3" fontId="33" fillId="2" borderId="3" xfId="1" applyNumberFormat="1" applyFont="1" applyFill="1" applyBorder="1" applyAlignment="1">
      <alignment horizontal="right" vertical="center"/>
    </xf>
    <xf numFmtId="0" fontId="34" fillId="4" borderId="4" xfId="0" applyFont="1" applyFill="1" applyBorder="1" applyAlignment="1"/>
    <xf numFmtId="3" fontId="34" fillId="2" borderId="3" xfId="1" applyNumberFormat="1" applyFont="1" applyFill="1" applyBorder="1" applyAlignment="1">
      <alignment horizontal="right"/>
    </xf>
    <xf numFmtId="3" fontId="34" fillId="2" borderId="3" xfId="1" applyNumberFormat="1" applyFont="1" applyFill="1" applyBorder="1" applyAlignment="1">
      <alignment horizontal="right" vertical="center"/>
    </xf>
    <xf numFmtId="0" fontId="34" fillId="4" borderId="0" xfId="0" applyFont="1" applyFill="1" applyBorder="1" applyAlignment="1">
      <alignment vertical="center" wrapText="1"/>
    </xf>
    <xf numFmtId="3" fontId="33" fillId="2" borderId="0" xfId="1" applyNumberFormat="1" applyFont="1" applyFill="1" applyBorder="1" applyAlignment="1">
      <alignment horizontal="right" vertical="center"/>
    </xf>
    <xf numFmtId="3" fontId="34" fillId="2" borderId="0" xfId="1" applyNumberFormat="1" applyFont="1" applyFill="1" applyBorder="1" applyAlignment="1">
      <alignment horizontal="right" vertical="center"/>
    </xf>
    <xf numFmtId="0" fontId="33" fillId="2" borderId="3" xfId="0" applyFont="1" applyFill="1" applyBorder="1" applyAlignment="1">
      <alignment vertical="center"/>
    </xf>
    <xf numFmtId="0" fontId="34" fillId="4" borderId="3" xfId="0" applyFont="1" applyFill="1" applyBorder="1" applyAlignment="1">
      <alignment vertical="center" wrapText="1"/>
    </xf>
    <xf numFmtId="0" fontId="33" fillId="2" borderId="4" xfId="0" applyFont="1" applyFill="1" applyBorder="1"/>
    <xf numFmtId="0" fontId="33" fillId="4" borderId="0" xfId="0" applyFont="1" applyFill="1" applyAlignment="1">
      <alignment vertical="center" wrapText="1"/>
    </xf>
    <xf numFmtId="166" fontId="36" fillId="2" borderId="0" xfId="0" applyNumberFormat="1" applyFont="1" applyFill="1"/>
    <xf numFmtId="10" fontId="36" fillId="2" borderId="0" xfId="0" applyNumberFormat="1" applyFont="1" applyFill="1"/>
    <xf numFmtId="0" fontId="34" fillId="4" borderId="3" xfId="0" applyFont="1" applyFill="1" applyBorder="1" applyAlignment="1">
      <alignment wrapText="1"/>
    </xf>
    <xf numFmtId="0" fontId="36" fillId="2" borderId="3" xfId="0" applyFont="1" applyFill="1" applyBorder="1" applyAlignment="1"/>
    <xf numFmtId="3" fontId="36" fillId="2" borderId="0" xfId="0" applyNumberFormat="1" applyFont="1" applyFill="1" applyAlignment="1"/>
    <xf numFmtId="166" fontId="33" fillId="2" borderId="0" xfId="2" applyNumberFormat="1" applyFont="1" applyFill="1" applyAlignment="1">
      <alignment horizontal="right"/>
    </xf>
    <xf numFmtId="166" fontId="36" fillId="2" borderId="0" xfId="2" applyNumberFormat="1" applyFont="1" applyFill="1" applyAlignment="1"/>
    <xf numFmtId="0" fontId="33" fillId="2" borderId="0" xfId="0" applyFont="1" applyFill="1" applyBorder="1" applyAlignment="1"/>
    <xf numFmtId="0" fontId="36" fillId="4" borderId="0" xfId="0" applyFont="1" applyFill="1" applyAlignment="1">
      <alignment vertical="center" wrapText="1"/>
    </xf>
    <xf numFmtId="166" fontId="33" fillId="2" borderId="0" xfId="2" applyNumberFormat="1" applyFont="1" applyFill="1" applyAlignment="1">
      <alignment horizontal="right" vertical="center"/>
    </xf>
    <xf numFmtId="166" fontId="36" fillId="2" borderId="0" xfId="2" applyNumberFormat="1" applyFont="1" applyFill="1"/>
    <xf numFmtId="0" fontId="36" fillId="2" borderId="0" xfId="0" applyFont="1" applyFill="1" applyAlignment="1">
      <alignment vertical="center" wrapText="1"/>
    </xf>
    <xf numFmtId="0" fontId="34" fillId="2" borderId="3" xfId="0" applyFont="1" applyFill="1" applyBorder="1"/>
    <xf numFmtId="0" fontId="36" fillId="2" borderId="3" xfId="0" applyFont="1" applyFill="1" applyBorder="1"/>
    <xf numFmtId="0" fontId="33" fillId="4" borderId="3" xfId="0" applyFont="1" applyFill="1" applyBorder="1" applyAlignment="1">
      <alignment vertical="center" wrapText="1"/>
    </xf>
    <xf numFmtId="165" fontId="36" fillId="2" borderId="3" xfId="1" applyNumberFormat="1" applyFont="1" applyFill="1" applyBorder="1"/>
    <xf numFmtId="0" fontId="14" fillId="0" borderId="0" xfId="3" applyFont="1" applyFill="1" applyBorder="1"/>
    <xf numFmtId="0" fontId="22" fillId="0" borderId="0" xfId="3" applyFont="1" applyFill="1" applyBorder="1" applyAlignment="1">
      <alignment horizontal="left" vertical="center"/>
    </xf>
    <xf numFmtId="165" fontId="22" fillId="0" borderId="0" xfId="1" applyNumberFormat="1" applyFont="1" applyFill="1" applyBorder="1"/>
    <xf numFmtId="165" fontId="13" fillId="0" borderId="0" xfId="1" applyNumberFormat="1" applyFont="1" applyFill="1" applyBorder="1"/>
    <xf numFmtId="0" fontId="19" fillId="0" borderId="0" xfId="11" applyBorder="1"/>
    <xf numFmtId="49" fontId="19" fillId="0" borderId="0" xfId="11" applyNumberFormat="1" applyBorder="1"/>
    <xf numFmtId="0" fontId="37" fillId="0" borderId="6" xfId="11" applyFont="1" applyBorder="1" applyAlignment="1">
      <alignment vertical="center"/>
    </xf>
    <xf numFmtId="49" fontId="38" fillId="0" borderId="6" xfId="11" applyNumberFormat="1" applyFont="1" applyBorder="1" applyAlignment="1">
      <alignment vertical="center"/>
    </xf>
    <xf numFmtId="0" fontId="19" fillId="0" borderId="6" xfId="11" applyBorder="1"/>
    <xf numFmtId="0" fontId="19" fillId="0" borderId="0" xfId="11"/>
    <xf numFmtId="0" fontId="39" fillId="0" borderId="0" xfId="12" applyFont="1" applyFill="1"/>
    <xf numFmtId="0" fontId="40" fillId="0" borderId="0" xfId="12" applyFont="1"/>
    <xf numFmtId="0" fontId="41" fillId="0" borderId="0" xfId="12" applyFont="1"/>
    <xf numFmtId="0" fontId="42" fillId="0" borderId="0" xfId="12" applyFont="1"/>
    <xf numFmtId="0" fontId="43" fillId="0" borderId="0" xfId="11" applyFont="1" applyAlignment="1">
      <alignment vertical="center"/>
    </xf>
    <xf numFmtId="0" fontId="44" fillId="0" borderId="0" xfId="12" applyFont="1" applyFill="1" applyAlignment="1"/>
    <xf numFmtId="0" fontId="43" fillId="0" borderId="0" xfId="11" applyFont="1" applyFill="1" applyAlignment="1">
      <alignment vertical="center"/>
    </xf>
    <xf numFmtId="49" fontId="43" fillId="0" borderId="0" xfId="11" applyNumberFormat="1" applyFont="1" applyFill="1" applyAlignment="1">
      <alignment horizontal="left" vertical="center"/>
    </xf>
    <xf numFmtId="49" fontId="43" fillId="0" borderId="0" xfId="11" quotePrefix="1" applyNumberFormat="1" applyFont="1" applyFill="1" applyAlignment="1">
      <alignment horizontal="left" vertical="center"/>
    </xf>
    <xf numFmtId="49" fontId="43" fillId="0" borderId="0" xfId="11" applyNumberFormat="1" applyFont="1" applyAlignment="1">
      <alignment horizontal="left" vertical="center"/>
    </xf>
    <xf numFmtId="0" fontId="43" fillId="0" borderId="0" xfId="11" quotePrefix="1" applyFont="1" applyAlignment="1">
      <alignment vertical="center"/>
    </xf>
    <xf numFmtId="0" fontId="45" fillId="0" borderId="0" xfId="12" applyFont="1"/>
    <xf numFmtId="0" fontId="46" fillId="0" borderId="6" xfId="11" applyFont="1" applyBorder="1"/>
    <xf numFmtId="0" fontId="46" fillId="0" borderId="0" xfId="11" applyFont="1"/>
    <xf numFmtId="49" fontId="43" fillId="0" borderId="0" xfId="11" applyNumberFormat="1" applyFont="1" applyFill="1" applyAlignment="1">
      <alignment vertical="center"/>
    </xf>
    <xf numFmtId="49" fontId="43" fillId="0" borderId="0" xfId="11" applyNumberFormat="1" applyFont="1" applyAlignment="1">
      <alignment vertical="center"/>
    </xf>
    <xf numFmtId="0" fontId="13" fillId="0" borderId="0" xfId="3" applyFont="1" applyFill="1" applyBorder="1"/>
    <xf numFmtId="0" fontId="12" fillId="0" borderId="0" xfId="3" applyFont="1" applyFill="1" applyBorder="1" applyAlignment="1">
      <alignment vertical="top"/>
    </xf>
    <xf numFmtId="0" fontId="17" fillId="0" borderId="0" xfId="3" applyFont="1" applyFill="1" applyBorder="1" applyAlignment="1">
      <alignment vertical="top" wrapText="1"/>
    </xf>
    <xf numFmtId="0" fontId="14" fillId="0" borderId="0" xfId="3" applyFont="1" applyFill="1" applyBorder="1" applyAlignment="1">
      <alignment vertical="top" wrapText="1"/>
    </xf>
    <xf numFmtId="0" fontId="16" fillId="0" borderId="0" xfId="3" applyFont="1" applyFill="1" applyBorder="1" applyAlignment="1">
      <alignment vertical="top" wrapText="1"/>
    </xf>
    <xf numFmtId="0" fontId="21" fillId="0" borderId="0" xfId="3" applyFont="1" applyFill="1" applyBorder="1" applyAlignment="1">
      <alignment horizontal="center" vertical="center"/>
    </xf>
    <xf numFmtId="0" fontId="22" fillId="0" borderId="0" xfId="3" applyFont="1" applyFill="1" applyBorder="1"/>
    <xf numFmtId="0" fontId="18" fillId="0" borderId="0" xfId="3" applyFont="1" applyFill="1" applyBorder="1" applyAlignment="1">
      <alignment horizontal="center" vertical="center"/>
    </xf>
    <xf numFmtId="0" fontId="23" fillId="0" borderId="0" xfId="3" applyFont="1" applyFill="1" applyBorder="1"/>
    <xf numFmtId="0" fontId="48" fillId="2" borderId="0" xfId="0" applyFont="1" applyFill="1"/>
    <xf numFmtId="0" fontId="0" fillId="0" borderId="0" xfId="0" applyFont="1"/>
    <xf numFmtId="1" fontId="49" fillId="0" borderId="0" xfId="0" applyNumberFormat="1" applyFont="1"/>
    <xf numFmtId="0" fontId="0" fillId="2" borderId="0" xfId="0" applyFont="1" applyFill="1"/>
    <xf numFmtId="10" fontId="49" fillId="0" borderId="0" xfId="2" applyNumberFormat="1" applyFont="1"/>
    <xf numFmtId="0" fontId="48" fillId="2" borderId="3" xfId="0" applyFont="1" applyFill="1" applyBorder="1"/>
    <xf numFmtId="0" fontId="0" fillId="0" borderId="3" xfId="0" applyFont="1" applyBorder="1"/>
    <xf numFmtId="0" fontId="46" fillId="0" borderId="0" xfId="0" applyFont="1"/>
    <xf numFmtId="1" fontId="50" fillId="0" borderId="0" xfId="0" applyNumberFormat="1" applyFont="1"/>
    <xf numFmtId="1" fontId="49" fillId="0" borderId="3" xfId="0" applyNumberFormat="1" applyFont="1" applyBorder="1"/>
    <xf numFmtId="0" fontId="14" fillId="0" borderId="0" xfId="8" applyFont="1" applyFill="1" applyBorder="1"/>
    <xf numFmtId="0" fontId="15" fillId="0" borderId="0" xfId="8" applyFont="1" applyFill="1" applyBorder="1"/>
    <xf numFmtId="0" fontId="16" fillId="0" borderId="0" xfId="8" applyFont="1" applyFill="1" applyBorder="1" applyAlignment="1">
      <alignment vertical="top" wrapText="1"/>
    </xf>
    <xf numFmtId="0" fontId="14" fillId="0" borderId="0" xfId="8" applyFont="1" applyFill="1" applyBorder="1" applyAlignment="1">
      <alignment vertical="top" wrapText="1"/>
    </xf>
    <xf numFmtId="0" fontId="12" fillId="0" borderId="0" xfId="8" applyFont="1" applyFill="1" applyBorder="1" applyAlignment="1">
      <alignment vertical="top"/>
    </xf>
    <xf numFmtId="0" fontId="17" fillId="0" borderId="0" xfId="8" applyFont="1" applyFill="1" applyBorder="1" applyAlignment="1">
      <alignment vertical="top" wrapText="1"/>
    </xf>
    <xf numFmtId="0" fontId="24" fillId="0" borderId="0" xfId="8" applyFont="1" applyFill="1" applyBorder="1"/>
    <xf numFmtId="0" fontId="20" fillId="0" borderId="0" xfId="8" applyFont="1" applyFill="1" applyBorder="1" applyAlignment="1">
      <alignment vertical="top"/>
    </xf>
    <xf numFmtId="0" fontId="13" fillId="0" borderId="0" xfId="8" applyFont="1" applyFill="1" applyBorder="1" applyAlignment="1">
      <alignment vertical="top" wrapText="1"/>
    </xf>
    <xf numFmtId="0" fontId="18" fillId="0" borderId="0" xfId="8" applyFont="1" applyFill="1" applyBorder="1" applyAlignment="1">
      <alignment vertical="top" wrapText="1"/>
    </xf>
    <xf numFmtId="0" fontId="18" fillId="0" borderId="0" xfId="8" applyFont="1" applyFill="1" applyBorder="1"/>
    <xf numFmtId="0" fontId="22" fillId="0" borderId="0" xfId="3" applyFont="1" applyFill="1" applyBorder="1" applyAlignment="1">
      <alignment vertical="center"/>
    </xf>
    <xf numFmtId="0" fontId="13" fillId="0" borderId="0" xfId="3" applyFont="1" applyFill="1" applyBorder="1" applyAlignment="1">
      <alignment horizontal="center" vertical="center"/>
    </xf>
    <xf numFmtId="0" fontId="13" fillId="0" borderId="0" xfId="3" applyFont="1" applyFill="1" applyBorder="1" applyAlignment="1">
      <alignment vertical="center"/>
    </xf>
    <xf numFmtId="165" fontId="13" fillId="0" borderId="0" xfId="1" applyNumberFormat="1" applyFont="1" applyFill="1" applyBorder="1" applyAlignment="1">
      <alignment vertical="center"/>
    </xf>
    <xf numFmtId="0" fontId="23" fillId="0" borderId="0" xfId="3" applyFont="1" applyFill="1" applyBorder="1" applyAlignment="1">
      <alignment vertical="center"/>
    </xf>
    <xf numFmtId="165" fontId="23" fillId="0" borderId="0" xfId="1" applyNumberFormat="1" applyFont="1" applyFill="1" applyBorder="1" applyAlignment="1">
      <alignment vertical="center"/>
    </xf>
    <xf numFmtId="0" fontId="22" fillId="0" borderId="0" xfId="3" applyFont="1" applyFill="1" applyBorder="1" applyAlignment="1">
      <alignment horizontal="center" vertical="center"/>
    </xf>
    <xf numFmtId="165" fontId="22" fillId="0" borderId="0" xfId="1" applyNumberFormat="1" applyFont="1" applyFill="1" applyBorder="1" applyAlignment="1">
      <alignment vertical="center"/>
    </xf>
    <xf numFmtId="166" fontId="13" fillId="0" borderId="0" xfId="2" applyNumberFormat="1" applyFont="1" applyFill="1" applyBorder="1" applyAlignment="1">
      <alignment vertical="center"/>
    </xf>
    <xf numFmtId="0" fontId="13" fillId="0" borderId="0" xfId="8" applyFont="1" applyFill="1" applyBorder="1"/>
    <xf numFmtId="0" fontId="13" fillId="0" borderId="0" xfId="8" applyFont="1" applyFill="1" applyBorder="1" applyAlignment="1">
      <alignment vertical="top"/>
    </xf>
    <xf numFmtId="0" fontId="27" fillId="0" borderId="0" xfId="8" applyFont="1" applyFill="1" applyBorder="1"/>
    <xf numFmtId="0" fontId="17" fillId="0" borderId="0" xfId="8" applyFont="1" applyFill="1" applyBorder="1"/>
    <xf numFmtId="0" fontId="25" fillId="0" borderId="0" xfId="8" applyFont="1" applyFill="1" applyBorder="1"/>
    <xf numFmtId="0" fontId="15" fillId="0" borderId="0" xfId="3" applyFont="1" applyFill="1" applyBorder="1"/>
    <xf numFmtId="165" fontId="13" fillId="0" borderId="0" xfId="1" applyNumberFormat="1" applyFont="1" applyFill="1" applyBorder="1" applyAlignment="1">
      <alignment horizontal="left" vertical="center"/>
    </xf>
    <xf numFmtId="165" fontId="13" fillId="0" borderId="0" xfId="4" applyNumberFormat="1" applyFont="1" applyFill="1" applyBorder="1" applyAlignment="1">
      <alignment vertical="center"/>
    </xf>
    <xf numFmtId="165" fontId="13" fillId="0" borderId="0" xfId="4" applyNumberFormat="1" applyFont="1" applyFill="1" applyBorder="1" applyAlignment="1">
      <alignment horizontal="left" vertical="center"/>
    </xf>
    <xf numFmtId="0" fontId="48" fillId="0" borderId="0" xfId="0" applyFont="1"/>
    <xf numFmtId="17" fontId="14" fillId="0" borderId="0" xfId="3" applyNumberFormat="1" applyFont="1" applyFill="1" applyBorder="1"/>
    <xf numFmtId="0" fontId="51" fillId="0" borderId="0" xfId="0" applyFont="1"/>
    <xf numFmtId="1" fontId="51" fillId="0" borderId="0" xfId="0" applyNumberFormat="1" applyFont="1"/>
    <xf numFmtId="0" fontId="51" fillId="0" borderId="3" xfId="0" applyFont="1" applyBorder="1"/>
    <xf numFmtId="1" fontId="51" fillId="0" borderId="3" xfId="0" applyNumberFormat="1" applyFont="1" applyBorder="1"/>
    <xf numFmtId="1" fontId="48" fillId="0" borderId="0" xfId="0" applyNumberFormat="1" applyFont="1"/>
    <xf numFmtId="3" fontId="33" fillId="5" borderId="0" xfId="1" applyNumberFormat="1" applyFont="1" applyFill="1" applyAlignment="1">
      <alignment horizontal="right"/>
    </xf>
    <xf numFmtId="0" fontId="34" fillId="5" borderId="0" xfId="0" applyFont="1" applyFill="1" applyAlignment="1">
      <alignment horizontal="right" vertical="center"/>
    </xf>
    <xf numFmtId="0" fontId="34" fillId="5" borderId="3" xfId="0" applyFont="1" applyFill="1" applyBorder="1" applyAlignment="1">
      <alignment horizontal="right" vertical="center"/>
    </xf>
    <xf numFmtId="3" fontId="33" fillId="5" borderId="3" xfId="1" applyNumberFormat="1" applyFont="1" applyFill="1" applyBorder="1" applyAlignment="1">
      <alignment horizontal="right"/>
    </xf>
    <xf numFmtId="3" fontId="34" fillId="5" borderId="0" xfId="1" applyNumberFormat="1" applyFont="1" applyFill="1" applyBorder="1" applyAlignment="1">
      <alignment horizontal="right" vertical="top"/>
    </xf>
    <xf numFmtId="3" fontId="34" fillId="5" borderId="0" xfId="1" applyNumberFormat="1" applyFont="1" applyFill="1" applyAlignment="1">
      <alignment horizontal="right" vertical="top"/>
    </xf>
    <xf numFmtId="3" fontId="34" fillId="5" borderId="0" xfId="1" applyNumberFormat="1" applyFont="1" applyFill="1" applyAlignment="1">
      <alignment horizontal="right"/>
    </xf>
    <xf numFmtId="3" fontId="33" fillId="5" borderId="3" xfId="1" applyNumberFormat="1" applyFont="1" applyFill="1" applyBorder="1" applyAlignment="1">
      <alignment horizontal="right" vertical="center"/>
    </xf>
    <xf numFmtId="3" fontId="34" fillId="5" borderId="3" xfId="1" applyNumberFormat="1" applyFont="1" applyFill="1" applyBorder="1" applyAlignment="1">
      <alignment horizontal="right" vertical="center"/>
    </xf>
    <xf numFmtId="3" fontId="33" fillId="5" borderId="0" xfId="1" applyNumberFormat="1" applyFont="1" applyFill="1" applyBorder="1" applyAlignment="1">
      <alignment horizontal="right" vertical="center"/>
    </xf>
    <xf numFmtId="166" fontId="36" fillId="5" borderId="0" xfId="0" applyNumberFormat="1" applyFont="1" applyFill="1"/>
    <xf numFmtId="10" fontId="36" fillId="5" borderId="0" xfId="0" applyNumberFormat="1" applyFont="1" applyFill="1"/>
    <xf numFmtId="0" fontId="36" fillId="5" borderId="3" xfId="0" applyFont="1" applyFill="1" applyBorder="1" applyAlignment="1"/>
    <xf numFmtId="166" fontId="33" fillId="5" borderId="0" xfId="2" applyNumberFormat="1" applyFont="1" applyFill="1" applyAlignment="1">
      <alignment horizontal="right"/>
    </xf>
    <xf numFmtId="166" fontId="33" fillId="5" borderId="0" xfId="2" applyNumberFormat="1" applyFont="1" applyFill="1" applyAlignment="1">
      <alignment horizontal="right" vertical="center"/>
    </xf>
    <xf numFmtId="0" fontId="36" fillId="5" borderId="3" xfId="0" applyFont="1" applyFill="1" applyBorder="1"/>
    <xf numFmtId="1" fontId="49" fillId="5" borderId="0" xfId="0" applyNumberFormat="1" applyFont="1" applyFill="1"/>
    <xf numFmtId="1" fontId="49" fillId="5" borderId="3" xfId="0" applyNumberFormat="1" applyFont="1" applyFill="1" applyBorder="1"/>
    <xf numFmtId="1" fontId="50" fillId="5" borderId="0" xfId="0" applyNumberFormat="1" applyFont="1" applyFill="1"/>
    <xf numFmtId="10" fontId="49" fillId="5" borderId="0" xfId="2" applyNumberFormat="1" applyFont="1" applyFill="1"/>
    <xf numFmtId="0" fontId="48" fillId="5" borderId="3" xfId="0" applyFont="1" applyFill="1" applyBorder="1" applyAlignment="1">
      <alignment horizontal="right"/>
    </xf>
    <xf numFmtId="0" fontId="48" fillId="0" borderId="3" xfId="0" applyFont="1" applyBorder="1" applyAlignment="1">
      <alignment horizontal="right"/>
    </xf>
    <xf numFmtId="1" fontId="51" fillId="5" borderId="0" xfId="0" applyNumberFormat="1" applyFont="1" applyFill="1"/>
    <xf numFmtId="1" fontId="51" fillId="5" borderId="3" xfId="0" applyNumberFormat="1" applyFont="1" applyFill="1" applyBorder="1"/>
    <xf numFmtId="1" fontId="48" fillId="5" borderId="0" xfId="0" applyNumberFormat="1" applyFont="1" applyFill="1"/>
    <xf numFmtId="10" fontId="51" fillId="5" borderId="0" xfId="2" applyNumberFormat="1" applyFont="1" applyFill="1"/>
    <xf numFmtId="10" fontId="51" fillId="0" borderId="0" xfId="2" applyNumberFormat="1" applyFont="1"/>
    <xf numFmtId="0" fontId="32" fillId="0" borderId="0" xfId="10097" applyFont="1" applyAlignment="1" applyProtection="1"/>
    <xf numFmtId="0" fontId="51" fillId="0" borderId="0" xfId="0" applyFont="1" applyBorder="1"/>
    <xf numFmtId="1" fontId="51" fillId="0" borderId="3" xfId="0" applyNumberFormat="1" applyFont="1" applyFill="1" applyBorder="1"/>
    <xf numFmtId="0" fontId="48" fillId="0" borderId="3" xfId="0" applyFont="1" applyFill="1" applyBorder="1" applyAlignment="1">
      <alignment horizontal="right"/>
    </xf>
    <xf numFmtId="1" fontId="51" fillId="0" borderId="0" xfId="0" applyNumberFormat="1" applyFont="1" applyFill="1"/>
    <xf numFmtId="1" fontId="48" fillId="0" borderId="0" xfId="0" applyNumberFormat="1" applyFont="1" applyFill="1"/>
    <xf numFmtId="1" fontId="49" fillId="0" borderId="3" xfId="0" applyNumberFormat="1" applyFont="1" applyFill="1" applyBorder="1"/>
    <xf numFmtId="1" fontId="50" fillId="0" borderId="0" xfId="0" applyNumberFormat="1" applyFont="1" applyFill="1"/>
    <xf numFmtId="10" fontId="49" fillId="0" borderId="0" xfId="2" applyNumberFormat="1" applyFont="1" applyFill="1"/>
    <xf numFmtId="0" fontId="0" fillId="0" borderId="0" xfId="0" applyFont="1" applyFill="1"/>
    <xf numFmtId="10" fontId="31" fillId="0" borderId="0" xfId="2" applyNumberFormat="1" applyFont="1" applyFill="1"/>
    <xf numFmtId="9" fontId="14" fillId="0" borderId="0" xfId="2" applyFont="1" applyFill="1"/>
    <xf numFmtId="0" fontId="55" fillId="0" borderId="0" xfId="3" applyFont="1" applyFill="1"/>
    <xf numFmtId="4" fontId="54" fillId="6" borderId="0" xfId="14" quotePrefix="1" applyNumberFormat="1" applyFont="1" applyFill="1" applyAlignment="1" applyProtection="1">
      <alignment wrapText="1"/>
    </xf>
    <xf numFmtId="1" fontId="14" fillId="0" borderId="0" xfId="3" applyNumberFormat="1" applyFont="1" applyFill="1"/>
    <xf numFmtId="3" fontId="54" fillId="0" borderId="0" xfId="13" applyNumberFormat="1" applyFont="1" applyFill="1" applyAlignment="1"/>
    <xf numFmtId="3" fontId="54" fillId="0" borderId="0" xfId="13" applyNumberFormat="1" applyFont="1" applyFill="1" applyAlignment="1">
      <alignment horizontal="right"/>
    </xf>
    <xf numFmtId="0" fontId="0" fillId="0" borderId="0" xfId="0" applyFill="1"/>
    <xf numFmtId="49" fontId="13" fillId="0" borderId="0" xfId="1" applyNumberFormat="1" applyFont="1" applyFill="1" applyBorder="1" applyAlignment="1">
      <alignment horizontal="left" vertical="center" wrapText="1"/>
    </xf>
    <xf numFmtId="49" fontId="23" fillId="0" borderId="0" xfId="1" applyNumberFormat="1" applyFont="1" applyFill="1" applyBorder="1" applyAlignment="1">
      <alignment horizontal="left" vertical="center" wrapText="1"/>
    </xf>
    <xf numFmtId="165" fontId="13" fillId="0" borderId="0" xfId="1" applyNumberFormat="1" applyFont="1" applyFill="1" applyBorder="1" applyAlignment="1">
      <alignment vertical="center" wrapText="1"/>
    </xf>
    <xf numFmtId="14" fontId="13" fillId="0" borderId="0" xfId="1" applyNumberFormat="1" applyFont="1" applyFill="1" applyBorder="1" applyAlignment="1">
      <alignment vertical="center"/>
    </xf>
    <xf numFmtId="3" fontId="36" fillId="6" borderId="0" xfId="15" applyNumberFormat="1" applyFont="1" applyFill="1" applyAlignment="1"/>
    <xf numFmtId="3" fontId="36" fillId="2" borderId="0" xfId="0" applyNumberFormat="1" applyFont="1" applyFill="1" applyAlignment="1">
      <alignment horizontal="right" vertical="center" wrapText="1"/>
    </xf>
    <xf numFmtId="3" fontId="36" fillId="6" borderId="3" xfId="15" applyNumberFormat="1" applyFont="1" applyFill="1" applyBorder="1" applyAlignment="1"/>
    <xf numFmtId="3" fontId="52" fillId="2" borderId="3" xfId="0" applyNumberFormat="1" applyFont="1" applyFill="1" applyBorder="1" applyAlignment="1">
      <alignment horizontal="right" vertical="center" wrapText="1"/>
    </xf>
    <xf numFmtId="3" fontId="52" fillId="6" borderId="3" xfId="15" applyNumberFormat="1" applyFont="1" applyFill="1" applyBorder="1" applyAlignment="1"/>
    <xf numFmtId="3" fontId="36" fillId="2" borderId="0" xfId="0" quotePrefix="1" applyNumberFormat="1" applyFont="1" applyFill="1" applyAlignment="1">
      <alignment horizontal="right" vertical="center" wrapText="1"/>
    </xf>
    <xf numFmtId="3" fontId="36" fillId="2" borderId="3" xfId="0" applyNumberFormat="1" applyFont="1" applyFill="1" applyBorder="1" applyAlignment="1">
      <alignment horizontal="right" vertical="center" wrapText="1"/>
    </xf>
    <xf numFmtId="3" fontId="52" fillId="6" borderId="7" xfId="15" applyNumberFormat="1" applyFont="1" applyFill="1" applyBorder="1" applyAlignment="1"/>
    <xf numFmtId="3" fontId="36" fillId="5" borderId="0" xfId="0" applyNumberFormat="1" applyFont="1" applyFill="1" applyAlignment="1">
      <alignment horizontal="right" vertical="center" wrapText="1"/>
    </xf>
    <xf numFmtId="3" fontId="52" fillId="5" borderId="3" xfId="0" applyNumberFormat="1" applyFont="1" applyFill="1" applyBorder="1" applyAlignment="1">
      <alignment horizontal="right" vertical="center" wrapText="1"/>
    </xf>
    <xf numFmtId="3" fontId="36" fillId="5" borderId="3" xfId="0" applyNumberFormat="1" applyFont="1" applyFill="1" applyBorder="1" applyAlignment="1">
      <alignment horizontal="right" vertical="center" wrapText="1"/>
    </xf>
    <xf numFmtId="3" fontId="33" fillId="2" borderId="0" xfId="0" applyNumberFormat="1" applyFont="1" applyFill="1" applyAlignment="1">
      <alignment vertical="center"/>
    </xf>
    <xf numFmtId="3" fontId="33" fillId="2" borderId="0" xfId="0" applyNumberFormat="1" applyFont="1" applyFill="1" applyAlignment="1">
      <alignment horizontal="right" vertical="center"/>
    </xf>
    <xf numFmtId="0" fontId="33" fillId="4" borderId="3" xfId="0" applyFont="1" applyFill="1" applyBorder="1" applyAlignment="1">
      <alignment vertical="center"/>
    </xf>
    <xf numFmtId="3" fontId="33" fillId="2" borderId="3" xfId="0" applyNumberFormat="1" applyFont="1" applyFill="1" applyBorder="1" applyAlignment="1">
      <alignment horizontal="right" vertical="center"/>
    </xf>
    <xf numFmtId="0" fontId="34" fillId="4" borderId="8" xfId="0" applyFont="1" applyFill="1" applyBorder="1" applyAlignment="1">
      <alignment vertical="center"/>
    </xf>
    <xf numFmtId="0" fontId="33" fillId="4" borderId="8" xfId="0" applyFont="1" applyFill="1" applyBorder="1" applyAlignment="1">
      <alignment vertical="center"/>
    </xf>
    <xf numFmtId="3" fontId="52" fillId="6" borderId="0" xfId="15" applyNumberFormat="1" applyFont="1" applyFill="1" applyBorder="1" applyAlignment="1"/>
    <xf numFmtId="3" fontId="52" fillId="5" borderId="0" xfId="0" applyNumberFormat="1" applyFont="1" applyFill="1" applyBorder="1" applyAlignment="1">
      <alignment horizontal="right" vertical="center" wrapText="1"/>
    </xf>
    <xf numFmtId="3" fontId="52" fillId="2" borderId="0" xfId="0" applyNumberFormat="1" applyFont="1" applyFill="1" applyBorder="1" applyAlignment="1">
      <alignment horizontal="right" vertical="center" wrapText="1"/>
    </xf>
    <xf numFmtId="3" fontId="36" fillId="6" borderId="0" xfId="15" applyNumberFormat="1" applyFont="1" applyFill="1" applyBorder="1" applyAlignment="1"/>
    <xf numFmtId="3" fontId="36" fillId="5" borderId="0" xfId="0" applyNumberFormat="1" applyFont="1" applyFill="1" applyBorder="1" applyAlignment="1">
      <alignment horizontal="right" vertical="center" wrapText="1"/>
    </xf>
    <xf numFmtId="3" fontId="36" fillId="2" borderId="0" xfId="0" quotePrefix="1" applyNumberFormat="1" applyFont="1" applyFill="1" applyBorder="1" applyAlignment="1">
      <alignment horizontal="right" vertical="center" wrapText="1"/>
    </xf>
    <xf numFmtId="3" fontId="36" fillId="2" borderId="0" xfId="0" applyNumberFormat="1" applyFont="1" applyFill="1" applyBorder="1" applyAlignment="1">
      <alignment horizontal="right" vertical="center" wrapText="1"/>
    </xf>
    <xf numFmtId="3" fontId="52" fillId="0" borderId="0" xfId="0" applyNumberFormat="1" applyFont="1" applyFill="1" applyBorder="1" applyAlignment="1">
      <alignment horizontal="right" vertical="center" wrapText="1"/>
    </xf>
    <xf numFmtId="3" fontId="36" fillId="0" borderId="0" xfId="0" applyNumberFormat="1" applyFont="1" applyFill="1" applyBorder="1" applyAlignment="1">
      <alignment horizontal="right" vertical="center" wrapText="1"/>
    </xf>
    <xf numFmtId="3" fontId="33" fillId="0" borderId="0" xfId="0" applyNumberFormat="1" applyFont="1" applyFill="1" applyAlignment="1">
      <alignment vertical="center"/>
    </xf>
    <xf numFmtId="3" fontId="34" fillId="0" borderId="8" xfId="0" applyNumberFormat="1" applyFont="1" applyFill="1" applyBorder="1" applyAlignment="1">
      <alignment horizontal="right" vertical="center"/>
    </xf>
    <xf numFmtId="0" fontId="33" fillId="0" borderId="0" xfId="0" applyFont="1" applyFill="1" applyBorder="1" applyAlignment="1">
      <alignment vertical="center"/>
    </xf>
    <xf numFmtId="167" fontId="34" fillId="0" borderId="0" xfId="0" applyNumberFormat="1" applyFont="1" applyFill="1" applyBorder="1" applyAlignment="1">
      <alignment horizontal="right" vertical="center"/>
    </xf>
    <xf numFmtId="3" fontId="33" fillId="0" borderId="0" xfId="0" applyNumberFormat="1" applyFont="1" applyFill="1" applyBorder="1" applyAlignment="1">
      <alignment vertical="center"/>
    </xf>
    <xf numFmtId="0" fontId="34" fillId="0" borderId="0" xfId="0" applyFont="1" applyFill="1" applyBorder="1" applyAlignment="1">
      <alignment vertical="center"/>
    </xf>
    <xf numFmtId="3" fontId="34" fillId="0" borderId="0" xfId="0" applyNumberFormat="1" applyFont="1" applyFill="1" applyBorder="1" applyAlignment="1">
      <alignment horizontal="right" vertical="center"/>
    </xf>
    <xf numFmtId="0" fontId="33" fillId="0" borderId="0" xfId="0" applyFont="1" applyFill="1" applyBorder="1" applyAlignment="1">
      <alignment horizontal="left" vertical="center"/>
    </xf>
    <xf numFmtId="0" fontId="48" fillId="0" borderId="0" xfId="0" applyFont="1" applyFill="1" applyBorder="1"/>
    <xf numFmtId="0" fontId="48" fillId="0" borderId="0" xfId="0" applyFont="1" applyFill="1" applyBorder="1" applyAlignment="1">
      <alignment horizontal="right"/>
    </xf>
    <xf numFmtId="0" fontId="46" fillId="5" borderId="3" xfId="0" applyFont="1" applyFill="1" applyBorder="1" applyAlignment="1">
      <alignment horizontal="right"/>
    </xf>
    <xf numFmtId="0" fontId="46" fillId="0" borderId="3" xfId="0" applyFont="1" applyBorder="1" applyAlignment="1">
      <alignment horizontal="right"/>
    </xf>
    <xf numFmtId="0" fontId="57" fillId="0" borderId="0" xfId="0" applyFont="1"/>
    <xf numFmtId="0" fontId="48" fillId="2" borderId="0" xfId="0" applyFont="1" applyFill="1" applyBorder="1"/>
    <xf numFmtId="1" fontId="17" fillId="0" borderId="0" xfId="3" applyNumberFormat="1" applyFont="1" applyFill="1" applyBorder="1" applyAlignment="1">
      <alignment vertical="top" wrapText="1"/>
    </xf>
    <xf numFmtId="3" fontId="14" fillId="0" borderId="0" xfId="3" applyNumberFormat="1" applyFont="1" applyFill="1"/>
    <xf numFmtId="1" fontId="14" fillId="0" borderId="0" xfId="3" applyNumberFormat="1" applyFont="1" applyFill="1" applyBorder="1"/>
    <xf numFmtId="168" fontId="14" fillId="0" borderId="0" xfId="8" applyNumberFormat="1" applyFont="1" applyFill="1" applyBorder="1"/>
    <xf numFmtId="168" fontId="18" fillId="0" borderId="0" xfId="8" applyNumberFormat="1" applyFont="1" applyFill="1" applyBorder="1"/>
    <xf numFmtId="168" fontId="13" fillId="0" borderId="0" xfId="1" applyNumberFormat="1" applyFont="1" applyFill="1" applyBorder="1" applyAlignment="1">
      <alignment horizontal="left" vertical="center" wrapText="1"/>
    </xf>
    <xf numFmtId="0" fontId="49" fillId="0" borderId="0" xfId="0" applyFont="1" applyBorder="1"/>
    <xf numFmtId="0" fontId="31" fillId="0" borderId="0" xfId="0" applyFont="1" applyBorder="1"/>
    <xf numFmtId="0" fontId="0" fillId="0" borderId="0" xfId="0" applyFont="1" applyBorder="1"/>
    <xf numFmtId="0" fontId="58" fillId="0" borderId="0" xfId="10097" applyFont="1" applyAlignment="1" applyProtection="1">
      <alignment vertical="center"/>
    </xf>
    <xf numFmtId="0" fontId="59" fillId="0" borderId="0" xfId="3" applyFont="1" applyFill="1" applyBorder="1" applyAlignment="1">
      <alignment horizontal="left" vertical="center"/>
    </xf>
    <xf numFmtId="4" fontId="60" fillId="6" borderId="0" xfId="14" quotePrefix="1" applyNumberFormat="1" applyFont="1" applyFill="1" applyAlignment="1" applyProtection="1"/>
    <xf numFmtId="4" fontId="61" fillId="6" borderId="0" xfId="14" quotePrefix="1" applyNumberFormat="1" applyFont="1" applyFill="1" applyAlignment="1" applyProtection="1"/>
    <xf numFmtId="4" fontId="60" fillId="6" borderId="0" xfId="14" quotePrefix="1" applyNumberFormat="1" applyFont="1" applyFill="1" applyAlignment="1" applyProtection="1">
      <alignment wrapText="1"/>
    </xf>
    <xf numFmtId="0" fontId="19" fillId="0" borderId="0" xfId="0" applyFont="1"/>
    <xf numFmtId="0" fontId="62" fillId="0" borderId="0" xfId="0" applyFont="1" applyFill="1" applyAlignment="1">
      <alignment vertical="center"/>
    </xf>
    <xf numFmtId="0" fontId="62" fillId="0" borderId="0" xfId="0" applyFont="1"/>
    <xf numFmtId="0" fontId="63" fillId="0" borderId="0" xfId="0" applyFont="1"/>
    <xf numFmtId="0" fontId="63" fillId="0" borderId="0" xfId="0" applyFont="1" applyAlignment="1">
      <alignment wrapText="1"/>
    </xf>
    <xf numFmtId="0" fontId="64" fillId="0" borderId="0" xfId="0" applyFont="1"/>
    <xf numFmtId="3" fontId="63" fillId="0" borderId="0" xfId="0" applyNumberFormat="1" applyFont="1"/>
    <xf numFmtId="0" fontId="65" fillId="0" borderId="0" xfId="0" quotePrefix="1" applyFont="1" applyBorder="1"/>
    <xf numFmtId="3" fontId="66" fillId="0" borderId="0" xfId="0" applyNumberFormat="1" applyFont="1" applyBorder="1"/>
    <xf numFmtId="0" fontId="63" fillId="0" borderId="3" xfId="0" quotePrefix="1" applyFont="1" applyBorder="1"/>
    <xf numFmtId="3" fontId="63" fillId="0" borderId="3" xfId="0" applyNumberFormat="1" applyFont="1" applyBorder="1"/>
    <xf numFmtId="3" fontId="63" fillId="0" borderId="0" xfId="0" applyNumberFormat="1" applyFont="1" applyBorder="1"/>
    <xf numFmtId="3" fontId="64" fillId="0" borderId="0" xfId="0" applyNumberFormat="1" applyFont="1"/>
    <xf numFmtId="3" fontId="64" fillId="0" borderId="0" xfId="0" applyNumberFormat="1" applyFont="1" applyBorder="1"/>
    <xf numFmtId="0" fontId="63" fillId="0" borderId="0" xfId="0" applyFont="1" applyBorder="1"/>
    <xf numFmtId="165" fontId="63" fillId="0" borderId="0" xfId="1" applyNumberFormat="1" applyFont="1"/>
    <xf numFmtId="0" fontId="67" fillId="7" borderId="9" xfId="0" applyFont="1" applyFill="1" applyBorder="1"/>
    <xf numFmtId="166" fontId="62" fillId="7" borderId="9" xfId="0" applyNumberFormat="1" applyFont="1" applyFill="1" applyBorder="1"/>
    <xf numFmtId="165" fontId="63" fillId="0" borderId="0" xfId="0" applyNumberFormat="1" applyFont="1"/>
    <xf numFmtId="166" fontId="68" fillId="7" borderId="9" xfId="0" applyNumberFormat="1" applyFont="1" applyFill="1" applyBorder="1"/>
    <xf numFmtId="0" fontId="63" fillId="0" borderId="0" xfId="0" quotePrefix="1" applyFont="1"/>
    <xf numFmtId="3" fontId="63" fillId="0" borderId="0" xfId="0" applyNumberFormat="1" applyFont="1" applyFill="1"/>
    <xf numFmtId="3" fontId="62" fillId="7" borderId="9" xfId="0" applyNumberFormat="1" applyFont="1" applyFill="1" applyBorder="1"/>
    <xf numFmtId="3" fontId="68" fillId="7" borderId="9" xfId="0" applyNumberFormat="1" applyFont="1" applyFill="1" applyBorder="1"/>
    <xf numFmtId="0" fontId="63" fillId="0" borderId="3" xfId="0" quotePrefix="1" applyFont="1" applyBorder="1" applyAlignment="1">
      <alignment wrapText="1"/>
    </xf>
    <xf numFmtId="3" fontId="64" fillId="0" borderId="3" xfId="0" applyNumberFormat="1" applyFont="1" applyBorder="1"/>
    <xf numFmtId="3" fontId="63" fillId="0" borderId="3" xfId="0" applyNumberFormat="1" applyFont="1" applyFill="1" applyBorder="1"/>
    <xf numFmtId="3" fontId="64" fillId="0" borderId="3" xfId="0" applyNumberFormat="1" applyFont="1" applyFill="1" applyBorder="1"/>
    <xf numFmtId="0" fontId="63" fillId="0" borderId="0" xfId="0" quotePrefix="1" applyFont="1" applyAlignment="1">
      <alignment wrapText="1"/>
    </xf>
    <xf numFmtId="0" fontId="67" fillId="7" borderId="9" xfId="0" applyFont="1" applyFill="1" applyBorder="1" applyAlignment="1">
      <alignment wrapText="1"/>
    </xf>
    <xf numFmtId="0" fontId="63" fillId="0" borderId="3" xfId="0" applyFont="1" applyBorder="1"/>
    <xf numFmtId="3" fontId="64" fillId="0" borderId="0" xfId="0" applyNumberFormat="1" applyFont="1" applyFill="1"/>
    <xf numFmtId="166" fontId="62" fillId="7" borderId="9" xfId="2" applyNumberFormat="1" applyFont="1" applyFill="1" applyBorder="1"/>
    <xf numFmtId="0" fontId="67" fillId="0" borderId="8" xfId="0" applyFont="1" applyBorder="1"/>
    <xf numFmtId="3" fontId="68" fillId="0" borderId="8" xfId="0" applyNumberFormat="1" applyFont="1" applyBorder="1"/>
    <xf numFmtId="3" fontId="62" fillId="0" borderId="8" xfId="0" applyNumberFormat="1" applyFont="1" applyBorder="1"/>
    <xf numFmtId="3" fontId="68" fillId="0" borderId="0" xfId="0" applyNumberFormat="1" applyFont="1" applyBorder="1"/>
    <xf numFmtId="3" fontId="62" fillId="0" borderId="0" xfId="0" applyNumberFormat="1" applyFont="1" applyBorder="1"/>
    <xf numFmtId="3" fontId="68" fillId="0" borderId="3" xfId="0" applyNumberFormat="1" applyFont="1" applyBorder="1"/>
    <xf numFmtId="3" fontId="62" fillId="0" borderId="3" xfId="0" applyNumberFormat="1" applyFont="1" applyBorder="1"/>
    <xf numFmtId="0" fontId="63" fillId="0" borderId="0" xfId="0" quotePrefix="1" applyFont="1" applyBorder="1"/>
    <xf numFmtId="9" fontId="62" fillId="7" borderId="9" xfId="2" applyNumberFormat="1" applyFont="1" applyFill="1" applyBorder="1"/>
    <xf numFmtId="3" fontId="63" fillId="0" borderId="0" xfId="0" applyNumberFormat="1" applyFont="1" applyAlignment="1">
      <alignment horizontal="center"/>
    </xf>
    <xf numFmtId="3" fontId="63" fillId="0" borderId="0" xfId="0" applyNumberFormat="1" applyFont="1" applyBorder="1" applyAlignment="1">
      <alignment horizontal="center"/>
    </xf>
    <xf numFmtId="3" fontId="63" fillId="0" borderId="3" xfId="0" applyNumberFormat="1" applyFont="1" applyBorder="1" applyAlignment="1">
      <alignment horizontal="center"/>
    </xf>
    <xf numFmtId="0" fontId="63" fillId="0" borderId="0" xfId="0" quotePrefix="1" applyFont="1" applyFill="1" applyBorder="1"/>
    <xf numFmtId="0" fontId="63" fillId="0" borderId="0" xfId="0" applyFont="1" applyFill="1" applyBorder="1"/>
    <xf numFmtId="10" fontId="63" fillId="0" borderId="0" xfId="0" applyNumberFormat="1" applyFont="1" applyFill="1"/>
    <xf numFmtId="10" fontId="63" fillId="0" borderId="0" xfId="0" applyNumberFormat="1" applyFont="1"/>
    <xf numFmtId="10" fontId="64" fillId="0" borderId="0" xfId="0" applyNumberFormat="1" applyFont="1"/>
    <xf numFmtId="10" fontId="63" fillId="0" borderId="0" xfId="0" applyNumberFormat="1" applyFont="1" applyAlignment="1">
      <alignment horizontal="center"/>
    </xf>
    <xf numFmtId="4" fontId="62" fillId="7" borderId="9" xfId="0" applyNumberFormat="1" applyFont="1" applyFill="1" applyBorder="1"/>
    <xf numFmtId="3" fontId="63" fillId="7" borderId="9" xfId="0" applyNumberFormat="1" applyFont="1" applyFill="1" applyBorder="1" applyAlignment="1">
      <alignment horizontal="center"/>
    </xf>
    <xf numFmtId="0" fontId="67" fillId="0" borderId="0" xfId="0" applyFont="1" applyBorder="1"/>
    <xf numFmtId="0" fontId="63" fillId="0" borderId="3" xfId="0" applyFont="1" applyFill="1" applyBorder="1"/>
    <xf numFmtId="10" fontId="63" fillId="0" borderId="3" xfId="0" applyNumberFormat="1" applyFont="1" applyFill="1" applyBorder="1"/>
    <xf numFmtId="10" fontId="63" fillId="0" borderId="3" xfId="0" applyNumberFormat="1" applyFont="1" applyBorder="1"/>
    <xf numFmtId="10" fontId="63" fillId="0" borderId="3" xfId="0" applyNumberFormat="1" applyFont="1" applyBorder="1" applyAlignment="1">
      <alignment horizontal="center"/>
    </xf>
    <xf numFmtId="3" fontId="62" fillId="7" borderId="9" xfId="0" applyNumberFormat="1" applyFont="1" applyFill="1" applyBorder="1" applyAlignment="1">
      <alignment horizontal="center"/>
    </xf>
    <xf numFmtId="4" fontId="63" fillId="0" borderId="0" xfId="0" applyNumberFormat="1" applyFont="1" applyBorder="1"/>
    <xf numFmtId="4" fontId="64" fillId="0" borderId="0" xfId="0" applyNumberFormat="1" applyFont="1" applyBorder="1"/>
    <xf numFmtId="3" fontId="64" fillId="0" borderId="0" xfId="0" applyNumberFormat="1" applyFont="1" applyBorder="1" applyAlignment="1">
      <alignment horizontal="center"/>
    </xf>
    <xf numFmtId="3" fontId="63" fillId="0" borderId="0" xfId="0" applyNumberFormat="1" applyFont="1" applyBorder="1" applyAlignment="1">
      <alignment horizontal="center" vertical="center"/>
    </xf>
    <xf numFmtId="3" fontId="64" fillId="0" borderId="0" xfId="0" applyNumberFormat="1" applyFont="1" applyBorder="1" applyAlignment="1">
      <alignment horizontal="center" vertical="center"/>
    </xf>
    <xf numFmtId="3" fontId="68" fillId="7" borderId="9" xfId="0" applyNumberFormat="1" applyFont="1" applyFill="1" applyBorder="1" applyAlignment="1">
      <alignment horizontal="center"/>
    </xf>
    <xf numFmtId="16" fontId="8" fillId="0" borderId="0" xfId="0" quotePrefix="1" applyNumberFormat="1" applyFont="1"/>
    <xf numFmtId="0" fontId="10" fillId="0" borderId="0" xfId="5" applyFill="1" applyAlignment="1">
      <alignment horizontal="center"/>
    </xf>
    <xf numFmtId="0" fontId="32" fillId="0" borderId="0" xfId="10097" applyFont="1" applyFill="1" applyBorder="1" applyAlignment="1" applyProtection="1"/>
    <xf numFmtId="0" fontId="32" fillId="0" borderId="0" xfId="10097" applyFont="1" applyFill="1" applyAlignment="1" applyProtection="1"/>
    <xf numFmtId="0" fontId="69" fillId="0" borderId="0" xfId="3" applyFont="1" applyFill="1"/>
    <xf numFmtId="0" fontId="19" fillId="0" borderId="0" xfId="0" applyFont="1" applyBorder="1"/>
    <xf numFmtId="0" fontId="19" fillId="0" borderId="0" xfId="0" applyFont="1" applyFill="1" applyBorder="1"/>
    <xf numFmtId="0" fontId="70" fillId="0" borderId="0" xfId="0" applyFont="1" applyBorder="1"/>
    <xf numFmtId="0" fontId="71" fillId="0" borderId="0" xfId="8" applyFont="1" applyFill="1" applyBorder="1"/>
    <xf numFmtId="0" fontId="8" fillId="0" borderId="0" xfId="3" applyFont="1" applyFill="1" applyBorder="1" applyAlignment="1">
      <alignment horizontal="center" vertical="center"/>
    </xf>
    <xf numFmtId="0" fontId="8" fillId="0" borderId="0" xfId="3" applyFont="1" applyFill="1" applyBorder="1" applyAlignment="1">
      <alignment vertical="center"/>
    </xf>
    <xf numFmtId="165" fontId="8" fillId="0" borderId="0" xfId="1" applyNumberFormat="1" applyFont="1" applyFill="1" applyBorder="1" applyAlignment="1">
      <alignment vertical="center"/>
    </xf>
    <xf numFmtId="168" fontId="8" fillId="0" borderId="0" xfId="1" applyNumberFormat="1" applyFont="1" applyFill="1" applyBorder="1" applyAlignment="1">
      <alignment vertical="center"/>
    </xf>
    <xf numFmtId="168" fontId="72" fillId="0" borderId="0" xfId="8" applyNumberFormat="1" applyFont="1" applyFill="1" applyBorder="1"/>
    <xf numFmtId="0" fontId="72" fillId="0" borderId="0" xfId="8" applyFont="1" applyFill="1" applyBorder="1"/>
    <xf numFmtId="0" fontId="73" fillId="0" borderId="0" xfId="3" applyFont="1" applyFill="1" applyBorder="1" applyAlignment="1">
      <alignment vertical="center"/>
    </xf>
    <xf numFmtId="49" fontId="8" fillId="0" borderId="0" xfId="1" applyNumberFormat="1" applyFont="1" applyFill="1" applyBorder="1" applyAlignment="1">
      <alignment horizontal="left" vertical="center"/>
    </xf>
    <xf numFmtId="168" fontId="8" fillId="0" borderId="0" xfId="1" applyNumberFormat="1" applyFont="1" applyFill="1" applyBorder="1" applyAlignment="1">
      <alignment horizontal="left" vertical="center"/>
    </xf>
    <xf numFmtId="49" fontId="8" fillId="0" borderId="0" xfId="1" applyNumberFormat="1" applyFont="1" applyFill="1" applyBorder="1" applyAlignment="1">
      <alignment horizontal="left" vertical="center" wrapText="1"/>
    </xf>
    <xf numFmtId="168" fontId="8" fillId="0" borderId="0" xfId="1" applyNumberFormat="1" applyFont="1" applyFill="1" applyBorder="1" applyAlignment="1">
      <alignment horizontal="left" vertical="center" wrapText="1"/>
    </xf>
    <xf numFmtId="165" fontId="8" fillId="0" borderId="0" xfId="1" applyNumberFormat="1" applyFont="1" applyFill="1" applyBorder="1"/>
    <xf numFmtId="0" fontId="74" fillId="0" borderId="0" xfId="8" applyFont="1" applyFill="1" applyBorder="1" applyAlignment="1">
      <alignment vertical="top"/>
    </xf>
    <xf numFmtId="0" fontId="8" fillId="0" borderId="0" xfId="8" applyFont="1" applyFill="1" applyBorder="1" applyAlignment="1">
      <alignment vertical="top" wrapText="1"/>
    </xf>
    <xf numFmtId="0" fontId="72" fillId="0" borderId="0" xfId="8" applyFont="1" applyFill="1" applyBorder="1" applyAlignment="1">
      <alignment vertical="top" wrapText="1"/>
    </xf>
    <xf numFmtId="0" fontId="8" fillId="0" borderId="0" xfId="8" applyFont="1" applyFill="1" applyBorder="1"/>
    <xf numFmtId="0" fontId="8" fillId="0" borderId="0" xfId="8" applyFont="1" applyFill="1" applyBorder="1" applyAlignment="1">
      <alignment vertical="top"/>
    </xf>
    <xf numFmtId="0" fontId="69" fillId="0" borderId="0" xfId="8" applyFont="1" applyFill="1" applyBorder="1"/>
    <xf numFmtId="2" fontId="8" fillId="0" borderId="0" xfId="1" applyNumberFormat="1" applyFont="1" applyFill="1" applyBorder="1" applyAlignment="1">
      <alignment horizontal="left" vertical="center" wrapText="1"/>
    </xf>
    <xf numFmtId="0" fontId="43" fillId="0" borderId="0" xfId="0" applyFont="1"/>
    <xf numFmtId="170" fontId="63" fillId="0" borderId="0" xfId="0" applyNumberFormat="1" applyFont="1"/>
    <xf numFmtId="170" fontId="63" fillId="0" borderId="0" xfId="0" applyNumberFormat="1" applyFont="1" applyAlignment="1">
      <alignment wrapText="1"/>
    </xf>
    <xf numFmtId="170" fontId="62" fillId="0" borderId="0" xfId="0" applyNumberFormat="1" applyFont="1"/>
    <xf numFmtId="0" fontId="34" fillId="4" borderId="0" xfId="0" applyFont="1" applyFill="1" applyBorder="1" applyAlignment="1">
      <alignment vertical="center"/>
    </xf>
    <xf numFmtId="3" fontId="34" fillId="2" borderId="0" xfId="0" applyNumberFormat="1" applyFont="1" applyFill="1" applyBorder="1" applyAlignment="1">
      <alignment horizontal="right" vertical="center"/>
    </xf>
    <xf numFmtId="3" fontId="33" fillId="0" borderId="3" xfId="0" applyNumberFormat="1" applyFont="1" applyFill="1" applyBorder="1" applyAlignment="1">
      <alignment vertical="center"/>
    </xf>
    <xf numFmtId="3" fontId="33" fillId="2" borderId="3" xfId="0" applyNumberFormat="1" applyFont="1" applyFill="1" applyBorder="1" applyAlignment="1">
      <alignment vertical="center"/>
    </xf>
    <xf numFmtId="3" fontId="36" fillId="5" borderId="8" xfId="0" applyNumberFormat="1" applyFont="1" applyFill="1" applyBorder="1" applyAlignment="1">
      <alignment horizontal="right" vertical="center" wrapText="1"/>
    </xf>
    <xf numFmtId="3" fontId="33" fillId="0" borderId="8" xfId="0" applyNumberFormat="1" applyFont="1" applyFill="1" applyBorder="1" applyAlignment="1">
      <alignment vertical="center"/>
    </xf>
    <xf numFmtId="0" fontId="33" fillId="5" borderId="3" xfId="0" applyFont="1" applyFill="1" applyBorder="1"/>
    <xf numFmtId="0" fontId="75" fillId="0" borderId="0" xfId="0" applyFont="1"/>
    <xf numFmtId="0" fontId="11" fillId="0" borderId="0" xfId="5" applyFont="1" applyBorder="1" applyAlignment="1">
      <alignment horizontal="center" vertical="center"/>
    </xf>
    <xf numFmtId="0" fontId="13" fillId="0" borderId="0" xfId="3" applyFont="1" applyFill="1" applyBorder="1" applyAlignment="1">
      <alignment horizontal="center" vertical="center"/>
    </xf>
    <xf numFmtId="49" fontId="79" fillId="0" borderId="0" xfId="11" applyNumberFormat="1" applyFont="1" applyFill="1" applyAlignment="1">
      <alignment vertical="center"/>
    </xf>
    <xf numFmtId="0" fontId="79" fillId="0" borderId="0" xfId="11" applyFont="1" applyFill="1" applyAlignment="1">
      <alignment vertical="center"/>
    </xf>
    <xf numFmtId="0" fontId="49" fillId="0" borderId="0" xfId="0" applyFont="1"/>
    <xf numFmtId="0" fontId="49" fillId="0" borderId="0" xfId="0" applyFont="1" applyFill="1"/>
    <xf numFmtId="3" fontId="49" fillId="0" borderId="0" xfId="0" applyNumberFormat="1" applyFont="1"/>
    <xf numFmtId="3" fontId="78" fillId="0" borderId="0" xfId="0" applyNumberFormat="1" applyFont="1"/>
    <xf numFmtId="49" fontId="32" fillId="0" borderId="0" xfId="10097" applyNumberFormat="1" applyFont="1" applyAlignment="1" applyProtection="1"/>
    <xf numFmtId="1" fontId="49" fillId="5" borderId="0" xfId="0" applyNumberFormat="1" applyFont="1" applyFill="1" applyBorder="1"/>
    <xf numFmtId="1" fontId="51" fillId="5" borderId="0" xfId="0" applyNumberFormat="1" applyFont="1" applyFill="1" applyBorder="1"/>
    <xf numFmtId="1" fontId="49" fillId="0" borderId="0" xfId="0" applyNumberFormat="1" applyFont="1" applyFill="1" applyBorder="1"/>
    <xf numFmtId="1" fontId="49" fillId="0" borderId="0" xfId="0" applyNumberFormat="1" applyFont="1" applyBorder="1"/>
    <xf numFmtId="1" fontId="51" fillId="0" borderId="0" xfId="0" applyNumberFormat="1" applyFont="1" applyBorder="1"/>
    <xf numFmtId="10" fontId="51" fillId="0" borderId="0" xfId="2" applyNumberFormat="1" applyFont="1" applyFill="1"/>
    <xf numFmtId="0" fontId="40" fillId="0" borderId="0" xfId="12" quotePrefix="1" applyFont="1" applyAlignment="1">
      <alignment horizontal="left"/>
    </xf>
    <xf numFmtId="0" fontId="62" fillId="7" borderId="9" xfId="0" applyFont="1" applyFill="1" applyBorder="1"/>
    <xf numFmtId="10" fontId="0" fillId="0" borderId="0" xfId="0" applyNumberFormat="1"/>
    <xf numFmtId="165" fontId="63" fillId="0" borderId="0" xfId="1" applyNumberFormat="1" applyFont="1" applyAlignment="1">
      <alignment horizontal="center"/>
    </xf>
    <xf numFmtId="165" fontId="64" fillId="0" borderId="0" xfId="1" applyNumberFormat="1" applyFont="1"/>
    <xf numFmtId="165" fontId="63" fillId="0" borderId="0" xfId="1" applyNumberFormat="1" applyFont="1" applyFill="1"/>
    <xf numFmtId="3" fontId="0" fillId="0" borderId="0" xfId="0" applyNumberFormat="1"/>
    <xf numFmtId="0" fontId="76" fillId="0" borderId="0" xfId="11324" applyFont="1" applyFill="1" applyAlignment="1">
      <alignment vertical="center" wrapText="1"/>
    </xf>
    <xf numFmtId="0" fontId="76" fillId="2" borderId="0" xfId="11324" applyFont="1" applyFill="1"/>
    <xf numFmtId="0" fontId="77" fillId="0" borderId="10" xfId="11324" applyFont="1" applyFill="1" applyBorder="1" applyAlignment="1">
      <alignment vertical="center" wrapText="1"/>
    </xf>
    <xf numFmtId="0" fontId="77" fillId="0" borderId="10" xfId="11324" applyFont="1" applyFill="1" applyBorder="1" applyAlignment="1">
      <alignment horizontal="center" vertical="center" wrapText="1"/>
    </xf>
    <xf numFmtId="0" fontId="76" fillId="2" borderId="10" xfId="11324" applyFont="1" applyFill="1" applyBorder="1" applyAlignment="1">
      <alignment vertical="center" wrapText="1"/>
    </xf>
    <xf numFmtId="0" fontId="1" fillId="0" borderId="10" xfId="11324" applyFill="1" applyBorder="1"/>
    <xf numFmtId="0" fontId="1" fillId="2" borderId="0" xfId="11324" applyFill="1"/>
    <xf numFmtId="0" fontId="76" fillId="0" borderId="10" xfId="11324" applyFont="1" applyFill="1" applyBorder="1" applyAlignment="1">
      <alignment vertical="center" wrapText="1"/>
    </xf>
    <xf numFmtId="0" fontId="162" fillId="2" borderId="0" xfId="11324" applyFont="1" applyFill="1"/>
    <xf numFmtId="0" fontId="163" fillId="2" borderId="0" xfId="11324" applyFont="1" applyFill="1" applyAlignment="1">
      <alignment vertical="center" wrapText="1"/>
    </xf>
    <xf numFmtId="0" fontId="76" fillId="2" borderId="0" xfId="11324" applyFont="1" applyFill="1" applyAlignment="1">
      <alignment vertical="center" wrapText="1"/>
    </xf>
    <xf numFmtId="0" fontId="76" fillId="0" borderId="0" xfId="11324" applyFont="1"/>
    <xf numFmtId="0" fontId="0" fillId="0" borderId="3" xfId="0" applyBorder="1"/>
    <xf numFmtId="0" fontId="0" fillId="0" borderId="0" xfId="0" applyBorder="1"/>
    <xf numFmtId="0" fontId="46" fillId="0" borderId="3" xfId="0" applyFont="1" applyBorder="1" applyAlignment="1">
      <alignment wrapText="1"/>
    </xf>
    <xf numFmtId="0" fontId="46" fillId="0" borderId="3" xfId="0" applyFont="1" applyBorder="1" applyAlignment="1">
      <alignment horizontal="center" wrapText="1"/>
    </xf>
    <xf numFmtId="165" fontId="0" fillId="0" borderId="0" xfId="1" applyNumberFormat="1" applyFont="1"/>
    <xf numFmtId="165" fontId="0" fillId="0" borderId="0" xfId="1" applyNumberFormat="1" applyFont="1" applyBorder="1"/>
    <xf numFmtId="165" fontId="0" fillId="0" borderId="3" xfId="1" applyNumberFormat="1" applyFont="1" applyBorder="1"/>
    <xf numFmtId="0" fontId="46" fillId="5" borderId="3" xfId="0" applyFont="1" applyFill="1" applyBorder="1"/>
    <xf numFmtId="165" fontId="46" fillId="5" borderId="3" xfId="1" applyNumberFormat="1" applyFont="1" applyFill="1" applyBorder="1"/>
    <xf numFmtId="0" fontId="46" fillId="65" borderId="3" xfId="0" applyFont="1" applyFill="1" applyBorder="1" applyAlignment="1">
      <alignment horizontal="center" wrapText="1"/>
    </xf>
    <xf numFmtId="165" fontId="46" fillId="65" borderId="0" xfId="1" applyNumberFormat="1" applyFont="1" applyFill="1" applyBorder="1"/>
    <xf numFmtId="165" fontId="46" fillId="65" borderId="3" xfId="1" applyNumberFormat="1" applyFont="1" applyFill="1" applyBorder="1"/>
    <xf numFmtId="165" fontId="0" fillId="0" borderId="0" xfId="1" applyNumberFormat="1" applyFont="1" applyFill="1"/>
    <xf numFmtId="1" fontId="34" fillId="5" borderId="3" xfId="0" applyNumberFormat="1" applyFont="1" applyFill="1" applyBorder="1" applyAlignment="1">
      <alignment horizontal="right" vertical="center"/>
    </xf>
    <xf numFmtId="169" fontId="0" fillId="0" borderId="0" xfId="0" applyNumberFormat="1" applyFont="1" applyFill="1" applyBorder="1" applyAlignment="1">
      <alignment horizontal="left"/>
    </xf>
    <xf numFmtId="0" fontId="34" fillId="0" borderId="0" xfId="0" applyFont="1" applyFill="1" applyAlignment="1">
      <alignment horizontal="right" vertical="center"/>
    </xf>
    <xf numFmtId="0" fontId="34" fillId="0" borderId="3" xfId="0" applyFont="1" applyFill="1" applyBorder="1" applyAlignment="1">
      <alignment horizontal="right" vertical="center"/>
    </xf>
    <xf numFmtId="0" fontId="52" fillId="2" borderId="33" xfId="0" applyFont="1" applyFill="1" applyBorder="1" applyAlignment="1">
      <alignment vertical="center"/>
    </xf>
    <xf numFmtId="3" fontId="34" fillId="2" borderId="33" xfId="1" applyNumberFormat="1" applyFont="1" applyFill="1" applyBorder="1" applyAlignment="1">
      <alignment horizontal="right" vertical="center"/>
    </xf>
    <xf numFmtId="0" fontId="52" fillId="2" borderId="0" xfId="0" applyFont="1" applyFill="1" applyAlignment="1">
      <alignment vertical="center"/>
    </xf>
    <xf numFmtId="3" fontId="34" fillId="2" borderId="0" xfId="1" applyNumberFormat="1" applyFont="1" applyFill="1" applyAlignment="1">
      <alignment horizontal="right" vertical="center"/>
    </xf>
    <xf numFmtId="3" fontId="33" fillId="2" borderId="0" xfId="1" applyNumberFormat="1" applyFont="1" applyFill="1" applyAlignment="1">
      <alignment horizontal="right" vertical="center"/>
    </xf>
    <xf numFmtId="0" fontId="36" fillId="2" borderId="0" xfId="0" applyFont="1" applyFill="1" applyAlignment="1">
      <alignment vertical="center"/>
    </xf>
    <xf numFmtId="0" fontId="36" fillId="2" borderId="0" xfId="3591" applyFont="1" applyFill="1"/>
    <xf numFmtId="0" fontId="36" fillId="2" borderId="3" xfId="0" applyFont="1" applyFill="1" applyBorder="1" applyAlignment="1">
      <alignment vertical="center"/>
    </xf>
    <xf numFmtId="3" fontId="52" fillId="2" borderId="0" xfId="1" applyNumberFormat="1" applyFont="1" applyFill="1" applyBorder="1" applyAlignment="1">
      <alignment horizontal="right" vertical="center"/>
    </xf>
    <xf numFmtId="165" fontId="36" fillId="2" borderId="0" xfId="0" applyNumberFormat="1" applyFont="1" applyFill="1" applyAlignment="1">
      <alignment vertical="center"/>
    </xf>
    <xf numFmtId="3" fontId="36" fillId="2" borderId="3" xfId="1" applyNumberFormat="1" applyFont="1" applyFill="1" applyBorder="1" applyAlignment="1">
      <alignment horizontal="right" vertical="center"/>
    </xf>
    <xf numFmtId="3" fontId="52" fillId="2" borderId="0" xfId="1" applyNumberFormat="1" applyFont="1" applyFill="1" applyAlignment="1">
      <alignment horizontal="right" vertical="center"/>
    </xf>
    <xf numFmtId="0" fontId="52" fillId="2" borderId="33" xfId="0" applyFont="1" applyFill="1" applyBorder="1" applyAlignment="1">
      <alignment vertical="center" wrapText="1"/>
    </xf>
    <xf numFmtId="0" fontId="33" fillId="2" borderId="0" xfId="0" applyFont="1" applyFill="1" applyAlignment="1">
      <alignment vertical="center"/>
    </xf>
    <xf numFmtId="0" fontId="36" fillId="2" borderId="0" xfId="0" applyFont="1" applyFill="1"/>
    <xf numFmtId="166" fontId="52" fillId="2" borderId="0" xfId="0" applyNumberFormat="1" applyFont="1" applyFill="1" applyBorder="1" applyAlignment="1"/>
    <xf numFmtId="166" fontId="52" fillId="2" borderId="0" xfId="58" applyNumberFormat="1" applyFont="1" applyFill="1" applyBorder="1" applyAlignment="1"/>
    <xf numFmtId="0" fontId="36" fillId="2" borderId="0" xfId="0" applyFont="1" applyFill="1" applyAlignment="1"/>
    <xf numFmtId="3" fontId="34" fillId="5" borderId="33" xfId="1" applyNumberFormat="1" applyFont="1" applyFill="1" applyBorder="1" applyAlignment="1">
      <alignment horizontal="right" vertical="center"/>
    </xf>
    <xf numFmtId="3" fontId="34" fillId="5" borderId="0" xfId="0" applyNumberFormat="1" applyFont="1" applyFill="1" applyAlignment="1">
      <alignment horizontal="right" vertical="center"/>
    </xf>
    <xf numFmtId="3" fontId="33" fillId="5" borderId="0" xfId="1" applyNumberFormat="1" applyFont="1" applyFill="1" applyAlignment="1">
      <alignment horizontal="right" vertical="center"/>
    </xf>
    <xf numFmtId="3" fontId="52" fillId="5" borderId="0" xfId="1" applyNumberFormat="1" applyFont="1" applyFill="1" applyAlignment="1">
      <alignment horizontal="right" vertical="center"/>
    </xf>
    <xf numFmtId="3" fontId="33" fillId="5" borderId="0" xfId="0" applyNumberFormat="1" applyFont="1" applyFill="1" applyAlignment="1">
      <alignment horizontal="right" vertical="center"/>
    </xf>
    <xf numFmtId="3" fontId="36" fillId="5" borderId="0" xfId="1" applyNumberFormat="1" applyFont="1" applyFill="1" applyBorder="1" applyAlignment="1">
      <alignment horizontal="right" vertical="center"/>
    </xf>
    <xf numFmtId="3" fontId="36" fillId="5" borderId="3" xfId="1" applyNumberFormat="1" applyFont="1" applyFill="1" applyBorder="1" applyAlignment="1">
      <alignment horizontal="right" vertical="center"/>
    </xf>
    <xf numFmtId="3" fontId="36" fillId="5" borderId="0" xfId="1" applyNumberFormat="1" applyFont="1" applyFill="1" applyAlignment="1">
      <alignment horizontal="right" vertical="center"/>
    </xf>
    <xf numFmtId="3" fontId="33" fillId="5" borderId="3" xfId="0" applyNumberFormat="1" applyFont="1" applyFill="1" applyBorder="1" applyAlignment="1">
      <alignment horizontal="right" vertical="center"/>
    </xf>
    <xf numFmtId="3" fontId="52" fillId="5" borderId="33" xfId="1" applyNumberFormat="1" applyFont="1" applyFill="1" applyBorder="1" applyAlignment="1">
      <alignment horizontal="right" vertical="center"/>
    </xf>
    <xf numFmtId="0" fontId="33" fillId="5" borderId="0" xfId="0" applyFont="1" applyFill="1" applyAlignment="1">
      <alignment vertical="center"/>
    </xf>
    <xf numFmtId="0" fontId="34" fillId="5" borderId="0" xfId="0" applyFont="1" applyFill="1" applyAlignment="1">
      <alignment vertical="center"/>
    </xf>
    <xf numFmtId="166" fontId="52" fillId="5" borderId="0" xfId="0" applyNumberFormat="1" applyFont="1" applyFill="1" applyBorder="1" applyAlignment="1"/>
    <xf numFmtId="166" fontId="52" fillId="5" borderId="0" xfId="58" applyNumberFormat="1" applyFont="1" applyFill="1" applyBorder="1" applyAlignment="1"/>
    <xf numFmtId="0" fontId="78" fillId="2" borderId="0" xfId="0" applyFont="1" applyFill="1" applyAlignment="1">
      <alignment vertical="center"/>
    </xf>
    <xf numFmtId="185" fontId="92" fillId="2" borderId="33" xfId="1" applyNumberFormat="1" applyFont="1" applyFill="1" applyBorder="1" applyAlignment="1">
      <alignment horizontal="right" vertical="center"/>
    </xf>
    <xf numFmtId="185" fontId="92" fillId="2" borderId="3" xfId="1" applyNumberFormat="1" applyFont="1" applyFill="1" applyBorder="1" applyAlignment="1">
      <alignment horizontal="right" vertical="center"/>
    </xf>
    <xf numFmtId="0" fontId="34" fillId="0" borderId="3" xfId="0" applyFont="1" applyFill="1" applyBorder="1" applyAlignment="1">
      <alignment horizontal="left" vertical="center"/>
    </xf>
    <xf numFmtId="185" fontId="92" fillId="2" borderId="33" xfId="1" applyNumberFormat="1" applyFont="1" applyFill="1" applyBorder="1" applyAlignment="1">
      <alignment horizontal="left" vertical="center"/>
    </xf>
    <xf numFmtId="185" fontId="92" fillId="2" borderId="3" xfId="1" applyNumberFormat="1" applyFont="1" applyFill="1" applyBorder="1" applyAlignment="1">
      <alignment horizontal="left" vertical="center"/>
    </xf>
    <xf numFmtId="0" fontId="78" fillId="5" borderId="0" xfId="0" applyFont="1" applyFill="1" applyAlignment="1">
      <alignment vertical="center"/>
    </xf>
    <xf numFmtId="185" fontId="92" fillId="5" borderId="33" xfId="1" applyNumberFormat="1" applyFont="1" applyFill="1" applyBorder="1" applyAlignment="1">
      <alignment horizontal="right" vertical="center"/>
    </xf>
    <xf numFmtId="185" fontId="92" fillId="5" borderId="3" xfId="1" applyNumberFormat="1" applyFont="1" applyFill="1" applyBorder="1" applyAlignment="1">
      <alignment horizontal="right" vertical="center"/>
    </xf>
    <xf numFmtId="185" fontId="0" fillId="0" borderId="0" xfId="0" applyNumberFormat="1"/>
    <xf numFmtId="0" fontId="32" fillId="0" borderId="0" xfId="10097" quotePrefix="1" applyFont="1" applyFill="1" applyAlignment="1" applyProtection="1">
      <alignment horizontal="left" vertical="center"/>
    </xf>
    <xf numFmtId="0" fontId="49" fillId="2" borderId="0" xfId="0" applyFont="1" applyFill="1" applyAlignment="1">
      <alignment horizontal="left" vertical="center"/>
    </xf>
    <xf numFmtId="0" fontId="50" fillId="5" borderId="0" xfId="0" applyFont="1" applyFill="1" applyBorder="1" applyAlignment="1">
      <alignment horizontal="right" vertical="center"/>
    </xf>
    <xf numFmtId="0" fontId="50" fillId="2" borderId="0" xfId="0" applyFont="1" applyFill="1" applyBorder="1" applyAlignment="1">
      <alignment horizontal="right" vertical="center"/>
    </xf>
    <xf numFmtId="0" fontId="50" fillId="5" borderId="3" xfId="0" applyFont="1" applyFill="1" applyBorder="1" applyAlignment="1">
      <alignment horizontal="right" vertical="center"/>
    </xf>
    <xf numFmtId="0" fontId="50" fillId="2" borderId="3" xfId="0" applyFont="1" applyFill="1" applyBorder="1" applyAlignment="1">
      <alignment horizontal="right" vertical="center"/>
    </xf>
    <xf numFmtId="0" fontId="164" fillId="2" borderId="0" xfId="0" applyFont="1" applyFill="1" applyAlignment="1">
      <alignment horizontal="left" vertical="center"/>
    </xf>
    <xf numFmtId="0" fontId="36" fillId="0" borderId="0" xfId="0" applyFont="1"/>
    <xf numFmtId="185" fontId="36" fillId="2" borderId="0" xfId="1" applyNumberFormat="1" applyFont="1" applyFill="1" applyAlignment="1">
      <alignment horizontal="left" vertical="center"/>
    </xf>
    <xf numFmtId="185" fontId="36" fillId="5" borderId="0" xfId="1" applyNumberFormat="1" applyFont="1" applyFill="1" applyAlignment="1">
      <alignment horizontal="right" vertical="center"/>
    </xf>
    <xf numFmtId="185" fontId="36" fillId="2" borderId="0" xfId="1" applyNumberFormat="1" applyFont="1" applyFill="1" applyAlignment="1">
      <alignment horizontal="right" vertical="center"/>
    </xf>
    <xf numFmtId="185" fontId="36" fillId="2" borderId="3" xfId="1" applyNumberFormat="1" applyFont="1" applyFill="1" applyBorder="1" applyAlignment="1">
      <alignment horizontal="left" vertical="center"/>
    </xf>
    <xf numFmtId="185" fontId="36" fillId="5" borderId="3" xfId="1" applyNumberFormat="1" applyFont="1" applyFill="1" applyBorder="1" applyAlignment="1">
      <alignment horizontal="right" vertical="center"/>
    </xf>
    <xf numFmtId="185" fontId="36" fillId="2" borderId="3" xfId="1" applyNumberFormat="1" applyFont="1" applyFill="1" applyBorder="1" applyAlignment="1">
      <alignment horizontal="right" vertical="center"/>
    </xf>
    <xf numFmtId="185" fontId="165" fillId="2" borderId="0" xfId="1" applyNumberFormat="1" applyFont="1" applyFill="1" applyAlignment="1">
      <alignment horizontal="left" vertical="center"/>
    </xf>
    <xf numFmtId="185" fontId="36" fillId="0" borderId="0" xfId="1" applyNumberFormat="1" applyFont="1" applyFill="1" applyAlignment="1">
      <alignment horizontal="right" vertical="center"/>
    </xf>
    <xf numFmtId="0" fontId="36" fillId="2" borderId="0" xfId="0" applyFont="1" applyFill="1" applyBorder="1" applyAlignment="1">
      <alignment vertical="center"/>
    </xf>
    <xf numFmtId="0" fontId="52" fillId="2" borderId="0" xfId="0" applyFont="1" applyFill="1" applyBorder="1" applyAlignment="1">
      <alignment vertical="center"/>
    </xf>
    <xf numFmtId="3" fontId="34" fillId="5" borderId="0" xfId="1" applyNumberFormat="1" applyFont="1" applyFill="1" applyBorder="1" applyAlignment="1">
      <alignment horizontal="right" vertical="center"/>
    </xf>
    <xf numFmtId="166" fontId="34" fillId="5" borderId="0" xfId="2" applyNumberFormat="1" applyFont="1" applyFill="1" applyAlignment="1">
      <alignment horizontal="right" vertical="center"/>
    </xf>
    <xf numFmtId="166" fontId="34" fillId="2" borderId="0" xfId="2" applyNumberFormat="1" applyFont="1" applyFill="1" applyAlignment="1">
      <alignment horizontal="right" vertical="center"/>
    </xf>
    <xf numFmtId="0" fontId="47" fillId="0" borderId="0" xfId="12" applyFont="1" applyAlignment="1">
      <alignment horizontal="left"/>
    </xf>
    <xf numFmtId="0" fontId="76" fillId="0" borderId="10" xfId="11324" applyFont="1" applyFill="1" applyBorder="1" applyAlignment="1">
      <alignment vertical="center" wrapText="1"/>
    </xf>
    <xf numFmtId="0" fontId="76" fillId="0" borderId="34" xfId="11324" applyFont="1" applyFill="1" applyBorder="1" applyAlignment="1">
      <alignment horizontal="center" vertical="center" wrapText="1"/>
    </xf>
    <xf numFmtId="0" fontId="76" fillId="0" borderId="35" xfId="11324" applyFont="1" applyFill="1" applyBorder="1" applyAlignment="1">
      <alignment horizontal="center" vertical="center" wrapText="1"/>
    </xf>
  </cellXfs>
  <cellStyles count="11325">
    <cellStyle name="20 % - uthevingsfarge 1" xfId="11305" xr:uid="{65148434-2752-48E4-96B8-92EF0A72A4CE}"/>
    <cellStyle name="20 % – uthevingsfarge 1" xfId="22" builtinId="30" customBuiltin="1"/>
    <cellStyle name="20 % - uthevingsfarge 2" xfId="11306" xr:uid="{D643811D-5CE9-4EFC-8747-DAFFF8378F09}"/>
    <cellStyle name="20 % – uthevingsfarge 2" xfId="24" builtinId="34" customBuiltin="1"/>
    <cellStyle name="20 % - uthevingsfarge 3" xfId="11307" xr:uid="{BA9884A6-E2C8-470B-8BB9-6B31DDF7D2FA}"/>
    <cellStyle name="20 % – uthevingsfarge 3" xfId="26" builtinId="38" customBuiltin="1"/>
    <cellStyle name="20 % - uthevingsfarge 4" xfId="11308" xr:uid="{7A6E2043-ECAD-4138-B66F-C17237C1F583}"/>
    <cellStyle name="20 % – uthevingsfarge 4" xfId="28" builtinId="42" customBuiltin="1"/>
    <cellStyle name="20 % - uthevingsfarge 5" xfId="11309" xr:uid="{4E561E98-4BF5-40AF-894D-CC1329F0A282}"/>
    <cellStyle name="20 % – uthevingsfarge 5" xfId="30" builtinId="46" customBuiltin="1"/>
    <cellStyle name="20 % - uthevingsfarge 6" xfId="11310" xr:uid="{56A14224-A6AA-4FE9-8BE6-C396F75AEB3D}"/>
    <cellStyle name="20 % – uthevingsfarge 6" xfId="32" builtinId="50" customBuiltin="1"/>
    <cellStyle name="20% - 1. jelölőszín" xfId="4174" xr:uid="{00000000-0005-0000-0000-000006000000}"/>
    <cellStyle name="20% - 1. jelölőszín 2" xfId="10748" xr:uid="{00000000-0005-0000-0000-000007000000}"/>
    <cellStyle name="20% - 1. jelölőszín_20130128_ITS on reporting_Annex I_CA" xfId="10749" xr:uid="{00000000-0005-0000-0000-000008000000}"/>
    <cellStyle name="20% - 2. jelölőszín" xfId="4175" xr:uid="{00000000-0005-0000-0000-000009000000}"/>
    <cellStyle name="20% - 2. jelölőszín 2" xfId="10750" xr:uid="{00000000-0005-0000-0000-00000A000000}"/>
    <cellStyle name="20% - 2. jelölőszín_20130128_ITS on reporting_Annex I_CA" xfId="10751" xr:uid="{00000000-0005-0000-0000-00000B000000}"/>
    <cellStyle name="20% - 3. jelölőszín" xfId="4176" xr:uid="{00000000-0005-0000-0000-00000C000000}"/>
    <cellStyle name="20% - 3. jelölőszín 2" xfId="10752" xr:uid="{00000000-0005-0000-0000-00000D000000}"/>
    <cellStyle name="20% - 3. jelölőszín_20130128_ITS on reporting_Annex I_CA" xfId="10753" xr:uid="{00000000-0005-0000-0000-00000E000000}"/>
    <cellStyle name="20% - 4. jelölőszín" xfId="4177" xr:uid="{00000000-0005-0000-0000-00000F000000}"/>
    <cellStyle name="20% - 4. jelölőszín 2" xfId="10754" xr:uid="{00000000-0005-0000-0000-000010000000}"/>
    <cellStyle name="20% - 4. jelölőszín_20130128_ITS on reporting_Annex I_CA" xfId="10755" xr:uid="{00000000-0005-0000-0000-000011000000}"/>
    <cellStyle name="20% - 5. jelölőszín" xfId="4178" xr:uid="{00000000-0005-0000-0000-000012000000}"/>
    <cellStyle name="20% - 5. jelölőszín 2" xfId="10756" xr:uid="{00000000-0005-0000-0000-000013000000}"/>
    <cellStyle name="20% - 5. jelölőszín_20130128_ITS on reporting_Annex I_CA" xfId="10757" xr:uid="{00000000-0005-0000-0000-000014000000}"/>
    <cellStyle name="20% - 6. jelölőszín" xfId="4179" xr:uid="{00000000-0005-0000-0000-000015000000}"/>
    <cellStyle name="20% - 6. jelölőszín 2" xfId="10758" xr:uid="{00000000-0005-0000-0000-000016000000}"/>
    <cellStyle name="20% - 6. jelölőszín_20130128_ITS on reporting_Annex I_CA" xfId="10759" xr:uid="{00000000-0005-0000-0000-000017000000}"/>
    <cellStyle name="20% - Accent1 2" xfId="10760" xr:uid="{00000000-0005-0000-0000-000018000000}"/>
    <cellStyle name="20% - Accent2 2" xfId="10761" xr:uid="{00000000-0005-0000-0000-000019000000}"/>
    <cellStyle name="20% - Accent3 2" xfId="10762" xr:uid="{00000000-0005-0000-0000-00001A000000}"/>
    <cellStyle name="20% - Accent4 2" xfId="10763" xr:uid="{00000000-0005-0000-0000-00001B000000}"/>
    <cellStyle name="20% - Accent5 2" xfId="10764" xr:uid="{00000000-0005-0000-0000-00001C000000}"/>
    <cellStyle name="20% - Accent6 2" xfId="10765" xr:uid="{00000000-0005-0000-0000-00001D000000}"/>
    <cellStyle name="20% - Énfasis1" xfId="4180" xr:uid="{00000000-0005-0000-0000-00001E000000}"/>
    <cellStyle name="20% - Énfasis2" xfId="4181" xr:uid="{00000000-0005-0000-0000-00001F000000}"/>
    <cellStyle name="20% - Énfasis3" xfId="4182" xr:uid="{00000000-0005-0000-0000-000020000000}"/>
    <cellStyle name="20% - Énfasis4" xfId="4183" xr:uid="{00000000-0005-0000-0000-000021000000}"/>
    <cellStyle name="20% - Énfasis5" xfId="4184" xr:uid="{00000000-0005-0000-0000-000022000000}"/>
    <cellStyle name="20% - Énfasis6" xfId="4185" xr:uid="{00000000-0005-0000-0000-000023000000}"/>
    <cellStyle name="20% - uthevingsfarge 1 10" xfId="127" xr:uid="{00000000-0005-0000-0000-000024000000}"/>
    <cellStyle name="20% - uthevingsfarge 1 10 2" xfId="128" xr:uid="{00000000-0005-0000-0000-000025000000}"/>
    <cellStyle name="20% - uthevingsfarge 1 10 2 2" xfId="5253" xr:uid="{00000000-0005-0000-0000-000026000000}"/>
    <cellStyle name="20% - uthevingsfarge 1 10 2 2 2" xfId="7886" xr:uid="{00000000-0005-0000-0000-000027000000}"/>
    <cellStyle name="20% - uthevingsfarge 1 10 2 3" xfId="9206" xr:uid="{00000000-0005-0000-0000-000028000000}"/>
    <cellStyle name="20% - uthevingsfarge 1 10 3" xfId="4534" xr:uid="{00000000-0005-0000-0000-000029000000}"/>
    <cellStyle name="20% - uthevingsfarge 1 10 3 2" xfId="7207" xr:uid="{00000000-0005-0000-0000-00002A000000}"/>
    <cellStyle name="20% - uthevingsfarge 1 10 4" xfId="9869" xr:uid="{00000000-0005-0000-0000-00002B000000}"/>
    <cellStyle name="20% - uthevingsfarge 1 100" xfId="129" xr:uid="{00000000-0005-0000-0000-00002C000000}"/>
    <cellStyle name="20% - uthevingsfarge 1 100 2" xfId="2729" xr:uid="{00000000-0005-0000-0000-00002D000000}"/>
    <cellStyle name="20% - uthevingsfarge 1 100 2 2" xfId="3019" xr:uid="{00000000-0005-0000-0000-00002E000000}"/>
    <cellStyle name="20% - uthevingsfarge 1 100 2 2 2" xfId="6604" xr:uid="{00000000-0005-0000-0000-00002F000000}"/>
    <cellStyle name="20% - uthevingsfarge 1 100 2 3" xfId="3629" xr:uid="{00000000-0005-0000-0000-000030000000}"/>
    <cellStyle name="20% - uthevingsfarge 1 100 2 4" xfId="6302" xr:uid="{00000000-0005-0000-0000-000031000000}"/>
    <cellStyle name="20% - uthevingsfarge 1 100 2 5" xfId="8605" xr:uid="{00000000-0005-0000-0000-000032000000}"/>
    <cellStyle name="20% - uthevingsfarge 1 100 3" xfId="3018" xr:uid="{00000000-0005-0000-0000-000033000000}"/>
    <cellStyle name="20% - uthevingsfarge 1 100 3 2" xfId="6603" xr:uid="{00000000-0005-0000-0000-000034000000}"/>
    <cellStyle name="20% - uthevingsfarge 1 100 4" xfId="3658" xr:uid="{00000000-0005-0000-0000-000035000000}"/>
    <cellStyle name="20% - uthevingsfarge 1 100 5" xfId="6018" xr:uid="{00000000-0005-0000-0000-000036000000}"/>
    <cellStyle name="20% - uthevingsfarge 1 100 6" xfId="8604" xr:uid="{00000000-0005-0000-0000-000037000000}"/>
    <cellStyle name="20% - uthevingsfarge 1 101" xfId="130" xr:uid="{00000000-0005-0000-0000-000038000000}"/>
    <cellStyle name="20% - uthevingsfarge 1 101 2" xfId="2730" xr:uid="{00000000-0005-0000-0000-000039000000}"/>
    <cellStyle name="20% - uthevingsfarge 1 101 2 2" xfId="3021" xr:uid="{00000000-0005-0000-0000-00003A000000}"/>
    <cellStyle name="20% - uthevingsfarge 1 101 2 2 2" xfId="6606" xr:uid="{00000000-0005-0000-0000-00003B000000}"/>
    <cellStyle name="20% - uthevingsfarge 1 101 2 3" xfId="4066" xr:uid="{00000000-0005-0000-0000-00003C000000}"/>
    <cellStyle name="20% - uthevingsfarge 1 101 2 4" xfId="6303" xr:uid="{00000000-0005-0000-0000-00003D000000}"/>
    <cellStyle name="20% - uthevingsfarge 1 101 2 5" xfId="8606" xr:uid="{00000000-0005-0000-0000-00003E000000}"/>
    <cellStyle name="20% - uthevingsfarge 1 101 3" xfId="3020" xr:uid="{00000000-0005-0000-0000-00003F000000}"/>
    <cellStyle name="20% - uthevingsfarge 1 101 3 2" xfId="6605" xr:uid="{00000000-0005-0000-0000-000040000000}"/>
    <cellStyle name="20% - uthevingsfarge 1 101 4" xfId="3626" xr:uid="{00000000-0005-0000-0000-000041000000}"/>
    <cellStyle name="20% - uthevingsfarge 1 102" xfId="131" xr:uid="{00000000-0005-0000-0000-000042000000}"/>
    <cellStyle name="20% - uthevingsfarge 1 102 2" xfId="2731" xr:uid="{00000000-0005-0000-0000-000043000000}"/>
    <cellStyle name="20% - uthevingsfarge 1 102 2 2" xfId="3023" xr:uid="{00000000-0005-0000-0000-000044000000}"/>
    <cellStyle name="20% - uthevingsfarge 1 102 2 2 2" xfId="6608" xr:uid="{00000000-0005-0000-0000-000045000000}"/>
    <cellStyle name="20% - uthevingsfarge 1 102 2 3" xfId="3927" xr:uid="{00000000-0005-0000-0000-000046000000}"/>
    <cellStyle name="20% - uthevingsfarge 1 102 2 4" xfId="6304" xr:uid="{00000000-0005-0000-0000-000047000000}"/>
    <cellStyle name="20% - uthevingsfarge 1 102 2 5" xfId="8608" xr:uid="{00000000-0005-0000-0000-000048000000}"/>
    <cellStyle name="20% - uthevingsfarge 1 102 3" xfId="3022" xr:uid="{00000000-0005-0000-0000-000049000000}"/>
    <cellStyle name="20% - uthevingsfarge 1 102 3 2" xfId="6607" xr:uid="{00000000-0005-0000-0000-00004A000000}"/>
    <cellStyle name="20% - uthevingsfarge 1 102 4" xfId="3627" xr:uid="{00000000-0005-0000-0000-00004B000000}"/>
    <cellStyle name="20% - uthevingsfarge 1 102 5" xfId="6019" xr:uid="{00000000-0005-0000-0000-00004C000000}"/>
    <cellStyle name="20% - uthevingsfarge 1 102 6" xfId="8607" xr:uid="{00000000-0005-0000-0000-00004D000000}"/>
    <cellStyle name="20% - uthevingsfarge 1 103" xfId="132" xr:uid="{00000000-0005-0000-0000-00004E000000}"/>
    <cellStyle name="20% - uthevingsfarge 1 103 2" xfId="2732" xr:uid="{00000000-0005-0000-0000-00004F000000}"/>
    <cellStyle name="20% - uthevingsfarge 1 103 2 2" xfId="3025" xr:uid="{00000000-0005-0000-0000-000050000000}"/>
    <cellStyle name="20% - uthevingsfarge 1 103 2 2 2" xfId="6610" xr:uid="{00000000-0005-0000-0000-000051000000}"/>
    <cellStyle name="20% - uthevingsfarge 1 103 2 3" xfId="3611" xr:uid="{00000000-0005-0000-0000-000052000000}"/>
    <cellStyle name="20% - uthevingsfarge 1 103 2 4" xfId="6305" xr:uid="{00000000-0005-0000-0000-000053000000}"/>
    <cellStyle name="20% - uthevingsfarge 1 103 2 5" xfId="8610" xr:uid="{00000000-0005-0000-0000-000054000000}"/>
    <cellStyle name="20% - uthevingsfarge 1 103 3" xfId="3024" xr:uid="{00000000-0005-0000-0000-000055000000}"/>
    <cellStyle name="20% - uthevingsfarge 1 103 3 2" xfId="6609" xr:uid="{00000000-0005-0000-0000-000056000000}"/>
    <cellStyle name="20% - uthevingsfarge 1 103 4" xfId="4147" xr:uid="{00000000-0005-0000-0000-000057000000}"/>
    <cellStyle name="20% - uthevingsfarge 1 103 5" xfId="6020" xr:uid="{00000000-0005-0000-0000-000058000000}"/>
    <cellStyle name="20% - uthevingsfarge 1 103 6" xfId="8609" xr:uid="{00000000-0005-0000-0000-000059000000}"/>
    <cellStyle name="20% - uthevingsfarge 1 104" xfId="133" xr:uid="{00000000-0005-0000-0000-00005A000000}"/>
    <cellStyle name="20% - uthevingsfarge 1 104 2" xfId="2733" xr:uid="{00000000-0005-0000-0000-00005B000000}"/>
    <cellStyle name="20% - uthevingsfarge 1 104 2 2" xfId="3027" xr:uid="{00000000-0005-0000-0000-00005C000000}"/>
    <cellStyle name="20% - uthevingsfarge 1 104 2 2 2" xfId="6612" xr:uid="{00000000-0005-0000-0000-00005D000000}"/>
    <cellStyle name="20% - uthevingsfarge 1 104 2 3" xfId="3660" xr:uid="{00000000-0005-0000-0000-00005E000000}"/>
    <cellStyle name="20% - uthevingsfarge 1 104 2 4" xfId="6306" xr:uid="{00000000-0005-0000-0000-00005F000000}"/>
    <cellStyle name="20% - uthevingsfarge 1 104 2 5" xfId="8612" xr:uid="{00000000-0005-0000-0000-000060000000}"/>
    <cellStyle name="20% - uthevingsfarge 1 104 3" xfId="3026" xr:uid="{00000000-0005-0000-0000-000061000000}"/>
    <cellStyle name="20% - uthevingsfarge 1 104 3 2" xfId="6611" xr:uid="{00000000-0005-0000-0000-000062000000}"/>
    <cellStyle name="20% - uthevingsfarge 1 104 4" xfId="3657" xr:uid="{00000000-0005-0000-0000-000063000000}"/>
    <cellStyle name="20% - uthevingsfarge 1 104 5" xfId="6021" xr:uid="{00000000-0005-0000-0000-000064000000}"/>
    <cellStyle name="20% - uthevingsfarge 1 104 6" xfId="8611" xr:uid="{00000000-0005-0000-0000-000065000000}"/>
    <cellStyle name="20% - uthevingsfarge 1 105" xfId="134" xr:uid="{00000000-0005-0000-0000-000066000000}"/>
    <cellStyle name="20% - uthevingsfarge 1 105 2" xfId="2734" xr:uid="{00000000-0005-0000-0000-000067000000}"/>
    <cellStyle name="20% - uthevingsfarge 1 105 2 2" xfId="3029" xr:uid="{00000000-0005-0000-0000-000068000000}"/>
    <cellStyle name="20% - uthevingsfarge 1 105 2 2 2" xfId="6614" xr:uid="{00000000-0005-0000-0000-000069000000}"/>
    <cellStyle name="20% - uthevingsfarge 1 105 2 3" xfId="3977" xr:uid="{00000000-0005-0000-0000-00006A000000}"/>
    <cellStyle name="20% - uthevingsfarge 1 105 2 4" xfId="6307" xr:uid="{00000000-0005-0000-0000-00006B000000}"/>
    <cellStyle name="20% - uthevingsfarge 1 105 2 5" xfId="8614" xr:uid="{00000000-0005-0000-0000-00006C000000}"/>
    <cellStyle name="20% - uthevingsfarge 1 105 3" xfId="3028" xr:uid="{00000000-0005-0000-0000-00006D000000}"/>
    <cellStyle name="20% - uthevingsfarge 1 105 3 2" xfId="6613" xr:uid="{00000000-0005-0000-0000-00006E000000}"/>
    <cellStyle name="20% - uthevingsfarge 1 105 4" xfId="3624" xr:uid="{00000000-0005-0000-0000-00006F000000}"/>
    <cellStyle name="20% - uthevingsfarge 1 105 5" xfId="6022" xr:uid="{00000000-0005-0000-0000-000070000000}"/>
    <cellStyle name="20% - uthevingsfarge 1 105 6" xfId="8613" xr:uid="{00000000-0005-0000-0000-000071000000}"/>
    <cellStyle name="20% - uthevingsfarge 1 106" xfId="135" xr:uid="{00000000-0005-0000-0000-000072000000}"/>
    <cellStyle name="20% - uthevingsfarge 1 106 2" xfId="2735" xr:uid="{00000000-0005-0000-0000-000073000000}"/>
    <cellStyle name="20% - uthevingsfarge 1 106 2 2" xfId="3031" xr:uid="{00000000-0005-0000-0000-000074000000}"/>
    <cellStyle name="20% - uthevingsfarge 1 106 2 2 2" xfId="6616" xr:uid="{00000000-0005-0000-0000-000075000000}"/>
    <cellStyle name="20% - uthevingsfarge 1 106 2 3" xfId="3926" xr:uid="{00000000-0005-0000-0000-000076000000}"/>
    <cellStyle name="20% - uthevingsfarge 1 106 2 4" xfId="6308" xr:uid="{00000000-0005-0000-0000-000077000000}"/>
    <cellStyle name="20% - uthevingsfarge 1 106 2 5" xfId="8616" xr:uid="{00000000-0005-0000-0000-000078000000}"/>
    <cellStyle name="20% - uthevingsfarge 1 106 3" xfId="3030" xr:uid="{00000000-0005-0000-0000-000079000000}"/>
    <cellStyle name="20% - uthevingsfarge 1 106 3 2" xfId="6615" xr:uid="{00000000-0005-0000-0000-00007A000000}"/>
    <cellStyle name="20% - uthevingsfarge 1 106 4" xfId="3625" xr:uid="{00000000-0005-0000-0000-00007B000000}"/>
    <cellStyle name="20% - uthevingsfarge 1 106 5" xfId="6023" xr:uid="{00000000-0005-0000-0000-00007C000000}"/>
    <cellStyle name="20% - uthevingsfarge 1 106 6" xfId="8615" xr:uid="{00000000-0005-0000-0000-00007D000000}"/>
    <cellStyle name="20% - uthevingsfarge 1 107" xfId="136" xr:uid="{00000000-0005-0000-0000-00007E000000}"/>
    <cellStyle name="20% - uthevingsfarge 1 107 2" xfId="2736" xr:uid="{00000000-0005-0000-0000-00007F000000}"/>
    <cellStyle name="20% - uthevingsfarge 1 107 2 2" xfId="3033" xr:uid="{00000000-0005-0000-0000-000080000000}"/>
    <cellStyle name="20% - uthevingsfarge 1 107 2 2 2" xfId="6618" xr:uid="{00000000-0005-0000-0000-000081000000}"/>
    <cellStyle name="20% - uthevingsfarge 1 107 2 3" xfId="3757" xr:uid="{00000000-0005-0000-0000-000082000000}"/>
    <cellStyle name="20% - uthevingsfarge 1 107 2 4" xfId="6309" xr:uid="{00000000-0005-0000-0000-000083000000}"/>
    <cellStyle name="20% - uthevingsfarge 1 107 2 5" xfId="8618" xr:uid="{00000000-0005-0000-0000-000084000000}"/>
    <cellStyle name="20% - uthevingsfarge 1 107 3" xfId="3032" xr:uid="{00000000-0005-0000-0000-000085000000}"/>
    <cellStyle name="20% - uthevingsfarge 1 107 3 2" xfId="6617" xr:uid="{00000000-0005-0000-0000-000086000000}"/>
    <cellStyle name="20% - uthevingsfarge 1 107 4" xfId="4047" xr:uid="{00000000-0005-0000-0000-000087000000}"/>
    <cellStyle name="20% - uthevingsfarge 1 107 5" xfId="6024" xr:uid="{00000000-0005-0000-0000-000088000000}"/>
    <cellStyle name="20% - uthevingsfarge 1 107 6" xfId="8617" xr:uid="{00000000-0005-0000-0000-000089000000}"/>
    <cellStyle name="20% - uthevingsfarge 1 108" xfId="137" xr:uid="{00000000-0005-0000-0000-00008A000000}"/>
    <cellStyle name="20% - uthevingsfarge 1 108 2" xfId="2737" xr:uid="{00000000-0005-0000-0000-00008B000000}"/>
    <cellStyle name="20% - uthevingsfarge 1 108 2 2" xfId="3035" xr:uid="{00000000-0005-0000-0000-00008C000000}"/>
    <cellStyle name="20% - uthevingsfarge 1 108 2 2 2" xfId="6620" xr:uid="{00000000-0005-0000-0000-00008D000000}"/>
    <cellStyle name="20% - uthevingsfarge 1 108 2 3" xfId="4067" xr:uid="{00000000-0005-0000-0000-00008E000000}"/>
    <cellStyle name="20% - uthevingsfarge 1 108 2 4" xfId="6310" xr:uid="{00000000-0005-0000-0000-00008F000000}"/>
    <cellStyle name="20% - uthevingsfarge 1 108 2 5" xfId="8620" xr:uid="{00000000-0005-0000-0000-000090000000}"/>
    <cellStyle name="20% - uthevingsfarge 1 108 3" xfId="3034" xr:uid="{00000000-0005-0000-0000-000091000000}"/>
    <cellStyle name="20% - uthevingsfarge 1 108 3 2" xfId="6619" xr:uid="{00000000-0005-0000-0000-000092000000}"/>
    <cellStyle name="20% - uthevingsfarge 1 108 4" xfId="3899" xr:uid="{00000000-0005-0000-0000-000093000000}"/>
    <cellStyle name="20% - uthevingsfarge 1 108 5" xfId="6025" xr:uid="{00000000-0005-0000-0000-000094000000}"/>
    <cellStyle name="20% - uthevingsfarge 1 108 6" xfId="8619" xr:uid="{00000000-0005-0000-0000-000095000000}"/>
    <cellStyle name="20% - uthevingsfarge 1 109" xfId="138" xr:uid="{00000000-0005-0000-0000-000096000000}"/>
    <cellStyle name="20% - uthevingsfarge 1 109 2" xfId="2738" xr:uid="{00000000-0005-0000-0000-000097000000}"/>
    <cellStyle name="20% - uthevingsfarge 1 109 2 2" xfId="3037" xr:uid="{00000000-0005-0000-0000-000098000000}"/>
    <cellStyle name="20% - uthevingsfarge 1 109 2 2 2" xfId="6622" xr:uid="{00000000-0005-0000-0000-000099000000}"/>
    <cellStyle name="20% - uthevingsfarge 1 109 2 3" xfId="4006" xr:uid="{00000000-0005-0000-0000-00009A000000}"/>
    <cellStyle name="20% - uthevingsfarge 1 109 2 4" xfId="6311" xr:uid="{00000000-0005-0000-0000-00009B000000}"/>
    <cellStyle name="20% - uthevingsfarge 1 109 2 5" xfId="8622" xr:uid="{00000000-0005-0000-0000-00009C000000}"/>
    <cellStyle name="20% - uthevingsfarge 1 109 3" xfId="3036" xr:uid="{00000000-0005-0000-0000-00009D000000}"/>
    <cellStyle name="20% - uthevingsfarge 1 109 3 2" xfId="6621" xr:uid="{00000000-0005-0000-0000-00009E000000}"/>
    <cellStyle name="20% - uthevingsfarge 1 109 4" xfId="4144" xr:uid="{00000000-0005-0000-0000-00009F000000}"/>
    <cellStyle name="20% - uthevingsfarge 1 109 5" xfId="6026" xr:uid="{00000000-0005-0000-0000-0000A0000000}"/>
    <cellStyle name="20% - uthevingsfarge 1 109 6" xfId="8621" xr:uid="{00000000-0005-0000-0000-0000A1000000}"/>
    <cellStyle name="20% - uthevingsfarge 1 11" xfId="139" xr:uid="{00000000-0005-0000-0000-0000A2000000}"/>
    <cellStyle name="20% - uthevingsfarge 1 11 2" xfId="140" xr:uid="{00000000-0005-0000-0000-0000A3000000}"/>
    <cellStyle name="20% - uthevingsfarge 1 11 2 2" xfId="5254" xr:uid="{00000000-0005-0000-0000-0000A4000000}"/>
    <cellStyle name="20% - uthevingsfarge 1 11 2 2 2" xfId="7887" xr:uid="{00000000-0005-0000-0000-0000A5000000}"/>
    <cellStyle name="20% - uthevingsfarge 1 11 2 3" xfId="9722" xr:uid="{00000000-0005-0000-0000-0000A6000000}"/>
    <cellStyle name="20% - uthevingsfarge 1 11 3" xfId="4533" xr:uid="{00000000-0005-0000-0000-0000A7000000}"/>
    <cellStyle name="20% - uthevingsfarge 1 11 3 2" xfId="7206" xr:uid="{00000000-0005-0000-0000-0000A8000000}"/>
    <cellStyle name="20% - uthevingsfarge 1 11 4" xfId="9200" xr:uid="{00000000-0005-0000-0000-0000A9000000}"/>
    <cellStyle name="20% - uthevingsfarge 1 110" xfId="6587" xr:uid="{00000000-0005-0000-0000-0000AA000000}"/>
    <cellStyle name="20% - uthevingsfarge 1 111" xfId="8590" xr:uid="{00000000-0005-0000-0000-0000AB000000}"/>
    <cellStyle name="20% - uthevingsfarge 1 12" xfId="141" xr:uid="{00000000-0005-0000-0000-0000AC000000}"/>
    <cellStyle name="20% - uthevingsfarge 1 12 2" xfId="142" xr:uid="{00000000-0005-0000-0000-0000AD000000}"/>
    <cellStyle name="20% - uthevingsfarge 1 12 2 2" xfId="5255" xr:uid="{00000000-0005-0000-0000-0000AE000000}"/>
    <cellStyle name="20% - uthevingsfarge 1 12 2 2 2" xfId="7888" xr:uid="{00000000-0005-0000-0000-0000AF000000}"/>
    <cellStyle name="20% - uthevingsfarge 1 12 2 3" xfId="9985" xr:uid="{00000000-0005-0000-0000-0000B0000000}"/>
    <cellStyle name="20% - uthevingsfarge 1 12 3" xfId="4532" xr:uid="{00000000-0005-0000-0000-0000B1000000}"/>
    <cellStyle name="20% - uthevingsfarge 1 12 3 2" xfId="7205" xr:uid="{00000000-0005-0000-0000-0000B2000000}"/>
    <cellStyle name="20% - uthevingsfarge 1 12 4" xfId="9199" xr:uid="{00000000-0005-0000-0000-0000B3000000}"/>
    <cellStyle name="20% - uthevingsfarge 1 13" xfId="143" xr:uid="{00000000-0005-0000-0000-0000B4000000}"/>
    <cellStyle name="20% - uthevingsfarge 1 13 2" xfId="144" xr:uid="{00000000-0005-0000-0000-0000B5000000}"/>
    <cellStyle name="20% - uthevingsfarge 1 13 2 2" xfId="5256" xr:uid="{00000000-0005-0000-0000-0000B6000000}"/>
    <cellStyle name="20% - uthevingsfarge 1 13 2 2 2" xfId="7889" xr:uid="{00000000-0005-0000-0000-0000B7000000}"/>
    <cellStyle name="20% - uthevingsfarge 1 13 2 3" xfId="9984" xr:uid="{00000000-0005-0000-0000-0000B8000000}"/>
    <cellStyle name="20% - uthevingsfarge 1 13 3" xfId="4531" xr:uid="{00000000-0005-0000-0000-0000B9000000}"/>
    <cellStyle name="20% - uthevingsfarge 1 13 3 2" xfId="7204" xr:uid="{00000000-0005-0000-0000-0000BA000000}"/>
    <cellStyle name="20% - uthevingsfarge 1 13 4" xfId="9989" xr:uid="{00000000-0005-0000-0000-0000BB000000}"/>
    <cellStyle name="20% - uthevingsfarge 1 14" xfId="145" xr:uid="{00000000-0005-0000-0000-0000BC000000}"/>
    <cellStyle name="20% - uthevingsfarge 1 14 2" xfId="146" xr:uid="{00000000-0005-0000-0000-0000BD000000}"/>
    <cellStyle name="20% - uthevingsfarge 1 14 2 2" xfId="5257" xr:uid="{00000000-0005-0000-0000-0000BE000000}"/>
    <cellStyle name="20% - uthevingsfarge 1 14 2 2 2" xfId="7890" xr:uid="{00000000-0005-0000-0000-0000BF000000}"/>
    <cellStyle name="20% - uthevingsfarge 1 14 2 3" xfId="10723" xr:uid="{00000000-0005-0000-0000-0000C0000000}"/>
    <cellStyle name="20% - uthevingsfarge 1 14 3" xfId="4530" xr:uid="{00000000-0005-0000-0000-0000C1000000}"/>
    <cellStyle name="20% - uthevingsfarge 1 14 3 2" xfId="7203" xr:uid="{00000000-0005-0000-0000-0000C2000000}"/>
    <cellStyle name="20% - uthevingsfarge 1 14 4" xfId="9983" xr:uid="{00000000-0005-0000-0000-0000C3000000}"/>
    <cellStyle name="20% - uthevingsfarge 1 15" xfId="147" xr:uid="{00000000-0005-0000-0000-0000C4000000}"/>
    <cellStyle name="20% - uthevingsfarge 1 15 2" xfId="148" xr:uid="{00000000-0005-0000-0000-0000C5000000}"/>
    <cellStyle name="20% - uthevingsfarge 1 15 2 2" xfId="5258" xr:uid="{00000000-0005-0000-0000-0000C6000000}"/>
    <cellStyle name="20% - uthevingsfarge 1 15 2 2 2" xfId="7891" xr:uid="{00000000-0005-0000-0000-0000C7000000}"/>
    <cellStyle name="20% - uthevingsfarge 1 15 2 3" xfId="9721" xr:uid="{00000000-0005-0000-0000-0000C8000000}"/>
    <cellStyle name="20% - uthevingsfarge 1 15 3" xfId="4529" xr:uid="{00000000-0005-0000-0000-0000C9000000}"/>
    <cellStyle name="20% - uthevingsfarge 1 15 3 2" xfId="7202" xr:uid="{00000000-0005-0000-0000-0000CA000000}"/>
    <cellStyle name="20% - uthevingsfarge 1 15 4" xfId="9720" xr:uid="{00000000-0005-0000-0000-0000CB000000}"/>
    <cellStyle name="20% - uthevingsfarge 1 16" xfId="149" xr:uid="{00000000-0005-0000-0000-0000CC000000}"/>
    <cellStyle name="20% - uthevingsfarge 1 16 2" xfId="150" xr:uid="{00000000-0005-0000-0000-0000CD000000}"/>
    <cellStyle name="20% - uthevingsfarge 1 16 2 2" xfId="5259" xr:uid="{00000000-0005-0000-0000-0000CE000000}"/>
    <cellStyle name="20% - uthevingsfarge 1 16 2 2 2" xfId="7892" xr:uid="{00000000-0005-0000-0000-0000CF000000}"/>
    <cellStyle name="20% - uthevingsfarge 1 16 2 3" xfId="9719" xr:uid="{00000000-0005-0000-0000-0000D0000000}"/>
    <cellStyle name="20% - uthevingsfarge 1 16 3" xfId="4528" xr:uid="{00000000-0005-0000-0000-0000D1000000}"/>
    <cellStyle name="20% - uthevingsfarge 1 16 3 2" xfId="7201" xr:uid="{00000000-0005-0000-0000-0000D2000000}"/>
    <cellStyle name="20% - uthevingsfarge 1 16 4" xfId="10722" xr:uid="{00000000-0005-0000-0000-0000D3000000}"/>
    <cellStyle name="20% - uthevingsfarge 1 17" xfId="151" xr:uid="{00000000-0005-0000-0000-0000D4000000}"/>
    <cellStyle name="20% - uthevingsfarge 1 17 2" xfId="152" xr:uid="{00000000-0005-0000-0000-0000D5000000}"/>
    <cellStyle name="20% - uthevingsfarge 1 17 2 2" xfId="5260" xr:uid="{00000000-0005-0000-0000-0000D6000000}"/>
    <cellStyle name="20% - uthevingsfarge 1 17 2 2 2" xfId="7893" xr:uid="{00000000-0005-0000-0000-0000D7000000}"/>
    <cellStyle name="20% - uthevingsfarge 1 17 2 3" xfId="10729" xr:uid="{00000000-0005-0000-0000-0000D8000000}"/>
    <cellStyle name="20% - uthevingsfarge 1 17 3" xfId="4527" xr:uid="{00000000-0005-0000-0000-0000D9000000}"/>
    <cellStyle name="20% - uthevingsfarge 1 17 3 2" xfId="7200" xr:uid="{00000000-0005-0000-0000-0000DA000000}"/>
    <cellStyle name="20% - uthevingsfarge 1 17 4" xfId="9982" xr:uid="{00000000-0005-0000-0000-0000DB000000}"/>
    <cellStyle name="20% - uthevingsfarge 1 18" xfId="153" xr:uid="{00000000-0005-0000-0000-0000DC000000}"/>
    <cellStyle name="20% - uthevingsfarge 1 18 2" xfId="154" xr:uid="{00000000-0005-0000-0000-0000DD000000}"/>
    <cellStyle name="20% - uthevingsfarge 1 18 2 2" xfId="5261" xr:uid="{00000000-0005-0000-0000-0000DE000000}"/>
    <cellStyle name="20% - uthevingsfarge 1 18 2 2 2" xfId="7894" xr:uid="{00000000-0005-0000-0000-0000DF000000}"/>
    <cellStyle name="20% - uthevingsfarge 1 18 2 3" xfId="10725" xr:uid="{00000000-0005-0000-0000-0000E0000000}"/>
    <cellStyle name="20% - uthevingsfarge 1 18 3" xfId="4526" xr:uid="{00000000-0005-0000-0000-0000E1000000}"/>
    <cellStyle name="20% - uthevingsfarge 1 18 3 2" xfId="7199" xr:uid="{00000000-0005-0000-0000-0000E2000000}"/>
    <cellStyle name="20% - uthevingsfarge 1 18 4" xfId="10724" xr:uid="{00000000-0005-0000-0000-0000E3000000}"/>
    <cellStyle name="20% - uthevingsfarge 1 19" xfId="155" xr:uid="{00000000-0005-0000-0000-0000E4000000}"/>
    <cellStyle name="20% - uthevingsfarge 1 19 2" xfId="156" xr:uid="{00000000-0005-0000-0000-0000E5000000}"/>
    <cellStyle name="20% - uthevingsfarge 1 19 2 2" xfId="5262" xr:uid="{00000000-0005-0000-0000-0000E6000000}"/>
    <cellStyle name="20% - uthevingsfarge 1 19 2 2 2" xfId="7895" xr:uid="{00000000-0005-0000-0000-0000E7000000}"/>
    <cellStyle name="20% - uthevingsfarge 1 19 2 3" xfId="10308" xr:uid="{00000000-0005-0000-0000-0000E8000000}"/>
    <cellStyle name="20% - uthevingsfarge 1 19 3" xfId="4525" xr:uid="{00000000-0005-0000-0000-0000E9000000}"/>
    <cellStyle name="20% - uthevingsfarge 1 19 3 2" xfId="7198" xr:uid="{00000000-0005-0000-0000-0000EA000000}"/>
    <cellStyle name="20% - uthevingsfarge 1 19 4" xfId="10459" xr:uid="{00000000-0005-0000-0000-0000EB000000}"/>
    <cellStyle name="20% - uthevingsfarge 1 2" xfId="61" xr:uid="{00000000-0005-0000-0000-0000EC000000}"/>
    <cellStyle name="20% - uthevingsfarge 1 2 2" xfId="157" xr:uid="{00000000-0005-0000-0000-0000ED000000}"/>
    <cellStyle name="20% - uthevingsfarge 1 2 2 2" xfId="5263" xr:uid="{00000000-0005-0000-0000-0000EE000000}"/>
    <cellStyle name="20% - uthevingsfarge 1 2 2 2 2" xfId="7896" xr:uid="{00000000-0005-0000-0000-0000EF000000}"/>
    <cellStyle name="20% - uthevingsfarge 1 2 2 3" xfId="9959" xr:uid="{00000000-0005-0000-0000-0000F0000000}"/>
    <cellStyle name="20% - uthevingsfarge 1 2 3" xfId="4524" xr:uid="{00000000-0005-0000-0000-0000F1000000}"/>
    <cellStyle name="20% - uthevingsfarge 1 2 3 2" xfId="7197" xr:uid="{00000000-0005-0000-0000-0000F2000000}"/>
    <cellStyle name="20% - uthevingsfarge 1 2 4" xfId="9868" xr:uid="{00000000-0005-0000-0000-0000F3000000}"/>
    <cellStyle name="20% - uthevingsfarge 1 20" xfId="158" xr:uid="{00000000-0005-0000-0000-0000F4000000}"/>
    <cellStyle name="20% - uthevingsfarge 1 20 2" xfId="159" xr:uid="{00000000-0005-0000-0000-0000F5000000}"/>
    <cellStyle name="20% - uthevingsfarge 1 20 2 2" xfId="5264" xr:uid="{00000000-0005-0000-0000-0000F6000000}"/>
    <cellStyle name="20% - uthevingsfarge 1 20 2 2 2" xfId="7897" xr:uid="{00000000-0005-0000-0000-0000F7000000}"/>
    <cellStyle name="20% - uthevingsfarge 1 20 2 3" xfId="10307" xr:uid="{00000000-0005-0000-0000-0000F8000000}"/>
    <cellStyle name="20% - uthevingsfarge 1 20 3" xfId="4523" xr:uid="{00000000-0005-0000-0000-0000F9000000}"/>
    <cellStyle name="20% - uthevingsfarge 1 20 3 2" xfId="7196" xr:uid="{00000000-0005-0000-0000-0000FA000000}"/>
    <cellStyle name="20% - uthevingsfarge 1 20 4" xfId="10458" xr:uid="{00000000-0005-0000-0000-0000FB000000}"/>
    <cellStyle name="20% - uthevingsfarge 1 21" xfId="160" xr:uid="{00000000-0005-0000-0000-0000FC000000}"/>
    <cellStyle name="20% - uthevingsfarge 1 21 2" xfId="161" xr:uid="{00000000-0005-0000-0000-0000FD000000}"/>
    <cellStyle name="20% - uthevingsfarge 1 21 2 2" xfId="5265" xr:uid="{00000000-0005-0000-0000-0000FE000000}"/>
    <cellStyle name="20% - uthevingsfarge 1 21 2 2 2" xfId="7898" xr:uid="{00000000-0005-0000-0000-0000FF000000}"/>
    <cellStyle name="20% - uthevingsfarge 1 21 2 3" xfId="9958" xr:uid="{00000000-0005-0000-0000-000000010000}"/>
    <cellStyle name="20% - uthevingsfarge 1 21 3" xfId="4522" xr:uid="{00000000-0005-0000-0000-000001010000}"/>
    <cellStyle name="20% - uthevingsfarge 1 21 3 2" xfId="7195" xr:uid="{00000000-0005-0000-0000-000002010000}"/>
    <cellStyle name="20% - uthevingsfarge 1 21 4" xfId="9867" xr:uid="{00000000-0005-0000-0000-000003010000}"/>
    <cellStyle name="20% - uthevingsfarge 1 22" xfId="162" xr:uid="{00000000-0005-0000-0000-000004010000}"/>
    <cellStyle name="20% - uthevingsfarge 1 22 2" xfId="163" xr:uid="{00000000-0005-0000-0000-000005010000}"/>
    <cellStyle name="20% - uthevingsfarge 1 22 2 2" xfId="5266" xr:uid="{00000000-0005-0000-0000-000006010000}"/>
    <cellStyle name="20% - uthevingsfarge 1 22 2 2 2" xfId="7899" xr:uid="{00000000-0005-0000-0000-000007010000}"/>
    <cellStyle name="20% - uthevingsfarge 1 22 2 3" xfId="10306" xr:uid="{00000000-0005-0000-0000-000008010000}"/>
    <cellStyle name="20% - uthevingsfarge 1 22 3" xfId="4521" xr:uid="{00000000-0005-0000-0000-000009010000}"/>
    <cellStyle name="20% - uthevingsfarge 1 22 3 2" xfId="7194" xr:uid="{00000000-0005-0000-0000-00000A010000}"/>
    <cellStyle name="20% - uthevingsfarge 1 22 4" xfId="10457" xr:uid="{00000000-0005-0000-0000-00000B010000}"/>
    <cellStyle name="20% - uthevingsfarge 1 23" xfId="164" xr:uid="{00000000-0005-0000-0000-00000C010000}"/>
    <cellStyle name="20% - uthevingsfarge 1 23 2" xfId="165" xr:uid="{00000000-0005-0000-0000-00000D010000}"/>
    <cellStyle name="20% - uthevingsfarge 1 23 2 2" xfId="5267" xr:uid="{00000000-0005-0000-0000-00000E010000}"/>
    <cellStyle name="20% - uthevingsfarge 1 23 2 2 2" xfId="7900" xr:uid="{00000000-0005-0000-0000-00000F010000}"/>
    <cellStyle name="20% - uthevingsfarge 1 23 2 3" xfId="9957" xr:uid="{00000000-0005-0000-0000-000010010000}"/>
    <cellStyle name="20% - uthevingsfarge 1 23 3" xfId="4520" xr:uid="{00000000-0005-0000-0000-000011010000}"/>
    <cellStyle name="20% - uthevingsfarge 1 23 3 2" xfId="7193" xr:uid="{00000000-0005-0000-0000-000012010000}"/>
    <cellStyle name="20% - uthevingsfarge 1 23 4" xfId="9866" xr:uid="{00000000-0005-0000-0000-000013010000}"/>
    <cellStyle name="20% - uthevingsfarge 1 24" xfId="166" xr:uid="{00000000-0005-0000-0000-000014010000}"/>
    <cellStyle name="20% - uthevingsfarge 1 24 2" xfId="167" xr:uid="{00000000-0005-0000-0000-000015010000}"/>
    <cellStyle name="20% - uthevingsfarge 1 24 2 2" xfId="5268" xr:uid="{00000000-0005-0000-0000-000016010000}"/>
    <cellStyle name="20% - uthevingsfarge 1 24 2 2 2" xfId="7901" xr:uid="{00000000-0005-0000-0000-000017010000}"/>
    <cellStyle name="20% - uthevingsfarge 1 24 2 3" xfId="10305" xr:uid="{00000000-0005-0000-0000-000018010000}"/>
    <cellStyle name="20% - uthevingsfarge 1 24 3" xfId="4519" xr:uid="{00000000-0005-0000-0000-000019010000}"/>
    <cellStyle name="20% - uthevingsfarge 1 24 3 2" xfId="7192" xr:uid="{00000000-0005-0000-0000-00001A010000}"/>
    <cellStyle name="20% - uthevingsfarge 1 24 4" xfId="10456" xr:uid="{00000000-0005-0000-0000-00001B010000}"/>
    <cellStyle name="20% - uthevingsfarge 1 25" xfId="168" xr:uid="{00000000-0005-0000-0000-00001C010000}"/>
    <cellStyle name="20% - uthevingsfarge 1 25 2" xfId="169" xr:uid="{00000000-0005-0000-0000-00001D010000}"/>
    <cellStyle name="20% - uthevingsfarge 1 25 2 2" xfId="5269" xr:uid="{00000000-0005-0000-0000-00001E010000}"/>
    <cellStyle name="20% - uthevingsfarge 1 25 2 2 2" xfId="7902" xr:uid="{00000000-0005-0000-0000-00001F010000}"/>
    <cellStyle name="20% - uthevingsfarge 1 25 2 3" xfId="9956" xr:uid="{00000000-0005-0000-0000-000020010000}"/>
    <cellStyle name="20% - uthevingsfarge 1 25 3" xfId="4518" xr:uid="{00000000-0005-0000-0000-000021010000}"/>
    <cellStyle name="20% - uthevingsfarge 1 25 3 2" xfId="7191" xr:uid="{00000000-0005-0000-0000-000022010000}"/>
    <cellStyle name="20% - uthevingsfarge 1 25 4" xfId="9865" xr:uid="{00000000-0005-0000-0000-000023010000}"/>
    <cellStyle name="20% - uthevingsfarge 1 26" xfId="170" xr:uid="{00000000-0005-0000-0000-000024010000}"/>
    <cellStyle name="20% - uthevingsfarge 1 26 2" xfId="171" xr:uid="{00000000-0005-0000-0000-000025010000}"/>
    <cellStyle name="20% - uthevingsfarge 1 26 2 2" xfId="5270" xr:uid="{00000000-0005-0000-0000-000026010000}"/>
    <cellStyle name="20% - uthevingsfarge 1 26 2 2 2" xfId="7903" xr:uid="{00000000-0005-0000-0000-000027010000}"/>
    <cellStyle name="20% - uthevingsfarge 1 26 2 3" xfId="10304" xr:uid="{00000000-0005-0000-0000-000028010000}"/>
    <cellStyle name="20% - uthevingsfarge 1 26 3" xfId="4517" xr:uid="{00000000-0005-0000-0000-000029010000}"/>
    <cellStyle name="20% - uthevingsfarge 1 26 3 2" xfId="7190" xr:uid="{00000000-0005-0000-0000-00002A010000}"/>
    <cellStyle name="20% - uthevingsfarge 1 26 4" xfId="10455" xr:uid="{00000000-0005-0000-0000-00002B010000}"/>
    <cellStyle name="20% - uthevingsfarge 1 27" xfId="172" xr:uid="{00000000-0005-0000-0000-00002C010000}"/>
    <cellStyle name="20% - uthevingsfarge 1 27 2" xfId="173" xr:uid="{00000000-0005-0000-0000-00002D010000}"/>
    <cellStyle name="20% - uthevingsfarge 1 27 2 2" xfId="5271" xr:uid="{00000000-0005-0000-0000-00002E010000}"/>
    <cellStyle name="20% - uthevingsfarge 1 27 2 2 2" xfId="7904" xr:uid="{00000000-0005-0000-0000-00002F010000}"/>
    <cellStyle name="20% - uthevingsfarge 1 27 2 3" xfId="9932" xr:uid="{00000000-0005-0000-0000-000030010000}"/>
    <cellStyle name="20% - uthevingsfarge 1 27 3" xfId="4516" xr:uid="{00000000-0005-0000-0000-000031010000}"/>
    <cellStyle name="20% - uthevingsfarge 1 27 3 2" xfId="7189" xr:uid="{00000000-0005-0000-0000-000032010000}"/>
    <cellStyle name="20% - uthevingsfarge 1 27 4" xfId="9864" xr:uid="{00000000-0005-0000-0000-000033010000}"/>
    <cellStyle name="20% - uthevingsfarge 1 28" xfId="174" xr:uid="{00000000-0005-0000-0000-000034010000}"/>
    <cellStyle name="20% - uthevingsfarge 1 28 2" xfId="175" xr:uid="{00000000-0005-0000-0000-000035010000}"/>
    <cellStyle name="20% - uthevingsfarge 1 28 2 2" xfId="5272" xr:uid="{00000000-0005-0000-0000-000036010000}"/>
    <cellStyle name="20% - uthevingsfarge 1 28 2 2 2" xfId="7905" xr:uid="{00000000-0005-0000-0000-000037010000}"/>
    <cellStyle name="20% - uthevingsfarge 1 28 2 3" xfId="10303" xr:uid="{00000000-0005-0000-0000-000038010000}"/>
    <cellStyle name="20% - uthevingsfarge 1 28 3" xfId="4515" xr:uid="{00000000-0005-0000-0000-000039010000}"/>
    <cellStyle name="20% - uthevingsfarge 1 28 3 2" xfId="7188" xr:uid="{00000000-0005-0000-0000-00003A010000}"/>
    <cellStyle name="20% - uthevingsfarge 1 28 4" xfId="10454" xr:uid="{00000000-0005-0000-0000-00003B010000}"/>
    <cellStyle name="20% - uthevingsfarge 1 29" xfId="176" xr:uid="{00000000-0005-0000-0000-00003C010000}"/>
    <cellStyle name="20% - uthevingsfarge 1 29 2" xfId="177" xr:uid="{00000000-0005-0000-0000-00003D010000}"/>
    <cellStyle name="20% - uthevingsfarge 1 29 2 2" xfId="5273" xr:uid="{00000000-0005-0000-0000-00003E010000}"/>
    <cellStyle name="20% - uthevingsfarge 1 29 2 2 2" xfId="7906" xr:uid="{00000000-0005-0000-0000-00003F010000}"/>
    <cellStyle name="20% - uthevingsfarge 1 29 2 3" xfId="9872" xr:uid="{00000000-0005-0000-0000-000040010000}"/>
    <cellStyle name="20% - uthevingsfarge 1 29 3" xfId="4514" xr:uid="{00000000-0005-0000-0000-000041010000}"/>
    <cellStyle name="20% - uthevingsfarge 1 29 3 2" xfId="7187" xr:uid="{00000000-0005-0000-0000-000042010000}"/>
    <cellStyle name="20% - uthevingsfarge 1 29 4" xfId="9863" xr:uid="{00000000-0005-0000-0000-000043010000}"/>
    <cellStyle name="20% - uthevingsfarge 1 3" xfId="178" xr:uid="{00000000-0005-0000-0000-000044010000}"/>
    <cellStyle name="20% - uthevingsfarge 1 3 2" xfId="179" xr:uid="{00000000-0005-0000-0000-000045010000}"/>
    <cellStyle name="20% - uthevingsfarge 1 3 2 2" xfId="5274" xr:uid="{00000000-0005-0000-0000-000046010000}"/>
    <cellStyle name="20% - uthevingsfarge 1 3 2 2 2" xfId="7907" xr:uid="{00000000-0005-0000-0000-000047010000}"/>
    <cellStyle name="20% - uthevingsfarge 1 3 2 3" xfId="10302" xr:uid="{00000000-0005-0000-0000-000048010000}"/>
    <cellStyle name="20% - uthevingsfarge 1 3 3" xfId="4513" xr:uid="{00000000-0005-0000-0000-000049010000}"/>
    <cellStyle name="20% - uthevingsfarge 1 3 3 2" xfId="7186" xr:uid="{00000000-0005-0000-0000-00004A010000}"/>
    <cellStyle name="20% - uthevingsfarge 1 3 4" xfId="10453" xr:uid="{00000000-0005-0000-0000-00004B010000}"/>
    <cellStyle name="20% - uthevingsfarge 1 30" xfId="180" xr:uid="{00000000-0005-0000-0000-00004C010000}"/>
    <cellStyle name="20% - uthevingsfarge 1 30 2" xfId="181" xr:uid="{00000000-0005-0000-0000-00004D010000}"/>
    <cellStyle name="20% - uthevingsfarge 1 30 2 2" xfId="5275" xr:uid="{00000000-0005-0000-0000-00004E010000}"/>
    <cellStyle name="20% - uthevingsfarge 1 30 2 2 2" xfId="7908" xr:uid="{00000000-0005-0000-0000-00004F010000}"/>
    <cellStyle name="20% - uthevingsfarge 1 30 2 3" xfId="9873" xr:uid="{00000000-0005-0000-0000-000050010000}"/>
    <cellStyle name="20% - uthevingsfarge 1 30 3" xfId="4512" xr:uid="{00000000-0005-0000-0000-000051010000}"/>
    <cellStyle name="20% - uthevingsfarge 1 30 3 2" xfId="7185" xr:uid="{00000000-0005-0000-0000-000052010000}"/>
    <cellStyle name="20% - uthevingsfarge 1 30 4" xfId="9862" xr:uid="{00000000-0005-0000-0000-000053010000}"/>
    <cellStyle name="20% - uthevingsfarge 1 31" xfId="182" xr:uid="{00000000-0005-0000-0000-000054010000}"/>
    <cellStyle name="20% - uthevingsfarge 1 31 2" xfId="183" xr:uid="{00000000-0005-0000-0000-000055010000}"/>
    <cellStyle name="20% - uthevingsfarge 1 31 2 2" xfId="5276" xr:uid="{00000000-0005-0000-0000-000056010000}"/>
    <cellStyle name="20% - uthevingsfarge 1 31 2 2 2" xfId="7909" xr:uid="{00000000-0005-0000-0000-000057010000}"/>
    <cellStyle name="20% - uthevingsfarge 1 31 2 3" xfId="10301" xr:uid="{00000000-0005-0000-0000-000058010000}"/>
    <cellStyle name="20% - uthevingsfarge 1 31 3" xfId="4555" xr:uid="{00000000-0005-0000-0000-000059010000}"/>
    <cellStyle name="20% - uthevingsfarge 1 31 3 2" xfId="7208" xr:uid="{00000000-0005-0000-0000-00005A010000}"/>
    <cellStyle name="20% - uthevingsfarge 1 31 4" xfId="10452" xr:uid="{00000000-0005-0000-0000-00005B010000}"/>
    <cellStyle name="20% - uthevingsfarge 1 32" xfId="184" xr:uid="{00000000-0005-0000-0000-00005C010000}"/>
    <cellStyle name="20% - uthevingsfarge 1 32 2" xfId="185" xr:uid="{00000000-0005-0000-0000-00005D010000}"/>
    <cellStyle name="20% - uthevingsfarge 1 32 2 2" xfId="5277" xr:uid="{00000000-0005-0000-0000-00005E010000}"/>
    <cellStyle name="20% - uthevingsfarge 1 32 2 2 2" xfId="7910" xr:uid="{00000000-0005-0000-0000-00005F010000}"/>
    <cellStyle name="20% - uthevingsfarge 1 32 2 3" xfId="9874" xr:uid="{00000000-0005-0000-0000-000060010000}"/>
    <cellStyle name="20% - uthevingsfarge 1 32 3" xfId="4556" xr:uid="{00000000-0005-0000-0000-000061010000}"/>
    <cellStyle name="20% - uthevingsfarge 1 32 3 2" xfId="7209" xr:uid="{00000000-0005-0000-0000-000062010000}"/>
    <cellStyle name="20% - uthevingsfarge 1 32 4" xfId="9861" xr:uid="{00000000-0005-0000-0000-000063010000}"/>
    <cellStyle name="20% - uthevingsfarge 1 33" xfId="186" xr:uid="{00000000-0005-0000-0000-000064010000}"/>
    <cellStyle name="20% - uthevingsfarge 1 33 2" xfId="187" xr:uid="{00000000-0005-0000-0000-000065010000}"/>
    <cellStyle name="20% - uthevingsfarge 1 33 2 2" xfId="5278" xr:uid="{00000000-0005-0000-0000-000066010000}"/>
    <cellStyle name="20% - uthevingsfarge 1 33 2 2 2" xfId="7911" xr:uid="{00000000-0005-0000-0000-000067010000}"/>
    <cellStyle name="20% - uthevingsfarge 1 33 2 3" xfId="10300" xr:uid="{00000000-0005-0000-0000-000068010000}"/>
    <cellStyle name="20% - uthevingsfarge 1 33 3" xfId="4557" xr:uid="{00000000-0005-0000-0000-000069010000}"/>
    <cellStyle name="20% - uthevingsfarge 1 33 3 2" xfId="7210" xr:uid="{00000000-0005-0000-0000-00006A010000}"/>
    <cellStyle name="20% - uthevingsfarge 1 33 4" xfId="10451" xr:uid="{00000000-0005-0000-0000-00006B010000}"/>
    <cellStyle name="20% - uthevingsfarge 1 34" xfId="188" xr:uid="{00000000-0005-0000-0000-00006C010000}"/>
    <cellStyle name="20% - uthevingsfarge 1 34 2" xfId="189" xr:uid="{00000000-0005-0000-0000-00006D010000}"/>
    <cellStyle name="20% - uthevingsfarge 1 34 2 2" xfId="5279" xr:uid="{00000000-0005-0000-0000-00006E010000}"/>
    <cellStyle name="20% - uthevingsfarge 1 34 2 2 2" xfId="7912" xr:uid="{00000000-0005-0000-0000-00006F010000}"/>
    <cellStyle name="20% - uthevingsfarge 1 34 2 3" xfId="9927" xr:uid="{00000000-0005-0000-0000-000070010000}"/>
    <cellStyle name="20% - uthevingsfarge 1 34 3" xfId="4558" xr:uid="{00000000-0005-0000-0000-000071010000}"/>
    <cellStyle name="20% - uthevingsfarge 1 34 3 2" xfId="7211" xr:uid="{00000000-0005-0000-0000-000072010000}"/>
    <cellStyle name="20% - uthevingsfarge 1 34 4" xfId="9860" xr:uid="{00000000-0005-0000-0000-000073010000}"/>
    <cellStyle name="20% - uthevingsfarge 1 35" xfId="190" xr:uid="{00000000-0005-0000-0000-000074010000}"/>
    <cellStyle name="20% - uthevingsfarge 1 35 2" xfId="191" xr:uid="{00000000-0005-0000-0000-000075010000}"/>
    <cellStyle name="20% - uthevingsfarge 1 35 2 2" xfId="5280" xr:uid="{00000000-0005-0000-0000-000076010000}"/>
    <cellStyle name="20% - uthevingsfarge 1 35 2 2 2" xfId="7913" xr:uid="{00000000-0005-0000-0000-000077010000}"/>
    <cellStyle name="20% - uthevingsfarge 1 35 2 3" xfId="10461" xr:uid="{00000000-0005-0000-0000-000078010000}"/>
    <cellStyle name="20% - uthevingsfarge 1 35 3" xfId="4559" xr:uid="{00000000-0005-0000-0000-000079010000}"/>
    <cellStyle name="20% - uthevingsfarge 1 35 3 2" xfId="7212" xr:uid="{00000000-0005-0000-0000-00007A010000}"/>
    <cellStyle name="20% - uthevingsfarge 1 35 4" xfId="10552" xr:uid="{00000000-0005-0000-0000-00007B010000}"/>
    <cellStyle name="20% - uthevingsfarge 1 36" xfId="192" xr:uid="{00000000-0005-0000-0000-00007C010000}"/>
    <cellStyle name="20% - uthevingsfarge 1 36 2" xfId="193" xr:uid="{00000000-0005-0000-0000-00007D010000}"/>
    <cellStyle name="20% - uthevingsfarge 1 36 2 2" xfId="5281" xr:uid="{00000000-0005-0000-0000-00007E010000}"/>
    <cellStyle name="20% - uthevingsfarge 1 36 2 2 2" xfId="7914" xr:uid="{00000000-0005-0000-0000-00007F010000}"/>
    <cellStyle name="20% - uthevingsfarge 1 36 2 3" xfId="10649" xr:uid="{00000000-0005-0000-0000-000080010000}"/>
    <cellStyle name="20% - uthevingsfarge 1 36 3" xfId="4560" xr:uid="{00000000-0005-0000-0000-000081010000}"/>
    <cellStyle name="20% - uthevingsfarge 1 36 3 2" xfId="7213" xr:uid="{00000000-0005-0000-0000-000082010000}"/>
    <cellStyle name="20% - uthevingsfarge 1 36 4" xfId="9718" xr:uid="{00000000-0005-0000-0000-000083010000}"/>
    <cellStyle name="20% - uthevingsfarge 1 37" xfId="194" xr:uid="{00000000-0005-0000-0000-000084010000}"/>
    <cellStyle name="20% - uthevingsfarge 1 37 2" xfId="195" xr:uid="{00000000-0005-0000-0000-000085010000}"/>
    <cellStyle name="20% - uthevingsfarge 1 37 2 2" xfId="5282" xr:uid="{00000000-0005-0000-0000-000086010000}"/>
    <cellStyle name="20% - uthevingsfarge 1 37 2 2 2" xfId="7915" xr:uid="{00000000-0005-0000-0000-000087010000}"/>
    <cellStyle name="20% - uthevingsfarge 1 37 2 3" xfId="9717" xr:uid="{00000000-0005-0000-0000-000088010000}"/>
    <cellStyle name="20% - uthevingsfarge 1 37 3" xfId="4561" xr:uid="{00000000-0005-0000-0000-000089010000}"/>
    <cellStyle name="20% - uthevingsfarge 1 37 3 2" xfId="7214" xr:uid="{00000000-0005-0000-0000-00008A010000}"/>
    <cellStyle name="20% - uthevingsfarge 1 37 4" xfId="9716" xr:uid="{00000000-0005-0000-0000-00008B010000}"/>
    <cellStyle name="20% - uthevingsfarge 1 38" xfId="196" xr:uid="{00000000-0005-0000-0000-00008C010000}"/>
    <cellStyle name="20% - uthevingsfarge 1 38 2" xfId="197" xr:uid="{00000000-0005-0000-0000-00008D010000}"/>
    <cellStyle name="20% - uthevingsfarge 1 38 2 2" xfId="5283" xr:uid="{00000000-0005-0000-0000-00008E010000}"/>
    <cellStyle name="20% - uthevingsfarge 1 38 2 2 2" xfId="7916" xr:uid="{00000000-0005-0000-0000-00008F010000}"/>
    <cellStyle name="20% - uthevingsfarge 1 38 2 3" xfId="9715" xr:uid="{00000000-0005-0000-0000-000090010000}"/>
    <cellStyle name="20% - uthevingsfarge 1 38 3" xfId="4562" xr:uid="{00000000-0005-0000-0000-000091010000}"/>
    <cellStyle name="20% - uthevingsfarge 1 38 3 2" xfId="7215" xr:uid="{00000000-0005-0000-0000-000092010000}"/>
    <cellStyle name="20% - uthevingsfarge 1 38 4" xfId="9992" xr:uid="{00000000-0005-0000-0000-000093010000}"/>
    <cellStyle name="20% - uthevingsfarge 1 39" xfId="198" xr:uid="{00000000-0005-0000-0000-000094010000}"/>
    <cellStyle name="20% - uthevingsfarge 1 39 2" xfId="199" xr:uid="{00000000-0005-0000-0000-000095010000}"/>
    <cellStyle name="20% - uthevingsfarge 1 39 2 2" xfId="5284" xr:uid="{00000000-0005-0000-0000-000096010000}"/>
    <cellStyle name="20% - uthevingsfarge 1 39 2 2 2" xfId="7917" xr:uid="{00000000-0005-0000-0000-000097010000}"/>
    <cellStyle name="20% - uthevingsfarge 1 39 2 3" xfId="9714" xr:uid="{00000000-0005-0000-0000-000098010000}"/>
    <cellStyle name="20% - uthevingsfarge 1 39 3" xfId="4563" xr:uid="{00000000-0005-0000-0000-000099010000}"/>
    <cellStyle name="20% - uthevingsfarge 1 39 3 2" xfId="7216" xr:uid="{00000000-0005-0000-0000-00009A010000}"/>
    <cellStyle name="20% - uthevingsfarge 1 39 4" xfId="9223" xr:uid="{00000000-0005-0000-0000-00009B010000}"/>
    <cellStyle name="20% - uthevingsfarge 1 4" xfId="200" xr:uid="{00000000-0005-0000-0000-00009C010000}"/>
    <cellStyle name="20% - uthevingsfarge 1 4 2" xfId="201" xr:uid="{00000000-0005-0000-0000-00009D010000}"/>
    <cellStyle name="20% - uthevingsfarge 1 4 2 2" xfId="5285" xr:uid="{00000000-0005-0000-0000-00009E010000}"/>
    <cellStyle name="20% - uthevingsfarge 1 4 2 2 2" xfId="7918" xr:uid="{00000000-0005-0000-0000-00009F010000}"/>
    <cellStyle name="20% - uthevingsfarge 1 4 2 3" xfId="9713" xr:uid="{00000000-0005-0000-0000-0000A0010000}"/>
    <cellStyle name="20% - uthevingsfarge 1 4 3" xfId="4564" xr:uid="{00000000-0005-0000-0000-0000A1010000}"/>
    <cellStyle name="20% - uthevingsfarge 1 4 3 2" xfId="7217" xr:uid="{00000000-0005-0000-0000-0000A2010000}"/>
    <cellStyle name="20% - uthevingsfarge 1 4 4" xfId="9712" xr:uid="{00000000-0005-0000-0000-0000A3010000}"/>
    <cellStyle name="20% - uthevingsfarge 1 40" xfId="202" xr:uid="{00000000-0005-0000-0000-0000A4010000}"/>
    <cellStyle name="20% - uthevingsfarge 1 40 2" xfId="203" xr:uid="{00000000-0005-0000-0000-0000A5010000}"/>
    <cellStyle name="20% - uthevingsfarge 1 40 2 2" xfId="5286" xr:uid="{00000000-0005-0000-0000-0000A6010000}"/>
    <cellStyle name="20% - uthevingsfarge 1 40 2 2 2" xfId="7919" xr:uid="{00000000-0005-0000-0000-0000A7010000}"/>
    <cellStyle name="20% - uthevingsfarge 1 40 2 3" xfId="9711" xr:uid="{00000000-0005-0000-0000-0000A8010000}"/>
    <cellStyle name="20% - uthevingsfarge 1 40 3" xfId="4565" xr:uid="{00000000-0005-0000-0000-0000A9010000}"/>
    <cellStyle name="20% - uthevingsfarge 1 40 3 2" xfId="7218" xr:uid="{00000000-0005-0000-0000-0000AA010000}"/>
    <cellStyle name="20% - uthevingsfarge 1 40 4" xfId="9710" xr:uid="{00000000-0005-0000-0000-0000AB010000}"/>
    <cellStyle name="20% - uthevingsfarge 1 41" xfId="204" xr:uid="{00000000-0005-0000-0000-0000AC010000}"/>
    <cellStyle name="20% - uthevingsfarge 1 41 2" xfId="205" xr:uid="{00000000-0005-0000-0000-0000AD010000}"/>
    <cellStyle name="20% - uthevingsfarge 1 41 2 2" xfId="5287" xr:uid="{00000000-0005-0000-0000-0000AE010000}"/>
    <cellStyle name="20% - uthevingsfarge 1 41 2 2 2" xfId="7920" xr:uid="{00000000-0005-0000-0000-0000AF010000}"/>
    <cellStyle name="20% - uthevingsfarge 1 41 2 3" xfId="9990" xr:uid="{00000000-0005-0000-0000-0000B0010000}"/>
    <cellStyle name="20% - uthevingsfarge 1 41 3" xfId="4566" xr:uid="{00000000-0005-0000-0000-0000B1010000}"/>
    <cellStyle name="20% - uthevingsfarge 1 41 3 2" xfId="7219" xr:uid="{00000000-0005-0000-0000-0000B2010000}"/>
    <cellStyle name="20% - uthevingsfarge 1 41 4" xfId="10130" xr:uid="{00000000-0005-0000-0000-0000B3010000}"/>
    <cellStyle name="20% - uthevingsfarge 1 42" xfId="206" xr:uid="{00000000-0005-0000-0000-0000B4010000}"/>
    <cellStyle name="20% - uthevingsfarge 1 42 2" xfId="207" xr:uid="{00000000-0005-0000-0000-0000B5010000}"/>
    <cellStyle name="20% - uthevingsfarge 1 42 2 2" xfId="5288" xr:uid="{00000000-0005-0000-0000-0000B6010000}"/>
    <cellStyle name="20% - uthevingsfarge 1 42 2 2 2" xfId="7921" xr:uid="{00000000-0005-0000-0000-0000B7010000}"/>
    <cellStyle name="20% - uthevingsfarge 1 42 2 3" xfId="10008" xr:uid="{00000000-0005-0000-0000-0000B8010000}"/>
    <cellStyle name="20% - uthevingsfarge 1 42 3" xfId="4567" xr:uid="{00000000-0005-0000-0000-0000B9010000}"/>
    <cellStyle name="20% - uthevingsfarge 1 42 3 2" xfId="7220" xr:uid="{00000000-0005-0000-0000-0000BA010000}"/>
    <cellStyle name="20% - uthevingsfarge 1 42 4" xfId="9995" xr:uid="{00000000-0005-0000-0000-0000BB010000}"/>
    <cellStyle name="20% - uthevingsfarge 1 43" xfId="208" xr:uid="{00000000-0005-0000-0000-0000BC010000}"/>
    <cellStyle name="20% - uthevingsfarge 1 43 2" xfId="209" xr:uid="{00000000-0005-0000-0000-0000BD010000}"/>
    <cellStyle name="20% - uthevingsfarge 1 43 2 2" xfId="5289" xr:uid="{00000000-0005-0000-0000-0000BE010000}"/>
    <cellStyle name="20% - uthevingsfarge 1 43 2 2 2" xfId="7922" xr:uid="{00000000-0005-0000-0000-0000BF010000}"/>
    <cellStyle name="20% - uthevingsfarge 1 43 2 3" xfId="9709" xr:uid="{00000000-0005-0000-0000-0000C0010000}"/>
    <cellStyle name="20% - uthevingsfarge 1 43 3" xfId="4568" xr:uid="{00000000-0005-0000-0000-0000C1010000}"/>
    <cellStyle name="20% - uthevingsfarge 1 43 3 2" xfId="7221" xr:uid="{00000000-0005-0000-0000-0000C2010000}"/>
    <cellStyle name="20% - uthevingsfarge 1 43 4" xfId="9708" xr:uid="{00000000-0005-0000-0000-0000C3010000}"/>
    <cellStyle name="20% - uthevingsfarge 1 44" xfId="210" xr:uid="{00000000-0005-0000-0000-0000C4010000}"/>
    <cellStyle name="20% - uthevingsfarge 1 44 2" xfId="211" xr:uid="{00000000-0005-0000-0000-0000C5010000}"/>
    <cellStyle name="20% - uthevingsfarge 1 44 2 2" xfId="5290" xr:uid="{00000000-0005-0000-0000-0000C6010000}"/>
    <cellStyle name="20% - uthevingsfarge 1 44 2 2 2" xfId="7923" xr:uid="{00000000-0005-0000-0000-0000C7010000}"/>
    <cellStyle name="20% - uthevingsfarge 1 44 2 3" xfId="9707" xr:uid="{00000000-0005-0000-0000-0000C8010000}"/>
    <cellStyle name="20% - uthevingsfarge 1 44 3" xfId="4569" xr:uid="{00000000-0005-0000-0000-0000C9010000}"/>
    <cellStyle name="20% - uthevingsfarge 1 44 3 2" xfId="7222" xr:uid="{00000000-0005-0000-0000-0000CA010000}"/>
    <cellStyle name="20% - uthevingsfarge 1 44 4" xfId="9706" xr:uid="{00000000-0005-0000-0000-0000CB010000}"/>
    <cellStyle name="20% - uthevingsfarge 1 45" xfId="212" xr:uid="{00000000-0005-0000-0000-0000CC010000}"/>
    <cellStyle name="20% - uthevingsfarge 1 45 2" xfId="213" xr:uid="{00000000-0005-0000-0000-0000CD010000}"/>
    <cellStyle name="20% - uthevingsfarge 1 45 2 2" xfId="5291" xr:uid="{00000000-0005-0000-0000-0000CE010000}"/>
    <cellStyle name="20% - uthevingsfarge 1 45 2 2 2" xfId="7924" xr:uid="{00000000-0005-0000-0000-0000CF010000}"/>
    <cellStyle name="20% - uthevingsfarge 1 45 2 3" xfId="9705" xr:uid="{00000000-0005-0000-0000-0000D0010000}"/>
    <cellStyle name="20% - uthevingsfarge 1 45 3" xfId="4570" xr:uid="{00000000-0005-0000-0000-0000D1010000}"/>
    <cellStyle name="20% - uthevingsfarge 1 45 3 2" xfId="7223" xr:uid="{00000000-0005-0000-0000-0000D2010000}"/>
    <cellStyle name="20% - uthevingsfarge 1 45 4" xfId="9704" xr:uid="{00000000-0005-0000-0000-0000D3010000}"/>
    <cellStyle name="20% - uthevingsfarge 1 46" xfId="214" xr:uid="{00000000-0005-0000-0000-0000D4010000}"/>
    <cellStyle name="20% - uthevingsfarge 1 46 2" xfId="215" xr:uid="{00000000-0005-0000-0000-0000D5010000}"/>
    <cellStyle name="20% - uthevingsfarge 1 46 2 2" xfId="5292" xr:uid="{00000000-0005-0000-0000-0000D6010000}"/>
    <cellStyle name="20% - uthevingsfarge 1 46 2 2 2" xfId="7925" xr:uid="{00000000-0005-0000-0000-0000D7010000}"/>
    <cellStyle name="20% - uthevingsfarge 1 46 2 3" xfId="9703" xr:uid="{00000000-0005-0000-0000-0000D8010000}"/>
    <cellStyle name="20% - uthevingsfarge 1 46 3" xfId="4571" xr:uid="{00000000-0005-0000-0000-0000D9010000}"/>
    <cellStyle name="20% - uthevingsfarge 1 46 3 2" xfId="7224" xr:uid="{00000000-0005-0000-0000-0000DA010000}"/>
    <cellStyle name="20% - uthevingsfarge 1 46 4" xfId="9702" xr:uid="{00000000-0005-0000-0000-0000DB010000}"/>
    <cellStyle name="20% - uthevingsfarge 1 47" xfId="216" xr:uid="{00000000-0005-0000-0000-0000DC010000}"/>
    <cellStyle name="20% - uthevingsfarge 1 47 2" xfId="217" xr:uid="{00000000-0005-0000-0000-0000DD010000}"/>
    <cellStyle name="20% - uthevingsfarge 1 47 2 2" xfId="5293" xr:uid="{00000000-0005-0000-0000-0000DE010000}"/>
    <cellStyle name="20% - uthevingsfarge 1 47 2 2 2" xfId="7926" xr:uid="{00000000-0005-0000-0000-0000DF010000}"/>
    <cellStyle name="20% - uthevingsfarge 1 47 2 3" xfId="10128" xr:uid="{00000000-0005-0000-0000-0000E0010000}"/>
    <cellStyle name="20% - uthevingsfarge 1 47 3" xfId="4572" xr:uid="{00000000-0005-0000-0000-0000E1010000}"/>
    <cellStyle name="20% - uthevingsfarge 1 47 3 2" xfId="7225" xr:uid="{00000000-0005-0000-0000-0000E2010000}"/>
    <cellStyle name="20% - uthevingsfarge 1 47 4" xfId="10648" xr:uid="{00000000-0005-0000-0000-0000E3010000}"/>
    <cellStyle name="20% - uthevingsfarge 1 48" xfId="218" xr:uid="{00000000-0005-0000-0000-0000E4010000}"/>
    <cellStyle name="20% - uthevingsfarge 1 48 2" xfId="219" xr:uid="{00000000-0005-0000-0000-0000E5010000}"/>
    <cellStyle name="20% - uthevingsfarge 1 48 2 2" xfId="5294" xr:uid="{00000000-0005-0000-0000-0000E6010000}"/>
    <cellStyle name="20% - uthevingsfarge 1 48 2 2 2" xfId="7927" xr:uid="{00000000-0005-0000-0000-0000E7010000}"/>
    <cellStyle name="20% - uthevingsfarge 1 48 2 3" xfId="9994" xr:uid="{00000000-0005-0000-0000-0000E8010000}"/>
    <cellStyle name="20% - uthevingsfarge 1 48 3" xfId="4573" xr:uid="{00000000-0005-0000-0000-0000E9010000}"/>
    <cellStyle name="20% - uthevingsfarge 1 48 3 2" xfId="7226" xr:uid="{00000000-0005-0000-0000-0000EA010000}"/>
    <cellStyle name="20% - uthevingsfarge 1 48 4" xfId="10240" xr:uid="{00000000-0005-0000-0000-0000EB010000}"/>
    <cellStyle name="20% - uthevingsfarge 1 49" xfId="220" xr:uid="{00000000-0005-0000-0000-0000EC010000}"/>
    <cellStyle name="20% - uthevingsfarge 1 49 2" xfId="221" xr:uid="{00000000-0005-0000-0000-0000ED010000}"/>
    <cellStyle name="20% - uthevingsfarge 1 49 2 2" xfId="5295" xr:uid="{00000000-0005-0000-0000-0000EE010000}"/>
    <cellStyle name="20% - uthevingsfarge 1 49 2 2 2" xfId="7928" xr:uid="{00000000-0005-0000-0000-0000EF010000}"/>
    <cellStyle name="20% - uthevingsfarge 1 49 2 3" xfId="9701" xr:uid="{00000000-0005-0000-0000-0000F0010000}"/>
    <cellStyle name="20% - uthevingsfarge 1 49 3" xfId="4574" xr:uid="{00000000-0005-0000-0000-0000F1010000}"/>
    <cellStyle name="20% - uthevingsfarge 1 49 3 2" xfId="7227" xr:uid="{00000000-0005-0000-0000-0000F2010000}"/>
    <cellStyle name="20% - uthevingsfarge 1 49 4" xfId="9700" xr:uid="{00000000-0005-0000-0000-0000F3010000}"/>
    <cellStyle name="20% - uthevingsfarge 1 5" xfId="222" xr:uid="{00000000-0005-0000-0000-0000F4010000}"/>
    <cellStyle name="20% - uthevingsfarge 1 5 2" xfId="223" xr:uid="{00000000-0005-0000-0000-0000F5010000}"/>
    <cellStyle name="20% - uthevingsfarge 1 5 2 2" xfId="5296" xr:uid="{00000000-0005-0000-0000-0000F6010000}"/>
    <cellStyle name="20% - uthevingsfarge 1 5 2 2 2" xfId="7929" xr:uid="{00000000-0005-0000-0000-0000F7010000}"/>
    <cellStyle name="20% - uthevingsfarge 1 5 2 3" xfId="9699" xr:uid="{00000000-0005-0000-0000-0000F8010000}"/>
    <cellStyle name="20% - uthevingsfarge 1 5 3" xfId="4575" xr:uid="{00000000-0005-0000-0000-0000F9010000}"/>
    <cellStyle name="20% - uthevingsfarge 1 5 3 2" xfId="7228" xr:uid="{00000000-0005-0000-0000-0000FA010000}"/>
    <cellStyle name="20% - uthevingsfarge 1 5 4" xfId="9698" xr:uid="{00000000-0005-0000-0000-0000FB010000}"/>
    <cellStyle name="20% - uthevingsfarge 1 50" xfId="224" xr:uid="{00000000-0005-0000-0000-0000FC010000}"/>
    <cellStyle name="20% - uthevingsfarge 1 50 2" xfId="225" xr:uid="{00000000-0005-0000-0000-0000FD010000}"/>
    <cellStyle name="20% - uthevingsfarge 1 50 2 2" xfId="5297" xr:uid="{00000000-0005-0000-0000-0000FE010000}"/>
    <cellStyle name="20% - uthevingsfarge 1 50 2 2 2" xfId="7930" xr:uid="{00000000-0005-0000-0000-0000FF010000}"/>
    <cellStyle name="20% - uthevingsfarge 1 50 2 3" xfId="9697" xr:uid="{00000000-0005-0000-0000-000000020000}"/>
    <cellStyle name="20% - uthevingsfarge 1 50 3" xfId="4576" xr:uid="{00000000-0005-0000-0000-000001020000}"/>
    <cellStyle name="20% - uthevingsfarge 1 50 3 2" xfId="7229" xr:uid="{00000000-0005-0000-0000-000002020000}"/>
    <cellStyle name="20% - uthevingsfarge 1 50 4" xfId="9696" xr:uid="{00000000-0005-0000-0000-000003020000}"/>
    <cellStyle name="20% - uthevingsfarge 1 51" xfId="226" xr:uid="{00000000-0005-0000-0000-000004020000}"/>
    <cellStyle name="20% - uthevingsfarge 1 51 2" xfId="227" xr:uid="{00000000-0005-0000-0000-000005020000}"/>
    <cellStyle name="20% - uthevingsfarge 1 51 2 2" xfId="5298" xr:uid="{00000000-0005-0000-0000-000006020000}"/>
    <cellStyle name="20% - uthevingsfarge 1 51 2 2 2" xfId="7931" xr:uid="{00000000-0005-0000-0000-000007020000}"/>
    <cellStyle name="20% - uthevingsfarge 1 51 2 3" xfId="9695" xr:uid="{00000000-0005-0000-0000-000008020000}"/>
    <cellStyle name="20% - uthevingsfarge 1 51 3" xfId="4577" xr:uid="{00000000-0005-0000-0000-000009020000}"/>
    <cellStyle name="20% - uthevingsfarge 1 51 3 2" xfId="7230" xr:uid="{00000000-0005-0000-0000-00000A020000}"/>
    <cellStyle name="20% - uthevingsfarge 1 51 4" xfId="9962" xr:uid="{00000000-0005-0000-0000-00000B020000}"/>
    <cellStyle name="20% - uthevingsfarge 1 52" xfId="228" xr:uid="{00000000-0005-0000-0000-00000C020000}"/>
    <cellStyle name="20% - uthevingsfarge 1 52 2" xfId="229" xr:uid="{00000000-0005-0000-0000-00000D020000}"/>
    <cellStyle name="20% - uthevingsfarge 1 52 2 2" xfId="5299" xr:uid="{00000000-0005-0000-0000-00000E020000}"/>
    <cellStyle name="20% - uthevingsfarge 1 52 2 2 2" xfId="7932" xr:uid="{00000000-0005-0000-0000-00000F020000}"/>
    <cellStyle name="20% - uthevingsfarge 1 52 2 3" xfId="10462" xr:uid="{00000000-0005-0000-0000-000010020000}"/>
    <cellStyle name="20% - uthevingsfarge 1 52 3" xfId="4578" xr:uid="{00000000-0005-0000-0000-000011020000}"/>
    <cellStyle name="20% - uthevingsfarge 1 52 3 2" xfId="7231" xr:uid="{00000000-0005-0000-0000-000012020000}"/>
    <cellStyle name="20% - uthevingsfarge 1 52 4" xfId="10553" xr:uid="{00000000-0005-0000-0000-000013020000}"/>
    <cellStyle name="20% - uthevingsfarge 1 53" xfId="230" xr:uid="{00000000-0005-0000-0000-000014020000}"/>
    <cellStyle name="20% - uthevingsfarge 1 53 2" xfId="231" xr:uid="{00000000-0005-0000-0000-000015020000}"/>
    <cellStyle name="20% - uthevingsfarge 1 53 2 2" xfId="5300" xr:uid="{00000000-0005-0000-0000-000016020000}"/>
    <cellStyle name="20% - uthevingsfarge 1 53 2 2 2" xfId="7933" xr:uid="{00000000-0005-0000-0000-000017020000}"/>
    <cellStyle name="20% - uthevingsfarge 1 53 2 3" xfId="9993" xr:uid="{00000000-0005-0000-0000-000018020000}"/>
    <cellStyle name="20% - uthevingsfarge 1 53 3" xfId="4579" xr:uid="{00000000-0005-0000-0000-000019020000}"/>
    <cellStyle name="20% - uthevingsfarge 1 53 3 2" xfId="7232" xr:uid="{00000000-0005-0000-0000-00001A020000}"/>
    <cellStyle name="20% - uthevingsfarge 1 53 4" xfId="10239" xr:uid="{00000000-0005-0000-0000-00001B020000}"/>
    <cellStyle name="20% - uthevingsfarge 1 54" xfId="232" xr:uid="{00000000-0005-0000-0000-00001C020000}"/>
    <cellStyle name="20% - uthevingsfarge 1 54 2" xfId="233" xr:uid="{00000000-0005-0000-0000-00001D020000}"/>
    <cellStyle name="20% - uthevingsfarge 1 54 2 2" xfId="5301" xr:uid="{00000000-0005-0000-0000-00001E020000}"/>
    <cellStyle name="20% - uthevingsfarge 1 54 2 2 2" xfId="7934" xr:uid="{00000000-0005-0000-0000-00001F020000}"/>
    <cellStyle name="20% - uthevingsfarge 1 54 2 3" xfId="9694" xr:uid="{00000000-0005-0000-0000-000020020000}"/>
    <cellStyle name="20% - uthevingsfarge 1 54 3" xfId="4580" xr:uid="{00000000-0005-0000-0000-000021020000}"/>
    <cellStyle name="20% - uthevingsfarge 1 54 3 2" xfId="7233" xr:uid="{00000000-0005-0000-0000-000022020000}"/>
    <cellStyle name="20% - uthevingsfarge 1 54 4" xfId="9693" xr:uid="{00000000-0005-0000-0000-000023020000}"/>
    <cellStyle name="20% - uthevingsfarge 1 55" xfId="234" xr:uid="{00000000-0005-0000-0000-000024020000}"/>
    <cellStyle name="20% - uthevingsfarge 1 55 2" xfId="235" xr:uid="{00000000-0005-0000-0000-000025020000}"/>
    <cellStyle name="20% - uthevingsfarge 1 55 2 2" xfId="5302" xr:uid="{00000000-0005-0000-0000-000026020000}"/>
    <cellStyle name="20% - uthevingsfarge 1 55 2 2 2" xfId="7935" xr:uid="{00000000-0005-0000-0000-000027020000}"/>
    <cellStyle name="20% - uthevingsfarge 1 55 2 3" xfId="9692" xr:uid="{00000000-0005-0000-0000-000028020000}"/>
    <cellStyle name="20% - uthevingsfarge 1 55 3" xfId="4581" xr:uid="{00000000-0005-0000-0000-000029020000}"/>
    <cellStyle name="20% - uthevingsfarge 1 55 3 2" xfId="7234" xr:uid="{00000000-0005-0000-0000-00002A020000}"/>
    <cellStyle name="20% - uthevingsfarge 1 55 4" xfId="9691" xr:uid="{00000000-0005-0000-0000-00002B020000}"/>
    <cellStyle name="20% - uthevingsfarge 1 56" xfId="236" xr:uid="{00000000-0005-0000-0000-00002C020000}"/>
    <cellStyle name="20% - uthevingsfarge 1 56 2" xfId="237" xr:uid="{00000000-0005-0000-0000-00002D020000}"/>
    <cellStyle name="20% - uthevingsfarge 1 56 2 2" xfId="5303" xr:uid="{00000000-0005-0000-0000-00002E020000}"/>
    <cellStyle name="20% - uthevingsfarge 1 56 2 2 2" xfId="7936" xr:uid="{00000000-0005-0000-0000-00002F020000}"/>
    <cellStyle name="20% - uthevingsfarge 1 56 2 3" xfId="9690" xr:uid="{00000000-0005-0000-0000-000030020000}"/>
    <cellStyle name="20% - uthevingsfarge 1 56 3" xfId="4582" xr:uid="{00000000-0005-0000-0000-000031020000}"/>
    <cellStyle name="20% - uthevingsfarge 1 56 3 2" xfId="7235" xr:uid="{00000000-0005-0000-0000-000032020000}"/>
    <cellStyle name="20% - uthevingsfarge 1 56 4" xfId="9689" xr:uid="{00000000-0005-0000-0000-000033020000}"/>
    <cellStyle name="20% - uthevingsfarge 1 57" xfId="238" xr:uid="{00000000-0005-0000-0000-000034020000}"/>
    <cellStyle name="20% - uthevingsfarge 1 57 2" xfId="239" xr:uid="{00000000-0005-0000-0000-000035020000}"/>
    <cellStyle name="20% - uthevingsfarge 1 57 2 2" xfId="5304" xr:uid="{00000000-0005-0000-0000-000036020000}"/>
    <cellStyle name="20% - uthevingsfarge 1 57 2 2 2" xfId="7937" xr:uid="{00000000-0005-0000-0000-000037020000}"/>
    <cellStyle name="20% - uthevingsfarge 1 57 2 3" xfId="9688" xr:uid="{00000000-0005-0000-0000-000038020000}"/>
    <cellStyle name="20% - uthevingsfarge 1 57 3" xfId="4583" xr:uid="{00000000-0005-0000-0000-000039020000}"/>
    <cellStyle name="20% - uthevingsfarge 1 57 3 2" xfId="7236" xr:uid="{00000000-0005-0000-0000-00003A020000}"/>
    <cellStyle name="20% - uthevingsfarge 1 57 4" xfId="10299" xr:uid="{00000000-0005-0000-0000-00003B020000}"/>
    <cellStyle name="20% - uthevingsfarge 1 58" xfId="240" xr:uid="{00000000-0005-0000-0000-00003C020000}"/>
    <cellStyle name="20% - uthevingsfarge 1 58 2" xfId="241" xr:uid="{00000000-0005-0000-0000-00003D020000}"/>
    <cellStyle name="20% - uthevingsfarge 1 58 2 2" xfId="5305" xr:uid="{00000000-0005-0000-0000-00003E020000}"/>
    <cellStyle name="20% - uthevingsfarge 1 58 2 2 2" xfId="7938" xr:uid="{00000000-0005-0000-0000-00003F020000}"/>
    <cellStyle name="20% - uthevingsfarge 1 58 2 3" xfId="9859" xr:uid="{00000000-0005-0000-0000-000040020000}"/>
    <cellStyle name="20% - uthevingsfarge 1 58 3" xfId="4584" xr:uid="{00000000-0005-0000-0000-000041020000}"/>
    <cellStyle name="20% - uthevingsfarge 1 58 3 2" xfId="7237" xr:uid="{00000000-0005-0000-0000-000042020000}"/>
    <cellStyle name="20% - uthevingsfarge 1 58 4" xfId="10328" xr:uid="{00000000-0005-0000-0000-000043020000}"/>
    <cellStyle name="20% - uthevingsfarge 1 59" xfId="242" xr:uid="{00000000-0005-0000-0000-000044020000}"/>
    <cellStyle name="20% - uthevingsfarge 1 59 2" xfId="243" xr:uid="{00000000-0005-0000-0000-000045020000}"/>
    <cellStyle name="20% - uthevingsfarge 1 59 2 2" xfId="5306" xr:uid="{00000000-0005-0000-0000-000046020000}"/>
    <cellStyle name="20% - uthevingsfarge 1 59 2 2 2" xfId="7939" xr:uid="{00000000-0005-0000-0000-000047020000}"/>
    <cellStyle name="20% - uthevingsfarge 1 59 2 3" xfId="9753" xr:uid="{00000000-0005-0000-0000-000048020000}"/>
    <cellStyle name="20% - uthevingsfarge 1 59 3" xfId="4585" xr:uid="{00000000-0005-0000-0000-000049020000}"/>
    <cellStyle name="20% - uthevingsfarge 1 59 3 2" xfId="7238" xr:uid="{00000000-0005-0000-0000-00004A020000}"/>
    <cellStyle name="20% - uthevingsfarge 1 59 4" xfId="9219" xr:uid="{00000000-0005-0000-0000-00004B020000}"/>
    <cellStyle name="20% - uthevingsfarge 1 6" xfId="244" xr:uid="{00000000-0005-0000-0000-00004C020000}"/>
    <cellStyle name="20% - uthevingsfarge 1 6 2" xfId="245" xr:uid="{00000000-0005-0000-0000-00004D020000}"/>
    <cellStyle name="20% - uthevingsfarge 1 6 2 2" xfId="5307" xr:uid="{00000000-0005-0000-0000-00004E020000}"/>
    <cellStyle name="20% - uthevingsfarge 1 6 2 2 2" xfId="7940" xr:uid="{00000000-0005-0000-0000-00004F020000}"/>
    <cellStyle name="20% - uthevingsfarge 1 6 2 3" xfId="9687" xr:uid="{00000000-0005-0000-0000-000050020000}"/>
    <cellStyle name="20% - uthevingsfarge 1 6 3" xfId="4586" xr:uid="{00000000-0005-0000-0000-000051020000}"/>
    <cellStyle name="20% - uthevingsfarge 1 6 3 2" xfId="7239" xr:uid="{00000000-0005-0000-0000-000052020000}"/>
    <cellStyle name="20% - uthevingsfarge 1 6 4" xfId="9686" xr:uid="{00000000-0005-0000-0000-000053020000}"/>
    <cellStyle name="20% - uthevingsfarge 1 60" xfId="246" xr:uid="{00000000-0005-0000-0000-000054020000}"/>
    <cellStyle name="20% - uthevingsfarge 1 60 2" xfId="247" xr:uid="{00000000-0005-0000-0000-000055020000}"/>
    <cellStyle name="20% - uthevingsfarge 1 60 3" xfId="9685" xr:uid="{00000000-0005-0000-0000-000056020000}"/>
    <cellStyle name="20% - uthevingsfarge 1 61" xfId="248" xr:uid="{00000000-0005-0000-0000-000057020000}"/>
    <cellStyle name="20% - uthevingsfarge 1 61 2" xfId="249" xr:uid="{00000000-0005-0000-0000-000058020000}"/>
    <cellStyle name="20% - uthevingsfarge 1 62" xfId="250" xr:uid="{00000000-0005-0000-0000-000059020000}"/>
    <cellStyle name="20% - uthevingsfarge 1 62 2" xfId="251" xr:uid="{00000000-0005-0000-0000-00005A020000}"/>
    <cellStyle name="20% - uthevingsfarge 1 63" xfId="252" xr:uid="{00000000-0005-0000-0000-00005B020000}"/>
    <cellStyle name="20% - uthevingsfarge 1 63 2" xfId="253" xr:uid="{00000000-0005-0000-0000-00005C020000}"/>
    <cellStyle name="20% - uthevingsfarge 1 64" xfId="254" xr:uid="{00000000-0005-0000-0000-00005D020000}"/>
    <cellStyle name="20% - uthevingsfarge 1 64 2" xfId="255" xr:uid="{00000000-0005-0000-0000-00005E020000}"/>
    <cellStyle name="20% - uthevingsfarge 1 65" xfId="256" xr:uid="{00000000-0005-0000-0000-00005F020000}"/>
    <cellStyle name="20% - uthevingsfarge 1 65 2" xfId="257" xr:uid="{00000000-0005-0000-0000-000060020000}"/>
    <cellStyle name="20% - uthevingsfarge 1 66" xfId="258" xr:uid="{00000000-0005-0000-0000-000061020000}"/>
    <cellStyle name="20% - uthevingsfarge 1 66 2" xfId="259" xr:uid="{00000000-0005-0000-0000-000062020000}"/>
    <cellStyle name="20% - uthevingsfarge 1 67" xfId="260" xr:uid="{00000000-0005-0000-0000-000063020000}"/>
    <cellStyle name="20% - uthevingsfarge 1 67 2" xfId="261" xr:uid="{00000000-0005-0000-0000-000064020000}"/>
    <cellStyle name="20% - uthevingsfarge 1 68" xfId="262" xr:uid="{00000000-0005-0000-0000-000065020000}"/>
    <cellStyle name="20% - uthevingsfarge 1 68 2" xfId="263" xr:uid="{00000000-0005-0000-0000-000066020000}"/>
    <cellStyle name="20% - uthevingsfarge 1 69" xfId="264" xr:uid="{00000000-0005-0000-0000-000067020000}"/>
    <cellStyle name="20% - uthevingsfarge 1 69 2" xfId="265" xr:uid="{00000000-0005-0000-0000-000068020000}"/>
    <cellStyle name="20% - uthevingsfarge 1 7" xfId="266" xr:uid="{00000000-0005-0000-0000-000069020000}"/>
    <cellStyle name="20% - uthevingsfarge 1 7 2" xfId="267" xr:uid="{00000000-0005-0000-0000-00006A020000}"/>
    <cellStyle name="20% - uthevingsfarge 1 7 2 2" xfId="5308" xr:uid="{00000000-0005-0000-0000-00006B020000}"/>
    <cellStyle name="20% - uthevingsfarge 1 7 2 2 2" xfId="7941" xr:uid="{00000000-0005-0000-0000-00006C020000}"/>
    <cellStyle name="20% - uthevingsfarge 1 7 2 3" xfId="9684" xr:uid="{00000000-0005-0000-0000-00006D020000}"/>
    <cellStyle name="20% - uthevingsfarge 1 7 3" xfId="4587" xr:uid="{00000000-0005-0000-0000-00006E020000}"/>
    <cellStyle name="20% - uthevingsfarge 1 7 3 2" xfId="7240" xr:uid="{00000000-0005-0000-0000-00006F020000}"/>
    <cellStyle name="20% - uthevingsfarge 1 7 4" xfId="9683" xr:uid="{00000000-0005-0000-0000-000070020000}"/>
    <cellStyle name="20% - uthevingsfarge 1 70" xfId="268" xr:uid="{00000000-0005-0000-0000-000071020000}"/>
    <cellStyle name="20% - uthevingsfarge 1 70 2" xfId="269" xr:uid="{00000000-0005-0000-0000-000072020000}"/>
    <cellStyle name="20% - uthevingsfarge 1 71" xfId="270" xr:uid="{00000000-0005-0000-0000-000073020000}"/>
    <cellStyle name="20% - uthevingsfarge 1 71 2" xfId="271" xr:uid="{00000000-0005-0000-0000-000074020000}"/>
    <cellStyle name="20% - uthevingsfarge 1 72" xfId="272" xr:uid="{00000000-0005-0000-0000-000075020000}"/>
    <cellStyle name="20% - uthevingsfarge 1 72 2" xfId="273" xr:uid="{00000000-0005-0000-0000-000076020000}"/>
    <cellStyle name="20% - uthevingsfarge 1 73" xfId="274" xr:uid="{00000000-0005-0000-0000-000077020000}"/>
    <cellStyle name="20% - uthevingsfarge 1 73 2" xfId="275" xr:uid="{00000000-0005-0000-0000-000078020000}"/>
    <cellStyle name="20% - uthevingsfarge 1 74" xfId="276" xr:uid="{00000000-0005-0000-0000-000079020000}"/>
    <cellStyle name="20% - uthevingsfarge 1 74 2" xfId="277" xr:uid="{00000000-0005-0000-0000-00007A020000}"/>
    <cellStyle name="20% - uthevingsfarge 1 75" xfId="278" xr:uid="{00000000-0005-0000-0000-00007B020000}"/>
    <cellStyle name="20% - uthevingsfarge 1 75 2" xfId="279" xr:uid="{00000000-0005-0000-0000-00007C020000}"/>
    <cellStyle name="20% - uthevingsfarge 1 76" xfId="280" xr:uid="{00000000-0005-0000-0000-00007D020000}"/>
    <cellStyle name="20% - uthevingsfarge 1 76 2" xfId="281" xr:uid="{00000000-0005-0000-0000-00007E020000}"/>
    <cellStyle name="20% - uthevingsfarge 1 77" xfId="282" xr:uid="{00000000-0005-0000-0000-00007F020000}"/>
    <cellStyle name="20% - uthevingsfarge 1 78" xfId="283" xr:uid="{00000000-0005-0000-0000-000080020000}"/>
    <cellStyle name="20% - uthevingsfarge 1 79" xfId="284" xr:uid="{00000000-0005-0000-0000-000081020000}"/>
    <cellStyle name="20% - uthevingsfarge 1 8" xfId="285" xr:uid="{00000000-0005-0000-0000-000082020000}"/>
    <cellStyle name="20% - uthevingsfarge 1 8 2" xfId="286" xr:uid="{00000000-0005-0000-0000-000083020000}"/>
    <cellStyle name="20% - uthevingsfarge 1 8 2 2" xfId="5309" xr:uid="{00000000-0005-0000-0000-000084020000}"/>
    <cellStyle name="20% - uthevingsfarge 1 8 2 2 2" xfId="7942" xr:uid="{00000000-0005-0000-0000-000085020000}"/>
    <cellStyle name="20% - uthevingsfarge 1 8 2 3" xfId="9682" xr:uid="{00000000-0005-0000-0000-000086020000}"/>
    <cellStyle name="20% - uthevingsfarge 1 8 3" xfId="4588" xr:uid="{00000000-0005-0000-0000-000087020000}"/>
    <cellStyle name="20% - uthevingsfarge 1 8 3 2" xfId="7241" xr:uid="{00000000-0005-0000-0000-000088020000}"/>
    <cellStyle name="20% - uthevingsfarge 1 8 4" xfId="9681" xr:uid="{00000000-0005-0000-0000-000089020000}"/>
    <cellStyle name="20% - uthevingsfarge 1 80" xfId="287" xr:uid="{00000000-0005-0000-0000-00008A020000}"/>
    <cellStyle name="20% - uthevingsfarge 1 81" xfId="288" xr:uid="{00000000-0005-0000-0000-00008B020000}"/>
    <cellStyle name="20% - uthevingsfarge 1 82" xfId="289" xr:uid="{00000000-0005-0000-0000-00008C020000}"/>
    <cellStyle name="20% - uthevingsfarge 1 83" xfId="290" xr:uid="{00000000-0005-0000-0000-00008D020000}"/>
    <cellStyle name="20% - uthevingsfarge 1 84" xfId="291" xr:uid="{00000000-0005-0000-0000-00008E020000}"/>
    <cellStyle name="20% - uthevingsfarge 1 85" xfId="292" xr:uid="{00000000-0005-0000-0000-00008F020000}"/>
    <cellStyle name="20% - uthevingsfarge 1 86" xfId="293" xr:uid="{00000000-0005-0000-0000-000090020000}"/>
    <cellStyle name="20% - uthevingsfarge 1 87" xfId="294" xr:uid="{00000000-0005-0000-0000-000091020000}"/>
    <cellStyle name="20% - uthevingsfarge 1 88" xfId="295" xr:uid="{00000000-0005-0000-0000-000092020000}"/>
    <cellStyle name="20% - uthevingsfarge 1 89" xfId="296" xr:uid="{00000000-0005-0000-0000-000093020000}"/>
    <cellStyle name="20% - uthevingsfarge 1 9" xfId="297" xr:uid="{00000000-0005-0000-0000-000094020000}"/>
    <cellStyle name="20% - uthevingsfarge 1 9 2" xfId="298" xr:uid="{00000000-0005-0000-0000-000095020000}"/>
    <cellStyle name="20% - uthevingsfarge 1 9 2 2" xfId="5310" xr:uid="{00000000-0005-0000-0000-000096020000}"/>
    <cellStyle name="20% - uthevingsfarge 1 9 2 2 2" xfId="7943" xr:uid="{00000000-0005-0000-0000-000097020000}"/>
    <cellStyle name="20% - uthevingsfarge 1 9 2 3" xfId="10297" xr:uid="{00000000-0005-0000-0000-000098020000}"/>
    <cellStyle name="20% - uthevingsfarge 1 9 3" xfId="4589" xr:uid="{00000000-0005-0000-0000-000099020000}"/>
    <cellStyle name="20% - uthevingsfarge 1 9 3 2" xfId="7242" xr:uid="{00000000-0005-0000-0000-00009A020000}"/>
    <cellStyle name="20% - uthevingsfarge 1 9 4" xfId="9981" xr:uid="{00000000-0005-0000-0000-00009B020000}"/>
    <cellStyle name="20% - uthevingsfarge 1 90" xfId="299" xr:uid="{00000000-0005-0000-0000-00009C020000}"/>
    <cellStyle name="20% - uthevingsfarge 1 90 2" xfId="2739" xr:uid="{00000000-0005-0000-0000-00009D020000}"/>
    <cellStyle name="20% - uthevingsfarge 1 90 2 2" xfId="3039" xr:uid="{00000000-0005-0000-0000-00009E020000}"/>
    <cellStyle name="20% - uthevingsfarge 1 90 2 2 2" xfId="6624" xr:uid="{00000000-0005-0000-0000-00009F020000}"/>
    <cellStyle name="20% - uthevingsfarge 1 90 2 3" xfId="3925" xr:uid="{00000000-0005-0000-0000-0000A0020000}"/>
    <cellStyle name="20% - uthevingsfarge 1 90 2 4" xfId="6312" xr:uid="{00000000-0005-0000-0000-0000A1020000}"/>
    <cellStyle name="20% - uthevingsfarge 1 90 2 5" xfId="8624" xr:uid="{00000000-0005-0000-0000-0000A2020000}"/>
    <cellStyle name="20% - uthevingsfarge 1 90 3" xfId="3038" xr:uid="{00000000-0005-0000-0000-0000A3020000}"/>
    <cellStyle name="20% - uthevingsfarge 1 90 3 2" xfId="6623" xr:uid="{00000000-0005-0000-0000-0000A4020000}"/>
    <cellStyle name="20% - uthevingsfarge 1 90 4" xfId="3622" xr:uid="{00000000-0005-0000-0000-0000A5020000}"/>
    <cellStyle name="20% - uthevingsfarge 1 90 5" xfId="6027" xr:uid="{00000000-0005-0000-0000-0000A6020000}"/>
    <cellStyle name="20% - uthevingsfarge 1 90 6" xfId="8623" xr:uid="{00000000-0005-0000-0000-0000A7020000}"/>
    <cellStyle name="20% - uthevingsfarge 1 91" xfId="300" xr:uid="{00000000-0005-0000-0000-0000A8020000}"/>
    <cellStyle name="20% - uthevingsfarge 1 91 2" xfId="2740" xr:uid="{00000000-0005-0000-0000-0000A9020000}"/>
    <cellStyle name="20% - uthevingsfarge 1 91 2 2" xfId="3041" xr:uid="{00000000-0005-0000-0000-0000AA020000}"/>
    <cellStyle name="20% - uthevingsfarge 1 91 2 2 2" xfId="6626" xr:uid="{00000000-0005-0000-0000-0000AB020000}"/>
    <cellStyle name="20% - uthevingsfarge 1 91 2 3" xfId="3649" xr:uid="{00000000-0005-0000-0000-0000AC020000}"/>
    <cellStyle name="20% - uthevingsfarge 1 91 2 4" xfId="6313" xr:uid="{00000000-0005-0000-0000-0000AD020000}"/>
    <cellStyle name="20% - uthevingsfarge 1 91 2 5" xfId="8626" xr:uid="{00000000-0005-0000-0000-0000AE020000}"/>
    <cellStyle name="20% - uthevingsfarge 1 91 3" xfId="3040" xr:uid="{00000000-0005-0000-0000-0000AF020000}"/>
    <cellStyle name="20% - uthevingsfarge 1 91 3 2" xfId="6625" xr:uid="{00000000-0005-0000-0000-0000B0020000}"/>
    <cellStyle name="20% - uthevingsfarge 1 91 4" xfId="3623" xr:uid="{00000000-0005-0000-0000-0000B1020000}"/>
    <cellStyle name="20% - uthevingsfarge 1 91 5" xfId="6028" xr:uid="{00000000-0005-0000-0000-0000B2020000}"/>
    <cellStyle name="20% - uthevingsfarge 1 91 6" xfId="8625" xr:uid="{00000000-0005-0000-0000-0000B3020000}"/>
    <cellStyle name="20% - uthevingsfarge 1 92" xfId="301" xr:uid="{00000000-0005-0000-0000-0000B4020000}"/>
    <cellStyle name="20% - uthevingsfarge 1 92 2" xfId="2741" xr:uid="{00000000-0005-0000-0000-0000B5020000}"/>
    <cellStyle name="20% - uthevingsfarge 1 92 2 2" xfId="3043" xr:uid="{00000000-0005-0000-0000-0000B6020000}"/>
    <cellStyle name="20% - uthevingsfarge 1 92 2 2 2" xfId="6628" xr:uid="{00000000-0005-0000-0000-0000B7020000}"/>
    <cellStyle name="20% - uthevingsfarge 1 92 2 3" xfId="3659" xr:uid="{00000000-0005-0000-0000-0000B8020000}"/>
    <cellStyle name="20% - uthevingsfarge 1 92 2 4" xfId="6314" xr:uid="{00000000-0005-0000-0000-0000B9020000}"/>
    <cellStyle name="20% - uthevingsfarge 1 92 2 5" xfId="8628" xr:uid="{00000000-0005-0000-0000-0000BA020000}"/>
    <cellStyle name="20% - uthevingsfarge 1 92 3" xfId="3042" xr:uid="{00000000-0005-0000-0000-0000BB020000}"/>
    <cellStyle name="20% - uthevingsfarge 1 92 3 2" xfId="6627" xr:uid="{00000000-0005-0000-0000-0000BC020000}"/>
    <cellStyle name="20% - uthevingsfarge 1 92 4" xfId="3638" xr:uid="{00000000-0005-0000-0000-0000BD020000}"/>
    <cellStyle name="20% - uthevingsfarge 1 92 5" xfId="6029" xr:uid="{00000000-0005-0000-0000-0000BE020000}"/>
    <cellStyle name="20% - uthevingsfarge 1 92 6" xfId="8627" xr:uid="{00000000-0005-0000-0000-0000BF020000}"/>
    <cellStyle name="20% - uthevingsfarge 1 93" xfId="302" xr:uid="{00000000-0005-0000-0000-0000C0020000}"/>
    <cellStyle name="20% - uthevingsfarge 1 93 2" xfId="2742" xr:uid="{00000000-0005-0000-0000-0000C1020000}"/>
    <cellStyle name="20% - uthevingsfarge 1 93 2 2" xfId="3045" xr:uid="{00000000-0005-0000-0000-0000C2020000}"/>
    <cellStyle name="20% - uthevingsfarge 1 93 2 2 2" xfId="6630" xr:uid="{00000000-0005-0000-0000-0000C3020000}"/>
    <cellStyle name="20% - uthevingsfarge 1 93 2 3" xfId="3976" xr:uid="{00000000-0005-0000-0000-0000C4020000}"/>
    <cellStyle name="20% - uthevingsfarge 1 93 2 4" xfId="6315" xr:uid="{00000000-0005-0000-0000-0000C5020000}"/>
    <cellStyle name="20% - uthevingsfarge 1 93 2 5" xfId="8630" xr:uid="{00000000-0005-0000-0000-0000C6020000}"/>
    <cellStyle name="20% - uthevingsfarge 1 93 3" xfId="3044" xr:uid="{00000000-0005-0000-0000-0000C7020000}"/>
    <cellStyle name="20% - uthevingsfarge 1 93 3 2" xfId="6629" xr:uid="{00000000-0005-0000-0000-0000C8020000}"/>
    <cellStyle name="20% - uthevingsfarge 1 93 4" xfId="4145" xr:uid="{00000000-0005-0000-0000-0000C9020000}"/>
    <cellStyle name="20% - uthevingsfarge 1 93 5" xfId="6030" xr:uid="{00000000-0005-0000-0000-0000CA020000}"/>
    <cellStyle name="20% - uthevingsfarge 1 93 6" xfId="8629" xr:uid="{00000000-0005-0000-0000-0000CB020000}"/>
    <cellStyle name="20% - uthevingsfarge 1 94" xfId="303" xr:uid="{00000000-0005-0000-0000-0000CC020000}"/>
    <cellStyle name="20% - uthevingsfarge 1 94 2" xfId="2743" xr:uid="{00000000-0005-0000-0000-0000CD020000}"/>
    <cellStyle name="20% - uthevingsfarge 1 94 2 2" xfId="3047" xr:uid="{00000000-0005-0000-0000-0000CE020000}"/>
    <cellStyle name="20% - uthevingsfarge 1 94 2 2 2" xfId="6632" xr:uid="{00000000-0005-0000-0000-0000CF020000}"/>
    <cellStyle name="20% - uthevingsfarge 1 94 2 3" xfId="3924" xr:uid="{00000000-0005-0000-0000-0000D0020000}"/>
    <cellStyle name="20% - uthevingsfarge 1 94 2 4" xfId="6316" xr:uid="{00000000-0005-0000-0000-0000D1020000}"/>
    <cellStyle name="20% - uthevingsfarge 1 94 2 5" xfId="8632" xr:uid="{00000000-0005-0000-0000-0000D2020000}"/>
    <cellStyle name="20% - uthevingsfarge 1 94 3" xfId="3046" xr:uid="{00000000-0005-0000-0000-0000D3020000}"/>
    <cellStyle name="20% - uthevingsfarge 1 94 3 2" xfId="6631" xr:uid="{00000000-0005-0000-0000-0000D4020000}"/>
    <cellStyle name="20% - uthevingsfarge 1 94 4" xfId="4046" xr:uid="{00000000-0005-0000-0000-0000D5020000}"/>
    <cellStyle name="20% - uthevingsfarge 1 94 5" xfId="6031" xr:uid="{00000000-0005-0000-0000-0000D6020000}"/>
    <cellStyle name="20% - uthevingsfarge 1 94 6" xfId="8631" xr:uid="{00000000-0005-0000-0000-0000D7020000}"/>
    <cellStyle name="20% - uthevingsfarge 1 95" xfId="304" xr:uid="{00000000-0005-0000-0000-0000D8020000}"/>
    <cellStyle name="20% - uthevingsfarge 1 95 2" xfId="2744" xr:uid="{00000000-0005-0000-0000-0000D9020000}"/>
    <cellStyle name="20% - uthevingsfarge 1 95 2 2" xfId="3049" xr:uid="{00000000-0005-0000-0000-0000DA020000}"/>
    <cellStyle name="20% - uthevingsfarge 1 95 2 2 2" xfId="6634" xr:uid="{00000000-0005-0000-0000-0000DB020000}"/>
    <cellStyle name="20% - uthevingsfarge 1 95 2 3" xfId="4064" xr:uid="{00000000-0005-0000-0000-0000DC020000}"/>
    <cellStyle name="20% - uthevingsfarge 1 95 2 4" xfId="6317" xr:uid="{00000000-0005-0000-0000-0000DD020000}"/>
    <cellStyle name="20% - uthevingsfarge 1 95 2 5" xfId="8634" xr:uid="{00000000-0005-0000-0000-0000DE020000}"/>
    <cellStyle name="20% - uthevingsfarge 1 95 3" xfId="3048" xr:uid="{00000000-0005-0000-0000-0000DF020000}"/>
    <cellStyle name="20% - uthevingsfarge 1 95 3 2" xfId="6633" xr:uid="{00000000-0005-0000-0000-0000E0020000}"/>
    <cellStyle name="20% - uthevingsfarge 1 95 4" xfId="3898" xr:uid="{00000000-0005-0000-0000-0000E1020000}"/>
    <cellStyle name="20% - uthevingsfarge 1 95 5" xfId="6032" xr:uid="{00000000-0005-0000-0000-0000E2020000}"/>
    <cellStyle name="20% - uthevingsfarge 1 95 6" xfId="8633" xr:uid="{00000000-0005-0000-0000-0000E3020000}"/>
    <cellStyle name="20% - uthevingsfarge 1 96" xfId="305" xr:uid="{00000000-0005-0000-0000-0000E4020000}"/>
    <cellStyle name="20% - uthevingsfarge 1 96 2" xfId="2745" xr:uid="{00000000-0005-0000-0000-0000E5020000}"/>
    <cellStyle name="20% - uthevingsfarge 1 96 2 2" xfId="3051" xr:uid="{00000000-0005-0000-0000-0000E6020000}"/>
    <cellStyle name="20% - uthevingsfarge 1 96 2 2 2" xfId="6636" xr:uid="{00000000-0005-0000-0000-0000E7020000}"/>
    <cellStyle name="20% - uthevingsfarge 1 96 2 3" xfId="3628" xr:uid="{00000000-0005-0000-0000-0000E8020000}"/>
    <cellStyle name="20% - uthevingsfarge 1 96 2 4" xfId="6318" xr:uid="{00000000-0005-0000-0000-0000E9020000}"/>
    <cellStyle name="20% - uthevingsfarge 1 96 2 5" xfId="8636" xr:uid="{00000000-0005-0000-0000-0000EA020000}"/>
    <cellStyle name="20% - uthevingsfarge 1 96 3" xfId="3050" xr:uid="{00000000-0005-0000-0000-0000EB020000}"/>
    <cellStyle name="20% - uthevingsfarge 1 96 3 2" xfId="6635" xr:uid="{00000000-0005-0000-0000-0000EC020000}"/>
    <cellStyle name="20% - uthevingsfarge 1 96 4" xfId="4142" xr:uid="{00000000-0005-0000-0000-0000ED020000}"/>
    <cellStyle name="20% - uthevingsfarge 1 96 5" xfId="6033" xr:uid="{00000000-0005-0000-0000-0000EE020000}"/>
    <cellStyle name="20% - uthevingsfarge 1 96 6" xfId="8635" xr:uid="{00000000-0005-0000-0000-0000EF020000}"/>
    <cellStyle name="20% - uthevingsfarge 1 97" xfId="306" xr:uid="{00000000-0005-0000-0000-0000F0020000}"/>
    <cellStyle name="20% - uthevingsfarge 1 97 2" xfId="2746" xr:uid="{00000000-0005-0000-0000-0000F1020000}"/>
    <cellStyle name="20% - uthevingsfarge 1 97 2 2" xfId="3053" xr:uid="{00000000-0005-0000-0000-0000F2020000}"/>
    <cellStyle name="20% - uthevingsfarge 1 97 2 2 2" xfId="6638" xr:uid="{00000000-0005-0000-0000-0000F3020000}"/>
    <cellStyle name="20% - uthevingsfarge 1 97 2 3" xfId="4065" xr:uid="{00000000-0005-0000-0000-0000F4020000}"/>
    <cellStyle name="20% - uthevingsfarge 1 97 2 4" xfId="6319" xr:uid="{00000000-0005-0000-0000-0000F5020000}"/>
    <cellStyle name="20% - uthevingsfarge 1 97 2 5" xfId="8638" xr:uid="{00000000-0005-0000-0000-0000F6020000}"/>
    <cellStyle name="20% - uthevingsfarge 1 97 3" xfId="3052" xr:uid="{00000000-0005-0000-0000-0000F7020000}"/>
    <cellStyle name="20% - uthevingsfarge 1 97 3 2" xfId="6637" xr:uid="{00000000-0005-0000-0000-0000F8020000}"/>
    <cellStyle name="20% - uthevingsfarge 1 97 4" xfId="4160" xr:uid="{00000000-0005-0000-0000-0000F9020000}"/>
    <cellStyle name="20% - uthevingsfarge 1 97 5" xfId="6034" xr:uid="{00000000-0005-0000-0000-0000FA020000}"/>
    <cellStyle name="20% - uthevingsfarge 1 97 6" xfId="8637" xr:uid="{00000000-0005-0000-0000-0000FB020000}"/>
    <cellStyle name="20% - uthevingsfarge 1 98" xfId="307" xr:uid="{00000000-0005-0000-0000-0000FC020000}"/>
    <cellStyle name="20% - uthevingsfarge 1 98 2" xfId="2747" xr:uid="{00000000-0005-0000-0000-0000FD020000}"/>
    <cellStyle name="20% - uthevingsfarge 1 98 2 2" xfId="3055" xr:uid="{00000000-0005-0000-0000-0000FE020000}"/>
    <cellStyle name="20% - uthevingsfarge 1 98 2 2 2" xfId="6640" xr:uid="{00000000-0005-0000-0000-0000FF020000}"/>
    <cellStyle name="20% - uthevingsfarge 1 98 2 3" xfId="3923" xr:uid="{00000000-0005-0000-0000-000000030000}"/>
    <cellStyle name="20% - uthevingsfarge 1 98 2 4" xfId="6320" xr:uid="{00000000-0005-0000-0000-000001030000}"/>
    <cellStyle name="20% - uthevingsfarge 1 98 2 5" xfId="8640" xr:uid="{00000000-0005-0000-0000-000002030000}"/>
    <cellStyle name="20% - uthevingsfarge 1 98 3" xfId="3054" xr:uid="{00000000-0005-0000-0000-000003030000}"/>
    <cellStyle name="20% - uthevingsfarge 1 98 3 2" xfId="6639" xr:uid="{00000000-0005-0000-0000-000004030000}"/>
    <cellStyle name="20% - uthevingsfarge 1 98 4" xfId="4143" xr:uid="{00000000-0005-0000-0000-000005030000}"/>
    <cellStyle name="20% - uthevingsfarge 1 98 5" xfId="6035" xr:uid="{00000000-0005-0000-0000-000006030000}"/>
    <cellStyle name="20% - uthevingsfarge 1 98 6" xfId="8639" xr:uid="{00000000-0005-0000-0000-000007030000}"/>
    <cellStyle name="20% - uthevingsfarge 1 99" xfId="308" xr:uid="{00000000-0005-0000-0000-000008030000}"/>
    <cellStyle name="20% - uthevingsfarge 1 99 2" xfId="2748" xr:uid="{00000000-0005-0000-0000-000009030000}"/>
    <cellStyle name="20% - uthevingsfarge 1 99 2 2" xfId="3057" xr:uid="{00000000-0005-0000-0000-00000A030000}"/>
    <cellStyle name="20% - uthevingsfarge 1 99 2 2 2" xfId="6642" xr:uid="{00000000-0005-0000-0000-00000B030000}"/>
    <cellStyle name="20% - uthevingsfarge 1 99 2 3" xfId="4063" xr:uid="{00000000-0005-0000-0000-00000C030000}"/>
    <cellStyle name="20% - uthevingsfarge 1 99 2 4" xfId="6321" xr:uid="{00000000-0005-0000-0000-00000D030000}"/>
    <cellStyle name="20% - uthevingsfarge 1 99 2 5" xfId="8642" xr:uid="{00000000-0005-0000-0000-00000E030000}"/>
    <cellStyle name="20% - uthevingsfarge 1 99 3" xfId="3056" xr:uid="{00000000-0005-0000-0000-00000F030000}"/>
    <cellStyle name="20% - uthevingsfarge 1 99 3 2" xfId="6641" xr:uid="{00000000-0005-0000-0000-000010030000}"/>
    <cellStyle name="20% - uthevingsfarge 1 99 4" xfId="4045" xr:uid="{00000000-0005-0000-0000-000011030000}"/>
    <cellStyle name="20% - uthevingsfarge 1 99 5" xfId="6036" xr:uid="{00000000-0005-0000-0000-000012030000}"/>
    <cellStyle name="20% - uthevingsfarge 1 99 6" xfId="8641" xr:uid="{00000000-0005-0000-0000-000013030000}"/>
    <cellStyle name="20% - uthevingsfarge 2 10" xfId="309" xr:uid="{00000000-0005-0000-0000-000014030000}"/>
    <cellStyle name="20% - uthevingsfarge 2 10 2" xfId="310" xr:uid="{00000000-0005-0000-0000-000015030000}"/>
    <cellStyle name="20% - uthevingsfarge 2 10 2 2" xfId="5311" xr:uid="{00000000-0005-0000-0000-000016030000}"/>
    <cellStyle name="20% - uthevingsfarge 2 10 2 2 2" xfId="7944" xr:uid="{00000000-0005-0000-0000-000017030000}"/>
    <cellStyle name="20% - uthevingsfarge 2 10 2 3" xfId="10326" xr:uid="{00000000-0005-0000-0000-000018030000}"/>
    <cellStyle name="20% - uthevingsfarge 2 10 3" xfId="4590" xr:uid="{00000000-0005-0000-0000-000019030000}"/>
    <cellStyle name="20% - uthevingsfarge 2 10 3 2" xfId="7243" xr:uid="{00000000-0005-0000-0000-00001A030000}"/>
    <cellStyle name="20% - uthevingsfarge 2 10 4" xfId="10450" xr:uid="{00000000-0005-0000-0000-00001B030000}"/>
    <cellStyle name="20% - uthevingsfarge 2 100" xfId="311" xr:uid="{00000000-0005-0000-0000-00001C030000}"/>
    <cellStyle name="20% - uthevingsfarge 2 100 2" xfId="2749" xr:uid="{00000000-0005-0000-0000-00001D030000}"/>
    <cellStyle name="20% - uthevingsfarge 2 100 2 2" xfId="3059" xr:uid="{00000000-0005-0000-0000-00001E030000}"/>
    <cellStyle name="20% - uthevingsfarge 2 100 2 2 2" xfId="6644" xr:uid="{00000000-0005-0000-0000-00001F030000}"/>
    <cellStyle name="20% - uthevingsfarge 2 100 2 3" xfId="3974" xr:uid="{00000000-0005-0000-0000-000020030000}"/>
    <cellStyle name="20% - uthevingsfarge 2 100 2 4" xfId="6322" xr:uid="{00000000-0005-0000-0000-000021030000}"/>
    <cellStyle name="20% - uthevingsfarge 2 100 2 5" xfId="8644" xr:uid="{00000000-0005-0000-0000-000022030000}"/>
    <cellStyle name="20% - uthevingsfarge 2 100 3" xfId="3058" xr:uid="{00000000-0005-0000-0000-000023030000}"/>
    <cellStyle name="20% - uthevingsfarge 2 100 3 2" xfId="6643" xr:uid="{00000000-0005-0000-0000-000024030000}"/>
    <cellStyle name="20% - uthevingsfarge 2 100 4" xfId="3897" xr:uid="{00000000-0005-0000-0000-000025030000}"/>
    <cellStyle name="20% - uthevingsfarge 2 100 5" xfId="6037" xr:uid="{00000000-0005-0000-0000-000026030000}"/>
    <cellStyle name="20% - uthevingsfarge 2 100 6" xfId="8643" xr:uid="{00000000-0005-0000-0000-000027030000}"/>
    <cellStyle name="20% - uthevingsfarge 2 101" xfId="312" xr:uid="{00000000-0005-0000-0000-000028030000}"/>
    <cellStyle name="20% - uthevingsfarge 2 101 2" xfId="2750" xr:uid="{00000000-0005-0000-0000-000029030000}"/>
    <cellStyle name="20% - uthevingsfarge 2 101 2 2" xfId="3061" xr:uid="{00000000-0005-0000-0000-00002A030000}"/>
    <cellStyle name="20% - uthevingsfarge 2 101 2 2 2" xfId="6646" xr:uid="{00000000-0005-0000-0000-00002B030000}"/>
    <cellStyle name="20% - uthevingsfarge 2 101 2 3" xfId="3975" xr:uid="{00000000-0005-0000-0000-00002C030000}"/>
    <cellStyle name="20% - uthevingsfarge 2 101 2 4" xfId="6323" xr:uid="{00000000-0005-0000-0000-00002D030000}"/>
    <cellStyle name="20% - uthevingsfarge 2 101 2 5" xfId="8646" xr:uid="{00000000-0005-0000-0000-00002E030000}"/>
    <cellStyle name="20% - uthevingsfarge 2 101 3" xfId="3060" xr:uid="{00000000-0005-0000-0000-00002F030000}"/>
    <cellStyle name="20% - uthevingsfarge 2 101 3 2" xfId="6645" xr:uid="{00000000-0005-0000-0000-000030030000}"/>
    <cellStyle name="20% - uthevingsfarge 2 101 4" xfId="4140" xr:uid="{00000000-0005-0000-0000-000031030000}"/>
    <cellStyle name="20% - uthevingsfarge 2 101 5" xfId="6038" xr:uid="{00000000-0005-0000-0000-000032030000}"/>
    <cellStyle name="20% - uthevingsfarge 2 101 6" xfId="8645" xr:uid="{00000000-0005-0000-0000-000033030000}"/>
    <cellStyle name="20% - uthevingsfarge 2 102" xfId="313" xr:uid="{00000000-0005-0000-0000-000034030000}"/>
    <cellStyle name="20% - uthevingsfarge 2 102 2" xfId="2751" xr:uid="{00000000-0005-0000-0000-000035030000}"/>
    <cellStyle name="20% - uthevingsfarge 2 102 2 2" xfId="3063" xr:uid="{00000000-0005-0000-0000-000036030000}"/>
    <cellStyle name="20% - uthevingsfarge 2 102 2 2 2" xfId="6648" xr:uid="{00000000-0005-0000-0000-000037030000}"/>
    <cellStyle name="20% - uthevingsfarge 2 102 2 3" xfId="3922" xr:uid="{00000000-0005-0000-0000-000038030000}"/>
    <cellStyle name="20% - uthevingsfarge 2 102 2 4" xfId="6324" xr:uid="{00000000-0005-0000-0000-000039030000}"/>
    <cellStyle name="20% - uthevingsfarge 2 102 2 5" xfId="8648" xr:uid="{00000000-0005-0000-0000-00003A030000}"/>
    <cellStyle name="20% - uthevingsfarge 2 102 3" xfId="3062" xr:uid="{00000000-0005-0000-0000-00003B030000}"/>
    <cellStyle name="20% - uthevingsfarge 2 102 3 2" xfId="6647" xr:uid="{00000000-0005-0000-0000-00003C030000}"/>
    <cellStyle name="20% - uthevingsfarge 2 102 4" xfId="4141" xr:uid="{00000000-0005-0000-0000-00003D030000}"/>
    <cellStyle name="20% - uthevingsfarge 2 102 5" xfId="6039" xr:uid="{00000000-0005-0000-0000-00003E030000}"/>
    <cellStyle name="20% - uthevingsfarge 2 102 6" xfId="8647" xr:uid="{00000000-0005-0000-0000-00003F030000}"/>
    <cellStyle name="20% - uthevingsfarge 2 103" xfId="314" xr:uid="{00000000-0005-0000-0000-000040030000}"/>
    <cellStyle name="20% - uthevingsfarge 2 103 2" xfId="2752" xr:uid="{00000000-0005-0000-0000-000041030000}"/>
    <cellStyle name="20% - uthevingsfarge 2 103 2 2" xfId="3065" xr:uid="{00000000-0005-0000-0000-000042030000}"/>
    <cellStyle name="20% - uthevingsfarge 2 103 2 2 2" xfId="6650" xr:uid="{00000000-0005-0000-0000-000043030000}"/>
    <cellStyle name="20% - uthevingsfarge 2 103 2 3" xfId="3756" xr:uid="{00000000-0005-0000-0000-000044030000}"/>
    <cellStyle name="20% - uthevingsfarge 2 103 2 4" xfId="6325" xr:uid="{00000000-0005-0000-0000-000045030000}"/>
    <cellStyle name="20% - uthevingsfarge 2 103 2 5" xfId="8650" xr:uid="{00000000-0005-0000-0000-000046030000}"/>
    <cellStyle name="20% - uthevingsfarge 2 103 3" xfId="3064" xr:uid="{00000000-0005-0000-0000-000047030000}"/>
    <cellStyle name="20% - uthevingsfarge 2 103 3 2" xfId="6649" xr:uid="{00000000-0005-0000-0000-000048030000}"/>
    <cellStyle name="20% - uthevingsfarge 2 103 4" xfId="4044" xr:uid="{00000000-0005-0000-0000-000049030000}"/>
    <cellStyle name="20% - uthevingsfarge 2 103 5" xfId="6040" xr:uid="{00000000-0005-0000-0000-00004A030000}"/>
    <cellStyle name="20% - uthevingsfarge 2 103 6" xfId="8649" xr:uid="{00000000-0005-0000-0000-00004B030000}"/>
    <cellStyle name="20% - uthevingsfarge 2 104" xfId="315" xr:uid="{00000000-0005-0000-0000-00004C030000}"/>
    <cellStyle name="20% - uthevingsfarge 2 104 2" xfId="2753" xr:uid="{00000000-0005-0000-0000-00004D030000}"/>
    <cellStyle name="20% - uthevingsfarge 2 104 2 2" xfId="3067" xr:uid="{00000000-0005-0000-0000-00004E030000}"/>
    <cellStyle name="20% - uthevingsfarge 2 104 2 2 2" xfId="6652" xr:uid="{00000000-0005-0000-0000-00004F030000}"/>
    <cellStyle name="20% - uthevingsfarge 2 104 2 3" xfId="3972" xr:uid="{00000000-0005-0000-0000-000050030000}"/>
    <cellStyle name="20% - uthevingsfarge 2 104 2 4" xfId="6326" xr:uid="{00000000-0005-0000-0000-000051030000}"/>
    <cellStyle name="20% - uthevingsfarge 2 104 2 5" xfId="8652" xr:uid="{00000000-0005-0000-0000-000052030000}"/>
    <cellStyle name="20% - uthevingsfarge 2 104 3" xfId="3066" xr:uid="{00000000-0005-0000-0000-000053030000}"/>
    <cellStyle name="20% - uthevingsfarge 2 104 3 2" xfId="6651" xr:uid="{00000000-0005-0000-0000-000054030000}"/>
    <cellStyle name="20% - uthevingsfarge 2 104 4" xfId="3896" xr:uid="{00000000-0005-0000-0000-000055030000}"/>
    <cellStyle name="20% - uthevingsfarge 2 104 5" xfId="6041" xr:uid="{00000000-0005-0000-0000-000056030000}"/>
    <cellStyle name="20% - uthevingsfarge 2 104 6" xfId="8651" xr:uid="{00000000-0005-0000-0000-000057030000}"/>
    <cellStyle name="20% - uthevingsfarge 2 105" xfId="316" xr:uid="{00000000-0005-0000-0000-000058030000}"/>
    <cellStyle name="20% - uthevingsfarge 2 105 2" xfId="2754" xr:uid="{00000000-0005-0000-0000-000059030000}"/>
    <cellStyle name="20% - uthevingsfarge 2 105 2 2" xfId="3069" xr:uid="{00000000-0005-0000-0000-00005A030000}"/>
    <cellStyle name="20% - uthevingsfarge 2 105 2 2 2" xfId="6654" xr:uid="{00000000-0005-0000-0000-00005B030000}"/>
    <cellStyle name="20% - uthevingsfarge 2 105 2 3" xfId="3973" xr:uid="{00000000-0005-0000-0000-00005C030000}"/>
    <cellStyle name="20% - uthevingsfarge 2 105 2 4" xfId="6327" xr:uid="{00000000-0005-0000-0000-00005D030000}"/>
    <cellStyle name="20% - uthevingsfarge 2 105 2 5" xfId="8654" xr:uid="{00000000-0005-0000-0000-00005E030000}"/>
    <cellStyle name="20% - uthevingsfarge 2 105 3" xfId="3068" xr:uid="{00000000-0005-0000-0000-00005F030000}"/>
    <cellStyle name="20% - uthevingsfarge 2 105 3 2" xfId="6653" xr:uid="{00000000-0005-0000-0000-000060030000}"/>
    <cellStyle name="20% - uthevingsfarge 2 105 4" xfId="4138" xr:uid="{00000000-0005-0000-0000-000061030000}"/>
    <cellStyle name="20% - uthevingsfarge 2 105 5" xfId="6042" xr:uid="{00000000-0005-0000-0000-000062030000}"/>
    <cellStyle name="20% - uthevingsfarge 2 105 6" xfId="8653" xr:uid="{00000000-0005-0000-0000-000063030000}"/>
    <cellStyle name="20% - uthevingsfarge 2 106" xfId="317" xr:uid="{00000000-0005-0000-0000-000064030000}"/>
    <cellStyle name="20% - uthevingsfarge 2 106 2" xfId="2755" xr:uid="{00000000-0005-0000-0000-000065030000}"/>
    <cellStyle name="20% - uthevingsfarge 2 106 2 2" xfId="3071" xr:uid="{00000000-0005-0000-0000-000066030000}"/>
    <cellStyle name="20% - uthevingsfarge 2 106 2 2 2" xfId="6656" xr:uid="{00000000-0005-0000-0000-000067030000}"/>
    <cellStyle name="20% - uthevingsfarge 2 106 2 3" xfId="3921" xr:uid="{00000000-0005-0000-0000-000068030000}"/>
    <cellStyle name="20% - uthevingsfarge 2 106 2 4" xfId="6328" xr:uid="{00000000-0005-0000-0000-000069030000}"/>
    <cellStyle name="20% - uthevingsfarge 2 106 2 5" xfId="8656" xr:uid="{00000000-0005-0000-0000-00006A030000}"/>
    <cellStyle name="20% - uthevingsfarge 2 106 3" xfId="3070" xr:uid="{00000000-0005-0000-0000-00006B030000}"/>
    <cellStyle name="20% - uthevingsfarge 2 106 3 2" xfId="6655" xr:uid="{00000000-0005-0000-0000-00006C030000}"/>
    <cellStyle name="20% - uthevingsfarge 2 106 4" xfId="4139" xr:uid="{00000000-0005-0000-0000-00006D030000}"/>
    <cellStyle name="20% - uthevingsfarge 2 106 5" xfId="6043" xr:uid="{00000000-0005-0000-0000-00006E030000}"/>
    <cellStyle name="20% - uthevingsfarge 2 106 6" xfId="8655" xr:uid="{00000000-0005-0000-0000-00006F030000}"/>
    <cellStyle name="20% - uthevingsfarge 2 107" xfId="318" xr:uid="{00000000-0005-0000-0000-000070030000}"/>
    <cellStyle name="20% - uthevingsfarge 2 107 2" xfId="2756" xr:uid="{00000000-0005-0000-0000-000071030000}"/>
    <cellStyle name="20% - uthevingsfarge 2 107 2 2" xfId="3073" xr:uid="{00000000-0005-0000-0000-000072030000}"/>
    <cellStyle name="20% - uthevingsfarge 2 107 2 2 2" xfId="6658" xr:uid="{00000000-0005-0000-0000-000073030000}"/>
    <cellStyle name="20% - uthevingsfarge 2 107 2 3" xfId="3648" xr:uid="{00000000-0005-0000-0000-000074030000}"/>
    <cellStyle name="20% - uthevingsfarge 2 107 2 4" xfId="6329" xr:uid="{00000000-0005-0000-0000-000075030000}"/>
    <cellStyle name="20% - uthevingsfarge 2 107 2 5" xfId="8658" xr:uid="{00000000-0005-0000-0000-000076030000}"/>
    <cellStyle name="20% - uthevingsfarge 2 107 3" xfId="3072" xr:uid="{00000000-0005-0000-0000-000077030000}"/>
    <cellStyle name="20% - uthevingsfarge 2 107 3 2" xfId="6657" xr:uid="{00000000-0005-0000-0000-000078030000}"/>
    <cellStyle name="20% - uthevingsfarge 2 107 4" xfId="4043" xr:uid="{00000000-0005-0000-0000-000079030000}"/>
    <cellStyle name="20% - uthevingsfarge 2 107 5" xfId="6044" xr:uid="{00000000-0005-0000-0000-00007A030000}"/>
    <cellStyle name="20% - uthevingsfarge 2 107 6" xfId="8657" xr:uid="{00000000-0005-0000-0000-00007B030000}"/>
    <cellStyle name="20% - uthevingsfarge 2 108" xfId="319" xr:uid="{00000000-0005-0000-0000-00007C030000}"/>
    <cellStyle name="20% - uthevingsfarge 2 108 2" xfId="2757" xr:uid="{00000000-0005-0000-0000-00007D030000}"/>
    <cellStyle name="20% - uthevingsfarge 2 108 2 2" xfId="3075" xr:uid="{00000000-0005-0000-0000-00007E030000}"/>
    <cellStyle name="20% - uthevingsfarge 2 108 2 2 2" xfId="6660" xr:uid="{00000000-0005-0000-0000-00007F030000}"/>
    <cellStyle name="20% - uthevingsfarge 2 108 2 3" xfId="3600" xr:uid="{00000000-0005-0000-0000-000080030000}"/>
    <cellStyle name="20% - uthevingsfarge 2 108 2 4" xfId="6330" xr:uid="{00000000-0005-0000-0000-000081030000}"/>
    <cellStyle name="20% - uthevingsfarge 2 108 2 5" xfId="8660" xr:uid="{00000000-0005-0000-0000-000082030000}"/>
    <cellStyle name="20% - uthevingsfarge 2 108 3" xfId="3074" xr:uid="{00000000-0005-0000-0000-000083030000}"/>
    <cellStyle name="20% - uthevingsfarge 2 108 3 2" xfId="6659" xr:uid="{00000000-0005-0000-0000-000084030000}"/>
    <cellStyle name="20% - uthevingsfarge 2 108 4" xfId="3997" xr:uid="{00000000-0005-0000-0000-000085030000}"/>
    <cellStyle name="20% - uthevingsfarge 2 108 5" xfId="6045" xr:uid="{00000000-0005-0000-0000-000086030000}"/>
    <cellStyle name="20% - uthevingsfarge 2 108 6" xfId="8659" xr:uid="{00000000-0005-0000-0000-000087030000}"/>
    <cellStyle name="20% - uthevingsfarge 2 109" xfId="320" xr:uid="{00000000-0005-0000-0000-000088030000}"/>
    <cellStyle name="20% - uthevingsfarge 2 109 2" xfId="2758" xr:uid="{00000000-0005-0000-0000-000089030000}"/>
    <cellStyle name="20% - uthevingsfarge 2 109 2 2" xfId="3077" xr:uid="{00000000-0005-0000-0000-00008A030000}"/>
    <cellStyle name="20% - uthevingsfarge 2 109 2 2 2" xfId="6662" xr:uid="{00000000-0005-0000-0000-00008B030000}"/>
    <cellStyle name="20% - uthevingsfarge 2 109 2 3" xfId="3971" xr:uid="{00000000-0005-0000-0000-00008C030000}"/>
    <cellStyle name="20% - uthevingsfarge 2 109 2 4" xfId="6331" xr:uid="{00000000-0005-0000-0000-00008D030000}"/>
    <cellStyle name="20% - uthevingsfarge 2 109 2 5" xfId="8662" xr:uid="{00000000-0005-0000-0000-00008E030000}"/>
    <cellStyle name="20% - uthevingsfarge 2 109 3" xfId="3076" xr:uid="{00000000-0005-0000-0000-00008F030000}"/>
    <cellStyle name="20% - uthevingsfarge 2 109 3 2" xfId="6661" xr:uid="{00000000-0005-0000-0000-000090030000}"/>
    <cellStyle name="20% - uthevingsfarge 2 109 4" xfId="3895" xr:uid="{00000000-0005-0000-0000-000091030000}"/>
    <cellStyle name="20% - uthevingsfarge 2 109 5" xfId="6046" xr:uid="{00000000-0005-0000-0000-000092030000}"/>
    <cellStyle name="20% - uthevingsfarge 2 109 6" xfId="8661" xr:uid="{00000000-0005-0000-0000-000093030000}"/>
    <cellStyle name="20% - uthevingsfarge 2 11" xfId="321" xr:uid="{00000000-0005-0000-0000-000094030000}"/>
    <cellStyle name="20% - uthevingsfarge 2 11 2" xfId="322" xr:uid="{00000000-0005-0000-0000-000095030000}"/>
    <cellStyle name="20% - uthevingsfarge 2 11 2 2" xfId="5312" xr:uid="{00000000-0005-0000-0000-000096030000}"/>
    <cellStyle name="20% - uthevingsfarge 2 11 2 2 2" xfId="7945" xr:uid="{00000000-0005-0000-0000-000097030000}"/>
    <cellStyle name="20% - uthevingsfarge 2 11 2 3" xfId="9218" xr:uid="{00000000-0005-0000-0000-000098030000}"/>
    <cellStyle name="20% - uthevingsfarge 2 11 3" xfId="4591" xr:uid="{00000000-0005-0000-0000-000099030000}"/>
    <cellStyle name="20% - uthevingsfarge 2 11 3 2" xfId="7244" xr:uid="{00000000-0005-0000-0000-00009A030000}"/>
    <cellStyle name="20% - uthevingsfarge 2 11 4" xfId="10298" xr:uid="{00000000-0005-0000-0000-00009B030000}"/>
    <cellStyle name="20% - uthevingsfarge 2 110" xfId="6589" xr:uid="{00000000-0005-0000-0000-00009C030000}"/>
    <cellStyle name="20% - uthevingsfarge 2 111" xfId="8592" xr:uid="{00000000-0005-0000-0000-00009D030000}"/>
    <cellStyle name="20% - uthevingsfarge 2 12" xfId="323" xr:uid="{00000000-0005-0000-0000-00009E030000}"/>
    <cellStyle name="20% - uthevingsfarge 2 12 2" xfId="324" xr:uid="{00000000-0005-0000-0000-00009F030000}"/>
    <cellStyle name="20% - uthevingsfarge 2 12 2 2" xfId="5313" xr:uid="{00000000-0005-0000-0000-0000A0030000}"/>
    <cellStyle name="20% - uthevingsfarge 2 12 2 2 2" xfId="7946" xr:uid="{00000000-0005-0000-0000-0000A1030000}"/>
    <cellStyle name="20% - uthevingsfarge 2 12 2 3" xfId="9858" xr:uid="{00000000-0005-0000-0000-0000A2030000}"/>
    <cellStyle name="20% - uthevingsfarge 2 12 3" xfId="4592" xr:uid="{00000000-0005-0000-0000-0000A3030000}"/>
    <cellStyle name="20% - uthevingsfarge 2 12 3 2" xfId="7245" xr:uid="{00000000-0005-0000-0000-0000A4030000}"/>
    <cellStyle name="20% - uthevingsfarge 2 12 4" xfId="10327" xr:uid="{00000000-0005-0000-0000-0000A5030000}"/>
    <cellStyle name="20% - uthevingsfarge 2 13" xfId="325" xr:uid="{00000000-0005-0000-0000-0000A6030000}"/>
    <cellStyle name="20% - uthevingsfarge 2 13 2" xfId="326" xr:uid="{00000000-0005-0000-0000-0000A7030000}"/>
    <cellStyle name="20% - uthevingsfarge 2 13 2 2" xfId="5314" xr:uid="{00000000-0005-0000-0000-0000A8030000}"/>
    <cellStyle name="20% - uthevingsfarge 2 13 2 2 2" xfId="7947" xr:uid="{00000000-0005-0000-0000-0000A9030000}"/>
    <cellStyle name="20% - uthevingsfarge 2 13 2 3" xfId="9752" xr:uid="{00000000-0005-0000-0000-0000AA030000}"/>
    <cellStyle name="20% - uthevingsfarge 2 13 3" xfId="4593" xr:uid="{00000000-0005-0000-0000-0000AB030000}"/>
    <cellStyle name="20% - uthevingsfarge 2 13 3 2" xfId="7246" xr:uid="{00000000-0005-0000-0000-0000AC030000}"/>
    <cellStyle name="20% - uthevingsfarge 2 13 4" xfId="9217" xr:uid="{00000000-0005-0000-0000-0000AD030000}"/>
    <cellStyle name="20% - uthevingsfarge 2 14" xfId="327" xr:uid="{00000000-0005-0000-0000-0000AE030000}"/>
    <cellStyle name="20% - uthevingsfarge 2 14 2" xfId="328" xr:uid="{00000000-0005-0000-0000-0000AF030000}"/>
    <cellStyle name="20% - uthevingsfarge 2 14 2 2" xfId="5315" xr:uid="{00000000-0005-0000-0000-0000B0030000}"/>
    <cellStyle name="20% - uthevingsfarge 2 14 2 2 2" xfId="7948" xr:uid="{00000000-0005-0000-0000-0000B1030000}"/>
    <cellStyle name="20% - uthevingsfarge 2 14 2 3" xfId="9680" xr:uid="{00000000-0005-0000-0000-0000B2030000}"/>
    <cellStyle name="20% - uthevingsfarge 2 14 3" xfId="4594" xr:uid="{00000000-0005-0000-0000-0000B3030000}"/>
    <cellStyle name="20% - uthevingsfarge 2 14 3 2" xfId="7247" xr:uid="{00000000-0005-0000-0000-0000B4030000}"/>
    <cellStyle name="20% - uthevingsfarge 2 14 4" xfId="9679" xr:uid="{00000000-0005-0000-0000-0000B5030000}"/>
    <cellStyle name="20% - uthevingsfarge 2 15" xfId="329" xr:uid="{00000000-0005-0000-0000-0000B6030000}"/>
    <cellStyle name="20% - uthevingsfarge 2 15 2" xfId="330" xr:uid="{00000000-0005-0000-0000-0000B7030000}"/>
    <cellStyle name="20% - uthevingsfarge 2 15 2 2" xfId="5316" xr:uid="{00000000-0005-0000-0000-0000B8030000}"/>
    <cellStyle name="20% - uthevingsfarge 2 15 2 2 2" xfId="7949" xr:uid="{00000000-0005-0000-0000-0000B9030000}"/>
    <cellStyle name="20% - uthevingsfarge 2 15 2 3" xfId="9678" xr:uid="{00000000-0005-0000-0000-0000BA030000}"/>
    <cellStyle name="20% - uthevingsfarge 2 15 3" xfId="4595" xr:uid="{00000000-0005-0000-0000-0000BB030000}"/>
    <cellStyle name="20% - uthevingsfarge 2 15 3 2" xfId="7248" xr:uid="{00000000-0005-0000-0000-0000BC030000}"/>
    <cellStyle name="20% - uthevingsfarge 2 15 4" xfId="9677" xr:uid="{00000000-0005-0000-0000-0000BD030000}"/>
    <cellStyle name="20% - uthevingsfarge 2 16" xfId="331" xr:uid="{00000000-0005-0000-0000-0000BE030000}"/>
    <cellStyle name="20% - uthevingsfarge 2 16 2" xfId="332" xr:uid="{00000000-0005-0000-0000-0000BF030000}"/>
    <cellStyle name="20% - uthevingsfarge 2 16 2 2" xfId="5317" xr:uid="{00000000-0005-0000-0000-0000C0030000}"/>
    <cellStyle name="20% - uthevingsfarge 2 16 2 2 2" xfId="7950" xr:uid="{00000000-0005-0000-0000-0000C1030000}"/>
    <cellStyle name="20% - uthevingsfarge 2 16 2 3" xfId="9676" xr:uid="{00000000-0005-0000-0000-0000C2030000}"/>
    <cellStyle name="20% - uthevingsfarge 2 16 3" xfId="4596" xr:uid="{00000000-0005-0000-0000-0000C3030000}"/>
    <cellStyle name="20% - uthevingsfarge 2 16 3 2" xfId="7249" xr:uid="{00000000-0005-0000-0000-0000C4030000}"/>
    <cellStyle name="20% - uthevingsfarge 2 16 4" xfId="9675" xr:uid="{00000000-0005-0000-0000-0000C5030000}"/>
    <cellStyle name="20% - uthevingsfarge 2 17" xfId="333" xr:uid="{00000000-0005-0000-0000-0000C6030000}"/>
    <cellStyle name="20% - uthevingsfarge 2 17 2" xfId="334" xr:uid="{00000000-0005-0000-0000-0000C7030000}"/>
    <cellStyle name="20% - uthevingsfarge 2 17 2 2" xfId="5318" xr:uid="{00000000-0005-0000-0000-0000C8030000}"/>
    <cellStyle name="20% - uthevingsfarge 2 17 2 2 2" xfId="7951" xr:uid="{00000000-0005-0000-0000-0000C9030000}"/>
    <cellStyle name="20% - uthevingsfarge 2 17 2 3" xfId="9980" xr:uid="{00000000-0005-0000-0000-0000CA030000}"/>
    <cellStyle name="20% - uthevingsfarge 2 17 3" xfId="4597" xr:uid="{00000000-0005-0000-0000-0000CB030000}"/>
    <cellStyle name="20% - uthevingsfarge 2 17 3 2" xfId="7250" xr:uid="{00000000-0005-0000-0000-0000CC030000}"/>
    <cellStyle name="20% - uthevingsfarge 2 17 4" xfId="9952" xr:uid="{00000000-0005-0000-0000-0000CD030000}"/>
    <cellStyle name="20% - uthevingsfarge 2 18" xfId="335" xr:uid="{00000000-0005-0000-0000-0000CE030000}"/>
    <cellStyle name="20% - uthevingsfarge 2 18 2" xfId="336" xr:uid="{00000000-0005-0000-0000-0000CF030000}"/>
    <cellStyle name="20% - uthevingsfarge 2 18 2 2" xfId="5319" xr:uid="{00000000-0005-0000-0000-0000D0030000}"/>
    <cellStyle name="20% - uthevingsfarge 2 18 2 2 2" xfId="7952" xr:uid="{00000000-0005-0000-0000-0000D1030000}"/>
    <cellStyle name="20% - uthevingsfarge 2 18 2 3" xfId="10449" xr:uid="{00000000-0005-0000-0000-0000D2030000}"/>
    <cellStyle name="20% - uthevingsfarge 2 18 3" xfId="4598" xr:uid="{00000000-0005-0000-0000-0000D3030000}"/>
    <cellStyle name="20% - uthevingsfarge 2 18 3 2" xfId="7251" xr:uid="{00000000-0005-0000-0000-0000D4030000}"/>
    <cellStyle name="20% - uthevingsfarge 2 18 4" xfId="10651" xr:uid="{00000000-0005-0000-0000-0000D5030000}"/>
    <cellStyle name="20% - uthevingsfarge 2 19" xfId="337" xr:uid="{00000000-0005-0000-0000-0000D6030000}"/>
    <cellStyle name="20% - uthevingsfarge 2 19 2" xfId="338" xr:uid="{00000000-0005-0000-0000-0000D7030000}"/>
    <cellStyle name="20% - uthevingsfarge 2 19 2 2" xfId="5320" xr:uid="{00000000-0005-0000-0000-0000D8030000}"/>
    <cellStyle name="20% - uthevingsfarge 2 19 2 2 2" xfId="7953" xr:uid="{00000000-0005-0000-0000-0000D9030000}"/>
    <cellStyle name="20% - uthevingsfarge 2 19 2 3" xfId="10330" xr:uid="{00000000-0005-0000-0000-0000DA030000}"/>
    <cellStyle name="20% - uthevingsfarge 2 19 3" xfId="4599" xr:uid="{00000000-0005-0000-0000-0000DB030000}"/>
    <cellStyle name="20% - uthevingsfarge 2 19 3 2" xfId="7252" xr:uid="{00000000-0005-0000-0000-0000DC030000}"/>
    <cellStyle name="20% - uthevingsfarge 2 19 4" xfId="10715" xr:uid="{00000000-0005-0000-0000-0000DD030000}"/>
    <cellStyle name="20% - uthevingsfarge 2 2" xfId="62" xr:uid="{00000000-0005-0000-0000-0000DE030000}"/>
    <cellStyle name="20% - uthevingsfarge 2 2 2" xfId="339" xr:uid="{00000000-0005-0000-0000-0000DF030000}"/>
    <cellStyle name="20% - uthevingsfarge 2 2 2 2" xfId="5321" xr:uid="{00000000-0005-0000-0000-0000E0030000}"/>
    <cellStyle name="20% - uthevingsfarge 2 2 2 2 2" xfId="7954" xr:uid="{00000000-0005-0000-0000-0000E1030000}"/>
    <cellStyle name="20% - uthevingsfarge 2 2 2 3" xfId="9870" xr:uid="{00000000-0005-0000-0000-0000E2030000}"/>
    <cellStyle name="20% - uthevingsfarge 2 2 3" xfId="4600" xr:uid="{00000000-0005-0000-0000-0000E3030000}"/>
    <cellStyle name="20% - uthevingsfarge 2 2 3 2" xfId="7253" xr:uid="{00000000-0005-0000-0000-0000E4030000}"/>
    <cellStyle name="20% - uthevingsfarge 2 2 4" xfId="9725" xr:uid="{00000000-0005-0000-0000-0000E5030000}"/>
    <cellStyle name="20% - uthevingsfarge 2 20" xfId="340" xr:uid="{00000000-0005-0000-0000-0000E6030000}"/>
    <cellStyle name="20% - uthevingsfarge 2 20 2" xfId="341" xr:uid="{00000000-0005-0000-0000-0000E7030000}"/>
    <cellStyle name="20% - uthevingsfarge 2 20 2 2" xfId="5322" xr:uid="{00000000-0005-0000-0000-0000E8030000}"/>
    <cellStyle name="20% - uthevingsfarge 2 20 2 2 2" xfId="7955" xr:uid="{00000000-0005-0000-0000-0000E9030000}"/>
    <cellStyle name="20% - uthevingsfarge 2 20 2 3" xfId="9207" xr:uid="{00000000-0005-0000-0000-0000EA030000}"/>
    <cellStyle name="20% - uthevingsfarge 2 20 3" xfId="4601" xr:uid="{00000000-0005-0000-0000-0000EB030000}"/>
    <cellStyle name="20% - uthevingsfarge 2 20 3 2" xfId="7254" xr:uid="{00000000-0005-0000-0000-0000EC030000}"/>
    <cellStyle name="20% - uthevingsfarge 2 20 4" xfId="10261" xr:uid="{00000000-0005-0000-0000-0000ED030000}"/>
    <cellStyle name="20% - uthevingsfarge 2 21" xfId="342" xr:uid="{00000000-0005-0000-0000-0000EE030000}"/>
    <cellStyle name="20% - uthevingsfarge 2 21 2" xfId="343" xr:uid="{00000000-0005-0000-0000-0000EF030000}"/>
    <cellStyle name="20% - uthevingsfarge 2 21 2 2" xfId="5323" xr:uid="{00000000-0005-0000-0000-0000F0030000}"/>
    <cellStyle name="20% - uthevingsfarge 2 21 2 2 2" xfId="7956" xr:uid="{00000000-0005-0000-0000-0000F1030000}"/>
    <cellStyle name="20% - uthevingsfarge 2 21 2 3" xfId="9674" xr:uid="{00000000-0005-0000-0000-0000F2030000}"/>
    <cellStyle name="20% - uthevingsfarge 2 21 3" xfId="4602" xr:uid="{00000000-0005-0000-0000-0000F3030000}"/>
    <cellStyle name="20% - uthevingsfarge 2 21 3 2" xfId="7255" xr:uid="{00000000-0005-0000-0000-0000F4030000}"/>
    <cellStyle name="20% - uthevingsfarge 2 21 4" xfId="9673" xr:uid="{00000000-0005-0000-0000-0000F5030000}"/>
    <cellStyle name="20% - uthevingsfarge 2 22" xfId="344" xr:uid="{00000000-0005-0000-0000-0000F6030000}"/>
    <cellStyle name="20% - uthevingsfarge 2 22 2" xfId="345" xr:uid="{00000000-0005-0000-0000-0000F7030000}"/>
    <cellStyle name="20% - uthevingsfarge 2 22 2 2" xfId="5324" xr:uid="{00000000-0005-0000-0000-0000F8030000}"/>
    <cellStyle name="20% - uthevingsfarge 2 22 2 2 2" xfId="7957" xr:uid="{00000000-0005-0000-0000-0000F9030000}"/>
    <cellStyle name="20% - uthevingsfarge 2 22 2 3" xfId="9672" xr:uid="{00000000-0005-0000-0000-0000FA030000}"/>
    <cellStyle name="20% - uthevingsfarge 2 22 3" xfId="4603" xr:uid="{00000000-0005-0000-0000-0000FB030000}"/>
    <cellStyle name="20% - uthevingsfarge 2 22 3 2" xfId="7256" xr:uid="{00000000-0005-0000-0000-0000FC030000}"/>
    <cellStyle name="20% - uthevingsfarge 2 22 4" xfId="9671" xr:uid="{00000000-0005-0000-0000-0000FD030000}"/>
    <cellStyle name="20% - uthevingsfarge 2 23" xfId="346" xr:uid="{00000000-0005-0000-0000-0000FE030000}"/>
    <cellStyle name="20% - uthevingsfarge 2 23 2" xfId="347" xr:uid="{00000000-0005-0000-0000-0000FF030000}"/>
    <cellStyle name="20% - uthevingsfarge 2 23 2 2" xfId="5325" xr:uid="{00000000-0005-0000-0000-000000040000}"/>
    <cellStyle name="20% - uthevingsfarge 2 23 2 2 2" xfId="7958" xr:uid="{00000000-0005-0000-0000-000001040000}"/>
    <cellStyle name="20% - uthevingsfarge 2 23 2 3" xfId="9670" xr:uid="{00000000-0005-0000-0000-000002040000}"/>
    <cellStyle name="20% - uthevingsfarge 2 23 3" xfId="4604" xr:uid="{00000000-0005-0000-0000-000003040000}"/>
    <cellStyle name="20% - uthevingsfarge 2 23 3 2" xfId="7257" xr:uid="{00000000-0005-0000-0000-000004040000}"/>
    <cellStyle name="20% - uthevingsfarge 2 23 4" xfId="9669" xr:uid="{00000000-0005-0000-0000-000005040000}"/>
    <cellStyle name="20% - uthevingsfarge 2 24" xfId="348" xr:uid="{00000000-0005-0000-0000-000006040000}"/>
    <cellStyle name="20% - uthevingsfarge 2 24 2" xfId="349" xr:uid="{00000000-0005-0000-0000-000007040000}"/>
    <cellStyle name="20% - uthevingsfarge 2 24 2 2" xfId="5326" xr:uid="{00000000-0005-0000-0000-000008040000}"/>
    <cellStyle name="20% - uthevingsfarge 2 24 2 2 2" xfId="7959" xr:uid="{00000000-0005-0000-0000-000009040000}"/>
    <cellStyle name="20% - uthevingsfarge 2 24 2 3" xfId="9960" xr:uid="{00000000-0005-0000-0000-00000A040000}"/>
    <cellStyle name="20% - uthevingsfarge 2 24 3" xfId="4605" xr:uid="{00000000-0005-0000-0000-00000B040000}"/>
    <cellStyle name="20% - uthevingsfarge 2 24 3 2" xfId="7258" xr:uid="{00000000-0005-0000-0000-00000C040000}"/>
    <cellStyle name="20% - uthevingsfarge 2 24 4" xfId="9871" xr:uid="{00000000-0005-0000-0000-00000D040000}"/>
    <cellStyle name="20% - uthevingsfarge 2 25" xfId="350" xr:uid="{00000000-0005-0000-0000-00000E040000}"/>
    <cellStyle name="20% - uthevingsfarge 2 25 2" xfId="351" xr:uid="{00000000-0005-0000-0000-00000F040000}"/>
    <cellStyle name="20% - uthevingsfarge 2 25 2 2" xfId="5327" xr:uid="{00000000-0005-0000-0000-000010040000}"/>
    <cellStyle name="20% - uthevingsfarge 2 25 2 2 2" xfId="7960" xr:uid="{00000000-0005-0000-0000-000011040000}"/>
    <cellStyle name="20% - uthevingsfarge 2 25 2 3" xfId="9724" xr:uid="{00000000-0005-0000-0000-000012040000}"/>
    <cellStyle name="20% - uthevingsfarge 2 25 3" xfId="4606" xr:uid="{00000000-0005-0000-0000-000013040000}"/>
    <cellStyle name="20% - uthevingsfarge 2 25 3 2" xfId="7259" xr:uid="{00000000-0005-0000-0000-000014040000}"/>
    <cellStyle name="20% - uthevingsfarge 2 25 4" xfId="10714" xr:uid="{00000000-0005-0000-0000-000015040000}"/>
    <cellStyle name="20% - uthevingsfarge 2 26" xfId="352" xr:uid="{00000000-0005-0000-0000-000016040000}"/>
    <cellStyle name="20% - uthevingsfarge 2 26 2" xfId="353" xr:uid="{00000000-0005-0000-0000-000017040000}"/>
    <cellStyle name="20% - uthevingsfarge 2 26 2 2" xfId="5328" xr:uid="{00000000-0005-0000-0000-000018040000}"/>
    <cellStyle name="20% - uthevingsfarge 2 26 2 2 2" xfId="7961" xr:uid="{00000000-0005-0000-0000-000019040000}"/>
    <cellStyle name="20% - uthevingsfarge 2 26 2 3" xfId="9857" xr:uid="{00000000-0005-0000-0000-00001A040000}"/>
    <cellStyle name="20% - uthevingsfarge 2 26 3" xfId="4607" xr:uid="{00000000-0005-0000-0000-00001B040000}"/>
    <cellStyle name="20% - uthevingsfarge 2 26 3 2" xfId="7260" xr:uid="{00000000-0005-0000-0000-00001C040000}"/>
    <cellStyle name="20% - uthevingsfarge 2 26 4" xfId="10309" xr:uid="{00000000-0005-0000-0000-00001D040000}"/>
    <cellStyle name="20% - uthevingsfarge 2 27" xfId="354" xr:uid="{00000000-0005-0000-0000-00001E040000}"/>
    <cellStyle name="20% - uthevingsfarge 2 27 2" xfId="355" xr:uid="{00000000-0005-0000-0000-00001F040000}"/>
    <cellStyle name="20% - uthevingsfarge 2 27 2 2" xfId="5329" xr:uid="{00000000-0005-0000-0000-000020040000}"/>
    <cellStyle name="20% - uthevingsfarge 2 27 2 2 2" xfId="7962" xr:uid="{00000000-0005-0000-0000-000021040000}"/>
    <cellStyle name="20% - uthevingsfarge 2 27 2 3" xfId="10716" xr:uid="{00000000-0005-0000-0000-000022040000}"/>
    <cellStyle name="20% - uthevingsfarge 2 27 3" xfId="4608" xr:uid="{00000000-0005-0000-0000-000023040000}"/>
    <cellStyle name="20% - uthevingsfarge 2 27 3 2" xfId="7261" xr:uid="{00000000-0005-0000-0000-000024040000}"/>
    <cellStyle name="20% - uthevingsfarge 2 27 4" xfId="10460" xr:uid="{00000000-0005-0000-0000-000025040000}"/>
    <cellStyle name="20% - uthevingsfarge 2 28" xfId="356" xr:uid="{00000000-0005-0000-0000-000026040000}"/>
    <cellStyle name="20% - uthevingsfarge 2 28 2" xfId="357" xr:uid="{00000000-0005-0000-0000-000027040000}"/>
    <cellStyle name="20% - uthevingsfarge 2 28 2 2" xfId="5330" xr:uid="{00000000-0005-0000-0000-000028040000}"/>
    <cellStyle name="20% - uthevingsfarge 2 28 2 2 2" xfId="7963" xr:uid="{00000000-0005-0000-0000-000029040000}"/>
    <cellStyle name="20% - uthevingsfarge 2 28 2 3" xfId="9723" xr:uid="{00000000-0005-0000-0000-00002A040000}"/>
    <cellStyle name="20% - uthevingsfarge 2 28 3" xfId="4609" xr:uid="{00000000-0005-0000-0000-00002B040000}"/>
    <cellStyle name="20% - uthevingsfarge 2 28 3 2" xfId="7262" xr:uid="{00000000-0005-0000-0000-00002C040000}"/>
    <cellStyle name="20% - uthevingsfarge 2 28 4" xfId="10296" xr:uid="{00000000-0005-0000-0000-00002D040000}"/>
    <cellStyle name="20% - uthevingsfarge 2 29" xfId="358" xr:uid="{00000000-0005-0000-0000-00002E040000}"/>
    <cellStyle name="20% - uthevingsfarge 2 29 2" xfId="359" xr:uid="{00000000-0005-0000-0000-00002F040000}"/>
    <cellStyle name="20% - uthevingsfarge 2 29 2 2" xfId="5331" xr:uid="{00000000-0005-0000-0000-000030040000}"/>
    <cellStyle name="20% - uthevingsfarge 2 29 2 2 2" xfId="7964" xr:uid="{00000000-0005-0000-0000-000031040000}"/>
    <cellStyle name="20% - uthevingsfarge 2 29 2 3" xfId="10713" xr:uid="{00000000-0005-0000-0000-000032040000}"/>
    <cellStyle name="20% - uthevingsfarge 2 29 3" xfId="4610" xr:uid="{00000000-0005-0000-0000-000033040000}"/>
    <cellStyle name="20% - uthevingsfarge 2 29 3 2" xfId="7263" xr:uid="{00000000-0005-0000-0000-000034040000}"/>
    <cellStyle name="20% - uthevingsfarge 2 29 4" xfId="9928" xr:uid="{00000000-0005-0000-0000-000035040000}"/>
    <cellStyle name="20% - uthevingsfarge 2 3" xfId="360" xr:uid="{00000000-0005-0000-0000-000036040000}"/>
    <cellStyle name="20% - uthevingsfarge 2 3 2" xfId="361" xr:uid="{00000000-0005-0000-0000-000037040000}"/>
    <cellStyle name="20% - uthevingsfarge 2 3 2 2" xfId="5332" xr:uid="{00000000-0005-0000-0000-000038040000}"/>
    <cellStyle name="20% - uthevingsfarge 2 3 2 2 2" xfId="7965" xr:uid="{00000000-0005-0000-0000-000039040000}"/>
    <cellStyle name="20% - uthevingsfarge 2 3 2 3" xfId="9668" xr:uid="{00000000-0005-0000-0000-00003A040000}"/>
    <cellStyle name="20% - uthevingsfarge 2 3 3" xfId="4611" xr:uid="{00000000-0005-0000-0000-00003B040000}"/>
    <cellStyle name="20% - uthevingsfarge 2 3 3 2" xfId="7264" xr:uid="{00000000-0005-0000-0000-00003C040000}"/>
    <cellStyle name="20% - uthevingsfarge 2 3 4" xfId="9667" xr:uid="{00000000-0005-0000-0000-00003D040000}"/>
    <cellStyle name="20% - uthevingsfarge 2 30" xfId="362" xr:uid="{00000000-0005-0000-0000-00003E040000}"/>
    <cellStyle name="20% - uthevingsfarge 2 30 2" xfId="363" xr:uid="{00000000-0005-0000-0000-00003F040000}"/>
    <cellStyle name="20% - uthevingsfarge 2 30 2 2" xfId="5333" xr:uid="{00000000-0005-0000-0000-000040040000}"/>
    <cellStyle name="20% - uthevingsfarge 2 30 2 2 2" xfId="7966" xr:uid="{00000000-0005-0000-0000-000041040000}"/>
    <cellStyle name="20% - uthevingsfarge 2 30 2 3" xfId="10448" xr:uid="{00000000-0005-0000-0000-000042040000}"/>
    <cellStyle name="20% - uthevingsfarge 2 30 3" xfId="4612" xr:uid="{00000000-0005-0000-0000-000043040000}"/>
    <cellStyle name="20% - uthevingsfarge 2 30 3 2" xfId="7265" xr:uid="{00000000-0005-0000-0000-000044040000}"/>
    <cellStyle name="20% - uthevingsfarge 2 30 4" xfId="10712" xr:uid="{00000000-0005-0000-0000-000045040000}"/>
    <cellStyle name="20% - uthevingsfarge 2 31" xfId="364" xr:uid="{00000000-0005-0000-0000-000046040000}"/>
    <cellStyle name="20% - uthevingsfarge 2 31 2" xfId="365" xr:uid="{00000000-0005-0000-0000-000047040000}"/>
    <cellStyle name="20% - uthevingsfarge 2 31 2 2" xfId="5334" xr:uid="{00000000-0005-0000-0000-000048040000}"/>
    <cellStyle name="20% - uthevingsfarge 2 31 2 2 2" xfId="7967" xr:uid="{00000000-0005-0000-0000-000049040000}"/>
    <cellStyle name="20% - uthevingsfarge 2 31 2 3" xfId="9856" xr:uid="{00000000-0005-0000-0000-00004A040000}"/>
    <cellStyle name="20% - uthevingsfarge 2 31 3" xfId="4613" xr:uid="{00000000-0005-0000-0000-00004B040000}"/>
    <cellStyle name="20% - uthevingsfarge 2 31 3 2" xfId="7266" xr:uid="{00000000-0005-0000-0000-00004C040000}"/>
    <cellStyle name="20% - uthevingsfarge 2 31 4" xfId="9221" xr:uid="{00000000-0005-0000-0000-00004D040000}"/>
    <cellStyle name="20% - uthevingsfarge 2 32" xfId="366" xr:uid="{00000000-0005-0000-0000-00004E040000}"/>
    <cellStyle name="20% - uthevingsfarge 2 32 2" xfId="367" xr:uid="{00000000-0005-0000-0000-00004F040000}"/>
    <cellStyle name="20% - uthevingsfarge 2 32 2 2" xfId="5335" xr:uid="{00000000-0005-0000-0000-000050040000}"/>
    <cellStyle name="20% - uthevingsfarge 2 32 2 2 2" xfId="7968" xr:uid="{00000000-0005-0000-0000-000051040000}"/>
    <cellStyle name="20% - uthevingsfarge 2 32 2 3" xfId="10447" xr:uid="{00000000-0005-0000-0000-000052040000}"/>
    <cellStyle name="20% - uthevingsfarge 2 32 3" xfId="4614" xr:uid="{00000000-0005-0000-0000-000053040000}"/>
    <cellStyle name="20% - uthevingsfarge 2 32 3 2" xfId="7267" xr:uid="{00000000-0005-0000-0000-000054040000}"/>
    <cellStyle name="20% - uthevingsfarge 2 32 4" xfId="10711" xr:uid="{00000000-0005-0000-0000-000055040000}"/>
    <cellStyle name="20% - uthevingsfarge 2 33" xfId="368" xr:uid="{00000000-0005-0000-0000-000056040000}"/>
    <cellStyle name="20% - uthevingsfarge 2 33 2" xfId="369" xr:uid="{00000000-0005-0000-0000-000057040000}"/>
    <cellStyle name="20% - uthevingsfarge 2 33 2 2" xfId="5336" xr:uid="{00000000-0005-0000-0000-000058040000}"/>
    <cellStyle name="20% - uthevingsfarge 2 33 2 2 2" xfId="7969" xr:uid="{00000000-0005-0000-0000-000059040000}"/>
    <cellStyle name="20% - uthevingsfarge 2 33 2 3" xfId="9855" xr:uid="{00000000-0005-0000-0000-00005A040000}"/>
    <cellStyle name="20% - uthevingsfarge 2 33 3" xfId="4615" xr:uid="{00000000-0005-0000-0000-00005B040000}"/>
    <cellStyle name="20% - uthevingsfarge 2 33 3 2" xfId="7268" xr:uid="{00000000-0005-0000-0000-00005C040000}"/>
    <cellStyle name="20% - uthevingsfarge 2 33 4" xfId="9222" xr:uid="{00000000-0005-0000-0000-00005D040000}"/>
    <cellStyle name="20% - uthevingsfarge 2 34" xfId="370" xr:uid="{00000000-0005-0000-0000-00005E040000}"/>
    <cellStyle name="20% - uthevingsfarge 2 34 2" xfId="371" xr:uid="{00000000-0005-0000-0000-00005F040000}"/>
    <cellStyle name="20% - uthevingsfarge 2 34 2 2" xfId="5337" xr:uid="{00000000-0005-0000-0000-000060040000}"/>
    <cellStyle name="20% - uthevingsfarge 2 34 2 2 2" xfId="7970" xr:uid="{00000000-0005-0000-0000-000061040000}"/>
    <cellStyle name="20% - uthevingsfarge 2 34 2 3" xfId="10446" xr:uid="{00000000-0005-0000-0000-000062040000}"/>
    <cellStyle name="20% - uthevingsfarge 2 34 3" xfId="4616" xr:uid="{00000000-0005-0000-0000-000063040000}"/>
    <cellStyle name="20% - uthevingsfarge 2 34 3 2" xfId="7269" xr:uid="{00000000-0005-0000-0000-000064040000}"/>
    <cellStyle name="20% - uthevingsfarge 2 34 4" xfId="10710" xr:uid="{00000000-0005-0000-0000-000065040000}"/>
    <cellStyle name="20% - uthevingsfarge 2 35" xfId="372" xr:uid="{00000000-0005-0000-0000-000066040000}"/>
    <cellStyle name="20% - uthevingsfarge 2 35 2" xfId="373" xr:uid="{00000000-0005-0000-0000-000067040000}"/>
    <cellStyle name="20% - uthevingsfarge 2 35 2 2" xfId="5338" xr:uid="{00000000-0005-0000-0000-000068040000}"/>
    <cellStyle name="20% - uthevingsfarge 2 35 2 2 2" xfId="7971" xr:uid="{00000000-0005-0000-0000-000069040000}"/>
    <cellStyle name="20% - uthevingsfarge 2 35 2 3" xfId="9854" xr:uid="{00000000-0005-0000-0000-00006A040000}"/>
    <cellStyle name="20% - uthevingsfarge 2 35 3" xfId="4617" xr:uid="{00000000-0005-0000-0000-00006B040000}"/>
    <cellStyle name="20% - uthevingsfarge 2 35 3 2" xfId="7270" xr:uid="{00000000-0005-0000-0000-00006C040000}"/>
    <cellStyle name="20% - uthevingsfarge 2 35 4" xfId="9666" xr:uid="{00000000-0005-0000-0000-00006D040000}"/>
    <cellStyle name="20% - uthevingsfarge 2 36" xfId="374" xr:uid="{00000000-0005-0000-0000-00006E040000}"/>
    <cellStyle name="20% - uthevingsfarge 2 36 2" xfId="375" xr:uid="{00000000-0005-0000-0000-00006F040000}"/>
    <cellStyle name="20% - uthevingsfarge 2 36 2 2" xfId="5339" xr:uid="{00000000-0005-0000-0000-000070040000}"/>
    <cellStyle name="20% - uthevingsfarge 2 36 2 2 2" xfId="7972" xr:uid="{00000000-0005-0000-0000-000071040000}"/>
    <cellStyle name="20% - uthevingsfarge 2 36 2 3" xfId="10445" xr:uid="{00000000-0005-0000-0000-000072040000}"/>
    <cellStyle name="20% - uthevingsfarge 2 36 3" xfId="4618" xr:uid="{00000000-0005-0000-0000-000073040000}"/>
    <cellStyle name="20% - uthevingsfarge 2 36 3 2" xfId="7271" xr:uid="{00000000-0005-0000-0000-000074040000}"/>
    <cellStyle name="20% - uthevingsfarge 2 36 4" xfId="10709" xr:uid="{00000000-0005-0000-0000-000075040000}"/>
    <cellStyle name="20% - uthevingsfarge 2 37" xfId="376" xr:uid="{00000000-0005-0000-0000-000076040000}"/>
    <cellStyle name="20% - uthevingsfarge 2 37 2" xfId="377" xr:uid="{00000000-0005-0000-0000-000077040000}"/>
    <cellStyle name="20% - uthevingsfarge 2 37 2 2" xfId="5340" xr:uid="{00000000-0005-0000-0000-000078040000}"/>
    <cellStyle name="20% - uthevingsfarge 2 37 2 2 2" xfId="7973" xr:uid="{00000000-0005-0000-0000-000079040000}"/>
    <cellStyle name="20% - uthevingsfarge 2 37 2 3" xfId="9853" xr:uid="{00000000-0005-0000-0000-00007A040000}"/>
    <cellStyle name="20% - uthevingsfarge 2 37 3" xfId="4619" xr:uid="{00000000-0005-0000-0000-00007B040000}"/>
    <cellStyle name="20% - uthevingsfarge 2 37 3 2" xfId="7272" xr:uid="{00000000-0005-0000-0000-00007C040000}"/>
    <cellStyle name="20% - uthevingsfarge 2 37 4" xfId="9665" xr:uid="{00000000-0005-0000-0000-00007D040000}"/>
    <cellStyle name="20% - uthevingsfarge 2 38" xfId="378" xr:uid="{00000000-0005-0000-0000-00007E040000}"/>
    <cellStyle name="20% - uthevingsfarge 2 38 2" xfId="379" xr:uid="{00000000-0005-0000-0000-00007F040000}"/>
    <cellStyle name="20% - uthevingsfarge 2 38 2 2" xfId="5341" xr:uid="{00000000-0005-0000-0000-000080040000}"/>
    <cellStyle name="20% - uthevingsfarge 2 38 2 2 2" xfId="7974" xr:uid="{00000000-0005-0000-0000-000081040000}"/>
    <cellStyle name="20% - uthevingsfarge 2 38 2 3" xfId="10444" xr:uid="{00000000-0005-0000-0000-000082040000}"/>
    <cellStyle name="20% - uthevingsfarge 2 38 3" xfId="4620" xr:uid="{00000000-0005-0000-0000-000083040000}"/>
    <cellStyle name="20% - uthevingsfarge 2 38 3 2" xfId="7273" xr:uid="{00000000-0005-0000-0000-000084040000}"/>
    <cellStyle name="20% - uthevingsfarge 2 38 4" xfId="10708" xr:uid="{00000000-0005-0000-0000-000085040000}"/>
    <cellStyle name="20% - uthevingsfarge 2 39" xfId="380" xr:uid="{00000000-0005-0000-0000-000086040000}"/>
    <cellStyle name="20% - uthevingsfarge 2 39 2" xfId="381" xr:uid="{00000000-0005-0000-0000-000087040000}"/>
    <cellStyle name="20% - uthevingsfarge 2 39 2 2" xfId="5342" xr:uid="{00000000-0005-0000-0000-000088040000}"/>
    <cellStyle name="20% - uthevingsfarge 2 39 2 2 2" xfId="7975" xr:uid="{00000000-0005-0000-0000-000089040000}"/>
    <cellStyle name="20% - uthevingsfarge 2 39 2 3" xfId="9852" xr:uid="{00000000-0005-0000-0000-00008A040000}"/>
    <cellStyle name="20% - uthevingsfarge 2 39 3" xfId="4621" xr:uid="{00000000-0005-0000-0000-00008B040000}"/>
    <cellStyle name="20% - uthevingsfarge 2 39 3 2" xfId="7274" xr:uid="{00000000-0005-0000-0000-00008C040000}"/>
    <cellStyle name="20% - uthevingsfarge 2 39 4" xfId="9664" xr:uid="{00000000-0005-0000-0000-00008D040000}"/>
    <cellStyle name="20% - uthevingsfarge 2 4" xfId="382" xr:uid="{00000000-0005-0000-0000-00008E040000}"/>
    <cellStyle name="20% - uthevingsfarge 2 4 2" xfId="383" xr:uid="{00000000-0005-0000-0000-00008F040000}"/>
    <cellStyle name="20% - uthevingsfarge 2 4 2 2" xfId="5343" xr:uid="{00000000-0005-0000-0000-000090040000}"/>
    <cellStyle name="20% - uthevingsfarge 2 4 2 2 2" xfId="7976" xr:uid="{00000000-0005-0000-0000-000091040000}"/>
    <cellStyle name="20% - uthevingsfarge 2 4 2 3" xfId="10443" xr:uid="{00000000-0005-0000-0000-000092040000}"/>
    <cellStyle name="20% - uthevingsfarge 2 4 3" xfId="4622" xr:uid="{00000000-0005-0000-0000-000093040000}"/>
    <cellStyle name="20% - uthevingsfarge 2 4 3 2" xfId="7275" xr:uid="{00000000-0005-0000-0000-000094040000}"/>
    <cellStyle name="20% - uthevingsfarge 2 4 4" xfId="10707" xr:uid="{00000000-0005-0000-0000-000095040000}"/>
    <cellStyle name="20% - uthevingsfarge 2 40" xfId="384" xr:uid="{00000000-0005-0000-0000-000096040000}"/>
    <cellStyle name="20% - uthevingsfarge 2 40 2" xfId="385" xr:uid="{00000000-0005-0000-0000-000097040000}"/>
    <cellStyle name="20% - uthevingsfarge 2 40 2 2" xfId="5344" xr:uid="{00000000-0005-0000-0000-000098040000}"/>
    <cellStyle name="20% - uthevingsfarge 2 40 2 2 2" xfId="7977" xr:uid="{00000000-0005-0000-0000-000099040000}"/>
    <cellStyle name="20% - uthevingsfarge 2 40 2 3" xfId="9851" xr:uid="{00000000-0005-0000-0000-00009A040000}"/>
    <cellStyle name="20% - uthevingsfarge 2 40 3" xfId="4623" xr:uid="{00000000-0005-0000-0000-00009B040000}"/>
    <cellStyle name="20% - uthevingsfarge 2 40 3 2" xfId="7276" xr:uid="{00000000-0005-0000-0000-00009C040000}"/>
    <cellStyle name="20% - uthevingsfarge 2 40 4" xfId="9663" xr:uid="{00000000-0005-0000-0000-00009D040000}"/>
    <cellStyle name="20% - uthevingsfarge 2 41" xfId="386" xr:uid="{00000000-0005-0000-0000-00009E040000}"/>
    <cellStyle name="20% - uthevingsfarge 2 41 2" xfId="387" xr:uid="{00000000-0005-0000-0000-00009F040000}"/>
    <cellStyle name="20% - uthevingsfarge 2 41 2 2" xfId="5345" xr:uid="{00000000-0005-0000-0000-0000A0040000}"/>
    <cellStyle name="20% - uthevingsfarge 2 41 2 2 2" xfId="7978" xr:uid="{00000000-0005-0000-0000-0000A1040000}"/>
    <cellStyle name="20% - uthevingsfarge 2 41 2 3" xfId="10442" xr:uid="{00000000-0005-0000-0000-0000A2040000}"/>
    <cellStyle name="20% - uthevingsfarge 2 41 3" xfId="4624" xr:uid="{00000000-0005-0000-0000-0000A3040000}"/>
    <cellStyle name="20% - uthevingsfarge 2 41 3 2" xfId="7277" xr:uid="{00000000-0005-0000-0000-0000A4040000}"/>
    <cellStyle name="20% - uthevingsfarge 2 41 4" xfId="10706" xr:uid="{00000000-0005-0000-0000-0000A5040000}"/>
    <cellStyle name="20% - uthevingsfarge 2 42" xfId="388" xr:uid="{00000000-0005-0000-0000-0000A6040000}"/>
    <cellStyle name="20% - uthevingsfarge 2 42 2" xfId="389" xr:uid="{00000000-0005-0000-0000-0000A7040000}"/>
    <cellStyle name="20% - uthevingsfarge 2 42 2 2" xfId="5346" xr:uid="{00000000-0005-0000-0000-0000A8040000}"/>
    <cellStyle name="20% - uthevingsfarge 2 42 2 2 2" xfId="7979" xr:uid="{00000000-0005-0000-0000-0000A9040000}"/>
    <cellStyle name="20% - uthevingsfarge 2 42 2 3" xfId="9850" xr:uid="{00000000-0005-0000-0000-0000AA040000}"/>
    <cellStyle name="20% - uthevingsfarge 2 42 3" xfId="4625" xr:uid="{00000000-0005-0000-0000-0000AB040000}"/>
    <cellStyle name="20% - uthevingsfarge 2 42 3 2" xfId="7278" xr:uid="{00000000-0005-0000-0000-0000AC040000}"/>
    <cellStyle name="20% - uthevingsfarge 2 42 4" xfId="9662" xr:uid="{00000000-0005-0000-0000-0000AD040000}"/>
    <cellStyle name="20% - uthevingsfarge 2 43" xfId="390" xr:uid="{00000000-0005-0000-0000-0000AE040000}"/>
    <cellStyle name="20% - uthevingsfarge 2 43 2" xfId="391" xr:uid="{00000000-0005-0000-0000-0000AF040000}"/>
    <cellStyle name="20% - uthevingsfarge 2 43 2 2" xfId="5347" xr:uid="{00000000-0005-0000-0000-0000B0040000}"/>
    <cellStyle name="20% - uthevingsfarge 2 43 2 2 2" xfId="7980" xr:uid="{00000000-0005-0000-0000-0000B1040000}"/>
    <cellStyle name="20% - uthevingsfarge 2 43 2 3" xfId="10441" xr:uid="{00000000-0005-0000-0000-0000B2040000}"/>
    <cellStyle name="20% - uthevingsfarge 2 43 3" xfId="4626" xr:uid="{00000000-0005-0000-0000-0000B3040000}"/>
    <cellStyle name="20% - uthevingsfarge 2 43 3 2" xfId="7279" xr:uid="{00000000-0005-0000-0000-0000B4040000}"/>
    <cellStyle name="20% - uthevingsfarge 2 43 4" xfId="10705" xr:uid="{00000000-0005-0000-0000-0000B5040000}"/>
    <cellStyle name="20% - uthevingsfarge 2 44" xfId="392" xr:uid="{00000000-0005-0000-0000-0000B6040000}"/>
    <cellStyle name="20% - uthevingsfarge 2 44 2" xfId="393" xr:uid="{00000000-0005-0000-0000-0000B7040000}"/>
    <cellStyle name="20% - uthevingsfarge 2 44 2 2" xfId="5348" xr:uid="{00000000-0005-0000-0000-0000B8040000}"/>
    <cellStyle name="20% - uthevingsfarge 2 44 2 2 2" xfId="7981" xr:uid="{00000000-0005-0000-0000-0000B9040000}"/>
    <cellStyle name="20% - uthevingsfarge 2 44 2 3" xfId="9849" xr:uid="{00000000-0005-0000-0000-0000BA040000}"/>
    <cellStyle name="20% - uthevingsfarge 2 44 3" xfId="4627" xr:uid="{00000000-0005-0000-0000-0000BB040000}"/>
    <cellStyle name="20% - uthevingsfarge 2 44 3 2" xfId="7280" xr:uid="{00000000-0005-0000-0000-0000BC040000}"/>
    <cellStyle name="20% - uthevingsfarge 2 44 4" xfId="9661" xr:uid="{00000000-0005-0000-0000-0000BD040000}"/>
    <cellStyle name="20% - uthevingsfarge 2 45" xfId="394" xr:uid="{00000000-0005-0000-0000-0000BE040000}"/>
    <cellStyle name="20% - uthevingsfarge 2 45 2" xfId="395" xr:uid="{00000000-0005-0000-0000-0000BF040000}"/>
    <cellStyle name="20% - uthevingsfarge 2 45 2 2" xfId="5349" xr:uid="{00000000-0005-0000-0000-0000C0040000}"/>
    <cellStyle name="20% - uthevingsfarge 2 45 2 2 2" xfId="7982" xr:uid="{00000000-0005-0000-0000-0000C1040000}"/>
    <cellStyle name="20% - uthevingsfarge 2 45 2 3" xfId="10440" xr:uid="{00000000-0005-0000-0000-0000C2040000}"/>
    <cellStyle name="20% - uthevingsfarge 2 45 3" xfId="4628" xr:uid="{00000000-0005-0000-0000-0000C3040000}"/>
    <cellStyle name="20% - uthevingsfarge 2 45 3 2" xfId="7281" xr:uid="{00000000-0005-0000-0000-0000C4040000}"/>
    <cellStyle name="20% - uthevingsfarge 2 45 4" xfId="10704" xr:uid="{00000000-0005-0000-0000-0000C5040000}"/>
    <cellStyle name="20% - uthevingsfarge 2 46" xfId="396" xr:uid="{00000000-0005-0000-0000-0000C6040000}"/>
    <cellStyle name="20% - uthevingsfarge 2 46 2" xfId="397" xr:uid="{00000000-0005-0000-0000-0000C7040000}"/>
    <cellStyle name="20% - uthevingsfarge 2 46 2 2" xfId="5350" xr:uid="{00000000-0005-0000-0000-0000C8040000}"/>
    <cellStyle name="20% - uthevingsfarge 2 46 2 2 2" xfId="7983" xr:uid="{00000000-0005-0000-0000-0000C9040000}"/>
    <cellStyle name="20% - uthevingsfarge 2 46 2 3" xfId="9848" xr:uid="{00000000-0005-0000-0000-0000CA040000}"/>
    <cellStyle name="20% - uthevingsfarge 2 46 3" xfId="4629" xr:uid="{00000000-0005-0000-0000-0000CB040000}"/>
    <cellStyle name="20% - uthevingsfarge 2 46 3 2" xfId="7282" xr:uid="{00000000-0005-0000-0000-0000CC040000}"/>
    <cellStyle name="20% - uthevingsfarge 2 46 4" xfId="9660" xr:uid="{00000000-0005-0000-0000-0000CD040000}"/>
    <cellStyle name="20% - uthevingsfarge 2 47" xfId="398" xr:uid="{00000000-0005-0000-0000-0000CE040000}"/>
    <cellStyle name="20% - uthevingsfarge 2 47 2" xfId="399" xr:uid="{00000000-0005-0000-0000-0000CF040000}"/>
    <cellStyle name="20% - uthevingsfarge 2 47 2 2" xfId="5351" xr:uid="{00000000-0005-0000-0000-0000D0040000}"/>
    <cellStyle name="20% - uthevingsfarge 2 47 2 2 2" xfId="7984" xr:uid="{00000000-0005-0000-0000-0000D1040000}"/>
    <cellStyle name="20% - uthevingsfarge 2 47 2 3" xfId="10439" xr:uid="{00000000-0005-0000-0000-0000D2040000}"/>
    <cellStyle name="20% - uthevingsfarge 2 47 3" xfId="4630" xr:uid="{00000000-0005-0000-0000-0000D3040000}"/>
    <cellStyle name="20% - uthevingsfarge 2 47 3 2" xfId="7283" xr:uid="{00000000-0005-0000-0000-0000D4040000}"/>
    <cellStyle name="20% - uthevingsfarge 2 47 4" xfId="10703" xr:uid="{00000000-0005-0000-0000-0000D5040000}"/>
    <cellStyle name="20% - uthevingsfarge 2 48" xfId="400" xr:uid="{00000000-0005-0000-0000-0000D6040000}"/>
    <cellStyle name="20% - uthevingsfarge 2 48 2" xfId="401" xr:uid="{00000000-0005-0000-0000-0000D7040000}"/>
    <cellStyle name="20% - uthevingsfarge 2 48 2 2" xfId="5352" xr:uid="{00000000-0005-0000-0000-0000D8040000}"/>
    <cellStyle name="20% - uthevingsfarge 2 48 2 2 2" xfId="7985" xr:uid="{00000000-0005-0000-0000-0000D9040000}"/>
    <cellStyle name="20% - uthevingsfarge 2 48 2 3" xfId="9847" xr:uid="{00000000-0005-0000-0000-0000DA040000}"/>
    <cellStyle name="20% - uthevingsfarge 2 48 3" xfId="4631" xr:uid="{00000000-0005-0000-0000-0000DB040000}"/>
    <cellStyle name="20% - uthevingsfarge 2 48 3 2" xfId="7284" xr:uid="{00000000-0005-0000-0000-0000DC040000}"/>
    <cellStyle name="20% - uthevingsfarge 2 48 4" xfId="9659" xr:uid="{00000000-0005-0000-0000-0000DD040000}"/>
    <cellStyle name="20% - uthevingsfarge 2 49" xfId="402" xr:uid="{00000000-0005-0000-0000-0000DE040000}"/>
    <cellStyle name="20% - uthevingsfarge 2 49 2" xfId="403" xr:uid="{00000000-0005-0000-0000-0000DF040000}"/>
    <cellStyle name="20% - uthevingsfarge 2 49 2 2" xfId="5353" xr:uid="{00000000-0005-0000-0000-0000E0040000}"/>
    <cellStyle name="20% - uthevingsfarge 2 49 2 2 2" xfId="7986" xr:uid="{00000000-0005-0000-0000-0000E1040000}"/>
    <cellStyle name="20% - uthevingsfarge 2 49 2 3" xfId="9209" xr:uid="{00000000-0005-0000-0000-0000E2040000}"/>
    <cellStyle name="20% - uthevingsfarge 2 49 3" xfId="4632" xr:uid="{00000000-0005-0000-0000-0000E3040000}"/>
    <cellStyle name="20% - uthevingsfarge 2 49 3 2" xfId="7285" xr:uid="{00000000-0005-0000-0000-0000E4040000}"/>
    <cellStyle name="20% - uthevingsfarge 2 49 4" xfId="9979" xr:uid="{00000000-0005-0000-0000-0000E5040000}"/>
    <cellStyle name="20% - uthevingsfarge 2 5" xfId="404" xr:uid="{00000000-0005-0000-0000-0000E6040000}"/>
    <cellStyle name="20% - uthevingsfarge 2 5 2" xfId="405" xr:uid="{00000000-0005-0000-0000-0000E7040000}"/>
    <cellStyle name="20% - uthevingsfarge 2 5 2 2" xfId="5354" xr:uid="{00000000-0005-0000-0000-0000E8040000}"/>
    <cellStyle name="20% - uthevingsfarge 2 5 2 2 2" xfId="7987" xr:uid="{00000000-0005-0000-0000-0000E9040000}"/>
    <cellStyle name="20% - uthevingsfarge 2 5 2 3" xfId="9961" xr:uid="{00000000-0005-0000-0000-0000EA040000}"/>
    <cellStyle name="20% - uthevingsfarge 2 5 3" xfId="4633" xr:uid="{00000000-0005-0000-0000-0000EB040000}"/>
    <cellStyle name="20% - uthevingsfarge 2 5 3 2" xfId="7286" xr:uid="{00000000-0005-0000-0000-0000EC040000}"/>
    <cellStyle name="20% - uthevingsfarge 2 5 4" xfId="9658" xr:uid="{00000000-0005-0000-0000-0000ED040000}"/>
    <cellStyle name="20% - uthevingsfarge 2 50" xfId="406" xr:uid="{00000000-0005-0000-0000-0000EE040000}"/>
    <cellStyle name="20% - uthevingsfarge 2 50 2" xfId="407" xr:uid="{00000000-0005-0000-0000-0000EF040000}"/>
    <cellStyle name="20% - uthevingsfarge 2 50 2 2" xfId="5355" xr:uid="{00000000-0005-0000-0000-0000F0040000}"/>
    <cellStyle name="20% - uthevingsfarge 2 50 2 2 2" xfId="7988" xr:uid="{00000000-0005-0000-0000-0000F1040000}"/>
    <cellStyle name="20% - uthevingsfarge 2 50 2 3" xfId="9657" xr:uid="{00000000-0005-0000-0000-0000F2040000}"/>
    <cellStyle name="20% - uthevingsfarge 2 50 3" xfId="4634" xr:uid="{00000000-0005-0000-0000-0000F3040000}"/>
    <cellStyle name="20% - uthevingsfarge 2 50 3 2" xfId="7287" xr:uid="{00000000-0005-0000-0000-0000F4040000}"/>
    <cellStyle name="20% - uthevingsfarge 2 50 4" xfId="9656" xr:uid="{00000000-0005-0000-0000-0000F5040000}"/>
    <cellStyle name="20% - uthevingsfarge 2 51" xfId="408" xr:uid="{00000000-0005-0000-0000-0000F6040000}"/>
    <cellStyle name="20% - uthevingsfarge 2 51 2" xfId="409" xr:uid="{00000000-0005-0000-0000-0000F7040000}"/>
    <cellStyle name="20% - uthevingsfarge 2 51 2 2" xfId="5356" xr:uid="{00000000-0005-0000-0000-0000F8040000}"/>
    <cellStyle name="20% - uthevingsfarge 2 51 2 2 2" xfId="7989" xr:uid="{00000000-0005-0000-0000-0000F9040000}"/>
    <cellStyle name="20% - uthevingsfarge 2 51 2 3" xfId="9655" xr:uid="{00000000-0005-0000-0000-0000FA040000}"/>
    <cellStyle name="20% - uthevingsfarge 2 51 3" xfId="4635" xr:uid="{00000000-0005-0000-0000-0000FB040000}"/>
    <cellStyle name="20% - uthevingsfarge 2 51 3 2" xfId="7288" xr:uid="{00000000-0005-0000-0000-0000FC040000}"/>
    <cellStyle name="20% - uthevingsfarge 2 51 4" xfId="9654" xr:uid="{00000000-0005-0000-0000-0000FD040000}"/>
    <cellStyle name="20% - uthevingsfarge 2 52" xfId="410" xr:uid="{00000000-0005-0000-0000-0000FE040000}"/>
    <cellStyle name="20% - uthevingsfarge 2 52 2" xfId="411" xr:uid="{00000000-0005-0000-0000-0000FF040000}"/>
    <cellStyle name="20% - uthevingsfarge 2 52 2 2" xfId="5357" xr:uid="{00000000-0005-0000-0000-000000050000}"/>
    <cellStyle name="20% - uthevingsfarge 2 52 2 2 2" xfId="7990" xr:uid="{00000000-0005-0000-0000-000001050000}"/>
    <cellStyle name="20% - uthevingsfarge 2 52 2 3" xfId="9653" xr:uid="{00000000-0005-0000-0000-000002050000}"/>
    <cellStyle name="20% - uthevingsfarge 2 52 3" xfId="4636" xr:uid="{00000000-0005-0000-0000-000003050000}"/>
    <cellStyle name="20% - uthevingsfarge 2 52 3 2" xfId="7289" xr:uid="{00000000-0005-0000-0000-000004050000}"/>
    <cellStyle name="20% - uthevingsfarge 2 52 4" xfId="9652" xr:uid="{00000000-0005-0000-0000-000005050000}"/>
    <cellStyle name="20% - uthevingsfarge 2 53" xfId="412" xr:uid="{00000000-0005-0000-0000-000006050000}"/>
    <cellStyle name="20% - uthevingsfarge 2 53 2" xfId="413" xr:uid="{00000000-0005-0000-0000-000007050000}"/>
    <cellStyle name="20% - uthevingsfarge 2 53 2 2" xfId="5358" xr:uid="{00000000-0005-0000-0000-000008050000}"/>
    <cellStyle name="20% - uthevingsfarge 2 53 2 2 2" xfId="7991" xr:uid="{00000000-0005-0000-0000-000009050000}"/>
    <cellStyle name="20% - uthevingsfarge 2 53 2 3" xfId="9651" xr:uid="{00000000-0005-0000-0000-00000A050000}"/>
    <cellStyle name="20% - uthevingsfarge 2 53 3" xfId="4637" xr:uid="{00000000-0005-0000-0000-00000B050000}"/>
    <cellStyle name="20% - uthevingsfarge 2 53 3 2" xfId="7290" xr:uid="{00000000-0005-0000-0000-00000C050000}"/>
    <cellStyle name="20% - uthevingsfarge 2 53 4" xfId="9650" xr:uid="{00000000-0005-0000-0000-00000D050000}"/>
    <cellStyle name="20% - uthevingsfarge 2 54" xfId="414" xr:uid="{00000000-0005-0000-0000-00000E050000}"/>
    <cellStyle name="20% - uthevingsfarge 2 54 2" xfId="415" xr:uid="{00000000-0005-0000-0000-00000F050000}"/>
    <cellStyle name="20% - uthevingsfarge 2 54 2 2" xfId="5359" xr:uid="{00000000-0005-0000-0000-000010050000}"/>
    <cellStyle name="20% - uthevingsfarge 2 54 2 2 2" xfId="7992" xr:uid="{00000000-0005-0000-0000-000011050000}"/>
    <cellStyle name="20% - uthevingsfarge 2 54 2 3" xfId="9649" xr:uid="{00000000-0005-0000-0000-000012050000}"/>
    <cellStyle name="20% - uthevingsfarge 2 54 3" xfId="4638" xr:uid="{00000000-0005-0000-0000-000013050000}"/>
    <cellStyle name="20% - uthevingsfarge 2 54 3 2" xfId="7291" xr:uid="{00000000-0005-0000-0000-000014050000}"/>
    <cellStyle name="20% - uthevingsfarge 2 54 4" xfId="9648" xr:uid="{00000000-0005-0000-0000-000015050000}"/>
    <cellStyle name="20% - uthevingsfarge 2 55" xfId="416" xr:uid="{00000000-0005-0000-0000-000016050000}"/>
    <cellStyle name="20% - uthevingsfarge 2 55 2" xfId="417" xr:uid="{00000000-0005-0000-0000-000017050000}"/>
    <cellStyle name="20% - uthevingsfarge 2 55 2 2" xfId="5360" xr:uid="{00000000-0005-0000-0000-000018050000}"/>
    <cellStyle name="20% - uthevingsfarge 2 55 2 2 2" xfId="7993" xr:uid="{00000000-0005-0000-0000-000019050000}"/>
    <cellStyle name="20% - uthevingsfarge 2 55 2 3" xfId="9647" xr:uid="{00000000-0005-0000-0000-00001A050000}"/>
    <cellStyle name="20% - uthevingsfarge 2 55 3" xfId="4639" xr:uid="{00000000-0005-0000-0000-00001B050000}"/>
    <cellStyle name="20% - uthevingsfarge 2 55 3 2" xfId="7292" xr:uid="{00000000-0005-0000-0000-00001C050000}"/>
    <cellStyle name="20% - uthevingsfarge 2 55 4" xfId="9646" xr:uid="{00000000-0005-0000-0000-00001D050000}"/>
    <cellStyle name="20% - uthevingsfarge 2 56" xfId="418" xr:uid="{00000000-0005-0000-0000-00001E050000}"/>
    <cellStyle name="20% - uthevingsfarge 2 56 2" xfId="419" xr:uid="{00000000-0005-0000-0000-00001F050000}"/>
    <cellStyle name="20% - uthevingsfarge 2 56 2 2" xfId="5361" xr:uid="{00000000-0005-0000-0000-000020050000}"/>
    <cellStyle name="20% - uthevingsfarge 2 56 2 2 2" xfId="7994" xr:uid="{00000000-0005-0000-0000-000021050000}"/>
    <cellStyle name="20% - uthevingsfarge 2 56 2 3" xfId="9645" xr:uid="{00000000-0005-0000-0000-000022050000}"/>
    <cellStyle name="20% - uthevingsfarge 2 56 3" xfId="4640" xr:uid="{00000000-0005-0000-0000-000023050000}"/>
    <cellStyle name="20% - uthevingsfarge 2 56 3 2" xfId="7293" xr:uid="{00000000-0005-0000-0000-000024050000}"/>
    <cellStyle name="20% - uthevingsfarge 2 56 4" xfId="9644" xr:uid="{00000000-0005-0000-0000-000025050000}"/>
    <cellStyle name="20% - uthevingsfarge 2 57" xfId="420" xr:uid="{00000000-0005-0000-0000-000026050000}"/>
    <cellStyle name="20% - uthevingsfarge 2 57 2" xfId="421" xr:uid="{00000000-0005-0000-0000-000027050000}"/>
    <cellStyle name="20% - uthevingsfarge 2 57 2 2" xfId="5362" xr:uid="{00000000-0005-0000-0000-000028050000}"/>
    <cellStyle name="20% - uthevingsfarge 2 57 2 2 2" xfId="7995" xr:uid="{00000000-0005-0000-0000-000029050000}"/>
    <cellStyle name="20% - uthevingsfarge 2 57 2 3" xfId="9643" xr:uid="{00000000-0005-0000-0000-00002A050000}"/>
    <cellStyle name="20% - uthevingsfarge 2 57 3" xfId="4641" xr:uid="{00000000-0005-0000-0000-00002B050000}"/>
    <cellStyle name="20% - uthevingsfarge 2 57 3 2" xfId="7294" xr:uid="{00000000-0005-0000-0000-00002C050000}"/>
    <cellStyle name="20% - uthevingsfarge 2 57 4" xfId="9642" xr:uid="{00000000-0005-0000-0000-00002D050000}"/>
    <cellStyle name="20% - uthevingsfarge 2 58" xfId="422" xr:uid="{00000000-0005-0000-0000-00002E050000}"/>
    <cellStyle name="20% - uthevingsfarge 2 58 2" xfId="423" xr:uid="{00000000-0005-0000-0000-00002F050000}"/>
    <cellStyle name="20% - uthevingsfarge 2 58 2 2" xfId="5363" xr:uid="{00000000-0005-0000-0000-000030050000}"/>
    <cellStyle name="20% - uthevingsfarge 2 58 2 2 2" xfId="7996" xr:uid="{00000000-0005-0000-0000-000031050000}"/>
    <cellStyle name="20% - uthevingsfarge 2 58 2 3" xfId="9641" xr:uid="{00000000-0005-0000-0000-000032050000}"/>
    <cellStyle name="20% - uthevingsfarge 2 58 3" xfId="4642" xr:uid="{00000000-0005-0000-0000-000033050000}"/>
    <cellStyle name="20% - uthevingsfarge 2 58 3 2" xfId="7295" xr:uid="{00000000-0005-0000-0000-000034050000}"/>
    <cellStyle name="20% - uthevingsfarge 2 58 4" xfId="9640" xr:uid="{00000000-0005-0000-0000-000035050000}"/>
    <cellStyle name="20% - uthevingsfarge 2 59" xfId="424" xr:uid="{00000000-0005-0000-0000-000036050000}"/>
    <cellStyle name="20% - uthevingsfarge 2 59 2" xfId="425" xr:uid="{00000000-0005-0000-0000-000037050000}"/>
    <cellStyle name="20% - uthevingsfarge 2 59 2 2" xfId="5364" xr:uid="{00000000-0005-0000-0000-000038050000}"/>
    <cellStyle name="20% - uthevingsfarge 2 59 2 2 2" xfId="7997" xr:uid="{00000000-0005-0000-0000-000039050000}"/>
    <cellStyle name="20% - uthevingsfarge 2 59 2 3" xfId="9639" xr:uid="{00000000-0005-0000-0000-00003A050000}"/>
    <cellStyle name="20% - uthevingsfarge 2 59 3" xfId="4643" xr:uid="{00000000-0005-0000-0000-00003B050000}"/>
    <cellStyle name="20% - uthevingsfarge 2 59 3 2" xfId="7296" xr:uid="{00000000-0005-0000-0000-00003C050000}"/>
    <cellStyle name="20% - uthevingsfarge 2 59 4" xfId="9638" xr:uid="{00000000-0005-0000-0000-00003D050000}"/>
    <cellStyle name="20% - uthevingsfarge 2 6" xfId="426" xr:uid="{00000000-0005-0000-0000-00003E050000}"/>
    <cellStyle name="20% - uthevingsfarge 2 6 2" xfId="427" xr:uid="{00000000-0005-0000-0000-00003F050000}"/>
    <cellStyle name="20% - uthevingsfarge 2 6 2 2" xfId="5365" xr:uid="{00000000-0005-0000-0000-000040050000}"/>
    <cellStyle name="20% - uthevingsfarge 2 6 2 2 2" xfId="7998" xr:uid="{00000000-0005-0000-0000-000041050000}"/>
    <cellStyle name="20% - uthevingsfarge 2 6 2 3" xfId="9637" xr:uid="{00000000-0005-0000-0000-000042050000}"/>
    <cellStyle name="20% - uthevingsfarge 2 6 3" xfId="4644" xr:uid="{00000000-0005-0000-0000-000043050000}"/>
    <cellStyle name="20% - uthevingsfarge 2 6 3 2" xfId="7297" xr:uid="{00000000-0005-0000-0000-000044050000}"/>
    <cellStyle name="20% - uthevingsfarge 2 6 4" xfId="9636" xr:uid="{00000000-0005-0000-0000-000045050000}"/>
    <cellStyle name="20% - uthevingsfarge 2 60" xfId="428" xr:uid="{00000000-0005-0000-0000-000046050000}"/>
    <cellStyle name="20% - uthevingsfarge 2 60 2" xfId="429" xr:uid="{00000000-0005-0000-0000-000047050000}"/>
    <cellStyle name="20% - uthevingsfarge 2 60 3" xfId="9635" xr:uid="{00000000-0005-0000-0000-000048050000}"/>
    <cellStyle name="20% - uthevingsfarge 2 61" xfId="430" xr:uid="{00000000-0005-0000-0000-000049050000}"/>
    <cellStyle name="20% - uthevingsfarge 2 61 2" xfId="431" xr:uid="{00000000-0005-0000-0000-00004A050000}"/>
    <cellStyle name="20% - uthevingsfarge 2 62" xfId="432" xr:uid="{00000000-0005-0000-0000-00004B050000}"/>
    <cellStyle name="20% - uthevingsfarge 2 62 2" xfId="433" xr:uid="{00000000-0005-0000-0000-00004C050000}"/>
    <cellStyle name="20% - uthevingsfarge 2 63" xfId="434" xr:uid="{00000000-0005-0000-0000-00004D050000}"/>
    <cellStyle name="20% - uthevingsfarge 2 63 2" xfId="435" xr:uid="{00000000-0005-0000-0000-00004E050000}"/>
    <cellStyle name="20% - uthevingsfarge 2 64" xfId="436" xr:uid="{00000000-0005-0000-0000-00004F050000}"/>
    <cellStyle name="20% - uthevingsfarge 2 64 2" xfId="437" xr:uid="{00000000-0005-0000-0000-000050050000}"/>
    <cellStyle name="20% - uthevingsfarge 2 65" xfId="438" xr:uid="{00000000-0005-0000-0000-000051050000}"/>
    <cellStyle name="20% - uthevingsfarge 2 65 2" xfId="439" xr:uid="{00000000-0005-0000-0000-000052050000}"/>
    <cellStyle name="20% - uthevingsfarge 2 66" xfId="440" xr:uid="{00000000-0005-0000-0000-000053050000}"/>
    <cellStyle name="20% - uthevingsfarge 2 66 2" xfId="441" xr:uid="{00000000-0005-0000-0000-000054050000}"/>
    <cellStyle name="20% - uthevingsfarge 2 67" xfId="442" xr:uid="{00000000-0005-0000-0000-000055050000}"/>
    <cellStyle name="20% - uthevingsfarge 2 67 2" xfId="443" xr:uid="{00000000-0005-0000-0000-000056050000}"/>
    <cellStyle name="20% - uthevingsfarge 2 68" xfId="444" xr:uid="{00000000-0005-0000-0000-000057050000}"/>
    <cellStyle name="20% - uthevingsfarge 2 68 2" xfId="445" xr:uid="{00000000-0005-0000-0000-000058050000}"/>
    <cellStyle name="20% - uthevingsfarge 2 69" xfId="446" xr:uid="{00000000-0005-0000-0000-000059050000}"/>
    <cellStyle name="20% - uthevingsfarge 2 69 2" xfId="447" xr:uid="{00000000-0005-0000-0000-00005A050000}"/>
    <cellStyle name="20% - uthevingsfarge 2 7" xfId="448" xr:uid="{00000000-0005-0000-0000-00005B050000}"/>
    <cellStyle name="20% - uthevingsfarge 2 7 2" xfId="449" xr:uid="{00000000-0005-0000-0000-00005C050000}"/>
    <cellStyle name="20% - uthevingsfarge 2 7 2 2" xfId="5366" xr:uid="{00000000-0005-0000-0000-00005D050000}"/>
    <cellStyle name="20% - uthevingsfarge 2 7 2 2 2" xfId="7999" xr:uid="{00000000-0005-0000-0000-00005E050000}"/>
    <cellStyle name="20% - uthevingsfarge 2 7 2 3" xfId="9634" xr:uid="{00000000-0005-0000-0000-00005F050000}"/>
    <cellStyle name="20% - uthevingsfarge 2 7 3" xfId="4645" xr:uid="{00000000-0005-0000-0000-000060050000}"/>
    <cellStyle name="20% - uthevingsfarge 2 7 3 2" xfId="7298" xr:uid="{00000000-0005-0000-0000-000061050000}"/>
    <cellStyle name="20% - uthevingsfarge 2 7 4" xfId="9633" xr:uid="{00000000-0005-0000-0000-000062050000}"/>
    <cellStyle name="20% - uthevingsfarge 2 70" xfId="450" xr:uid="{00000000-0005-0000-0000-000063050000}"/>
    <cellStyle name="20% - uthevingsfarge 2 70 2" xfId="451" xr:uid="{00000000-0005-0000-0000-000064050000}"/>
    <cellStyle name="20% - uthevingsfarge 2 71" xfId="452" xr:uid="{00000000-0005-0000-0000-000065050000}"/>
    <cellStyle name="20% - uthevingsfarge 2 71 2" xfId="453" xr:uid="{00000000-0005-0000-0000-000066050000}"/>
    <cellStyle name="20% - uthevingsfarge 2 72" xfId="454" xr:uid="{00000000-0005-0000-0000-000067050000}"/>
    <cellStyle name="20% - uthevingsfarge 2 72 2" xfId="455" xr:uid="{00000000-0005-0000-0000-000068050000}"/>
    <cellStyle name="20% - uthevingsfarge 2 73" xfId="456" xr:uid="{00000000-0005-0000-0000-000069050000}"/>
    <cellStyle name="20% - uthevingsfarge 2 73 2" xfId="457" xr:uid="{00000000-0005-0000-0000-00006A050000}"/>
    <cellStyle name="20% - uthevingsfarge 2 74" xfId="458" xr:uid="{00000000-0005-0000-0000-00006B050000}"/>
    <cellStyle name="20% - uthevingsfarge 2 74 2" xfId="459" xr:uid="{00000000-0005-0000-0000-00006C050000}"/>
    <cellStyle name="20% - uthevingsfarge 2 75" xfId="460" xr:uid="{00000000-0005-0000-0000-00006D050000}"/>
    <cellStyle name="20% - uthevingsfarge 2 75 2" xfId="461" xr:uid="{00000000-0005-0000-0000-00006E050000}"/>
    <cellStyle name="20% - uthevingsfarge 2 76" xfId="462" xr:uid="{00000000-0005-0000-0000-00006F050000}"/>
    <cellStyle name="20% - uthevingsfarge 2 76 2" xfId="463" xr:uid="{00000000-0005-0000-0000-000070050000}"/>
    <cellStyle name="20% - uthevingsfarge 2 77" xfId="464" xr:uid="{00000000-0005-0000-0000-000071050000}"/>
    <cellStyle name="20% - uthevingsfarge 2 78" xfId="465" xr:uid="{00000000-0005-0000-0000-000072050000}"/>
    <cellStyle name="20% - uthevingsfarge 2 79" xfId="466" xr:uid="{00000000-0005-0000-0000-000073050000}"/>
    <cellStyle name="20% - uthevingsfarge 2 8" xfId="467" xr:uid="{00000000-0005-0000-0000-000074050000}"/>
    <cellStyle name="20% - uthevingsfarge 2 8 2" xfId="468" xr:uid="{00000000-0005-0000-0000-000075050000}"/>
    <cellStyle name="20% - uthevingsfarge 2 8 2 2" xfId="5367" xr:uid="{00000000-0005-0000-0000-000076050000}"/>
    <cellStyle name="20% - uthevingsfarge 2 8 2 2 2" xfId="8000" xr:uid="{00000000-0005-0000-0000-000077050000}"/>
    <cellStyle name="20% - uthevingsfarge 2 8 2 3" xfId="9632" xr:uid="{00000000-0005-0000-0000-000078050000}"/>
    <cellStyle name="20% - uthevingsfarge 2 8 3" xfId="4646" xr:uid="{00000000-0005-0000-0000-000079050000}"/>
    <cellStyle name="20% - uthevingsfarge 2 8 3 2" xfId="7299" xr:uid="{00000000-0005-0000-0000-00007A050000}"/>
    <cellStyle name="20% - uthevingsfarge 2 8 4" xfId="9631" xr:uid="{00000000-0005-0000-0000-00007B050000}"/>
    <cellStyle name="20% - uthevingsfarge 2 80" xfId="469" xr:uid="{00000000-0005-0000-0000-00007C050000}"/>
    <cellStyle name="20% - uthevingsfarge 2 81" xfId="470" xr:uid="{00000000-0005-0000-0000-00007D050000}"/>
    <cellStyle name="20% - uthevingsfarge 2 82" xfId="471" xr:uid="{00000000-0005-0000-0000-00007E050000}"/>
    <cellStyle name="20% - uthevingsfarge 2 83" xfId="472" xr:uid="{00000000-0005-0000-0000-00007F050000}"/>
    <cellStyle name="20% - uthevingsfarge 2 84" xfId="473" xr:uid="{00000000-0005-0000-0000-000080050000}"/>
    <cellStyle name="20% - uthevingsfarge 2 85" xfId="474" xr:uid="{00000000-0005-0000-0000-000081050000}"/>
    <cellStyle name="20% - uthevingsfarge 2 86" xfId="475" xr:uid="{00000000-0005-0000-0000-000082050000}"/>
    <cellStyle name="20% - uthevingsfarge 2 87" xfId="476" xr:uid="{00000000-0005-0000-0000-000083050000}"/>
    <cellStyle name="20% - uthevingsfarge 2 88" xfId="477" xr:uid="{00000000-0005-0000-0000-000084050000}"/>
    <cellStyle name="20% - uthevingsfarge 2 89" xfId="478" xr:uid="{00000000-0005-0000-0000-000085050000}"/>
    <cellStyle name="20% - uthevingsfarge 2 9" xfId="479" xr:uid="{00000000-0005-0000-0000-000086050000}"/>
    <cellStyle name="20% - uthevingsfarge 2 9 2" xfId="480" xr:uid="{00000000-0005-0000-0000-000087050000}"/>
    <cellStyle name="20% - uthevingsfarge 2 9 2 2" xfId="5368" xr:uid="{00000000-0005-0000-0000-000088050000}"/>
    <cellStyle name="20% - uthevingsfarge 2 9 2 2 2" xfId="8001" xr:uid="{00000000-0005-0000-0000-000089050000}"/>
    <cellStyle name="20% - uthevingsfarge 2 9 2 3" xfId="9630" xr:uid="{00000000-0005-0000-0000-00008A050000}"/>
    <cellStyle name="20% - uthevingsfarge 2 9 3" xfId="4647" xr:uid="{00000000-0005-0000-0000-00008B050000}"/>
    <cellStyle name="20% - uthevingsfarge 2 9 3 2" xfId="7300" xr:uid="{00000000-0005-0000-0000-00008C050000}"/>
    <cellStyle name="20% - uthevingsfarge 2 9 4" xfId="9629" xr:uid="{00000000-0005-0000-0000-00008D050000}"/>
    <cellStyle name="20% - uthevingsfarge 2 90" xfId="481" xr:uid="{00000000-0005-0000-0000-00008E050000}"/>
    <cellStyle name="20% - uthevingsfarge 2 90 2" xfId="2759" xr:uid="{00000000-0005-0000-0000-00008F050000}"/>
    <cellStyle name="20% - uthevingsfarge 2 90 2 2" xfId="3079" xr:uid="{00000000-0005-0000-0000-000090050000}"/>
    <cellStyle name="20% - uthevingsfarge 2 90 2 2 2" xfId="6664" xr:uid="{00000000-0005-0000-0000-000091050000}"/>
    <cellStyle name="20% - uthevingsfarge 2 90 2 3" xfId="3920" xr:uid="{00000000-0005-0000-0000-000092050000}"/>
    <cellStyle name="20% - uthevingsfarge 2 90 2 4" xfId="6332" xr:uid="{00000000-0005-0000-0000-000093050000}"/>
    <cellStyle name="20% - uthevingsfarge 2 90 2 5" xfId="8664" xr:uid="{00000000-0005-0000-0000-000094050000}"/>
    <cellStyle name="20% - uthevingsfarge 2 90 3" xfId="3078" xr:uid="{00000000-0005-0000-0000-000095050000}"/>
    <cellStyle name="20% - uthevingsfarge 2 90 3 2" xfId="6663" xr:uid="{00000000-0005-0000-0000-000096050000}"/>
    <cellStyle name="20% - uthevingsfarge 2 90 4" xfId="4136" xr:uid="{00000000-0005-0000-0000-000097050000}"/>
    <cellStyle name="20% - uthevingsfarge 2 90 5" xfId="6047" xr:uid="{00000000-0005-0000-0000-000098050000}"/>
    <cellStyle name="20% - uthevingsfarge 2 90 6" xfId="8663" xr:uid="{00000000-0005-0000-0000-000099050000}"/>
    <cellStyle name="20% - uthevingsfarge 2 91" xfId="482" xr:uid="{00000000-0005-0000-0000-00009A050000}"/>
    <cellStyle name="20% - uthevingsfarge 2 91 2" xfId="2760" xr:uid="{00000000-0005-0000-0000-00009B050000}"/>
    <cellStyle name="20% - uthevingsfarge 2 91 2 2" xfId="3081" xr:uid="{00000000-0005-0000-0000-00009C050000}"/>
    <cellStyle name="20% - uthevingsfarge 2 91 2 2 2" xfId="6666" xr:uid="{00000000-0005-0000-0000-00009D050000}"/>
    <cellStyle name="20% - uthevingsfarge 2 91 2 3" xfId="3609" xr:uid="{00000000-0005-0000-0000-00009E050000}"/>
    <cellStyle name="20% - uthevingsfarge 2 91 2 4" xfId="6333" xr:uid="{00000000-0005-0000-0000-00009F050000}"/>
    <cellStyle name="20% - uthevingsfarge 2 91 2 5" xfId="8666" xr:uid="{00000000-0005-0000-0000-0000A0050000}"/>
    <cellStyle name="20% - uthevingsfarge 2 91 3" xfId="3080" xr:uid="{00000000-0005-0000-0000-0000A1050000}"/>
    <cellStyle name="20% - uthevingsfarge 2 91 3 2" xfId="6665" xr:uid="{00000000-0005-0000-0000-0000A2050000}"/>
    <cellStyle name="20% - uthevingsfarge 2 91 4" xfId="4137" xr:uid="{00000000-0005-0000-0000-0000A3050000}"/>
    <cellStyle name="20% - uthevingsfarge 2 91 5" xfId="6048" xr:uid="{00000000-0005-0000-0000-0000A4050000}"/>
    <cellStyle name="20% - uthevingsfarge 2 91 6" xfId="8665" xr:uid="{00000000-0005-0000-0000-0000A5050000}"/>
    <cellStyle name="20% - uthevingsfarge 2 92" xfId="483" xr:uid="{00000000-0005-0000-0000-0000A6050000}"/>
    <cellStyle name="20% - uthevingsfarge 2 92 2" xfId="2761" xr:uid="{00000000-0005-0000-0000-0000A7050000}"/>
    <cellStyle name="20% - uthevingsfarge 2 92 2 2" xfId="3083" xr:uid="{00000000-0005-0000-0000-0000A8050000}"/>
    <cellStyle name="20% - uthevingsfarge 2 92 2 2 2" xfId="6668" xr:uid="{00000000-0005-0000-0000-0000A9050000}"/>
    <cellStyle name="20% - uthevingsfarge 2 92 2 3" xfId="4005" xr:uid="{00000000-0005-0000-0000-0000AA050000}"/>
    <cellStyle name="20% - uthevingsfarge 2 92 2 4" xfId="6334" xr:uid="{00000000-0005-0000-0000-0000AB050000}"/>
    <cellStyle name="20% - uthevingsfarge 2 92 2 5" xfId="8668" xr:uid="{00000000-0005-0000-0000-0000AC050000}"/>
    <cellStyle name="20% - uthevingsfarge 2 92 3" xfId="3082" xr:uid="{00000000-0005-0000-0000-0000AD050000}"/>
    <cellStyle name="20% - uthevingsfarge 2 92 3 2" xfId="6667" xr:uid="{00000000-0005-0000-0000-0000AE050000}"/>
    <cellStyle name="20% - uthevingsfarge 2 92 4" xfId="4042" xr:uid="{00000000-0005-0000-0000-0000AF050000}"/>
    <cellStyle name="20% - uthevingsfarge 2 92 5" xfId="6049" xr:uid="{00000000-0005-0000-0000-0000B0050000}"/>
    <cellStyle name="20% - uthevingsfarge 2 92 6" xfId="8667" xr:uid="{00000000-0005-0000-0000-0000B1050000}"/>
    <cellStyle name="20% - uthevingsfarge 2 93" xfId="484" xr:uid="{00000000-0005-0000-0000-0000B2050000}"/>
    <cellStyle name="20% - uthevingsfarge 2 93 2" xfId="2762" xr:uid="{00000000-0005-0000-0000-0000B3050000}"/>
    <cellStyle name="20% - uthevingsfarge 2 93 2 2" xfId="3085" xr:uid="{00000000-0005-0000-0000-0000B4050000}"/>
    <cellStyle name="20% - uthevingsfarge 2 93 2 2 2" xfId="6670" xr:uid="{00000000-0005-0000-0000-0000B5050000}"/>
    <cellStyle name="20% - uthevingsfarge 2 93 2 3" xfId="3990" xr:uid="{00000000-0005-0000-0000-0000B6050000}"/>
    <cellStyle name="20% - uthevingsfarge 2 93 2 4" xfId="6335" xr:uid="{00000000-0005-0000-0000-0000B7050000}"/>
    <cellStyle name="20% - uthevingsfarge 2 93 2 5" xfId="8670" xr:uid="{00000000-0005-0000-0000-0000B8050000}"/>
    <cellStyle name="20% - uthevingsfarge 2 93 3" xfId="3084" xr:uid="{00000000-0005-0000-0000-0000B9050000}"/>
    <cellStyle name="20% - uthevingsfarge 2 93 3 2" xfId="6669" xr:uid="{00000000-0005-0000-0000-0000BA050000}"/>
    <cellStyle name="20% - uthevingsfarge 2 93 4" xfId="3894" xr:uid="{00000000-0005-0000-0000-0000BB050000}"/>
    <cellStyle name="20% - uthevingsfarge 2 93 5" xfId="6050" xr:uid="{00000000-0005-0000-0000-0000BC050000}"/>
    <cellStyle name="20% - uthevingsfarge 2 93 6" xfId="8669" xr:uid="{00000000-0005-0000-0000-0000BD050000}"/>
    <cellStyle name="20% - uthevingsfarge 2 94" xfId="485" xr:uid="{00000000-0005-0000-0000-0000BE050000}"/>
    <cellStyle name="20% - uthevingsfarge 2 94 2" xfId="2763" xr:uid="{00000000-0005-0000-0000-0000BF050000}"/>
    <cellStyle name="20% - uthevingsfarge 2 94 2 2" xfId="3087" xr:uid="{00000000-0005-0000-0000-0000C0050000}"/>
    <cellStyle name="20% - uthevingsfarge 2 94 2 2 2" xfId="6672" xr:uid="{00000000-0005-0000-0000-0000C1050000}"/>
    <cellStyle name="20% - uthevingsfarge 2 94 2 3" xfId="3602" xr:uid="{00000000-0005-0000-0000-0000C2050000}"/>
    <cellStyle name="20% - uthevingsfarge 2 94 2 4" xfId="6336" xr:uid="{00000000-0005-0000-0000-0000C3050000}"/>
    <cellStyle name="20% - uthevingsfarge 2 94 2 5" xfId="8672" xr:uid="{00000000-0005-0000-0000-0000C4050000}"/>
    <cellStyle name="20% - uthevingsfarge 2 94 3" xfId="3086" xr:uid="{00000000-0005-0000-0000-0000C5050000}"/>
    <cellStyle name="20% - uthevingsfarge 2 94 3 2" xfId="6671" xr:uid="{00000000-0005-0000-0000-0000C6050000}"/>
    <cellStyle name="20% - uthevingsfarge 2 94 4" xfId="3893" xr:uid="{00000000-0005-0000-0000-0000C7050000}"/>
    <cellStyle name="20% - uthevingsfarge 2 94 5" xfId="6051" xr:uid="{00000000-0005-0000-0000-0000C8050000}"/>
    <cellStyle name="20% - uthevingsfarge 2 94 6" xfId="8671" xr:uid="{00000000-0005-0000-0000-0000C9050000}"/>
    <cellStyle name="20% - uthevingsfarge 2 95" xfId="486" xr:uid="{00000000-0005-0000-0000-0000CA050000}"/>
    <cellStyle name="20% - uthevingsfarge 2 95 2" xfId="2764" xr:uid="{00000000-0005-0000-0000-0000CB050000}"/>
    <cellStyle name="20% - uthevingsfarge 2 95 2 2" xfId="3089" xr:uid="{00000000-0005-0000-0000-0000CC050000}"/>
    <cellStyle name="20% - uthevingsfarge 2 95 2 2 2" xfId="6674" xr:uid="{00000000-0005-0000-0000-0000CD050000}"/>
    <cellStyle name="20% - uthevingsfarge 2 95 2 3" xfId="3969" xr:uid="{00000000-0005-0000-0000-0000CE050000}"/>
    <cellStyle name="20% - uthevingsfarge 2 95 2 4" xfId="6337" xr:uid="{00000000-0005-0000-0000-0000CF050000}"/>
    <cellStyle name="20% - uthevingsfarge 2 95 2 5" xfId="8674" xr:uid="{00000000-0005-0000-0000-0000D0050000}"/>
    <cellStyle name="20% - uthevingsfarge 2 95 3" xfId="3088" xr:uid="{00000000-0005-0000-0000-0000D1050000}"/>
    <cellStyle name="20% - uthevingsfarge 2 95 3 2" xfId="6673" xr:uid="{00000000-0005-0000-0000-0000D2050000}"/>
    <cellStyle name="20% - uthevingsfarge 2 95 4" xfId="3892" xr:uid="{00000000-0005-0000-0000-0000D3050000}"/>
    <cellStyle name="20% - uthevingsfarge 2 95 5" xfId="6052" xr:uid="{00000000-0005-0000-0000-0000D4050000}"/>
    <cellStyle name="20% - uthevingsfarge 2 95 6" xfId="8673" xr:uid="{00000000-0005-0000-0000-0000D5050000}"/>
    <cellStyle name="20% - uthevingsfarge 2 96" xfId="487" xr:uid="{00000000-0005-0000-0000-0000D6050000}"/>
    <cellStyle name="20% - uthevingsfarge 2 96 2" xfId="2765" xr:uid="{00000000-0005-0000-0000-0000D7050000}"/>
    <cellStyle name="20% - uthevingsfarge 2 96 2 2" xfId="3091" xr:uid="{00000000-0005-0000-0000-0000D8050000}"/>
    <cellStyle name="20% - uthevingsfarge 2 96 2 2 2" xfId="6676" xr:uid="{00000000-0005-0000-0000-0000D9050000}"/>
    <cellStyle name="20% - uthevingsfarge 2 96 2 3" xfId="3970" xr:uid="{00000000-0005-0000-0000-0000DA050000}"/>
    <cellStyle name="20% - uthevingsfarge 2 96 2 4" xfId="6338" xr:uid="{00000000-0005-0000-0000-0000DB050000}"/>
    <cellStyle name="20% - uthevingsfarge 2 96 2 5" xfId="8676" xr:uid="{00000000-0005-0000-0000-0000DC050000}"/>
    <cellStyle name="20% - uthevingsfarge 2 96 3" xfId="3090" xr:uid="{00000000-0005-0000-0000-0000DD050000}"/>
    <cellStyle name="20% - uthevingsfarge 2 96 3 2" xfId="6675" xr:uid="{00000000-0005-0000-0000-0000DE050000}"/>
    <cellStyle name="20% - uthevingsfarge 2 96 4" xfId="3635" xr:uid="{00000000-0005-0000-0000-0000DF050000}"/>
    <cellStyle name="20% - uthevingsfarge 2 96 5" xfId="6053" xr:uid="{00000000-0005-0000-0000-0000E0050000}"/>
    <cellStyle name="20% - uthevingsfarge 2 96 6" xfId="8675" xr:uid="{00000000-0005-0000-0000-0000E1050000}"/>
    <cellStyle name="20% - uthevingsfarge 2 97" xfId="488" xr:uid="{00000000-0005-0000-0000-0000E2050000}"/>
    <cellStyle name="20% - uthevingsfarge 2 97 2" xfId="2766" xr:uid="{00000000-0005-0000-0000-0000E3050000}"/>
    <cellStyle name="20% - uthevingsfarge 2 97 2 2" xfId="3093" xr:uid="{00000000-0005-0000-0000-0000E4050000}"/>
    <cellStyle name="20% - uthevingsfarge 2 97 2 2 2" xfId="6678" xr:uid="{00000000-0005-0000-0000-0000E5050000}"/>
    <cellStyle name="20% - uthevingsfarge 2 97 2 3" xfId="3919" xr:uid="{00000000-0005-0000-0000-0000E6050000}"/>
    <cellStyle name="20% - uthevingsfarge 2 97 2 4" xfId="6339" xr:uid="{00000000-0005-0000-0000-0000E7050000}"/>
    <cellStyle name="20% - uthevingsfarge 2 97 2 5" xfId="8678" xr:uid="{00000000-0005-0000-0000-0000E8050000}"/>
    <cellStyle name="20% - uthevingsfarge 2 97 3" xfId="3092" xr:uid="{00000000-0005-0000-0000-0000E9050000}"/>
    <cellStyle name="20% - uthevingsfarge 2 97 3 2" xfId="6677" xr:uid="{00000000-0005-0000-0000-0000EA050000}"/>
    <cellStyle name="20% - uthevingsfarge 2 97 4" xfId="3671" xr:uid="{00000000-0005-0000-0000-0000EB050000}"/>
    <cellStyle name="20% - uthevingsfarge 2 97 5" xfId="6054" xr:uid="{00000000-0005-0000-0000-0000EC050000}"/>
    <cellStyle name="20% - uthevingsfarge 2 97 6" xfId="8677" xr:uid="{00000000-0005-0000-0000-0000ED050000}"/>
    <cellStyle name="20% - uthevingsfarge 2 98" xfId="489" xr:uid="{00000000-0005-0000-0000-0000EE050000}"/>
    <cellStyle name="20% - uthevingsfarge 2 98 2" xfId="2767" xr:uid="{00000000-0005-0000-0000-0000EF050000}"/>
    <cellStyle name="20% - uthevingsfarge 2 98 2 2" xfId="3095" xr:uid="{00000000-0005-0000-0000-0000F0050000}"/>
    <cellStyle name="20% - uthevingsfarge 2 98 2 2 2" xfId="6680" xr:uid="{00000000-0005-0000-0000-0000F1050000}"/>
    <cellStyle name="20% - uthevingsfarge 2 98 2 3" xfId="3647" xr:uid="{00000000-0005-0000-0000-0000F2050000}"/>
    <cellStyle name="20% - uthevingsfarge 2 98 2 4" xfId="6340" xr:uid="{00000000-0005-0000-0000-0000F3050000}"/>
    <cellStyle name="20% - uthevingsfarge 2 98 2 5" xfId="8680" xr:uid="{00000000-0005-0000-0000-0000F4050000}"/>
    <cellStyle name="20% - uthevingsfarge 2 98 3" xfId="3094" xr:uid="{00000000-0005-0000-0000-0000F5050000}"/>
    <cellStyle name="20% - uthevingsfarge 2 98 3 2" xfId="6679" xr:uid="{00000000-0005-0000-0000-0000F6050000}"/>
    <cellStyle name="20% - uthevingsfarge 2 98 4" xfId="3949" xr:uid="{00000000-0005-0000-0000-0000F7050000}"/>
    <cellStyle name="20% - uthevingsfarge 2 98 5" xfId="6055" xr:uid="{00000000-0005-0000-0000-0000F8050000}"/>
    <cellStyle name="20% - uthevingsfarge 2 98 6" xfId="8679" xr:uid="{00000000-0005-0000-0000-0000F9050000}"/>
    <cellStyle name="20% - uthevingsfarge 2 99" xfId="490" xr:uid="{00000000-0005-0000-0000-0000FA050000}"/>
    <cellStyle name="20% - uthevingsfarge 2 99 2" xfId="2768" xr:uid="{00000000-0005-0000-0000-0000FB050000}"/>
    <cellStyle name="20% - uthevingsfarge 2 99 2 2" xfId="3097" xr:uid="{00000000-0005-0000-0000-0000FC050000}"/>
    <cellStyle name="20% - uthevingsfarge 2 99 2 2 2" xfId="6682" xr:uid="{00000000-0005-0000-0000-0000FD050000}"/>
    <cellStyle name="20% - uthevingsfarge 2 99 2 3" xfId="3967" xr:uid="{00000000-0005-0000-0000-0000FE050000}"/>
    <cellStyle name="20% - uthevingsfarge 2 99 2 4" xfId="6341" xr:uid="{00000000-0005-0000-0000-0000FF050000}"/>
    <cellStyle name="20% - uthevingsfarge 2 99 2 5" xfId="8682" xr:uid="{00000000-0005-0000-0000-000000060000}"/>
    <cellStyle name="20% - uthevingsfarge 2 99 3" xfId="3096" xr:uid="{00000000-0005-0000-0000-000001060000}"/>
    <cellStyle name="20% - uthevingsfarge 2 99 3 2" xfId="6681" xr:uid="{00000000-0005-0000-0000-000002060000}"/>
    <cellStyle name="20% - uthevingsfarge 2 99 4" xfId="3597" xr:uid="{00000000-0005-0000-0000-000003060000}"/>
    <cellStyle name="20% - uthevingsfarge 2 99 5" xfId="6056" xr:uid="{00000000-0005-0000-0000-000004060000}"/>
    <cellStyle name="20% - uthevingsfarge 2 99 6" xfId="8681" xr:uid="{00000000-0005-0000-0000-000005060000}"/>
    <cellStyle name="20% - uthevingsfarge 3 10" xfId="491" xr:uid="{00000000-0005-0000-0000-000006060000}"/>
    <cellStyle name="20% - uthevingsfarge 3 10 2" xfId="492" xr:uid="{00000000-0005-0000-0000-000007060000}"/>
    <cellStyle name="20% - uthevingsfarge 3 10 2 2" xfId="5369" xr:uid="{00000000-0005-0000-0000-000008060000}"/>
    <cellStyle name="20% - uthevingsfarge 3 10 2 2 2" xfId="8002" xr:uid="{00000000-0005-0000-0000-000009060000}"/>
    <cellStyle name="20% - uthevingsfarge 3 10 2 3" xfId="9628" xr:uid="{00000000-0005-0000-0000-00000A060000}"/>
    <cellStyle name="20% - uthevingsfarge 3 10 3" xfId="4648" xr:uid="{00000000-0005-0000-0000-00000B060000}"/>
    <cellStyle name="20% - uthevingsfarge 3 10 3 2" xfId="7301" xr:uid="{00000000-0005-0000-0000-00000C060000}"/>
    <cellStyle name="20% - uthevingsfarge 3 10 4" xfId="9627" xr:uid="{00000000-0005-0000-0000-00000D060000}"/>
    <cellStyle name="20% - uthevingsfarge 3 100" xfId="493" xr:uid="{00000000-0005-0000-0000-00000E060000}"/>
    <cellStyle name="20% - uthevingsfarge 3 100 2" xfId="2769" xr:uid="{00000000-0005-0000-0000-00000F060000}"/>
    <cellStyle name="20% - uthevingsfarge 3 100 2 2" xfId="3099" xr:uid="{00000000-0005-0000-0000-000010060000}"/>
    <cellStyle name="20% - uthevingsfarge 3 100 2 2 2" xfId="6684" xr:uid="{00000000-0005-0000-0000-000011060000}"/>
    <cellStyle name="20% - uthevingsfarge 3 100 2 3" xfId="3968" xr:uid="{00000000-0005-0000-0000-000012060000}"/>
    <cellStyle name="20% - uthevingsfarge 3 100 2 4" xfId="6342" xr:uid="{00000000-0005-0000-0000-000013060000}"/>
    <cellStyle name="20% - uthevingsfarge 3 100 2 5" xfId="8684" xr:uid="{00000000-0005-0000-0000-000014060000}"/>
    <cellStyle name="20% - uthevingsfarge 3 100 3" xfId="3098" xr:uid="{00000000-0005-0000-0000-000015060000}"/>
    <cellStyle name="20% - uthevingsfarge 3 100 3 2" xfId="6683" xr:uid="{00000000-0005-0000-0000-000016060000}"/>
    <cellStyle name="20% - uthevingsfarge 3 100 4" xfId="3989" xr:uid="{00000000-0005-0000-0000-000017060000}"/>
    <cellStyle name="20% - uthevingsfarge 3 100 5" xfId="6057" xr:uid="{00000000-0005-0000-0000-000018060000}"/>
    <cellStyle name="20% - uthevingsfarge 3 100 6" xfId="8683" xr:uid="{00000000-0005-0000-0000-000019060000}"/>
    <cellStyle name="20% - uthevingsfarge 3 101" xfId="494" xr:uid="{00000000-0005-0000-0000-00001A060000}"/>
    <cellStyle name="20% - uthevingsfarge 3 101 2" xfId="2770" xr:uid="{00000000-0005-0000-0000-00001B060000}"/>
    <cellStyle name="20% - uthevingsfarge 3 101 2 2" xfId="3101" xr:uid="{00000000-0005-0000-0000-00001C060000}"/>
    <cellStyle name="20% - uthevingsfarge 3 101 2 2 2" xfId="6686" xr:uid="{00000000-0005-0000-0000-00001D060000}"/>
    <cellStyle name="20% - uthevingsfarge 3 101 2 3" xfId="3918" xr:uid="{00000000-0005-0000-0000-00001E060000}"/>
    <cellStyle name="20% - uthevingsfarge 3 101 2 4" xfId="6343" xr:uid="{00000000-0005-0000-0000-00001F060000}"/>
    <cellStyle name="20% - uthevingsfarge 3 101 2 5" xfId="8686" xr:uid="{00000000-0005-0000-0000-000020060000}"/>
    <cellStyle name="20% - uthevingsfarge 3 101 3" xfId="3100" xr:uid="{00000000-0005-0000-0000-000021060000}"/>
    <cellStyle name="20% - uthevingsfarge 3 101 3 2" xfId="6685" xr:uid="{00000000-0005-0000-0000-000022060000}"/>
    <cellStyle name="20% - uthevingsfarge 3 101 4" xfId="4011" xr:uid="{00000000-0005-0000-0000-000023060000}"/>
    <cellStyle name="20% - uthevingsfarge 3 101 5" xfId="6058" xr:uid="{00000000-0005-0000-0000-000024060000}"/>
    <cellStyle name="20% - uthevingsfarge 3 101 6" xfId="8685" xr:uid="{00000000-0005-0000-0000-000025060000}"/>
    <cellStyle name="20% - uthevingsfarge 3 102" xfId="495" xr:uid="{00000000-0005-0000-0000-000026060000}"/>
    <cellStyle name="20% - uthevingsfarge 3 102 2" xfId="2771" xr:uid="{00000000-0005-0000-0000-000027060000}"/>
    <cellStyle name="20% - uthevingsfarge 3 102 2 2" xfId="3103" xr:uid="{00000000-0005-0000-0000-000028060000}"/>
    <cellStyle name="20% - uthevingsfarge 3 102 2 2 2" xfId="6688" xr:uid="{00000000-0005-0000-0000-000029060000}"/>
    <cellStyle name="20% - uthevingsfarge 3 102 2 3" xfId="4062" xr:uid="{00000000-0005-0000-0000-00002A060000}"/>
    <cellStyle name="20% - uthevingsfarge 3 102 2 4" xfId="6344" xr:uid="{00000000-0005-0000-0000-00002B060000}"/>
    <cellStyle name="20% - uthevingsfarge 3 102 2 5" xfId="8688" xr:uid="{00000000-0005-0000-0000-00002C060000}"/>
    <cellStyle name="20% - uthevingsfarge 3 102 3" xfId="3102" xr:uid="{00000000-0005-0000-0000-00002D060000}"/>
    <cellStyle name="20% - uthevingsfarge 3 102 3 2" xfId="6687" xr:uid="{00000000-0005-0000-0000-00002E060000}"/>
    <cellStyle name="20% - uthevingsfarge 3 102 4" xfId="3948" xr:uid="{00000000-0005-0000-0000-00002F060000}"/>
    <cellStyle name="20% - uthevingsfarge 3 102 5" xfId="6059" xr:uid="{00000000-0005-0000-0000-000030060000}"/>
    <cellStyle name="20% - uthevingsfarge 3 102 6" xfId="8687" xr:uid="{00000000-0005-0000-0000-000031060000}"/>
    <cellStyle name="20% - uthevingsfarge 3 103" xfId="496" xr:uid="{00000000-0005-0000-0000-000032060000}"/>
    <cellStyle name="20% - uthevingsfarge 3 103 2" xfId="2772" xr:uid="{00000000-0005-0000-0000-000033060000}"/>
    <cellStyle name="20% - uthevingsfarge 3 103 2 2" xfId="3105" xr:uid="{00000000-0005-0000-0000-000034060000}"/>
    <cellStyle name="20% - uthevingsfarge 3 103 2 2 2" xfId="6690" xr:uid="{00000000-0005-0000-0000-000035060000}"/>
    <cellStyle name="20% - uthevingsfarge 3 103 2 3" xfId="3965" xr:uid="{00000000-0005-0000-0000-000036060000}"/>
    <cellStyle name="20% - uthevingsfarge 3 103 2 4" xfId="6345" xr:uid="{00000000-0005-0000-0000-000037060000}"/>
    <cellStyle name="20% - uthevingsfarge 3 103 2 5" xfId="8690" xr:uid="{00000000-0005-0000-0000-000038060000}"/>
    <cellStyle name="20% - uthevingsfarge 3 103 3" xfId="3104" xr:uid="{00000000-0005-0000-0000-000039060000}"/>
    <cellStyle name="20% - uthevingsfarge 3 103 3 2" xfId="6689" xr:uid="{00000000-0005-0000-0000-00003A060000}"/>
    <cellStyle name="20% - uthevingsfarge 3 103 4" xfId="4134" xr:uid="{00000000-0005-0000-0000-00003B060000}"/>
    <cellStyle name="20% - uthevingsfarge 3 103 5" xfId="6060" xr:uid="{00000000-0005-0000-0000-00003C060000}"/>
    <cellStyle name="20% - uthevingsfarge 3 103 6" xfId="8689" xr:uid="{00000000-0005-0000-0000-00003D060000}"/>
    <cellStyle name="20% - uthevingsfarge 3 104" xfId="497" xr:uid="{00000000-0005-0000-0000-00003E060000}"/>
    <cellStyle name="20% - uthevingsfarge 3 104 2" xfId="2773" xr:uid="{00000000-0005-0000-0000-00003F060000}"/>
    <cellStyle name="20% - uthevingsfarge 3 104 2 2" xfId="3107" xr:uid="{00000000-0005-0000-0000-000040060000}"/>
    <cellStyle name="20% - uthevingsfarge 3 104 2 2 2" xfId="6692" xr:uid="{00000000-0005-0000-0000-000041060000}"/>
    <cellStyle name="20% - uthevingsfarge 3 104 2 3" xfId="3966" xr:uid="{00000000-0005-0000-0000-000042060000}"/>
    <cellStyle name="20% - uthevingsfarge 3 104 2 4" xfId="6346" xr:uid="{00000000-0005-0000-0000-000043060000}"/>
    <cellStyle name="20% - uthevingsfarge 3 104 2 5" xfId="8692" xr:uid="{00000000-0005-0000-0000-000044060000}"/>
    <cellStyle name="20% - uthevingsfarge 3 104 3" xfId="3106" xr:uid="{00000000-0005-0000-0000-000045060000}"/>
    <cellStyle name="20% - uthevingsfarge 3 104 3 2" xfId="6691" xr:uid="{00000000-0005-0000-0000-000046060000}"/>
    <cellStyle name="20% - uthevingsfarge 3 104 4" xfId="4075" xr:uid="{00000000-0005-0000-0000-000047060000}"/>
    <cellStyle name="20% - uthevingsfarge 3 104 5" xfId="6061" xr:uid="{00000000-0005-0000-0000-000048060000}"/>
    <cellStyle name="20% - uthevingsfarge 3 104 6" xfId="8691" xr:uid="{00000000-0005-0000-0000-000049060000}"/>
    <cellStyle name="20% - uthevingsfarge 3 105" xfId="498" xr:uid="{00000000-0005-0000-0000-00004A060000}"/>
    <cellStyle name="20% - uthevingsfarge 3 105 2" xfId="2774" xr:uid="{00000000-0005-0000-0000-00004B060000}"/>
    <cellStyle name="20% - uthevingsfarge 3 105 2 2" xfId="3109" xr:uid="{00000000-0005-0000-0000-00004C060000}"/>
    <cellStyle name="20% - uthevingsfarge 3 105 2 2 2" xfId="6694" xr:uid="{00000000-0005-0000-0000-00004D060000}"/>
    <cellStyle name="20% - uthevingsfarge 3 105 2 3" xfId="3917" xr:uid="{00000000-0005-0000-0000-00004E060000}"/>
    <cellStyle name="20% - uthevingsfarge 3 105 2 4" xfId="6347" xr:uid="{00000000-0005-0000-0000-00004F060000}"/>
    <cellStyle name="20% - uthevingsfarge 3 105 2 5" xfId="8694" xr:uid="{00000000-0005-0000-0000-000050060000}"/>
    <cellStyle name="20% - uthevingsfarge 3 105 3" xfId="3108" xr:uid="{00000000-0005-0000-0000-000051060000}"/>
    <cellStyle name="20% - uthevingsfarge 3 105 3 2" xfId="6693" xr:uid="{00000000-0005-0000-0000-000052060000}"/>
    <cellStyle name="20% - uthevingsfarge 3 105 4" xfId="3670" xr:uid="{00000000-0005-0000-0000-000053060000}"/>
    <cellStyle name="20% - uthevingsfarge 3 105 5" xfId="6062" xr:uid="{00000000-0005-0000-0000-000054060000}"/>
    <cellStyle name="20% - uthevingsfarge 3 105 6" xfId="8693" xr:uid="{00000000-0005-0000-0000-000055060000}"/>
    <cellStyle name="20% - uthevingsfarge 3 106" xfId="499" xr:uid="{00000000-0005-0000-0000-000056060000}"/>
    <cellStyle name="20% - uthevingsfarge 3 106 2" xfId="2775" xr:uid="{00000000-0005-0000-0000-000057060000}"/>
    <cellStyle name="20% - uthevingsfarge 3 106 2 2" xfId="3111" xr:uid="{00000000-0005-0000-0000-000058060000}"/>
    <cellStyle name="20% - uthevingsfarge 3 106 2 2 2" xfId="6696" xr:uid="{00000000-0005-0000-0000-000059060000}"/>
    <cellStyle name="20% - uthevingsfarge 3 106 2 3" xfId="4061" xr:uid="{00000000-0005-0000-0000-00005A060000}"/>
    <cellStyle name="20% - uthevingsfarge 3 106 2 4" xfId="6348" xr:uid="{00000000-0005-0000-0000-00005B060000}"/>
    <cellStyle name="20% - uthevingsfarge 3 106 2 5" xfId="8696" xr:uid="{00000000-0005-0000-0000-00005C060000}"/>
    <cellStyle name="20% - uthevingsfarge 3 106 3" xfId="3110" xr:uid="{00000000-0005-0000-0000-00005D060000}"/>
    <cellStyle name="20% - uthevingsfarge 3 106 3 2" xfId="6695" xr:uid="{00000000-0005-0000-0000-00005E060000}"/>
    <cellStyle name="20% - uthevingsfarge 3 106 4" xfId="3947" xr:uid="{00000000-0005-0000-0000-00005F060000}"/>
    <cellStyle name="20% - uthevingsfarge 3 106 5" xfId="6063" xr:uid="{00000000-0005-0000-0000-000060060000}"/>
    <cellStyle name="20% - uthevingsfarge 3 106 6" xfId="8695" xr:uid="{00000000-0005-0000-0000-000061060000}"/>
    <cellStyle name="20% - uthevingsfarge 3 107" xfId="500" xr:uid="{00000000-0005-0000-0000-000062060000}"/>
    <cellStyle name="20% - uthevingsfarge 3 107 2" xfId="2776" xr:uid="{00000000-0005-0000-0000-000063060000}"/>
    <cellStyle name="20% - uthevingsfarge 3 107 2 2" xfId="3113" xr:uid="{00000000-0005-0000-0000-000064060000}"/>
    <cellStyle name="20% - uthevingsfarge 3 107 2 2 2" xfId="6698" xr:uid="{00000000-0005-0000-0000-000065060000}"/>
    <cellStyle name="20% - uthevingsfarge 3 107 2 3" xfId="3963" xr:uid="{00000000-0005-0000-0000-000066060000}"/>
    <cellStyle name="20% - uthevingsfarge 3 107 2 4" xfId="6349" xr:uid="{00000000-0005-0000-0000-000067060000}"/>
    <cellStyle name="20% - uthevingsfarge 3 107 2 5" xfId="8698" xr:uid="{00000000-0005-0000-0000-000068060000}"/>
    <cellStyle name="20% - uthevingsfarge 3 107 3" xfId="3112" xr:uid="{00000000-0005-0000-0000-000069060000}"/>
    <cellStyle name="20% - uthevingsfarge 3 107 3 2" xfId="6697" xr:uid="{00000000-0005-0000-0000-00006A060000}"/>
    <cellStyle name="20% - uthevingsfarge 3 107 4" xfId="4135" xr:uid="{00000000-0005-0000-0000-00006B060000}"/>
    <cellStyle name="20% - uthevingsfarge 3 107 5" xfId="6064" xr:uid="{00000000-0005-0000-0000-00006C060000}"/>
    <cellStyle name="20% - uthevingsfarge 3 107 6" xfId="8697" xr:uid="{00000000-0005-0000-0000-00006D060000}"/>
    <cellStyle name="20% - uthevingsfarge 3 108" xfId="501" xr:uid="{00000000-0005-0000-0000-00006E060000}"/>
    <cellStyle name="20% - uthevingsfarge 3 108 2" xfId="2777" xr:uid="{00000000-0005-0000-0000-00006F060000}"/>
    <cellStyle name="20% - uthevingsfarge 3 108 2 2" xfId="3115" xr:uid="{00000000-0005-0000-0000-000070060000}"/>
    <cellStyle name="20% - uthevingsfarge 3 108 2 2 2" xfId="6700" xr:uid="{00000000-0005-0000-0000-000071060000}"/>
    <cellStyle name="20% - uthevingsfarge 3 108 2 3" xfId="3964" xr:uid="{00000000-0005-0000-0000-000072060000}"/>
    <cellStyle name="20% - uthevingsfarge 3 108 2 4" xfId="6350" xr:uid="{00000000-0005-0000-0000-000073060000}"/>
    <cellStyle name="20% - uthevingsfarge 3 108 2 5" xfId="8700" xr:uid="{00000000-0005-0000-0000-000074060000}"/>
    <cellStyle name="20% - uthevingsfarge 3 108 3" xfId="3114" xr:uid="{00000000-0005-0000-0000-000075060000}"/>
    <cellStyle name="20% - uthevingsfarge 3 108 3 2" xfId="6699" xr:uid="{00000000-0005-0000-0000-000076060000}"/>
    <cellStyle name="20% - uthevingsfarge 3 108 4" xfId="3988" xr:uid="{00000000-0005-0000-0000-000077060000}"/>
    <cellStyle name="20% - uthevingsfarge 3 108 5" xfId="6065" xr:uid="{00000000-0005-0000-0000-000078060000}"/>
    <cellStyle name="20% - uthevingsfarge 3 108 6" xfId="8699" xr:uid="{00000000-0005-0000-0000-000079060000}"/>
    <cellStyle name="20% - uthevingsfarge 3 109" xfId="502" xr:uid="{00000000-0005-0000-0000-00007A060000}"/>
    <cellStyle name="20% - uthevingsfarge 3 109 2" xfId="2778" xr:uid="{00000000-0005-0000-0000-00007B060000}"/>
    <cellStyle name="20% - uthevingsfarge 3 109 2 2" xfId="3117" xr:uid="{00000000-0005-0000-0000-00007C060000}"/>
    <cellStyle name="20% - uthevingsfarge 3 109 2 2 2" xfId="6702" xr:uid="{00000000-0005-0000-0000-00007D060000}"/>
    <cellStyle name="20% - uthevingsfarge 3 109 2 3" xfId="3916" xr:uid="{00000000-0005-0000-0000-00007E060000}"/>
    <cellStyle name="20% - uthevingsfarge 3 109 2 4" xfId="6351" xr:uid="{00000000-0005-0000-0000-00007F060000}"/>
    <cellStyle name="20% - uthevingsfarge 3 109 2 5" xfId="8702" xr:uid="{00000000-0005-0000-0000-000080060000}"/>
    <cellStyle name="20% - uthevingsfarge 3 109 3" xfId="3116" xr:uid="{00000000-0005-0000-0000-000081060000}"/>
    <cellStyle name="20% - uthevingsfarge 3 109 3 2" xfId="6701" xr:uid="{00000000-0005-0000-0000-000082060000}"/>
    <cellStyle name="20% - uthevingsfarge 3 109 4" xfId="4074" xr:uid="{00000000-0005-0000-0000-000083060000}"/>
    <cellStyle name="20% - uthevingsfarge 3 109 5" xfId="6066" xr:uid="{00000000-0005-0000-0000-000084060000}"/>
    <cellStyle name="20% - uthevingsfarge 3 109 6" xfId="8701" xr:uid="{00000000-0005-0000-0000-000085060000}"/>
    <cellStyle name="20% - uthevingsfarge 3 11" xfId="503" xr:uid="{00000000-0005-0000-0000-000086060000}"/>
    <cellStyle name="20% - uthevingsfarge 3 11 2" xfId="504" xr:uid="{00000000-0005-0000-0000-000087060000}"/>
    <cellStyle name="20% - uthevingsfarge 3 11 2 2" xfId="5370" xr:uid="{00000000-0005-0000-0000-000088060000}"/>
    <cellStyle name="20% - uthevingsfarge 3 11 2 2 2" xfId="8003" xr:uid="{00000000-0005-0000-0000-000089060000}"/>
    <cellStyle name="20% - uthevingsfarge 3 11 2 3" xfId="9626" xr:uid="{00000000-0005-0000-0000-00008A060000}"/>
    <cellStyle name="20% - uthevingsfarge 3 11 3" xfId="4649" xr:uid="{00000000-0005-0000-0000-00008B060000}"/>
    <cellStyle name="20% - uthevingsfarge 3 11 3 2" xfId="7302" xr:uid="{00000000-0005-0000-0000-00008C060000}"/>
    <cellStyle name="20% - uthevingsfarge 3 11 4" xfId="9625" xr:uid="{00000000-0005-0000-0000-00008D060000}"/>
    <cellStyle name="20% - uthevingsfarge 3 110" xfId="6591" xr:uid="{00000000-0005-0000-0000-00008E060000}"/>
    <cellStyle name="20% - uthevingsfarge 3 111" xfId="8594" xr:uid="{00000000-0005-0000-0000-00008F060000}"/>
    <cellStyle name="20% - uthevingsfarge 3 12" xfId="505" xr:uid="{00000000-0005-0000-0000-000090060000}"/>
    <cellStyle name="20% - uthevingsfarge 3 12 2" xfId="506" xr:uid="{00000000-0005-0000-0000-000091060000}"/>
    <cellStyle name="20% - uthevingsfarge 3 12 2 2" xfId="5371" xr:uid="{00000000-0005-0000-0000-000092060000}"/>
    <cellStyle name="20% - uthevingsfarge 3 12 2 2 2" xfId="8004" xr:uid="{00000000-0005-0000-0000-000093060000}"/>
    <cellStyle name="20% - uthevingsfarge 3 12 2 3" xfId="9624" xr:uid="{00000000-0005-0000-0000-000094060000}"/>
    <cellStyle name="20% - uthevingsfarge 3 12 3" xfId="4650" xr:uid="{00000000-0005-0000-0000-000095060000}"/>
    <cellStyle name="20% - uthevingsfarge 3 12 3 2" xfId="7303" xr:uid="{00000000-0005-0000-0000-000096060000}"/>
    <cellStyle name="20% - uthevingsfarge 3 12 4" xfId="9623" xr:uid="{00000000-0005-0000-0000-000097060000}"/>
    <cellStyle name="20% - uthevingsfarge 3 13" xfId="507" xr:uid="{00000000-0005-0000-0000-000098060000}"/>
    <cellStyle name="20% - uthevingsfarge 3 13 2" xfId="508" xr:uid="{00000000-0005-0000-0000-000099060000}"/>
    <cellStyle name="20% - uthevingsfarge 3 13 2 2" xfId="5372" xr:uid="{00000000-0005-0000-0000-00009A060000}"/>
    <cellStyle name="20% - uthevingsfarge 3 13 2 2 2" xfId="8005" xr:uid="{00000000-0005-0000-0000-00009B060000}"/>
    <cellStyle name="20% - uthevingsfarge 3 13 2 3" xfId="9622" xr:uid="{00000000-0005-0000-0000-00009C060000}"/>
    <cellStyle name="20% - uthevingsfarge 3 13 3" xfId="4651" xr:uid="{00000000-0005-0000-0000-00009D060000}"/>
    <cellStyle name="20% - uthevingsfarge 3 13 3 2" xfId="7304" xr:uid="{00000000-0005-0000-0000-00009E060000}"/>
    <cellStyle name="20% - uthevingsfarge 3 13 4" xfId="9621" xr:uid="{00000000-0005-0000-0000-00009F060000}"/>
    <cellStyle name="20% - uthevingsfarge 3 14" xfId="509" xr:uid="{00000000-0005-0000-0000-0000A0060000}"/>
    <cellStyle name="20% - uthevingsfarge 3 14 2" xfId="510" xr:uid="{00000000-0005-0000-0000-0000A1060000}"/>
    <cellStyle name="20% - uthevingsfarge 3 14 2 2" xfId="5373" xr:uid="{00000000-0005-0000-0000-0000A2060000}"/>
    <cellStyle name="20% - uthevingsfarge 3 14 2 2 2" xfId="8006" xr:uid="{00000000-0005-0000-0000-0000A3060000}"/>
    <cellStyle name="20% - uthevingsfarge 3 14 2 3" xfId="9620" xr:uid="{00000000-0005-0000-0000-0000A4060000}"/>
    <cellStyle name="20% - uthevingsfarge 3 14 3" xfId="4652" xr:uid="{00000000-0005-0000-0000-0000A5060000}"/>
    <cellStyle name="20% - uthevingsfarge 3 14 3 2" xfId="7305" xr:uid="{00000000-0005-0000-0000-0000A6060000}"/>
    <cellStyle name="20% - uthevingsfarge 3 14 4" xfId="9619" xr:uid="{00000000-0005-0000-0000-0000A7060000}"/>
    <cellStyle name="20% - uthevingsfarge 3 15" xfId="511" xr:uid="{00000000-0005-0000-0000-0000A8060000}"/>
    <cellStyle name="20% - uthevingsfarge 3 15 2" xfId="512" xr:uid="{00000000-0005-0000-0000-0000A9060000}"/>
    <cellStyle name="20% - uthevingsfarge 3 15 2 2" xfId="5374" xr:uid="{00000000-0005-0000-0000-0000AA060000}"/>
    <cellStyle name="20% - uthevingsfarge 3 15 2 2 2" xfId="8007" xr:uid="{00000000-0005-0000-0000-0000AB060000}"/>
    <cellStyle name="20% - uthevingsfarge 3 15 2 3" xfId="9618" xr:uid="{00000000-0005-0000-0000-0000AC060000}"/>
    <cellStyle name="20% - uthevingsfarge 3 15 3" xfId="4653" xr:uid="{00000000-0005-0000-0000-0000AD060000}"/>
    <cellStyle name="20% - uthevingsfarge 3 15 3 2" xfId="7306" xr:uid="{00000000-0005-0000-0000-0000AE060000}"/>
    <cellStyle name="20% - uthevingsfarge 3 15 4" xfId="9617" xr:uid="{00000000-0005-0000-0000-0000AF060000}"/>
    <cellStyle name="20% - uthevingsfarge 3 16" xfId="513" xr:uid="{00000000-0005-0000-0000-0000B0060000}"/>
    <cellStyle name="20% - uthevingsfarge 3 16 2" xfId="514" xr:uid="{00000000-0005-0000-0000-0000B1060000}"/>
    <cellStyle name="20% - uthevingsfarge 3 16 2 2" xfId="5375" xr:uid="{00000000-0005-0000-0000-0000B2060000}"/>
    <cellStyle name="20% - uthevingsfarge 3 16 2 2 2" xfId="8008" xr:uid="{00000000-0005-0000-0000-0000B3060000}"/>
    <cellStyle name="20% - uthevingsfarge 3 16 2 3" xfId="9616" xr:uid="{00000000-0005-0000-0000-0000B4060000}"/>
    <cellStyle name="20% - uthevingsfarge 3 16 3" xfId="4654" xr:uid="{00000000-0005-0000-0000-0000B5060000}"/>
    <cellStyle name="20% - uthevingsfarge 3 16 3 2" xfId="7307" xr:uid="{00000000-0005-0000-0000-0000B6060000}"/>
    <cellStyle name="20% - uthevingsfarge 3 16 4" xfId="9615" xr:uid="{00000000-0005-0000-0000-0000B7060000}"/>
    <cellStyle name="20% - uthevingsfarge 3 17" xfId="515" xr:uid="{00000000-0005-0000-0000-0000B8060000}"/>
    <cellStyle name="20% - uthevingsfarge 3 17 2" xfId="516" xr:uid="{00000000-0005-0000-0000-0000B9060000}"/>
    <cellStyle name="20% - uthevingsfarge 3 17 2 2" xfId="5376" xr:uid="{00000000-0005-0000-0000-0000BA060000}"/>
    <cellStyle name="20% - uthevingsfarge 3 17 2 2 2" xfId="8009" xr:uid="{00000000-0005-0000-0000-0000BB060000}"/>
    <cellStyle name="20% - uthevingsfarge 3 17 2 3" xfId="9614" xr:uid="{00000000-0005-0000-0000-0000BC060000}"/>
    <cellStyle name="20% - uthevingsfarge 3 17 3" xfId="4655" xr:uid="{00000000-0005-0000-0000-0000BD060000}"/>
    <cellStyle name="20% - uthevingsfarge 3 17 3 2" xfId="7308" xr:uid="{00000000-0005-0000-0000-0000BE060000}"/>
    <cellStyle name="20% - uthevingsfarge 3 17 4" xfId="9613" xr:uid="{00000000-0005-0000-0000-0000BF060000}"/>
    <cellStyle name="20% - uthevingsfarge 3 18" xfId="517" xr:uid="{00000000-0005-0000-0000-0000C0060000}"/>
    <cellStyle name="20% - uthevingsfarge 3 18 2" xfId="518" xr:uid="{00000000-0005-0000-0000-0000C1060000}"/>
    <cellStyle name="20% - uthevingsfarge 3 18 2 2" xfId="5377" xr:uid="{00000000-0005-0000-0000-0000C2060000}"/>
    <cellStyle name="20% - uthevingsfarge 3 18 2 2 2" xfId="8010" xr:uid="{00000000-0005-0000-0000-0000C3060000}"/>
    <cellStyle name="20% - uthevingsfarge 3 18 2 3" xfId="9612" xr:uid="{00000000-0005-0000-0000-0000C4060000}"/>
    <cellStyle name="20% - uthevingsfarge 3 18 3" xfId="4656" xr:uid="{00000000-0005-0000-0000-0000C5060000}"/>
    <cellStyle name="20% - uthevingsfarge 3 18 3 2" xfId="7309" xr:uid="{00000000-0005-0000-0000-0000C6060000}"/>
    <cellStyle name="20% - uthevingsfarge 3 18 4" xfId="9611" xr:uid="{00000000-0005-0000-0000-0000C7060000}"/>
    <cellStyle name="20% - uthevingsfarge 3 19" xfId="519" xr:uid="{00000000-0005-0000-0000-0000C8060000}"/>
    <cellStyle name="20% - uthevingsfarge 3 19 2" xfId="520" xr:uid="{00000000-0005-0000-0000-0000C9060000}"/>
    <cellStyle name="20% - uthevingsfarge 3 19 2 2" xfId="5378" xr:uid="{00000000-0005-0000-0000-0000CA060000}"/>
    <cellStyle name="20% - uthevingsfarge 3 19 2 2 2" xfId="8011" xr:uid="{00000000-0005-0000-0000-0000CB060000}"/>
    <cellStyle name="20% - uthevingsfarge 3 19 2 3" xfId="9610" xr:uid="{00000000-0005-0000-0000-0000CC060000}"/>
    <cellStyle name="20% - uthevingsfarge 3 19 3" xfId="4657" xr:uid="{00000000-0005-0000-0000-0000CD060000}"/>
    <cellStyle name="20% - uthevingsfarge 3 19 3 2" xfId="7310" xr:uid="{00000000-0005-0000-0000-0000CE060000}"/>
    <cellStyle name="20% - uthevingsfarge 3 19 4" xfId="9609" xr:uid="{00000000-0005-0000-0000-0000CF060000}"/>
    <cellStyle name="20% - uthevingsfarge 3 2" xfId="63" xr:uid="{00000000-0005-0000-0000-0000D0060000}"/>
    <cellStyle name="20% - uthevingsfarge 3 2 2" xfId="521" xr:uid="{00000000-0005-0000-0000-0000D1060000}"/>
    <cellStyle name="20% - uthevingsfarge 3 2 2 2" xfId="5379" xr:uid="{00000000-0005-0000-0000-0000D2060000}"/>
    <cellStyle name="20% - uthevingsfarge 3 2 2 2 2" xfId="8012" xr:uid="{00000000-0005-0000-0000-0000D3060000}"/>
    <cellStyle name="20% - uthevingsfarge 3 2 2 3" xfId="9608" xr:uid="{00000000-0005-0000-0000-0000D4060000}"/>
    <cellStyle name="20% - uthevingsfarge 3 2 3" xfId="4658" xr:uid="{00000000-0005-0000-0000-0000D5060000}"/>
    <cellStyle name="20% - uthevingsfarge 3 2 3 2" xfId="7311" xr:uid="{00000000-0005-0000-0000-0000D6060000}"/>
    <cellStyle name="20% - uthevingsfarge 3 2 4" xfId="9607" xr:uid="{00000000-0005-0000-0000-0000D7060000}"/>
    <cellStyle name="20% - uthevingsfarge 3 20" xfId="522" xr:uid="{00000000-0005-0000-0000-0000D8060000}"/>
    <cellStyle name="20% - uthevingsfarge 3 20 2" xfId="523" xr:uid="{00000000-0005-0000-0000-0000D9060000}"/>
    <cellStyle name="20% - uthevingsfarge 3 20 2 2" xfId="5380" xr:uid="{00000000-0005-0000-0000-0000DA060000}"/>
    <cellStyle name="20% - uthevingsfarge 3 20 2 2 2" xfId="8013" xr:uid="{00000000-0005-0000-0000-0000DB060000}"/>
    <cellStyle name="20% - uthevingsfarge 3 20 2 3" xfId="9606" xr:uid="{00000000-0005-0000-0000-0000DC060000}"/>
    <cellStyle name="20% - uthevingsfarge 3 20 3" xfId="4659" xr:uid="{00000000-0005-0000-0000-0000DD060000}"/>
    <cellStyle name="20% - uthevingsfarge 3 20 3 2" xfId="7312" xr:uid="{00000000-0005-0000-0000-0000DE060000}"/>
    <cellStyle name="20% - uthevingsfarge 3 20 4" xfId="9605" xr:uid="{00000000-0005-0000-0000-0000DF060000}"/>
    <cellStyle name="20% - uthevingsfarge 3 21" xfId="524" xr:uid="{00000000-0005-0000-0000-0000E0060000}"/>
    <cellStyle name="20% - uthevingsfarge 3 21 2" xfId="525" xr:uid="{00000000-0005-0000-0000-0000E1060000}"/>
    <cellStyle name="20% - uthevingsfarge 3 21 2 2" xfId="5381" xr:uid="{00000000-0005-0000-0000-0000E2060000}"/>
    <cellStyle name="20% - uthevingsfarge 3 21 2 2 2" xfId="8014" xr:uid="{00000000-0005-0000-0000-0000E3060000}"/>
    <cellStyle name="20% - uthevingsfarge 3 21 2 3" xfId="9604" xr:uid="{00000000-0005-0000-0000-0000E4060000}"/>
    <cellStyle name="20% - uthevingsfarge 3 21 3" xfId="4660" xr:uid="{00000000-0005-0000-0000-0000E5060000}"/>
    <cellStyle name="20% - uthevingsfarge 3 21 3 2" xfId="7313" xr:uid="{00000000-0005-0000-0000-0000E6060000}"/>
    <cellStyle name="20% - uthevingsfarge 3 21 4" xfId="10026" xr:uid="{00000000-0005-0000-0000-0000E7060000}"/>
    <cellStyle name="20% - uthevingsfarge 3 22" xfId="526" xr:uid="{00000000-0005-0000-0000-0000E8060000}"/>
    <cellStyle name="20% - uthevingsfarge 3 22 2" xfId="527" xr:uid="{00000000-0005-0000-0000-0000E9060000}"/>
    <cellStyle name="20% - uthevingsfarge 3 22 2 2" xfId="5382" xr:uid="{00000000-0005-0000-0000-0000EA060000}"/>
    <cellStyle name="20% - uthevingsfarge 3 22 2 2 2" xfId="8015" xr:uid="{00000000-0005-0000-0000-0000EB060000}"/>
    <cellStyle name="20% - uthevingsfarge 3 22 2 3" xfId="10025" xr:uid="{00000000-0005-0000-0000-0000EC060000}"/>
    <cellStyle name="20% - uthevingsfarge 3 22 3" xfId="4661" xr:uid="{00000000-0005-0000-0000-0000ED060000}"/>
    <cellStyle name="20% - uthevingsfarge 3 22 3 2" xfId="7314" xr:uid="{00000000-0005-0000-0000-0000EE060000}"/>
    <cellStyle name="20% - uthevingsfarge 3 22 4" xfId="10024" xr:uid="{00000000-0005-0000-0000-0000EF060000}"/>
    <cellStyle name="20% - uthevingsfarge 3 23" xfId="528" xr:uid="{00000000-0005-0000-0000-0000F0060000}"/>
    <cellStyle name="20% - uthevingsfarge 3 23 2" xfId="529" xr:uid="{00000000-0005-0000-0000-0000F1060000}"/>
    <cellStyle name="20% - uthevingsfarge 3 23 2 2" xfId="5383" xr:uid="{00000000-0005-0000-0000-0000F2060000}"/>
    <cellStyle name="20% - uthevingsfarge 3 23 2 2 2" xfId="8016" xr:uid="{00000000-0005-0000-0000-0000F3060000}"/>
    <cellStyle name="20% - uthevingsfarge 3 23 2 3" xfId="10023" xr:uid="{00000000-0005-0000-0000-0000F4060000}"/>
    <cellStyle name="20% - uthevingsfarge 3 23 3" xfId="4662" xr:uid="{00000000-0005-0000-0000-0000F5060000}"/>
    <cellStyle name="20% - uthevingsfarge 3 23 3 2" xfId="7315" xr:uid="{00000000-0005-0000-0000-0000F6060000}"/>
    <cellStyle name="20% - uthevingsfarge 3 23 4" xfId="10022" xr:uid="{00000000-0005-0000-0000-0000F7060000}"/>
    <cellStyle name="20% - uthevingsfarge 3 24" xfId="530" xr:uid="{00000000-0005-0000-0000-0000F8060000}"/>
    <cellStyle name="20% - uthevingsfarge 3 24 2" xfId="531" xr:uid="{00000000-0005-0000-0000-0000F9060000}"/>
    <cellStyle name="20% - uthevingsfarge 3 24 2 2" xfId="5384" xr:uid="{00000000-0005-0000-0000-0000FA060000}"/>
    <cellStyle name="20% - uthevingsfarge 3 24 2 2 2" xfId="8017" xr:uid="{00000000-0005-0000-0000-0000FB060000}"/>
    <cellStyle name="20% - uthevingsfarge 3 24 2 3" xfId="10021" xr:uid="{00000000-0005-0000-0000-0000FC060000}"/>
    <cellStyle name="20% - uthevingsfarge 3 24 3" xfId="4663" xr:uid="{00000000-0005-0000-0000-0000FD060000}"/>
    <cellStyle name="20% - uthevingsfarge 3 24 3 2" xfId="7316" xr:uid="{00000000-0005-0000-0000-0000FE060000}"/>
    <cellStyle name="20% - uthevingsfarge 3 24 4" xfId="10020" xr:uid="{00000000-0005-0000-0000-0000FF060000}"/>
    <cellStyle name="20% - uthevingsfarge 3 25" xfId="532" xr:uid="{00000000-0005-0000-0000-000000070000}"/>
    <cellStyle name="20% - uthevingsfarge 3 25 2" xfId="533" xr:uid="{00000000-0005-0000-0000-000001070000}"/>
    <cellStyle name="20% - uthevingsfarge 3 25 2 2" xfId="5385" xr:uid="{00000000-0005-0000-0000-000002070000}"/>
    <cellStyle name="20% - uthevingsfarge 3 25 2 2 2" xfId="8018" xr:uid="{00000000-0005-0000-0000-000003070000}"/>
    <cellStyle name="20% - uthevingsfarge 3 25 2 3" xfId="10019" xr:uid="{00000000-0005-0000-0000-000004070000}"/>
    <cellStyle name="20% - uthevingsfarge 3 25 3" xfId="4664" xr:uid="{00000000-0005-0000-0000-000005070000}"/>
    <cellStyle name="20% - uthevingsfarge 3 25 3 2" xfId="7317" xr:uid="{00000000-0005-0000-0000-000006070000}"/>
    <cellStyle name="20% - uthevingsfarge 3 25 4" xfId="10018" xr:uid="{00000000-0005-0000-0000-000007070000}"/>
    <cellStyle name="20% - uthevingsfarge 3 26" xfId="534" xr:uid="{00000000-0005-0000-0000-000008070000}"/>
    <cellStyle name="20% - uthevingsfarge 3 26 2" xfId="535" xr:uid="{00000000-0005-0000-0000-000009070000}"/>
    <cellStyle name="20% - uthevingsfarge 3 26 2 2" xfId="5386" xr:uid="{00000000-0005-0000-0000-00000A070000}"/>
    <cellStyle name="20% - uthevingsfarge 3 26 2 2 2" xfId="8019" xr:uid="{00000000-0005-0000-0000-00000B070000}"/>
    <cellStyle name="20% - uthevingsfarge 3 26 2 3" xfId="10017" xr:uid="{00000000-0005-0000-0000-00000C070000}"/>
    <cellStyle name="20% - uthevingsfarge 3 26 3" xfId="4665" xr:uid="{00000000-0005-0000-0000-00000D070000}"/>
    <cellStyle name="20% - uthevingsfarge 3 26 3 2" xfId="7318" xr:uid="{00000000-0005-0000-0000-00000E070000}"/>
    <cellStyle name="20% - uthevingsfarge 3 26 4" xfId="10016" xr:uid="{00000000-0005-0000-0000-00000F070000}"/>
    <cellStyle name="20% - uthevingsfarge 3 27" xfId="536" xr:uid="{00000000-0005-0000-0000-000010070000}"/>
    <cellStyle name="20% - uthevingsfarge 3 27 2" xfId="537" xr:uid="{00000000-0005-0000-0000-000011070000}"/>
    <cellStyle name="20% - uthevingsfarge 3 27 2 2" xfId="5387" xr:uid="{00000000-0005-0000-0000-000012070000}"/>
    <cellStyle name="20% - uthevingsfarge 3 27 2 2 2" xfId="8020" xr:uid="{00000000-0005-0000-0000-000013070000}"/>
    <cellStyle name="20% - uthevingsfarge 3 27 2 3" xfId="10015" xr:uid="{00000000-0005-0000-0000-000014070000}"/>
    <cellStyle name="20% - uthevingsfarge 3 27 3" xfId="4666" xr:uid="{00000000-0005-0000-0000-000015070000}"/>
    <cellStyle name="20% - uthevingsfarge 3 27 3 2" xfId="7319" xr:uid="{00000000-0005-0000-0000-000016070000}"/>
    <cellStyle name="20% - uthevingsfarge 3 27 4" xfId="10014" xr:uid="{00000000-0005-0000-0000-000017070000}"/>
    <cellStyle name="20% - uthevingsfarge 3 28" xfId="538" xr:uid="{00000000-0005-0000-0000-000018070000}"/>
    <cellStyle name="20% - uthevingsfarge 3 28 2" xfId="539" xr:uid="{00000000-0005-0000-0000-000019070000}"/>
    <cellStyle name="20% - uthevingsfarge 3 28 2 2" xfId="5388" xr:uid="{00000000-0005-0000-0000-00001A070000}"/>
    <cellStyle name="20% - uthevingsfarge 3 28 2 2 2" xfId="8021" xr:uid="{00000000-0005-0000-0000-00001B070000}"/>
    <cellStyle name="20% - uthevingsfarge 3 28 2 3" xfId="10013" xr:uid="{00000000-0005-0000-0000-00001C070000}"/>
    <cellStyle name="20% - uthevingsfarge 3 28 3" xfId="4667" xr:uid="{00000000-0005-0000-0000-00001D070000}"/>
    <cellStyle name="20% - uthevingsfarge 3 28 3 2" xfId="7320" xr:uid="{00000000-0005-0000-0000-00001E070000}"/>
    <cellStyle name="20% - uthevingsfarge 3 28 4" xfId="9991" xr:uid="{00000000-0005-0000-0000-00001F070000}"/>
    <cellStyle name="20% - uthevingsfarge 3 29" xfId="540" xr:uid="{00000000-0005-0000-0000-000020070000}"/>
    <cellStyle name="20% - uthevingsfarge 3 29 2" xfId="541" xr:uid="{00000000-0005-0000-0000-000021070000}"/>
    <cellStyle name="20% - uthevingsfarge 3 29 2 2" xfId="5389" xr:uid="{00000000-0005-0000-0000-000022070000}"/>
    <cellStyle name="20% - uthevingsfarge 3 29 2 2 2" xfId="8022" xr:uid="{00000000-0005-0000-0000-000023070000}"/>
    <cellStyle name="20% - uthevingsfarge 3 29 2 3" xfId="10012" xr:uid="{00000000-0005-0000-0000-000024070000}"/>
    <cellStyle name="20% - uthevingsfarge 3 29 3" xfId="4668" xr:uid="{00000000-0005-0000-0000-000025070000}"/>
    <cellStyle name="20% - uthevingsfarge 3 29 3 2" xfId="7321" xr:uid="{00000000-0005-0000-0000-000026070000}"/>
    <cellStyle name="20% - uthevingsfarge 3 29 4" xfId="10011" xr:uid="{00000000-0005-0000-0000-000027070000}"/>
    <cellStyle name="20% - uthevingsfarge 3 3" xfId="542" xr:uid="{00000000-0005-0000-0000-000028070000}"/>
    <cellStyle name="20% - uthevingsfarge 3 3 2" xfId="543" xr:uid="{00000000-0005-0000-0000-000029070000}"/>
    <cellStyle name="20% - uthevingsfarge 3 3 2 2" xfId="5390" xr:uid="{00000000-0005-0000-0000-00002A070000}"/>
    <cellStyle name="20% - uthevingsfarge 3 3 2 2 2" xfId="8023" xr:uid="{00000000-0005-0000-0000-00002B070000}"/>
    <cellStyle name="20% - uthevingsfarge 3 3 2 3" xfId="10010" xr:uid="{00000000-0005-0000-0000-00002C070000}"/>
    <cellStyle name="20% - uthevingsfarge 3 3 3" xfId="4669" xr:uid="{00000000-0005-0000-0000-00002D070000}"/>
    <cellStyle name="20% - uthevingsfarge 3 3 3 2" xfId="7322" xr:uid="{00000000-0005-0000-0000-00002E070000}"/>
    <cellStyle name="20% - uthevingsfarge 3 3 4" xfId="10009" xr:uid="{00000000-0005-0000-0000-00002F070000}"/>
    <cellStyle name="20% - uthevingsfarge 3 30" xfId="544" xr:uid="{00000000-0005-0000-0000-000030070000}"/>
    <cellStyle name="20% - uthevingsfarge 3 30 2" xfId="545" xr:uid="{00000000-0005-0000-0000-000031070000}"/>
    <cellStyle name="20% - uthevingsfarge 3 30 2 2" xfId="5391" xr:uid="{00000000-0005-0000-0000-000032070000}"/>
    <cellStyle name="20% - uthevingsfarge 3 30 2 2 2" xfId="8024" xr:uid="{00000000-0005-0000-0000-000033070000}"/>
    <cellStyle name="20% - uthevingsfarge 3 30 2 3" xfId="10007" xr:uid="{00000000-0005-0000-0000-000034070000}"/>
    <cellStyle name="20% - uthevingsfarge 3 30 3" xfId="4670" xr:uid="{00000000-0005-0000-0000-000035070000}"/>
    <cellStyle name="20% - uthevingsfarge 3 30 3 2" xfId="7323" xr:uid="{00000000-0005-0000-0000-000036070000}"/>
    <cellStyle name="20% - uthevingsfarge 3 30 4" xfId="10006" xr:uid="{00000000-0005-0000-0000-000037070000}"/>
    <cellStyle name="20% - uthevingsfarge 3 31" xfId="546" xr:uid="{00000000-0005-0000-0000-000038070000}"/>
    <cellStyle name="20% - uthevingsfarge 3 31 2" xfId="547" xr:uid="{00000000-0005-0000-0000-000039070000}"/>
    <cellStyle name="20% - uthevingsfarge 3 31 2 2" xfId="5392" xr:uid="{00000000-0005-0000-0000-00003A070000}"/>
    <cellStyle name="20% - uthevingsfarge 3 31 2 2 2" xfId="8025" xr:uid="{00000000-0005-0000-0000-00003B070000}"/>
    <cellStyle name="20% - uthevingsfarge 3 31 2 3" xfId="9988" xr:uid="{00000000-0005-0000-0000-00003C070000}"/>
    <cellStyle name="20% - uthevingsfarge 3 31 3" xfId="4671" xr:uid="{00000000-0005-0000-0000-00003D070000}"/>
    <cellStyle name="20% - uthevingsfarge 3 31 3 2" xfId="7324" xr:uid="{00000000-0005-0000-0000-00003E070000}"/>
    <cellStyle name="20% - uthevingsfarge 3 31 4" xfId="10005" xr:uid="{00000000-0005-0000-0000-00003F070000}"/>
    <cellStyle name="20% - uthevingsfarge 3 32" xfId="548" xr:uid="{00000000-0005-0000-0000-000040070000}"/>
    <cellStyle name="20% - uthevingsfarge 3 32 2" xfId="549" xr:uid="{00000000-0005-0000-0000-000041070000}"/>
    <cellStyle name="20% - uthevingsfarge 3 32 2 2" xfId="5393" xr:uid="{00000000-0005-0000-0000-000042070000}"/>
    <cellStyle name="20% - uthevingsfarge 3 32 2 2 2" xfId="8026" xr:uid="{00000000-0005-0000-0000-000043070000}"/>
    <cellStyle name="20% - uthevingsfarge 3 32 2 3" xfId="10004" xr:uid="{00000000-0005-0000-0000-000044070000}"/>
    <cellStyle name="20% - uthevingsfarge 3 32 3" xfId="4672" xr:uid="{00000000-0005-0000-0000-000045070000}"/>
    <cellStyle name="20% - uthevingsfarge 3 32 3 2" xfId="7325" xr:uid="{00000000-0005-0000-0000-000046070000}"/>
    <cellStyle name="20% - uthevingsfarge 3 32 4" xfId="10260" xr:uid="{00000000-0005-0000-0000-000047070000}"/>
    <cellStyle name="20% - uthevingsfarge 3 33" xfId="550" xr:uid="{00000000-0005-0000-0000-000048070000}"/>
    <cellStyle name="20% - uthevingsfarge 3 33 2" xfId="551" xr:uid="{00000000-0005-0000-0000-000049070000}"/>
    <cellStyle name="20% - uthevingsfarge 3 33 2 2" xfId="5394" xr:uid="{00000000-0005-0000-0000-00004A070000}"/>
    <cellStyle name="20% - uthevingsfarge 3 33 2 2 2" xfId="8027" xr:uid="{00000000-0005-0000-0000-00004B070000}"/>
    <cellStyle name="20% - uthevingsfarge 3 33 2 3" xfId="10259" xr:uid="{00000000-0005-0000-0000-00004C070000}"/>
    <cellStyle name="20% - uthevingsfarge 3 33 3" xfId="4673" xr:uid="{00000000-0005-0000-0000-00004D070000}"/>
    <cellStyle name="20% - uthevingsfarge 3 33 3 2" xfId="7326" xr:uid="{00000000-0005-0000-0000-00004E070000}"/>
    <cellStyle name="20% - uthevingsfarge 3 33 4" xfId="10258" xr:uid="{00000000-0005-0000-0000-00004F070000}"/>
    <cellStyle name="20% - uthevingsfarge 3 34" xfId="552" xr:uid="{00000000-0005-0000-0000-000050070000}"/>
    <cellStyle name="20% - uthevingsfarge 3 34 2" xfId="553" xr:uid="{00000000-0005-0000-0000-000051070000}"/>
    <cellStyle name="20% - uthevingsfarge 3 34 2 2" xfId="5395" xr:uid="{00000000-0005-0000-0000-000052070000}"/>
    <cellStyle name="20% - uthevingsfarge 3 34 2 2 2" xfId="8028" xr:uid="{00000000-0005-0000-0000-000053070000}"/>
    <cellStyle name="20% - uthevingsfarge 3 34 2 3" xfId="10257" xr:uid="{00000000-0005-0000-0000-000054070000}"/>
    <cellStyle name="20% - uthevingsfarge 3 34 3" xfId="4674" xr:uid="{00000000-0005-0000-0000-000055070000}"/>
    <cellStyle name="20% - uthevingsfarge 3 34 3 2" xfId="7327" xr:uid="{00000000-0005-0000-0000-000056070000}"/>
    <cellStyle name="20% - uthevingsfarge 3 34 4" xfId="10256" xr:uid="{00000000-0005-0000-0000-000057070000}"/>
    <cellStyle name="20% - uthevingsfarge 3 35" xfId="554" xr:uid="{00000000-0005-0000-0000-000058070000}"/>
    <cellStyle name="20% - uthevingsfarge 3 35 2" xfId="555" xr:uid="{00000000-0005-0000-0000-000059070000}"/>
    <cellStyle name="20% - uthevingsfarge 3 35 2 2" xfId="5396" xr:uid="{00000000-0005-0000-0000-00005A070000}"/>
    <cellStyle name="20% - uthevingsfarge 3 35 2 2 2" xfId="8029" xr:uid="{00000000-0005-0000-0000-00005B070000}"/>
    <cellStyle name="20% - uthevingsfarge 3 35 2 3" xfId="10255" xr:uid="{00000000-0005-0000-0000-00005C070000}"/>
    <cellStyle name="20% - uthevingsfarge 3 35 3" xfId="4675" xr:uid="{00000000-0005-0000-0000-00005D070000}"/>
    <cellStyle name="20% - uthevingsfarge 3 35 3 2" xfId="7328" xr:uid="{00000000-0005-0000-0000-00005E070000}"/>
    <cellStyle name="20% - uthevingsfarge 3 35 4" xfId="10003" xr:uid="{00000000-0005-0000-0000-00005F070000}"/>
    <cellStyle name="20% - uthevingsfarge 3 36" xfId="556" xr:uid="{00000000-0005-0000-0000-000060070000}"/>
    <cellStyle name="20% - uthevingsfarge 3 36 2" xfId="557" xr:uid="{00000000-0005-0000-0000-000061070000}"/>
    <cellStyle name="20% - uthevingsfarge 3 36 2 2" xfId="5397" xr:uid="{00000000-0005-0000-0000-000062070000}"/>
    <cellStyle name="20% - uthevingsfarge 3 36 2 2 2" xfId="8030" xr:uid="{00000000-0005-0000-0000-000063070000}"/>
    <cellStyle name="20% - uthevingsfarge 3 36 2 3" xfId="10254" xr:uid="{00000000-0005-0000-0000-000064070000}"/>
    <cellStyle name="20% - uthevingsfarge 3 36 3" xfId="4676" xr:uid="{00000000-0005-0000-0000-000065070000}"/>
    <cellStyle name="20% - uthevingsfarge 3 36 3 2" xfId="7329" xr:uid="{00000000-0005-0000-0000-000066070000}"/>
    <cellStyle name="20% - uthevingsfarge 3 36 4" xfId="10253" xr:uid="{00000000-0005-0000-0000-000067070000}"/>
    <cellStyle name="20% - uthevingsfarge 3 37" xfId="558" xr:uid="{00000000-0005-0000-0000-000068070000}"/>
    <cellStyle name="20% - uthevingsfarge 3 37 2" xfId="559" xr:uid="{00000000-0005-0000-0000-000069070000}"/>
    <cellStyle name="20% - uthevingsfarge 3 37 2 2" xfId="5398" xr:uid="{00000000-0005-0000-0000-00006A070000}"/>
    <cellStyle name="20% - uthevingsfarge 3 37 2 2 2" xfId="8031" xr:uid="{00000000-0005-0000-0000-00006B070000}"/>
    <cellStyle name="20% - uthevingsfarge 3 37 2 3" xfId="10252" xr:uid="{00000000-0005-0000-0000-00006C070000}"/>
    <cellStyle name="20% - uthevingsfarge 3 37 3" xfId="4677" xr:uid="{00000000-0005-0000-0000-00006D070000}"/>
    <cellStyle name="20% - uthevingsfarge 3 37 3 2" xfId="7330" xr:uid="{00000000-0005-0000-0000-00006E070000}"/>
    <cellStyle name="20% - uthevingsfarge 3 37 4" xfId="9987" xr:uid="{00000000-0005-0000-0000-00006F070000}"/>
    <cellStyle name="20% - uthevingsfarge 3 38" xfId="560" xr:uid="{00000000-0005-0000-0000-000070070000}"/>
    <cellStyle name="20% - uthevingsfarge 3 38 2" xfId="561" xr:uid="{00000000-0005-0000-0000-000071070000}"/>
    <cellStyle name="20% - uthevingsfarge 3 38 2 2" xfId="5399" xr:uid="{00000000-0005-0000-0000-000072070000}"/>
    <cellStyle name="20% - uthevingsfarge 3 38 2 2 2" xfId="8032" xr:uid="{00000000-0005-0000-0000-000073070000}"/>
    <cellStyle name="20% - uthevingsfarge 3 38 2 3" xfId="10251" xr:uid="{00000000-0005-0000-0000-000074070000}"/>
    <cellStyle name="20% - uthevingsfarge 3 38 3" xfId="4678" xr:uid="{00000000-0005-0000-0000-000075070000}"/>
    <cellStyle name="20% - uthevingsfarge 3 38 3 2" xfId="7331" xr:uid="{00000000-0005-0000-0000-000076070000}"/>
    <cellStyle name="20% - uthevingsfarge 3 38 4" xfId="10250" xr:uid="{00000000-0005-0000-0000-000077070000}"/>
    <cellStyle name="20% - uthevingsfarge 3 39" xfId="562" xr:uid="{00000000-0005-0000-0000-000078070000}"/>
    <cellStyle name="20% - uthevingsfarge 3 39 2" xfId="563" xr:uid="{00000000-0005-0000-0000-000079070000}"/>
    <cellStyle name="20% - uthevingsfarge 3 39 2 2" xfId="5400" xr:uid="{00000000-0005-0000-0000-00007A070000}"/>
    <cellStyle name="20% - uthevingsfarge 3 39 2 2 2" xfId="8033" xr:uid="{00000000-0005-0000-0000-00007B070000}"/>
    <cellStyle name="20% - uthevingsfarge 3 39 2 3" xfId="10248" xr:uid="{00000000-0005-0000-0000-00007C070000}"/>
    <cellStyle name="20% - uthevingsfarge 3 39 3" xfId="4679" xr:uid="{00000000-0005-0000-0000-00007D070000}"/>
    <cellStyle name="20% - uthevingsfarge 3 39 3 2" xfId="7332" xr:uid="{00000000-0005-0000-0000-00007E070000}"/>
    <cellStyle name="20% - uthevingsfarge 3 39 4" xfId="10249" xr:uid="{00000000-0005-0000-0000-00007F070000}"/>
    <cellStyle name="20% - uthevingsfarge 3 4" xfId="564" xr:uid="{00000000-0005-0000-0000-000080070000}"/>
    <cellStyle name="20% - uthevingsfarge 3 4 2" xfId="565" xr:uid="{00000000-0005-0000-0000-000081070000}"/>
    <cellStyle name="20% - uthevingsfarge 3 4 2 2" xfId="5401" xr:uid="{00000000-0005-0000-0000-000082070000}"/>
    <cellStyle name="20% - uthevingsfarge 3 4 2 2 2" xfId="8034" xr:uid="{00000000-0005-0000-0000-000083070000}"/>
    <cellStyle name="20% - uthevingsfarge 3 4 2 3" xfId="10247" xr:uid="{00000000-0005-0000-0000-000084070000}"/>
    <cellStyle name="20% - uthevingsfarge 3 4 3" xfId="4680" xr:uid="{00000000-0005-0000-0000-000085070000}"/>
    <cellStyle name="20% - uthevingsfarge 3 4 3 2" xfId="7333" xr:uid="{00000000-0005-0000-0000-000086070000}"/>
    <cellStyle name="20% - uthevingsfarge 3 4 4" xfId="10246" xr:uid="{00000000-0005-0000-0000-000087070000}"/>
    <cellStyle name="20% - uthevingsfarge 3 40" xfId="566" xr:uid="{00000000-0005-0000-0000-000088070000}"/>
    <cellStyle name="20% - uthevingsfarge 3 40 2" xfId="567" xr:uid="{00000000-0005-0000-0000-000089070000}"/>
    <cellStyle name="20% - uthevingsfarge 3 40 2 2" xfId="5402" xr:uid="{00000000-0005-0000-0000-00008A070000}"/>
    <cellStyle name="20% - uthevingsfarge 3 40 2 2 2" xfId="8035" xr:uid="{00000000-0005-0000-0000-00008B070000}"/>
    <cellStyle name="20% - uthevingsfarge 3 40 2 3" xfId="10002" xr:uid="{00000000-0005-0000-0000-00008C070000}"/>
    <cellStyle name="20% - uthevingsfarge 3 40 3" xfId="4681" xr:uid="{00000000-0005-0000-0000-00008D070000}"/>
    <cellStyle name="20% - uthevingsfarge 3 40 3 2" xfId="7334" xr:uid="{00000000-0005-0000-0000-00008E070000}"/>
    <cellStyle name="20% - uthevingsfarge 3 40 4" xfId="10245" xr:uid="{00000000-0005-0000-0000-00008F070000}"/>
    <cellStyle name="20% - uthevingsfarge 3 41" xfId="568" xr:uid="{00000000-0005-0000-0000-000090070000}"/>
    <cellStyle name="20% - uthevingsfarge 3 41 2" xfId="569" xr:uid="{00000000-0005-0000-0000-000091070000}"/>
    <cellStyle name="20% - uthevingsfarge 3 41 2 2" xfId="5403" xr:uid="{00000000-0005-0000-0000-000092070000}"/>
    <cellStyle name="20% - uthevingsfarge 3 41 2 2 2" xfId="8036" xr:uid="{00000000-0005-0000-0000-000093070000}"/>
    <cellStyle name="20% - uthevingsfarge 3 41 2 3" xfId="10244" xr:uid="{00000000-0005-0000-0000-000094070000}"/>
    <cellStyle name="20% - uthevingsfarge 3 41 3" xfId="4682" xr:uid="{00000000-0005-0000-0000-000095070000}"/>
    <cellStyle name="20% - uthevingsfarge 3 41 3 2" xfId="7335" xr:uid="{00000000-0005-0000-0000-000096070000}"/>
    <cellStyle name="20% - uthevingsfarge 3 41 4" xfId="10243" xr:uid="{00000000-0005-0000-0000-000097070000}"/>
    <cellStyle name="20% - uthevingsfarge 3 42" xfId="570" xr:uid="{00000000-0005-0000-0000-000098070000}"/>
    <cellStyle name="20% - uthevingsfarge 3 42 2" xfId="571" xr:uid="{00000000-0005-0000-0000-000099070000}"/>
    <cellStyle name="20% - uthevingsfarge 3 42 2 2" xfId="5404" xr:uid="{00000000-0005-0000-0000-00009A070000}"/>
    <cellStyle name="20% - uthevingsfarge 3 42 2 2 2" xfId="8037" xr:uid="{00000000-0005-0000-0000-00009B070000}"/>
    <cellStyle name="20% - uthevingsfarge 3 42 2 3" xfId="10242" xr:uid="{00000000-0005-0000-0000-00009C070000}"/>
    <cellStyle name="20% - uthevingsfarge 3 42 3" xfId="4683" xr:uid="{00000000-0005-0000-0000-00009D070000}"/>
    <cellStyle name="20% - uthevingsfarge 3 42 3 2" xfId="7336" xr:uid="{00000000-0005-0000-0000-00009E070000}"/>
    <cellStyle name="20% - uthevingsfarge 3 42 4" xfId="10241" xr:uid="{00000000-0005-0000-0000-00009F070000}"/>
    <cellStyle name="20% - uthevingsfarge 3 43" xfId="572" xr:uid="{00000000-0005-0000-0000-0000A0070000}"/>
    <cellStyle name="20% - uthevingsfarge 3 43 2" xfId="573" xr:uid="{00000000-0005-0000-0000-0000A1070000}"/>
    <cellStyle name="20% - uthevingsfarge 3 43 2 2" xfId="5405" xr:uid="{00000000-0005-0000-0000-0000A2070000}"/>
    <cellStyle name="20% - uthevingsfarge 3 43 2 2 2" xfId="8038" xr:uid="{00000000-0005-0000-0000-0000A3070000}"/>
    <cellStyle name="20% - uthevingsfarge 3 43 2 3" xfId="10136" xr:uid="{00000000-0005-0000-0000-0000A4070000}"/>
    <cellStyle name="20% - uthevingsfarge 3 43 3" xfId="4684" xr:uid="{00000000-0005-0000-0000-0000A5070000}"/>
    <cellStyle name="20% - uthevingsfarge 3 43 3 2" xfId="7337" xr:uid="{00000000-0005-0000-0000-0000A6070000}"/>
    <cellStyle name="20% - uthevingsfarge 3 43 4" xfId="10135" xr:uid="{00000000-0005-0000-0000-0000A7070000}"/>
    <cellStyle name="20% - uthevingsfarge 3 44" xfId="574" xr:uid="{00000000-0005-0000-0000-0000A8070000}"/>
    <cellStyle name="20% - uthevingsfarge 3 44 2" xfId="575" xr:uid="{00000000-0005-0000-0000-0000A9070000}"/>
    <cellStyle name="20% - uthevingsfarge 3 44 2 2" xfId="5406" xr:uid="{00000000-0005-0000-0000-0000AA070000}"/>
    <cellStyle name="20% - uthevingsfarge 3 44 2 2 2" xfId="8039" xr:uid="{00000000-0005-0000-0000-0000AB070000}"/>
    <cellStyle name="20% - uthevingsfarge 3 44 2 3" xfId="10134" xr:uid="{00000000-0005-0000-0000-0000AC070000}"/>
    <cellStyle name="20% - uthevingsfarge 3 44 3" xfId="4685" xr:uid="{00000000-0005-0000-0000-0000AD070000}"/>
    <cellStyle name="20% - uthevingsfarge 3 44 3 2" xfId="7338" xr:uid="{00000000-0005-0000-0000-0000AE070000}"/>
    <cellStyle name="20% - uthevingsfarge 3 44 4" xfId="10133" xr:uid="{00000000-0005-0000-0000-0000AF070000}"/>
    <cellStyle name="20% - uthevingsfarge 3 45" xfId="576" xr:uid="{00000000-0005-0000-0000-0000B0070000}"/>
    <cellStyle name="20% - uthevingsfarge 3 45 2" xfId="577" xr:uid="{00000000-0005-0000-0000-0000B1070000}"/>
    <cellStyle name="20% - uthevingsfarge 3 45 2 2" xfId="5407" xr:uid="{00000000-0005-0000-0000-0000B2070000}"/>
    <cellStyle name="20% - uthevingsfarge 3 45 2 2 2" xfId="8040" xr:uid="{00000000-0005-0000-0000-0000B3070000}"/>
    <cellStyle name="20% - uthevingsfarge 3 45 2 3" xfId="10132" xr:uid="{00000000-0005-0000-0000-0000B4070000}"/>
    <cellStyle name="20% - uthevingsfarge 3 45 3" xfId="4686" xr:uid="{00000000-0005-0000-0000-0000B5070000}"/>
    <cellStyle name="20% - uthevingsfarge 3 45 3 2" xfId="7339" xr:uid="{00000000-0005-0000-0000-0000B6070000}"/>
    <cellStyle name="20% - uthevingsfarge 3 45 4" xfId="10131" xr:uid="{00000000-0005-0000-0000-0000B7070000}"/>
    <cellStyle name="20% - uthevingsfarge 3 46" xfId="578" xr:uid="{00000000-0005-0000-0000-0000B8070000}"/>
    <cellStyle name="20% - uthevingsfarge 3 46 2" xfId="579" xr:uid="{00000000-0005-0000-0000-0000B9070000}"/>
    <cellStyle name="20% - uthevingsfarge 3 46 2 2" xfId="5408" xr:uid="{00000000-0005-0000-0000-0000BA070000}"/>
    <cellStyle name="20% - uthevingsfarge 3 46 2 2 2" xfId="8041" xr:uid="{00000000-0005-0000-0000-0000BB070000}"/>
    <cellStyle name="20% - uthevingsfarge 3 46 2 3" xfId="10129" xr:uid="{00000000-0005-0000-0000-0000BC070000}"/>
    <cellStyle name="20% - uthevingsfarge 3 46 3" xfId="4687" xr:uid="{00000000-0005-0000-0000-0000BD070000}"/>
    <cellStyle name="20% - uthevingsfarge 3 46 3 2" xfId="7340" xr:uid="{00000000-0005-0000-0000-0000BE070000}"/>
    <cellStyle name="20% - uthevingsfarge 3 46 4" xfId="10075" xr:uid="{00000000-0005-0000-0000-0000BF070000}"/>
    <cellStyle name="20% - uthevingsfarge 3 47" xfId="580" xr:uid="{00000000-0005-0000-0000-0000C0070000}"/>
    <cellStyle name="20% - uthevingsfarge 3 47 2" xfId="581" xr:uid="{00000000-0005-0000-0000-0000C1070000}"/>
    <cellStyle name="20% - uthevingsfarge 3 47 2 2" xfId="5409" xr:uid="{00000000-0005-0000-0000-0000C2070000}"/>
    <cellStyle name="20% - uthevingsfarge 3 47 2 2 2" xfId="8042" xr:uid="{00000000-0005-0000-0000-0000C3070000}"/>
    <cellStyle name="20% - uthevingsfarge 3 47 2 3" xfId="10074" xr:uid="{00000000-0005-0000-0000-0000C4070000}"/>
    <cellStyle name="20% - uthevingsfarge 3 47 3" xfId="4688" xr:uid="{00000000-0005-0000-0000-0000C5070000}"/>
    <cellStyle name="20% - uthevingsfarge 3 47 3 2" xfId="7341" xr:uid="{00000000-0005-0000-0000-0000C6070000}"/>
    <cellStyle name="20% - uthevingsfarge 3 47 4" xfId="10001" xr:uid="{00000000-0005-0000-0000-0000C7070000}"/>
    <cellStyle name="20% - uthevingsfarge 3 48" xfId="582" xr:uid="{00000000-0005-0000-0000-0000C8070000}"/>
    <cellStyle name="20% - uthevingsfarge 3 48 2" xfId="583" xr:uid="{00000000-0005-0000-0000-0000C9070000}"/>
    <cellStyle name="20% - uthevingsfarge 3 48 2 2" xfId="5410" xr:uid="{00000000-0005-0000-0000-0000CA070000}"/>
    <cellStyle name="20% - uthevingsfarge 3 48 2 2 2" xfId="8043" xr:uid="{00000000-0005-0000-0000-0000CB070000}"/>
    <cellStyle name="20% - uthevingsfarge 3 48 2 3" xfId="10073" xr:uid="{00000000-0005-0000-0000-0000CC070000}"/>
    <cellStyle name="20% - uthevingsfarge 3 48 3" xfId="4689" xr:uid="{00000000-0005-0000-0000-0000CD070000}"/>
    <cellStyle name="20% - uthevingsfarge 3 48 3 2" xfId="7342" xr:uid="{00000000-0005-0000-0000-0000CE070000}"/>
    <cellStyle name="20% - uthevingsfarge 3 48 4" xfId="10072" xr:uid="{00000000-0005-0000-0000-0000CF070000}"/>
    <cellStyle name="20% - uthevingsfarge 3 49" xfId="584" xr:uid="{00000000-0005-0000-0000-0000D0070000}"/>
    <cellStyle name="20% - uthevingsfarge 3 49 2" xfId="585" xr:uid="{00000000-0005-0000-0000-0000D1070000}"/>
    <cellStyle name="20% - uthevingsfarge 3 49 2 2" xfId="5411" xr:uid="{00000000-0005-0000-0000-0000D2070000}"/>
    <cellStyle name="20% - uthevingsfarge 3 49 2 2 2" xfId="8044" xr:uid="{00000000-0005-0000-0000-0000D3070000}"/>
    <cellStyle name="20% - uthevingsfarge 3 49 2 3" xfId="10071" xr:uid="{00000000-0005-0000-0000-0000D4070000}"/>
    <cellStyle name="20% - uthevingsfarge 3 49 3" xfId="4690" xr:uid="{00000000-0005-0000-0000-0000D5070000}"/>
    <cellStyle name="20% - uthevingsfarge 3 49 3 2" xfId="7343" xr:uid="{00000000-0005-0000-0000-0000D6070000}"/>
    <cellStyle name="20% - uthevingsfarge 3 49 4" xfId="10070" xr:uid="{00000000-0005-0000-0000-0000D7070000}"/>
    <cellStyle name="20% - uthevingsfarge 3 5" xfId="586" xr:uid="{00000000-0005-0000-0000-0000D8070000}"/>
    <cellStyle name="20% - uthevingsfarge 3 5 2" xfId="587" xr:uid="{00000000-0005-0000-0000-0000D9070000}"/>
    <cellStyle name="20% - uthevingsfarge 3 5 2 2" xfId="5412" xr:uid="{00000000-0005-0000-0000-0000DA070000}"/>
    <cellStyle name="20% - uthevingsfarge 3 5 2 2 2" xfId="8045" xr:uid="{00000000-0005-0000-0000-0000DB070000}"/>
    <cellStyle name="20% - uthevingsfarge 3 5 2 3" xfId="10069" xr:uid="{00000000-0005-0000-0000-0000DC070000}"/>
    <cellStyle name="20% - uthevingsfarge 3 5 3" xfId="4691" xr:uid="{00000000-0005-0000-0000-0000DD070000}"/>
    <cellStyle name="20% - uthevingsfarge 3 5 3 2" xfId="7344" xr:uid="{00000000-0005-0000-0000-0000DE070000}"/>
    <cellStyle name="20% - uthevingsfarge 3 5 4" xfId="10068" xr:uid="{00000000-0005-0000-0000-0000DF070000}"/>
    <cellStyle name="20% - uthevingsfarge 3 50" xfId="588" xr:uid="{00000000-0005-0000-0000-0000E0070000}"/>
    <cellStyle name="20% - uthevingsfarge 3 50 2" xfId="589" xr:uid="{00000000-0005-0000-0000-0000E1070000}"/>
    <cellStyle name="20% - uthevingsfarge 3 50 2 2" xfId="5413" xr:uid="{00000000-0005-0000-0000-0000E2070000}"/>
    <cellStyle name="20% - uthevingsfarge 3 50 2 2 2" xfId="8046" xr:uid="{00000000-0005-0000-0000-0000E3070000}"/>
    <cellStyle name="20% - uthevingsfarge 3 50 2 3" xfId="10000" xr:uid="{00000000-0005-0000-0000-0000E4070000}"/>
    <cellStyle name="20% - uthevingsfarge 3 50 3" xfId="4692" xr:uid="{00000000-0005-0000-0000-0000E5070000}"/>
    <cellStyle name="20% - uthevingsfarge 3 50 3 2" xfId="7345" xr:uid="{00000000-0005-0000-0000-0000E6070000}"/>
    <cellStyle name="20% - uthevingsfarge 3 50 4" xfId="10067" xr:uid="{00000000-0005-0000-0000-0000E7070000}"/>
    <cellStyle name="20% - uthevingsfarge 3 51" xfId="590" xr:uid="{00000000-0005-0000-0000-0000E8070000}"/>
    <cellStyle name="20% - uthevingsfarge 3 51 2" xfId="591" xr:uid="{00000000-0005-0000-0000-0000E9070000}"/>
    <cellStyle name="20% - uthevingsfarge 3 51 2 2" xfId="5414" xr:uid="{00000000-0005-0000-0000-0000EA070000}"/>
    <cellStyle name="20% - uthevingsfarge 3 51 2 2 2" xfId="8047" xr:uid="{00000000-0005-0000-0000-0000EB070000}"/>
    <cellStyle name="20% - uthevingsfarge 3 51 2 3" xfId="10066" xr:uid="{00000000-0005-0000-0000-0000EC070000}"/>
    <cellStyle name="20% - uthevingsfarge 3 51 3" xfId="4693" xr:uid="{00000000-0005-0000-0000-0000ED070000}"/>
    <cellStyle name="20% - uthevingsfarge 3 51 3 2" xfId="7346" xr:uid="{00000000-0005-0000-0000-0000EE070000}"/>
    <cellStyle name="20% - uthevingsfarge 3 51 4" xfId="10065" xr:uid="{00000000-0005-0000-0000-0000EF070000}"/>
    <cellStyle name="20% - uthevingsfarge 3 52" xfId="592" xr:uid="{00000000-0005-0000-0000-0000F0070000}"/>
    <cellStyle name="20% - uthevingsfarge 3 52 2" xfId="593" xr:uid="{00000000-0005-0000-0000-0000F1070000}"/>
    <cellStyle name="20% - uthevingsfarge 3 52 2 2" xfId="5415" xr:uid="{00000000-0005-0000-0000-0000F2070000}"/>
    <cellStyle name="20% - uthevingsfarge 3 52 2 2 2" xfId="8048" xr:uid="{00000000-0005-0000-0000-0000F3070000}"/>
    <cellStyle name="20% - uthevingsfarge 3 52 2 3" xfId="10064" xr:uid="{00000000-0005-0000-0000-0000F4070000}"/>
    <cellStyle name="20% - uthevingsfarge 3 52 3" xfId="4694" xr:uid="{00000000-0005-0000-0000-0000F5070000}"/>
    <cellStyle name="20% - uthevingsfarge 3 52 3 2" xfId="7347" xr:uid="{00000000-0005-0000-0000-0000F6070000}"/>
    <cellStyle name="20% - uthevingsfarge 3 52 4" xfId="10063" xr:uid="{00000000-0005-0000-0000-0000F7070000}"/>
    <cellStyle name="20% - uthevingsfarge 3 53" xfId="594" xr:uid="{00000000-0005-0000-0000-0000F8070000}"/>
    <cellStyle name="20% - uthevingsfarge 3 53 2" xfId="595" xr:uid="{00000000-0005-0000-0000-0000F9070000}"/>
    <cellStyle name="20% - uthevingsfarge 3 53 2 2" xfId="5416" xr:uid="{00000000-0005-0000-0000-0000FA070000}"/>
    <cellStyle name="20% - uthevingsfarge 3 53 2 2 2" xfId="8049" xr:uid="{00000000-0005-0000-0000-0000FB070000}"/>
    <cellStyle name="20% - uthevingsfarge 3 53 2 3" xfId="10062" xr:uid="{00000000-0005-0000-0000-0000FC070000}"/>
    <cellStyle name="20% - uthevingsfarge 3 53 3" xfId="4695" xr:uid="{00000000-0005-0000-0000-0000FD070000}"/>
    <cellStyle name="20% - uthevingsfarge 3 53 3 2" xfId="7348" xr:uid="{00000000-0005-0000-0000-0000FE070000}"/>
    <cellStyle name="20% - uthevingsfarge 3 53 4" xfId="10061" xr:uid="{00000000-0005-0000-0000-0000FF070000}"/>
    <cellStyle name="20% - uthevingsfarge 3 54" xfId="596" xr:uid="{00000000-0005-0000-0000-000000080000}"/>
    <cellStyle name="20% - uthevingsfarge 3 54 2" xfId="597" xr:uid="{00000000-0005-0000-0000-000001080000}"/>
    <cellStyle name="20% - uthevingsfarge 3 54 2 2" xfId="5417" xr:uid="{00000000-0005-0000-0000-000002080000}"/>
    <cellStyle name="20% - uthevingsfarge 3 54 2 2 2" xfId="8050" xr:uid="{00000000-0005-0000-0000-000003080000}"/>
    <cellStyle name="20% - uthevingsfarge 3 54 2 3" xfId="10060" xr:uid="{00000000-0005-0000-0000-000004080000}"/>
    <cellStyle name="20% - uthevingsfarge 3 54 3" xfId="4696" xr:uid="{00000000-0005-0000-0000-000005080000}"/>
    <cellStyle name="20% - uthevingsfarge 3 54 3 2" xfId="7349" xr:uid="{00000000-0005-0000-0000-000006080000}"/>
    <cellStyle name="20% - uthevingsfarge 3 54 4" xfId="10059" xr:uid="{00000000-0005-0000-0000-000007080000}"/>
    <cellStyle name="20% - uthevingsfarge 3 55" xfId="598" xr:uid="{00000000-0005-0000-0000-000008080000}"/>
    <cellStyle name="20% - uthevingsfarge 3 55 2" xfId="599" xr:uid="{00000000-0005-0000-0000-000009080000}"/>
    <cellStyle name="20% - uthevingsfarge 3 55 2 2" xfId="5418" xr:uid="{00000000-0005-0000-0000-00000A080000}"/>
    <cellStyle name="20% - uthevingsfarge 3 55 2 2 2" xfId="8051" xr:uid="{00000000-0005-0000-0000-00000B080000}"/>
    <cellStyle name="20% - uthevingsfarge 3 55 2 3" xfId="10058" xr:uid="{00000000-0005-0000-0000-00000C080000}"/>
    <cellStyle name="20% - uthevingsfarge 3 55 3" xfId="4697" xr:uid="{00000000-0005-0000-0000-00000D080000}"/>
    <cellStyle name="20% - uthevingsfarge 3 55 3 2" xfId="7350" xr:uid="{00000000-0005-0000-0000-00000E080000}"/>
    <cellStyle name="20% - uthevingsfarge 3 55 4" xfId="10057" xr:uid="{00000000-0005-0000-0000-00000F080000}"/>
    <cellStyle name="20% - uthevingsfarge 3 56" xfId="600" xr:uid="{00000000-0005-0000-0000-000010080000}"/>
    <cellStyle name="20% - uthevingsfarge 3 56 2" xfId="601" xr:uid="{00000000-0005-0000-0000-000011080000}"/>
    <cellStyle name="20% - uthevingsfarge 3 56 2 2" xfId="5419" xr:uid="{00000000-0005-0000-0000-000012080000}"/>
    <cellStyle name="20% - uthevingsfarge 3 56 2 2 2" xfId="8052" xr:uid="{00000000-0005-0000-0000-000013080000}"/>
    <cellStyle name="20% - uthevingsfarge 3 56 2 3" xfId="10056" xr:uid="{00000000-0005-0000-0000-000014080000}"/>
    <cellStyle name="20% - uthevingsfarge 3 56 3" xfId="4698" xr:uid="{00000000-0005-0000-0000-000015080000}"/>
    <cellStyle name="20% - uthevingsfarge 3 56 3 2" xfId="7351" xr:uid="{00000000-0005-0000-0000-000016080000}"/>
    <cellStyle name="20% - uthevingsfarge 3 56 4" xfId="10055" xr:uid="{00000000-0005-0000-0000-000017080000}"/>
    <cellStyle name="20% - uthevingsfarge 3 57" xfId="602" xr:uid="{00000000-0005-0000-0000-000018080000}"/>
    <cellStyle name="20% - uthevingsfarge 3 57 2" xfId="603" xr:uid="{00000000-0005-0000-0000-000019080000}"/>
    <cellStyle name="20% - uthevingsfarge 3 57 2 2" xfId="5420" xr:uid="{00000000-0005-0000-0000-00001A080000}"/>
    <cellStyle name="20% - uthevingsfarge 3 57 2 2 2" xfId="8053" xr:uid="{00000000-0005-0000-0000-00001B080000}"/>
    <cellStyle name="20% - uthevingsfarge 3 57 2 3" xfId="10054" xr:uid="{00000000-0005-0000-0000-00001C080000}"/>
    <cellStyle name="20% - uthevingsfarge 3 57 3" xfId="4699" xr:uid="{00000000-0005-0000-0000-00001D080000}"/>
    <cellStyle name="20% - uthevingsfarge 3 57 3 2" xfId="7352" xr:uid="{00000000-0005-0000-0000-00001E080000}"/>
    <cellStyle name="20% - uthevingsfarge 3 57 4" xfId="10053" xr:uid="{00000000-0005-0000-0000-00001F080000}"/>
    <cellStyle name="20% - uthevingsfarge 3 58" xfId="604" xr:uid="{00000000-0005-0000-0000-000020080000}"/>
    <cellStyle name="20% - uthevingsfarge 3 58 2" xfId="605" xr:uid="{00000000-0005-0000-0000-000021080000}"/>
    <cellStyle name="20% - uthevingsfarge 3 58 2 2" xfId="5421" xr:uid="{00000000-0005-0000-0000-000022080000}"/>
    <cellStyle name="20% - uthevingsfarge 3 58 2 2 2" xfId="8054" xr:uid="{00000000-0005-0000-0000-000023080000}"/>
    <cellStyle name="20% - uthevingsfarge 3 58 2 3" xfId="10052" xr:uid="{00000000-0005-0000-0000-000024080000}"/>
    <cellStyle name="20% - uthevingsfarge 3 58 3" xfId="4700" xr:uid="{00000000-0005-0000-0000-000025080000}"/>
    <cellStyle name="20% - uthevingsfarge 3 58 3 2" xfId="7353" xr:uid="{00000000-0005-0000-0000-000026080000}"/>
    <cellStyle name="20% - uthevingsfarge 3 58 4" xfId="10051" xr:uid="{00000000-0005-0000-0000-000027080000}"/>
    <cellStyle name="20% - uthevingsfarge 3 59" xfId="606" xr:uid="{00000000-0005-0000-0000-000028080000}"/>
    <cellStyle name="20% - uthevingsfarge 3 59 2" xfId="607" xr:uid="{00000000-0005-0000-0000-000029080000}"/>
    <cellStyle name="20% - uthevingsfarge 3 59 2 2" xfId="5422" xr:uid="{00000000-0005-0000-0000-00002A080000}"/>
    <cellStyle name="20% - uthevingsfarge 3 59 2 2 2" xfId="8055" xr:uid="{00000000-0005-0000-0000-00002B080000}"/>
    <cellStyle name="20% - uthevingsfarge 3 59 2 3" xfId="10050" xr:uid="{00000000-0005-0000-0000-00002C080000}"/>
    <cellStyle name="20% - uthevingsfarge 3 59 3" xfId="4701" xr:uid="{00000000-0005-0000-0000-00002D080000}"/>
    <cellStyle name="20% - uthevingsfarge 3 59 3 2" xfId="7354" xr:uid="{00000000-0005-0000-0000-00002E080000}"/>
    <cellStyle name="20% - uthevingsfarge 3 59 4" xfId="9999" xr:uid="{00000000-0005-0000-0000-00002F080000}"/>
    <cellStyle name="20% - uthevingsfarge 3 6" xfId="608" xr:uid="{00000000-0005-0000-0000-000030080000}"/>
    <cellStyle name="20% - uthevingsfarge 3 6 2" xfId="609" xr:uid="{00000000-0005-0000-0000-000031080000}"/>
    <cellStyle name="20% - uthevingsfarge 3 6 2 2" xfId="5423" xr:uid="{00000000-0005-0000-0000-000032080000}"/>
    <cellStyle name="20% - uthevingsfarge 3 6 2 2 2" xfId="8056" xr:uid="{00000000-0005-0000-0000-000033080000}"/>
    <cellStyle name="20% - uthevingsfarge 3 6 2 3" xfId="10049" xr:uid="{00000000-0005-0000-0000-000034080000}"/>
    <cellStyle name="20% - uthevingsfarge 3 6 3" xfId="4702" xr:uid="{00000000-0005-0000-0000-000035080000}"/>
    <cellStyle name="20% - uthevingsfarge 3 6 3 2" xfId="7355" xr:uid="{00000000-0005-0000-0000-000036080000}"/>
    <cellStyle name="20% - uthevingsfarge 3 6 4" xfId="10048" xr:uid="{00000000-0005-0000-0000-000037080000}"/>
    <cellStyle name="20% - uthevingsfarge 3 60" xfId="610" xr:uid="{00000000-0005-0000-0000-000038080000}"/>
    <cellStyle name="20% - uthevingsfarge 3 60 2" xfId="611" xr:uid="{00000000-0005-0000-0000-000039080000}"/>
    <cellStyle name="20% - uthevingsfarge 3 60 3" xfId="10047" xr:uid="{00000000-0005-0000-0000-00003A080000}"/>
    <cellStyle name="20% - uthevingsfarge 3 61" xfId="612" xr:uid="{00000000-0005-0000-0000-00003B080000}"/>
    <cellStyle name="20% - uthevingsfarge 3 61 2" xfId="613" xr:uid="{00000000-0005-0000-0000-00003C080000}"/>
    <cellStyle name="20% - uthevingsfarge 3 62" xfId="614" xr:uid="{00000000-0005-0000-0000-00003D080000}"/>
    <cellStyle name="20% - uthevingsfarge 3 62 2" xfId="615" xr:uid="{00000000-0005-0000-0000-00003E080000}"/>
    <cellStyle name="20% - uthevingsfarge 3 63" xfId="616" xr:uid="{00000000-0005-0000-0000-00003F080000}"/>
    <cellStyle name="20% - uthevingsfarge 3 63 2" xfId="617" xr:uid="{00000000-0005-0000-0000-000040080000}"/>
    <cellStyle name="20% - uthevingsfarge 3 64" xfId="618" xr:uid="{00000000-0005-0000-0000-000041080000}"/>
    <cellStyle name="20% - uthevingsfarge 3 64 2" xfId="619" xr:uid="{00000000-0005-0000-0000-000042080000}"/>
    <cellStyle name="20% - uthevingsfarge 3 65" xfId="620" xr:uid="{00000000-0005-0000-0000-000043080000}"/>
    <cellStyle name="20% - uthevingsfarge 3 65 2" xfId="621" xr:uid="{00000000-0005-0000-0000-000044080000}"/>
    <cellStyle name="20% - uthevingsfarge 3 66" xfId="622" xr:uid="{00000000-0005-0000-0000-000045080000}"/>
    <cellStyle name="20% - uthevingsfarge 3 66 2" xfId="623" xr:uid="{00000000-0005-0000-0000-000046080000}"/>
    <cellStyle name="20% - uthevingsfarge 3 67" xfId="624" xr:uid="{00000000-0005-0000-0000-000047080000}"/>
    <cellStyle name="20% - uthevingsfarge 3 67 2" xfId="625" xr:uid="{00000000-0005-0000-0000-000048080000}"/>
    <cellStyle name="20% - uthevingsfarge 3 68" xfId="626" xr:uid="{00000000-0005-0000-0000-000049080000}"/>
    <cellStyle name="20% - uthevingsfarge 3 68 2" xfId="627" xr:uid="{00000000-0005-0000-0000-00004A080000}"/>
    <cellStyle name="20% - uthevingsfarge 3 69" xfId="628" xr:uid="{00000000-0005-0000-0000-00004B080000}"/>
    <cellStyle name="20% - uthevingsfarge 3 69 2" xfId="629" xr:uid="{00000000-0005-0000-0000-00004C080000}"/>
    <cellStyle name="20% - uthevingsfarge 3 7" xfId="630" xr:uid="{00000000-0005-0000-0000-00004D080000}"/>
    <cellStyle name="20% - uthevingsfarge 3 7 2" xfId="631" xr:uid="{00000000-0005-0000-0000-00004E080000}"/>
    <cellStyle name="20% - uthevingsfarge 3 7 2 2" xfId="5424" xr:uid="{00000000-0005-0000-0000-00004F080000}"/>
    <cellStyle name="20% - uthevingsfarge 3 7 2 2 2" xfId="8057" xr:uid="{00000000-0005-0000-0000-000050080000}"/>
    <cellStyle name="20% - uthevingsfarge 3 7 2 3" xfId="9998" xr:uid="{00000000-0005-0000-0000-000051080000}"/>
    <cellStyle name="20% - uthevingsfarge 3 7 3" xfId="4703" xr:uid="{00000000-0005-0000-0000-000052080000}"/>
    <cellStyle name="20% - uthevingsfarge 3 7 3 2" xfId="7356" xr:uid="{00000000-0005-0000-0000-000053080000}"/>
    <cellStyle name="20% - uthevingsfarge 3 7 4" xfId="10046" xr:uid="{00000000-0005-0000-0000-000054080000}"/>
    <cellStyle name="20% - uthevingsfarge 3 70" xfId="632" xr:uid="{00000000-0005-0000-0000-000055080000}"/>
    <cellStyle name="20% - uthevingsfarge 3 70 2" xfId="633" xr:uid="{00000000-0005-0000-0000-000056080000}"/>
    <cellStyle name="20% - uthevingsfarge 3 71" xfId="634" xr:uid="{00000000-0005-0000-0000-000057080000}"/>
    <cellStyle name="20% - uthevingsfarge 3 71 2" xfId="635" xr:uid="{00000000-0005-0000-0000-000058080000}"/>
    <cellStyle name="20% - uthevingsfarge 3 72" xfId="636" xr:uid="{00000000-0005-0000-0000-000059080000}"/>
    <cellStyle name="20% - uthevingsfarge 3 72 2" xfId="637" xr:uid="{00000000-0005-0000-0000-00005A080000}"/>
    <cellStyle name="20% - uthevingsfarge 3 73" xfId="638" xr:uid="{00000000-0005-0000-0000-00005B080000}"/>
    <cellStyle name="20% - uthevingsfarge 3 73 2" xfId="639" xr:uid="{00000000-0005-0000-0000-00005C080000}"/>
    <cellStyle name="20% - uthevingsfarge 3 74" xfId="640" xr:uid="{00000000-0005-0000-0000-00005D080000}"/>
    <cellStyle name="20% - uthevingsfarge 3 74 2" xfId="641" xr:uid="{00000000-0005-0000-0000-00005E080000}"/>
    <cellStyle name="20% - uthevingsfarge 3 75" xfId="642" xr:uid="{00000000-0005-0000-0000-00005F080000}"/>
    <cellStyle name="20% - uthevingsfarge 3 75 2" xfId="643" xr:uid="{00000000-0005-0000-0000-000060080000}"/>
    <cellStyle name="20% - uthevingsfarge 3 76" xfId="644" xr:uid="{00000000-0005-0000-0000-000061080000}"/>
    <cellStyle name="20% - uthevingsfarge 3 76 2" xfId="645" xr:uid="{00000000-0005-0000-0000-000062080000}"/>
    <cellStyle name="20% - uthevingsfarge 3 77" xfId="646" xr:uid="{00000000-0005-0000-0000-000063080000}"/>
    <cellStyle name="20% - uthevingsfarge 3 78" xfId="647" xr:uid="{00000000-0005-0000-0000-000064080000}"/>
    <cellStyle name="20% - uthevingsfarge 3 79" xfId="648" xr:uid="{00000000-0005-0000-0000-000065080000}"/>
    <cellStyle name="20% - uthevingsfarge 3 8" xfId="649" xr:uid="{00000000-0005-0000-0000-000066080000}"/>
    <cellStyle name="20% - uthevingsfarge 3 8 2" xfId="650" xr:uid="{00000000-0005-0000-0000-000067080000}"/>
    <cellStyle name="20% - uthevingsfarge 3 8 2 2" xfId="5425" xr:uid="{00000000-0005-0000-0000-000068080000}"/>
    <cellStyle name="20% - uthevingsfarge 3 8 2 2 2" xfId="8058" xr:uid="{00000000-0005-0000-0000-000069080000}"/>
    <cellStyle name="20% - uthevingsfarge 3 8 2 3" xfId="10045" xr:uid="{00000000-0005-0000-0000-00006A080000}"/>
    <cellStyle name="20% - uthevingsfarge 3 8 3" xfId="4704" xr:uid="{00000000-0005-0000-0000-00006B080000}"/>
    <cellStyle name="20% - uthevingsfarge 3 8 3 2" xfId="7357" xr:uid="{00000000-0005-0000-0000-00006C080000}"/>
    <cellStyle name="20% - uthevingsfarge 3 8 4" xfId="10044" xr:uid="{00000000-0005-0000-0000-00006D080000}"/>
    <cellStyle name="20% - uthevingsfarge 3 80" xfId="651" xr:uid="{00000000-0005-0000-0000-00006E080000}"/>
    <cellStyle name="20% - uthevingsfarge 3 81" xfId="652" xr:uid="{00000000-0005-0000-0000-00006F080000}"/>
    <cellStyle name="20% - uthevingsfarge 3 82" xfId="653" xr:uid="{00000000-0005-0000-0000-000070080000}"/>
    <cellStyle name="20% - uthevingsfarge 3 83" xfId="654" xr:uid="{00000000-0005-0000-0000-000071080000}"/>
    <cellStyle name="20% - uthevingsfarge 3 84" xfId="655" xr:uid="{00000000-0005-0000-0000-000072080000}"/>
    <cellStyle name="20% - uthevingsfarge 3 85" xfId="656" xr:uid="{00000000-0005-0000-0000-000073080000}"/>
    <cellStyle name="20% - uthevingsfarge 3 86" xfId="657" xr:uid="{00000000-0005-0000-0000-000074080000}"/>
    <cellStyle name="20% - uthevingsfarge 3 87" xfId="658" xr:uid="{00000000-0005-0000-0000-000075080000}"/>
    <cellStyle name="20% - uthevingsfarge 3 88" xfId="659" xr:uid="{00000000-0005-0000-0000-000076080000}"/>
    <cellStyle name="20% - uthevingsfarge 3 89" xfId="660" xr:uid="{00000000-0005-0000-0000-000077080000}"/>
    <cellStyle name="20% - uthevingsfarge 3 9" xfId="661" xr:uid="{00000000-0005-0000-0000-000078080000}"/>
    <cellStyle name="20% - uthevingsfarge 3 9 2" xfId="662" xr:uid="{00000000-0005-0000-0000-000079080000}"/>
    <cellStyle name="20% - uthevingsfarge 3 9 2 2" xfId="5426" xr:uid="{00000000-0005-0000-0000-00007A080000}"/>
    <cellStyle name="20% - uthevingsfarge 3 9 2 2 2" xfId="8059" xr:uid="{00000000-0005-0000-0000-00007B080000}"/>
    <cellStyle name="20% - uthevingsfarge 3 9 2 3" xfId="10043" xr:uid="{00000000-0005-0000-0000-00007C080000}"/>
    <cellStyle name="20% - uthevingsfarge 3 9 3" xfId="4705" xr:uid="{00000000-0005-0000-0000-00007D080000}"/>
    <cellStyle name="20% - uthevingsfarge 3 9 3 2" xfId="7358" xr:uid="{00000000-0005-0000-0000-00007E080000}"/>
    <cellStyle name="20% - uthevingsfarge 3 9 4" xfId="10042" xr:uid="{00000000-0005-0000-0000-00007F080000}"/>
    <cellStyle name="20% - uthevingsfarge 3 90" xfId="663" xr:uid="{00000000-0005-0000-0000-000080080000}"/>
    <cellStyle name="20% - uthevingsfarge 3 90 2" xfId="2779" xr:uid="{00000000-0005-0000-0000-000081080000}"/>
    <cellStyle name="20% - uthevingsfarge 3 90 2 2" xfId="3119" xr:uid="{00000000-0005-0000-0000-000082080000}"/>
    <cellStyle name="20% - uthevingsfarge 3 90 2 2 2" xfId="6704" xr:uid="{00000000-0005-0000-0000-000083080000}"/>
    <cellStyle name="20% - uthevingsfarge 3 90 2 3" xfId="3991" xr:uid="{00000000-0005-0000-0000-000084080000}"/>
    <cellStyle name="20% - uthevingsfarge 3 90 2 4" xfId="6352" xr:uid="{00000000-0005-0000-0000-000085080000}"/>
    <cellStyle name="20% - uthevingsfarge 3 90 2 5" xfId="8704" xr:uid="{00000000-0005-0000-0000-000086080000}"/>
    <cellStyle name="20% - uthevingsfarge 3 90 3" xfId="3118" xr:uid="{00000000-0005-0000-0000-000087080000}"/>
    <cellStyle name="20% - uthevingsfarge 3 90 3 2" xfId="6703" xr:uid="{00000000-0005-0000-0000-000088080000}"/>
    <cellStyle name="20% - uthevingsfarge 3 90 4" xfId="3946" xr:uid="{00000000-0005-0000-0000-000089080000}"/>
    <cellStyle name="20% - uthevingsfarge 3 90 5" xfId="6067" xr:uid="{00000000-0005-0000-0000-00008A080000}"/>
    <cellStyle name="20% - uthevingsfarge 3 90 6" xfId="8703" xr:uid="{00000000-0005-0000-0000-00008B080000}"/>
    <cellStyle name="20% - uthevingsfarge 3 91" xfId="664" xr:uid="{00000000-0005-0000-0000-00008C080000}"/>
    <cellStyle name="20% - uthevingsfarge 3 91 2" xfId="2780" xr:uid="{00000000-0005-0000-0000-00008D080000}"/>
    <cellStyle name="20% - uthevingsfarge 3 91 2 2" xfId="3121" xr:uid="{00000000-0005-0000-0000-00008E080000}"/>
    <cellStyle name="20% - uthevingsfarge 3 91 2 2 2" xfId="6706" xr:uid="{00000000-0005-0000-0000-00008F080000}"/>
    <cellStyle name="20% - uthevingsfarge 3 91 2 3" xfId="3961" xr:uid="{00000000-0005-0000-0000-000090080000}"/>
    <cellStyle name="20% - uthevingsfarge 3 91 2 4" xfId="6353" xr:uid="{00000000-0005-0000-0000-000091080000}"/>
    <cellStyle name="20% - uthevingsfarge 3 91 2 5" xfId="8706" xr:uid="{00000000-0005-0000-0000-000092080000}"/>
    <cellStyle name="20% - uthevingsfarge 3 91 3" xfId="3120" xr:uid="{00000000-0005-0000-0000-000093080000}"/>
    <cellStyle name="20% - uthevingsfarge 3 91 3 2" xfId="6705" xr:uid="{00000000-0005-0000-0000-000094080000}"/>
    <cellStyle name="20% - uthevingsfarge 3 91 4" xfId="4041" xr:uid="{00000000-0005-0000-0000-000095080000}"/>
    <cellStyle name="20% - uthevingsfarge 3 91 5" xfId="6068" xr:uid="{00000000-0005-0000-0000-000096080000}"/>
    <cellStyle name="20% - uthevingsfarge 3 91 6" xfId="8705" xr:uid="{00000000-0005-0000-0000-000097080000}"/>
    <cellStyle name="20% - uthevingsfarge 3 92" xfId="665" xr:uid="{00000000-0005-0000-0000-000098080000}"/>
    <cellStyle name="20% - uthevingsfarge 3 92 2" xfId="2781" xr:uid="{00000000-0005-0000-0000-000099080000}"/>
    <cellStyle name="20% - uthevingsfarge 3 92 2 2" xfId="3123" xr:uid="{00000000-0005-0000-0000-00009A080000}"/>
    <cellStyle name="20% - uthevingsfarge 3 92 2 2 2" xfId="6708" xr:uid="{00000000-0005-0000-0000-00009B080000}"/>
    <cellStyle name="20% - uthevingsfarge 3 92 2 3" xfId="3962" xr:uid="{00000000-0005-0000-0000-00009C080000}"/>
    <cellStyle name="20% - uthevingsfarge 3 92 2 4" xfId="6354" xr:uid="{00000000-0005-0000-0000-00009D080000}"/>
    <cellStyle name="20% - uthevingsfarge 3 92 2 5" xfId="8708" xr:uid="{00000000-0005-0000-0000-00009E080000}"/>
    <cellStyle name="20% - uthevingsfarge 3 92 3" xfId="3122" xr:uid="{00000000-0005-0000-0000-00009F080000}"/>
    <cellStyle name="20% - uthevingsfarge 3 92 3 2" xfId="6707" xr:uid="{00000000-0005-0000-0000-0000A0080000}"/>
    <cellStyle name="20% - uthevingsfarge 3 92 4" xfId="3634" xr:uid="{00000000-0005-0000-0000-0000A1080000}"/>
    <cellStyle name="20% - uthevingsfarge 3 92 5" xfId="6069" xr:uid="{00000000-0005-0000-0000-0000A2080000}"/>
    <cellStyle name="20% - uthevingsfarge 3 92 6" xfId="8707" xr:uid="{00000000-0005-0000-0000-0000A3080000}"/>
    <cellStyle name="20% - uthevingsfarge 3 93" xfId="666" xr:uid="{00000000-0005-0000-0000-0000A4080000}"/>
    <cellStyle name="20% - uthevingsfarge 3 93 2" xfId="2782" xr:uid="{00000000-0005-0000-0000-0000A5080000}"/>
    <cellStyle name="20% - uthevingsfarge 3 93 2 2" xfId="3125" xr:uid="{00000000-0005-0000-0000-0000A6080000}"/>
    <cellStyle name="20% - uthevingsfarge 3 93 2 2 2" xfId="6710" xr:uid="{00000000-0005-0000-0000-0000A7080000}"/>
    <cellStyle name="20% - uthevingsfarge 3 93 2 3" xfId="3915" xr:uid="{00000000-0005-0000-0000-0000A8080000}"/>
    <cellStyle name="20% - uthevingsfarge 3 93 2 4" xfId="6355" xr:uid="{00000000-0005-0000-0000-0000A9080000}"/>
    <cellStyle name="20% - uthevingsfarge 3 93 2 5" xfId="8710" xr:uid="{00000000-0005-0000-0000-0000AA080000}"/>
    <cellStyle name="20% - uthevingsfarge 3 93 3" xfId="3124" xr:uid="{00000000-0005-0000-0000-0000AB080000}"/>
    <cellStyle name="20% - uthevingsfarge 3 93 3 2" xfId="6709" xr:uid="{00000000-0005-0000-0000-0000AC080000}"/>
    <cellStyle name="20% - uthevingsfarge 3 93 4" xfId="3669" xr:uid="{00000000-0005-0000-0000-0000AD080000}"/>
    <cellStyle name="20% - uthevingsfarge 3 93 5" xfId="6070" xr:uid="{00000000-0005-0000-0000-0000AE080000}"/>
    <cellStyle name="20% - uthevingsfarge 3 93 6" xfId="8709" xr:uid="{00000000-0005-0000-0000-0000AF080000}"/>
    <cellStyle name="20% - uthevingsfarge 3 94" xfId="667" xr:uid="{00000000-0005-0000-0000-0000B0080000}"/>
    <cellStyle name="20% - uthevingsfarge 3 94 2" xfId="2783" xr:uid="{00000000-0005-0000-0000-0000B1080000}"/>
    <cellStyle name="20% - uthevingsfarge 3 94 2 2" xfId="3127" xr:uid="{00000000-0005-0000-0000-0000B2080000}"/>
    <cellStyle name="20% - uthevingsfarge 3 94 2 2 2" xfId="6712" xr:uid="{00000000-0005-0000-0000-0000B3080000}"/>
    <cellStyle name="20% - uthevingsfarge 3 94 2 3" xfId="3646" xr:uid="{00000000-0005-0000-0000-0000B4080000}"/>
    <cellStyle name="20% - uthevingsfarge 3 94 2 4" xfId="6356" xr:uid="{00000000-0005-0000-0000-0000B5080000}"/>
    <cellStyle name="20% - uthevingsfarge 3 94 2 5" xfId="8712" xr:uid="{00000000-0005-0000-0000-0000B6080000}"/>
    <cellStyle name="20% - uthevingsfarge 3 94 3" xfId="3126" xr:uid="{00000000-0005-0000-0000-0000B7080000}"/>
    <cellStyle name="20% - uthevingsfarge 3 94 3 2" xfId="6711" xr:uid="{00000000-0005-0000-0000-0000B8080000}"/>
    <cellStyle name="20% - uthevingsfarge 3 94 4" xfId="3945" xr:uid="{00000000-0005-0000-0000-0000B9080000}"/>
    <cellStyle name="20% - uthevingsfarge 3 94 5" xfId="6071" xr:uid="{00000000-0005-0000-0000-0000BA080000}"/>
    <cellStyle name="20% - uthevingsfarge 3 94 6" xfId="8711" xr:uid="{00000000-0005-0000-0000-0000BB080000}"/>
    <cellStyle name="20% - uthevingsfarge 3 95" xfId="668" xr:uid="{00000000-0005-0000-0000-0000BC080000}"/>
    <cellStyle name="20% - uthevingsfarge 3 95 2" xfId="2784" xr:uid="{00000000-0005-0000-0000-0000BD080000}"/>
    <cellStyle name="20% - uthevingsfarge 3 95 2 2" xfId="3129" xr:uid="{00000000-0005-0000-0000-0000BE080000}"/>
    <cellStyle name="20% - uthevingsfarge 3 95 2 2 2" xfId="6714" xr:uid="{00000000-0005-0000-0000-0000BF080000}"/>
    <cellStyle name="20% - uthevingsfarge 3 95 2 3" xfId="3959" xr:uid="{00000000-0005-0000-0000-0000C0080000}"/>
    <cellStyle name="20% - uthevingsfarge 3 95 2 4" xfId="6357" xr:uid="{00000000-0005-0000-0000-0000C1080000}"/>
    <cellStyle name="20% - uthevingsfarge 3 95 2 5" xfId="8714" xr:uid="{00000000-0005-0000-0000-0000C2080000}"/>
    <cellStyle name="20% - uthevingsfarge 3 95 3" xfId="3128" xr:uid="{00000000-0005-0000-0000-0000C3080000}"/>
    <cellStyle name="20% - uthevingsfarge 3 95 3 2" xfId="6713" xr:uid="{00000000-0005-0000-0000-0000C4080000}"/>
    <cellStyle name="20% - uthevingsfarge 3 95 4" xfId="3891" xr:uid="{00000000-0005-0000-0000-0000C5080000}"/>
    <cellStyle name="20% - uthevingsfarge 3 95 5" xfId="6072" xr:uid="{00000000-0005-0000-0000-0000C6080000}"/>
    <cellStyle name="20% - uthevingsfarge 3 95 6" xfId="8713" xr:uid="{00000000-0005-0000-0000-0000C7080000}"/>
    <cellStyle name="20% - uthevingsfarge 3 96" xfId="669" xr:uid="{00000000-0005-0000-0000-0000C8080000}"/>
    <cellStyle name="20% - uthevingsfarge 3 96 2" xfId="2785" xr:uid="{00000000-0005-0000-0000-0000C9080000}"/>
    <cellStyle name="20% - uthevingsfarge 3 96 2 2" xfId="3131" xr:uid="{00000000-0005-0000-0000-0000CA080000}"/>
    <cellStyle name="20% - uthevingsfarge 3 96 2 2 2" xfId="6716" xr:uid="{00000000-0005-0000-0000-0000CB080000}"/>
    <cellStyle name="20% - uthevingsfarge 3 96 2 3" xfId="3960" xr:uid="{00000000-0005-0000-0000-0000CC080000}"/>
    <cellStyle name="20% - uthevingsfarge 3 96 2 4" xfId="6358" xr:uid="{00000000-0005-0000-0000-0000CD080000}"/>
    <cellStyle name="20% - uthevingsfarge 3 96 2 5" xfId="8716" xr:uid="{00000000-0005-0000-0000-0000CE080000}"/>
    <cellStyle name="20% - uthevingsfarge 3 96 3" xfId="3130" xr:uid="{00000000-0005-0000-0000-0000CF080000}"/>
    <cellStyle name="20% - uthevingsfarge 3 96 3 2" xfId="6715" xr:uid="{00000000-0005-0000-0000-0000D0080000}"/>
    <cellStyle name="20% - uthevingsfarge 3 96 4" xfId="3598" xr:uid="{00000000-0005-0000-0000-0000D1080000}"/>
    <cellStyle name="20% - uthevingsfarge 3 96 5" xfId="6073" xr:uid="{00000000-0005-0000-0000-0000D2080000}"/>
    <cellStyle name="20% - uthevingsfarge 3 96 6" xfId="8715" xr:uid="{00000000-0005-0000-0000-0000D3080000}"/>
    <cellStyle name="20% - uthevingsfarge 3 97" xfId="670" xr:uid="{00000000-0005-0000-0000-0000D4080000}"/>
    <cellStyle name="20% - uthevingsfarge 3 97 2" xfId="2786" xr:uid="{00000000-0005-0000-0000-0000D5080000}"/>
    <cellStyle name="20% - uthevingsfarge 3 97 2 2" xfId="3133" xr:uid="{00000000-0005-0000-0000-0000D6080000}"/>
    <cellStyle name="20% - uthevingsfarge 3 97 2 2 2" xfId="6718" xr:uid="{00000000-0005-0000-0000-0000D7080000}"/>
    <cellStyle name="20% - uthevingsfarge 3 97 2 3" xfId="3914" xr:uid="{00000000-0005-0000-0000-0000D8080000}"/>
    <cellStyle name="20% - uthevingsfarge 3 97 2 4" xfId="6359" xr:uid="{00000000-0005-0000-0000-0000D9080000}"/>
    <cellStyle name="20% - uthevingsfarge 3 97 2 5" xfId="8718" xr:uid="{00000000-0005-0000-0000-0000DA080000}"/>
    <cellStyle name="20% - uthevingsfarge 3 97 3" xfId="3132" xr:uid="{00000000-0005-0000-0000-0000DB080000}"/>
    <cellStyle name="20% - uthevingsfarge 3 97 3 2" xfId="6717" xr:uid="{00000000-0005-0000-0000-0000DC080000}"/>
    <cellStyle name="20% - uthevingsfarge 3 97 4" xfId="4010" xr:uid="{00000000-0005-0000-0000-0000DD080000}"/>
    <cellStyle name="20% - uthevingsfarge 3 97 5" xfId="6074" xr:uid="{00000000-0005-0000-0000-0000DE080000}"/>
    <cellStyle name="20% - uthevingsfarge 3 97 6" xfId="8717" xr:uid="{00000000-0005-0000-0000-0000DF080000}"/>
    <cellStyle name="20% - uthevingsfarge 3 98" xfId="671" xr:uid="{00000000-0005-0000-0000-0000E0080000}"/>
    <cellStyle name="20% - uthevingsfarge 3 98 2" xfId="2787" xr:uid="{00000000-0005-0000-0000-0000E1080000}"/>
    <cellStyle name="20% - uthevingsfarge 3 98 2 2" xfId="3135" xr:uid="{00000000-0005-0000-0000-0000E2080000}"/>
    <cellStyle name="20% - uthevingsfarge 3 98 2 2 2" xfId="6720" xr:uid="{00000000-0005-0000-0000-0000E3080000}"/>
    <cellStyle name="20% - uthevingsfarge 3 98 2 3" xfId="3608" xr:uid="{00000000-0005-0000-0000-0000E4080000}"/>
    <cellStyle name="20% - uthevingsfarge 3 98 2 4" xfId="6360" xr:uid="{00000000-0005-0000-0000-0000E5080000}"/>
    <cellStyle name="20% - uthevingsfarge 3 98 2 5" xfId="8720" xr:uid="{00000000-0005-0000-0000-0000E6080000}"/>
    <cellStyle name="20% - uthevingsfarge 3 98 3" xfId="3134" xr:uid="{00000000-0005-0000-0000-0000E7080000}"/>
    <cellStyle name="20% - uthevingsfarge 3 98 3 2" xfId="6719" xr:uid="{00000000-0005-0000-0000-0000E8080000}"/>
    <cellStyle name="20% - uthevingsfarge 3 98 4" xfId="3944" xr:uid="{00000000-0005-0000-0000-0000E9080000}"/>
    <cellStyle name="20% - uthevingsfarge 3 98 5" xfId="6075" xr:uid="{00000000-0005-0000-0000-0000EA080000}"/>
    <cellStyle name="20% - uthevingsfarge 3 98 6" xfId="8719" xr:uid="{00000000-0005-0000-0000-0000EB080000}"/>
    <cellStyle name="20% - uthevingsfarge 3 99" xfId="672" xr:uid="{00000000-0005-0000-0000-0000EC080000}"/>
    <cellStyle name="20% - uthevingsfarge 3 99 2" xfId="2788" xr:uid="{00000000-0005-0000-0000-0000ED080000}"/>
    <cellStyle name="20% - uthevingsfarge 3 99 2 2" xfId="3137" xr:uid="{00000000-0005-0000-0000-0000EE080000}"/>
    <cellStyle name="20% - uthevingsfarge 3 99 2 2 2" xfId="6722" xr:uid="{00000000-0005-0000-0000-0000EF080000}"/>
    <cellStyle name="20% - uthevingsfarge 3 99 2 3" xfId="3958" xr:uid="{00000000-0005-0000-0000-0000F0080000}"/>
    <cellStyle name="20% - uthevingsfarge 3 99 2 4" xfId="6361" xr:uid="{00000000-0005-0000-0000-0000F1080000}"/>
    <cellStyle name="20% - uthevingsfarge 3 99 2 5" xfId="8722" xr:uid="{00000000-0005-0000-0000-0000F2080000}"/>
    <cellStyle name="20% - uthevingsfarge 3 99 3" xfId="3136" xr:uid="{00000000-0005-0000-0000-0000F3080000}"/>
    <cellStyle name="20% - uthevingsfarge 3 99 3 2" xfId="6721" xr:uid="{00000000-0005-0000-0000-0000F4080000}"/>
    <cellStyle name="20% - uthevingsfarge 3 99 4" xfId="4132" xr:uid="{00000000-0005-0000-0000-0000F5080000}"/>
    <cellStyle name="20% - uthevingsfarge 3 99 5" xfId="6076" xr:uid="{00000000-0005-0000-0000-0000F6080000}"/>
    <cellStyle name="20% - uthevingsfarge 3 99 6" xfId="8721" xr:uid="{00000000-0005-0000-0000-0000F7080000}"/>
    <cellStyle name="20% - uthevingsfarge 4 10" xfId="673" xr:uid="{00000000-0005-0000-0000-0000F8080000}"/>
    <cellStyle name="20% - uthevingsfarge 4 10 2" xfId="674" xr:uid="{00000000-0005-0000-0000-0000F9080000}"/>
    <cellStyle name="20% - uthevingsfarge 4 10 2 2" xfId="5427" xr:uid="{00000000-0005-0000-0000-0000FA080000}"/>
    <cellStyle name="20% - uthevingsfarge 4 10 2 2 2" xfId="8060" xr:uid="{00000000-0005-0000-0000-0000FB080000}"/>
    <cellStyle name="20% - uthevingsfarge 4 10 2 3" xfId="10041" xr:uid="{00000000-0005-0000-0000-0000FC080000}"/>
    <cellStyle name="20% - uthevingsfarge 4 10 3" xfId="4706" xr:uid="{00000000-0005-0000-0000-0000FD080000}"/>
    <cellStyle name="20% - uthevingsfarge 4 10 3 2" xfId="7359" xr:uid="{00000000-0005-0000-0000-0000FE080000}"/>
    <cellStyle name="20% - uthevingsfarge 4 10 4" xfId="10040" xr:uid="{00000000-0005-0000-0000-0000FF080000}"/>
    <cellStyle name="20% - uthevingsfarge 4 100" xfId="675" xr:uid="{00000000-0005-0000-0000-000000090000}"/>
    <cellStyle name="20% - uthevingsfarge 4 100 2" xfId="2789" xr:uid="{00000000-0005-0000-0000-000001090000}"/>
    <cellStyle name="20% - uthevingsfarge 4 100 2 2" xfId="3139" xr:uid="{00000000-0005-0000-0000-000002090000}"/>
    <cellStyle name="20% - uthevingsfarge 4 100 2 2 2" xfId="6724" xr:uid="{00000000-0005-0000-0000-000003090000}"/>
    <cellStyle name="20% - uthevingsfarge 4 100 2 3" xfId="3998" xr:uid="{00000000-0005-0000-0000-000004090000}"/>
    <cellStyle name="20% - uthevingsfarge 4 100 2 4" xfId="6362" xr:uid="{00000000-0005-0000-0000-000005090000}"/>
    <cellStyle name="20% - uthevingsfarge 4 100 2 5" xfId="8724" xr:uid="{00000000-0005-0000-0000-000006090000}"/>
    <cellStyle name="20% - uthevingsfarge 4 100 3" xfId="3138" xr:uid="{00000000-0005-0000-0000-000007090000}"/>
    <cellStyle name="20% - uthevingsfarge 4 100 3 2" xfId="6723" xr:uid="{00000000-0005-0000-0000-000008090000}"/>
    <cellStyle name="20% - uthevingsfarge 4 100 4" xfId="3986" xr:uid="{00000000-0005-0000-0000-000009090000}"/>
    <cellStyle name="20% - uthevingsfarge 4 100 5" xfId="6077" xr:uid="{00000000-0005-0000-0000-00000A090000}"/>
    <cellStyle name="20% - uthevingsfarge 4 100 6" xfId="8723" xr:uid="{00000000-0005-0000-0000-00000B090000}"/>
    <cellStyle name="20% - uthevingsfarge 4 101" xfId="676" xr:uid="{00000000-0005-0000-0000-00000C090000}"/>
    <cellStyle name="20% - uthevingsfarge 4 101 2" xfId="2790" xr:uid="{00000000-0005-0000-0000-00000D090000}"/>
    <cellStyle name="20% - uthevingsfarge 4 101 2 2" xfId="3141" xr:uid="{00000000-0005-0000-0000-00000E090000}"/>
    <cellStyle name="20% - uthevingsfarge 4 101 2 2 2" xfId="6726" xr:uid="{00000000-0005-0000-0000-00000F090000}"/>
    <cellStyle name="20% - uthevingsfarge 4 101 2 3" xfId="3913" xr:uid="{00000000-0005-0000-0000-000010090000}"/>
    <cellStyle name="20% - uthevingsfarge 4 101 2 4" xfId="6363" xr:uid="{00000000-0005-0000-0000-000011090000}"/>
    <cellStyle name="20% - uthevingsfarge 4 101 2 5" xfId="8726" xr:uid="{00000000-0005-0000-0000-000012090000}"/>
    <cellStyle name="20% - uthevingsfarge 4 101 3" xfId="3140" xr:uid="{00000000-0005-0000-0000-000013090000}"/>
    <cellStyle name="20% - uthevingsfarge 4 101 3 2" xfId="6725" xr:uid="{00000000-0005-0000-0000-000014090000}"/>
    <cellStyle name="20% - uthevingsfarge 4 101 4" xfId="3987" xr:uid="{00000000-0005-0000-0000-000015090000}"/>
    <cellStyle name="20% - uthevingsfarge 4 101 5" xfId="6078" xr:uid="{00000000-0005-0000-0000-000016090000}"/>
    <cellStyle name="20% - uthevingsfarge 4 101 6" xfId="8725" xr:uid="{00000000-0005-0000-0000-000017090000}"/>
    <cellStyle name="20% - uthevingsfarge 4 102" xfId="677" xr:uid="{00000000-0005-0000-0000-000018090000}"/>
    <cellStyle name="20% - uthevingsfarge 4 102 2" xfId="2791" xr:uid="{00000000-0005-0000-0000-000019090000}"/>
    <cellStyle name="20% - uthevingsfarge 4 102 2 2" xfId="3143" xr:uid="{00000000-0005-0000-0000-00001A090000}"/>
    <cellStyle name="20% - uthevingsfarge 4 102 2 2 2" xfId="6728" xr:uid="{00000000-0005-0000-0000-00001B090000}"/>
    <cellStyle name="20% - uthevingsfarge 4 102 2 3" xfId="4004" xr:uid="{00000000-0005-0000-0000-00001C090000}"/>
    <cellStyle name="20% - uthevingsfarge 4 102 2 4" xfId="6364" xr:uid="{00000000-0005-0000-0000-00001D090000}"/>
    <cellStyle name="20% - uthevingsfarge 4 102 2 5" xfId="8728" xr:uid="{00000000-0005-0000-0000-00001E090000}"/>
    <cellStyle name="20% - uthevingsfarge 4 102 3" xfId="3142" xr:uid="{00000000-0005-0000-0000-00001F090000}"/>
    <cellStyle name="20% - uthevingsfarge 4 102 3 2" xfId="6727" xr:uid="{00000000-0005-0000-0000-000020090000}"/>
    <cellStyle name="20% - uthevingsfarge 4 102 4" xfId="3943" xr:uid="{00000000-0005-0000-0000-000021090000}"/>
    <cellStyle name="20% - uthevingsfarge 4 102 5" xfId="6079" xr:uid="{00000000-0005-0000-0000-000022090000}"/>
    <cellStyle name="20% - uthevingsfarge 4 102 6" xfId="8727" xr:uid="{00000000-0005-0000-0000-000023090000}"/>
    <cellStyle name="20% - uthevingsfarge 4 103" xfId="678" xr:uid="{00000000-0005-0000-0000-000024090000}"/>
    <cellStyle name="20% - uthevingsfarge 4 103 2" xfId="2792" xr:uid="{00000000-0005-0000-0000-000025090000}"/>
    <cellStyle name="20% - uthevingsfarge 4 103 2 2" xfId="3145" xr:uid="{00000000-0005-0000-0000-000026090000}"/>
    <cellStyle name="20% - uthevingsfarge 4 103 2 2 2" xfId="6730" xr:uid="{00000000-0005-0000-0000-000027090000}"/>
    <cellStyle name="20% - uthevingsfarge 4 103 2 3" xfId="4054" xr:uid="{00000000-0005-0000-0000-000028090000}"/>
    <cellStyle name="20% - uthevingsfarge 4 103 2 4" xfId="6365" xr:uid="{00000000-0005-0000-0000-000029090000}"/>
    <cellStyle name="20% - uthevingsfarge 4 103 2 5" xfId="8730" xr:uid="{00000000-0005-0000-0000-00002A090000}"/>
    <cellStyle name="20% - uthevingsfarge 4 103 3" xfId="3144" xr:uid="{00000000-0005-0000-0000-00002B090000}"/>
    <cellStyle name="20% - uthevingsfarge 4 103 3 2" xfId="6729" xr:uid="{00000000-0005-0000-0000-00002C090000}"/>
    <cellStyle name="20% - uthevingsfarge 4 103 4" xfId="4133" xr:uid="{00000000-0005-0000-0000-00002D090000}"/>
    <cellStyle name="20% - uthevingsfarge 4 103 5" xfId="6080" xr:uid="{00000000-0005-0000-0000-00002E090000}"/>
    <cellStyle name="20% - uthevingsfarge 4 103 6" xfId="8729" xr:uid="{00000000-0005-0000-0000-00002F090000}"/>
    <cellStyle name="20% - uthevingsfarge 4 104" xfId="679" xr:uid="{00000000-0005-0000-0000-000030090000}"/>
    <cellStyle name="20% - uthevingsfarge 4 104 2" xfId="2793" xr:uid="{00000000-0005-0000-0000-000031090000}"/>
    <cellStyle name="20% - uthevingsfarge 4 104 2 2" xfId="3147" xr:uid="{00000000-0005-0000-0000-000032090000}"/>
    <cellStyle name="20% - uthevingsfarge 4 104 2 2 2" xfId="6732" xr:uid="{00000000-0005-0000-0000-000033090000}"/>
    <cellStyle name="20% - uthevingsfarge 4 104 2 3" xfId="3957" xr:uid="{00000000-0005-0000-0000-000034090000}"/>
    <cellStyle name="20% - uthevingsfarge 4 104 2 4" xfId="6366" xr:uid="{00000000-0005-0000-0000-000035090000}"/>
    <cellStyle name="20% - uthevingsfarge 4 104 2 5" xfId="8732" xr:uid="{00000000-0005-0000-0000-000036090000}"/>
    <cellStyle name="20% - uthevingsfarge 4 104 3" xfId="3146" xr:uid="{00000000-0005-0000-0000-000037090000}"/>
    <cellStyle name="20% - uthevingsfarge 4 104 3 2" xfId="6731" xr:uid="{00000000-0005-0000-0000-000038090000}"/>
    <cellStyle name="20% - uthevingsfarge 4 104 4" xfId="3668" xr:uid="{00000000-0005-0000-0000-000039090000}"/>
    <cellStyle name="20% - uthevingsfarge 4 104 5" xfId="6081" xr:uid="{00000000-0005-0000-0000-00003A090000}"/>
    <cellStyle name="20% - uthevingsfarge 4 104 6" xfId="8731" xr:uid="{00000000-0005-0000-0000-00003B090000}"/>
    <cellStyle name="20% - uthevingsfarge 4 105" xfId="680" xr:uid="{00000000-0005-0000-0000-00003C090000}"/>
    <cellStyle name="20% - uthevingsfarge 4 105 2" xfId="2794" xr:uid="{00000000-0005-0000-0000-00003D090000}"/>
    <cellStyle name="20% - uthevingsfarge 4 105 2 2" xfId="3149" xr:uid="{00000000-0005-0000-0000-00003E090000}"/>
    <cellStyle name="20% - uthevingsfarge 4 105 2 2 2" xfId="6734" xr:uid="{00000000-0005-0000-0000-00003F090000}"/>
    <cellStyle name="20% - uthevingsfarge 4 105 2 3" xfId="3912" xr:uid="{00000000-0005-0000-0000-000040090000}"/>
    <cellStyle name="20% - uthevingsfarge 4 105 2 4" xfId="6367" xr:uid="{00000000-0005-0000-0000-000041090000}"/>
    <cellStyle name="20% - uthevingsfarge 4 105 2 5" xfId="8734" xr:uid="{00000000-0005-0000-0000-000042090000}"/>
    <cellStyle name="20% - uthevingsfarge 4 105 3" xfId="3148" xr:uid="{00000000-0005-0000-0000-000043090000}"/>
    <cellStyle name="20% - uthevingsfarge 4 105 3 2" xfId="6733" xr:uid="{00000000-0005-0000-0000-000044090000}"/>
    <cellStyle name="20% - uthevingsfarge 4 105 4" xfId="3985" xr:uid="{00000000-0005-0000-0000-000045090000}"/>
    <cellStyle name="20% - uthevingsfarge 4 105 5" xfId="6082" xr:uid="{00000000-0005-0000-0000-000046090000}"/>
    <cellStyle name="20% - uthevingsfarge 4 105 6" xfId="8733" xr:uid="{00000000-0005-0000-0000-000047090000}"/>
    <cellStyle name="20% - uthevingsfarge 4 106" xfId="681" xr:uid="{00000000-0005-0000-0000-000048090000}"/>
    <cellStyle name="20% - uthevingsfarge 4 106 2" xfId="2795" xr:uid="{00000000-0005-0000-0000-000049090000}"/>
    <cellStyle name="20% - uthevingsfarge 4 106 2 2" xfId="3151" xr:uid="{00000000-0005-0000-0000-00004A090000}"/>
    <cellStyle name="20% - uthevingsfarge 4 106 2 2 2" xfId="6736" xr:uid="{00000000-0005-0000-0000-00004B090000}"/>
    <cellStyle name="20% - uthevingsfarge 4 106 2 3" xfId="3755" xr:uid="{00000000-0005-0000-0000-00004C090000}"/>
    <cellStyle name="20% - uthevingsfarge 4 106 2 4" xfId="6368" xr:uid="{00000000-0005-0000-0000-00004D090000}"/>
    <cellStyle name="20% - uthevingsfarge 4 106 2 5" xfId="8736" xr:uid="{00000000-0005-0000-0000-00004E090000}"/>
    <cellStyle name="20% - uthevingsfarge 4 106 3" xfId="3150" xr:uid="{00000000-0005-0000-0000-00004F090000}"/>
    <cellStyle name="20% - uthevingsfarge 4 106 3 2" xfId="6735" xr:uid="{00000000-0005-0000-0000-000050090000}"/>
    <cellStyle name="20% - uthevingsfarge 4 106 4" xfId="3942" xr:uid="{00000000-0005-0000-0000-000051090000}"/>
    <cellStyle name="20% - uthevingsfarge 4 106 5" xfId="6083" xr:uid="{00000000-0005-0000-0000-000052090000}"/>
    <cellStyle name="20% - uthevingsfarge 4 106 6" xfId="8735" xr:uid="{00000000-0005-0000-0000-000053090000}"/>
    <cellStyle name="20% - uthevingsfarge 4 107" xfId="682" xr:uid="{00000000-0005-0000-0000-000054090000}"/>
    <cellStyle name="20% - uthevingsfarge 4 107 2" xfId="2796" xr:uid="{00000000-0005-0000-0000-000055090000}"/>
    <cellStyle name="20% - uthevingsfarge 4 107 2 2" xfId="3153" xr:uid="{00000000-0005-0000-0000-000056090000}"/>
    <cellStyle name="20% - uthevingsfarge 4 107 2 2 2" xfId="6738" xr:uid="{00000000-0005-0000-0000-000057090000}"/>
    <cellStyle name="20% - uthevingsfarge 4 107 2 3" xfId="4159" xr:uid="{00000000-0005-0000-0000-000058090000}"/>
    <cellStyle name="20% - uthevingsfarge 4 107 2 4" xfId="6369" xr:uid="{00000000-0005-0000-0000-000059090000}"/>
    <cellStyle name="20% - uthevingsfarge 4 107 2 5" xfId="8738" xr:uid="{00000000-0005-0000-0000-00005A090000}"/>
    <cellStyle name="20% - uthevingsfarge 4 107 3" xfId="3152" xr:uid="{00000000-0005-0000-0000-00005B090000}"/>
    <cellStyle name="20% - uthevingsfarge 4 107 3 2" xfId="6737" xr:uid="{00000000-0005-0000-0000-00005C090000}"/>
    <cellStyle name="20% - uthevingsfarge 4 107 4" xfId="4040" xr:uid="{00000000-0005-0000-0000-00005D090000}"/>
    <cellStyle name="20% - uthevingsfarge 4 107 5" xfId="6084" xr:uid="{00000000-0005-0000-0000-00005E090000}"/>
    <cellStyle name="20% - uthevingsfarge 4 107 6" xfId="8737" xr:uid="{00000000-0005-0000-0000-00005F090000}"/>
    <cellStyle name="20% - uthevingsfarge 4 108" xfId="683" xr:uid="{00000000-0005-0000-0000-000060090000}"/>
    <cellStyle name="20% - uthevingsfarge 4 108 2" xfId="2797" xr:uid="{00000000-0005-0000-0000-000061090000}"/>
    <cellStyle name="20% - uthevingsfarge 4 108 2 2" xfId="3155" xr:uid="{00000000-0005-0000-0000-000062090000}"/>
    <cellStyle name="20% - uthevingsfarge 4 108 2 2 2" xfId="6740" xr:uid="{00000000-0005-0000-0000-000063090000}"/>
    <cellStyle name="20% - uthevingsfarge 4 108 2 3" xfId="4158" xr:uid="{00000000-0005-0000-0000-000064090000}"/>
    <cellStyle name="20% - uthevingsfarge 4 108 2 4" xfId="6370" xr:uid="{00000000-0005-0000-0000-000065090000}"/>
    <cellStyle name="20% - uthevingsfarge 4 108 2 5" xfId="8740" xr:uid="{00000000-0005-0000-0000-000066090000}"/>
    <cellStyle name="20% - uthevingsfarge 4 108 3" xfId="3154" xr:uid="{00000000-0005-0000-0000-000067090000}"/>
    <cellStyle name="20% - uthevingsfarge 4 108 3 2" xfId="6739" xr:uid="{00000000-0005-0000-0000-000068090000}"/>
    <cellStyle name="20% - uthevingsfarge 4 108 4" xfId="4072" xr:uid="{00000000-0005-0000-0000-000069090000}"/>
    <cellStyle name="20% - uthevingsfarge 4 108 5" xfId="6085" xr:uid="{00000000-0005-0000-0000-00006A090000}"/>
    <cellStyle name="20% - uthevingsfarge 4 108 6" xfId="8739" xr:uid="{00000000-0005-0000-0000-00006B090000}"/>
    <cellStyle name="20% - uthevingsfarge 4 109" xfId="684" xr:uid="{00000000-0005-0000-0000-00006C090000}"/>
    <cellStyle name="20% - uthevingsfarge 4 109 2" xfId="2798" xr:uid="{00000000-0005-0000-0000-00006D090000}"/>
    <cellStyle name="20% - uthevingsfarge 4 109 2 2" xfId="3157" xr:uid="{00000000-0005-0000-0000-00006E090000}"/>
    <cellStyle name="20% - uthevingsfarge 4 109 2 2 2" xfId="6742" xr:uid="{00000000-0005-0000-0000-00006F090000}"/>
    <cellStyle name="20% - uthevingsfarge 4 109 2 3" xfId="3911" xr:uid="{00000000-0005-0000-0000-000070090000}"/>
    <cellStyle name="20% - uthevingsfarge 4 109 2 4" xfId="6371" xr:uid="{00000000-0005-0000-0000-000071090000}"/>
    <cellStyle name="20% - uthevingsfarge 4 109 2 5" xfId="8742" xr:uid="{00000000-0005-0000-0000-000072090000}"/>
    <cellStyle name="20% - uthevingsfarge 4 109 3" xfId="3156" xr:uid="{00000000-0005-0000-0000-000073090000}"/>
    <cellStyle name="20% - uthevingsfarge 4 109 3 2" xfId="6741" xr:uid="{00000000-0005-0000-0000-000074090000}"/>
    <cellStyle name="20% - uthevingsfarge 4 109 4" xfId="4073" xr:uid="{00000000-0005-0000-0000-000075090000}"/>
    <cellStyle name="20% - uthevingsfarge 4 109 5" xfId="6086" xr:uid="{00000000-0005-0000-0000-000076090000}"/>
    <cellStyle name="20% - uthevingsfarge 4 109 6" xfId="8741" xr:uid="{00000000-0005-0000-0000-000077090000}"/>
    <cellStyle name="20% - uthevingsfarge 4 11" xfId="685" xr:uid="{00000000-0005-0000-0000-000078090000}"/>
    <cellStyle name="20% - uthevingsfarge 4 11 2" xfId="686" xr:uid="{00000000-0005-0000-0000-000079090000}"/>
    <cellStyle name="20% - uthevingsfarge 4 11 2 2" xfId="5428" xr:uid="{00000000-0005-0000-0000-00007A090000}"/>
    <cellStyle name="20% - uthevingsfarge 4 11 2 2 2" xfId="8061" xr:uid="{00000000-0005-0000-0000-00007B090000}"/>
    <cellStyle name="20% - uthevingsfarge 4 11 2 3" xfId="10039" xr:uid="{00000000-0005-0000-0000-00007C090000}"/>
    <cellStyle name="20% - uthevingsfarge 4 11 3" xfId="4707" xr:uid="{00000000-0005-0000-0000-00007D090000}"/>
    <cellStyle name="20% - uthevingsfarge 4 11 3 2" xfId="7360" xr:uid="{00000000-0005-0000-0000-00007E090000}"/>
    <cellStyle name="20% - uthevingsfarge 4 11 4" xfId="10038" xr:uid="{00000000-0005-0000-0000-00007F090000}"/>
    <cellStyle name="20% - uthevingsfarge 4 110" xfId="6593" xr:uid="{00000000-0005-0000-0000-000080090000}"/>
    <cellStyle name="20% - uthevingsfarge 4 111" xfId="8596" xr:uid="{00000000-0005-0000-0000-000081090000}"/>
    <cellStyle name="20% - uthevingsfarge 4 12" xfId="687" xr:uid="{00000000-0005-0000-0000-000082090000}"/>
    <cellStyle name="20% - uthevingsfarge 4 12 2" xfId="688" xr:uid="{00000000-0005-0000-0000-000083090000}"/>
    <cellStyle name="20% - uthevingsfarge 4 12 2 2" xfId="5429" xr:uid="{00000000-0005-0000-0000-000084090000}"/>
    <cellStyle name="20% - uthevingsfarge 4 12 2 2 2" xfId="8062" xr:uid="{00000000-0005-0000-0000-000085090000}"/>
    <cellStyle name="20% - uthevingsfarge 4 12 2 3" xfId="10037" xr:uid="{00000000-0005-0000-0000-000086090000}"/>
    <cellStyle name="20% - uthevingsfarge 4 12 3" xfId="4708" xr:uid="{00000000-0005-0000-0000-000087090000}"/>
    <cellStyle name="20% - uthevingsfarge 4 12 3 2" xfId="7361" xr:uid="{00000000-0005-0000-0000-000088090000}"/>
    <cellStyle name="20% - uthevingsfarge 4 12 4" xfId="10036" xr:uid="{00000000-0005-0000-0000-000089090000}"/>
    <cellStyle name="20% - uthevingsfarge 4 13" xfId="689" xr:uid="{00000000-0005-0000-0000-00008A090000}"/>
    <cellStyle name="20% - uthevingsfarge 4 13 2" xfId="690" xr:uid="{00000000-0005-0000-0000-00008B090000}"/>
    <cellStyle name="20% - uthevingsfarge 4 13 2 2" xfId="5430" xr:uid="{00000000-0005-0000-0000-00008C090000}"/>
    <cellStyle name="20% - uthevingsfarge 4 13 2 2 2" xfId="8063" xr:uid="{00000000-0005-0000-0000-00008D090000}"/>
    <cellStyle name="20% - uthevingsfarge 4 13 2 3" xfId="10035" xr:uid="{00000000-0005-0000-0000-00008E090000}"/>
    <cellStyle name="20% - uthevingsfarge 4 13 3" xfId="4709" xr:uid="{00000000-0005-0000-0000-00008F090000}"/>
    <cellStyle name="20% - uthevingsfarge 4 13 3 2" xfId="7362" xr:uid="{00000000-0005-0000-0000-000090090000}"/>
    <cellStyle name="20% - uthevingsfarge 4 13 4" xfId="10034" xr:uid="{00000000-0005-0000-0000-000091090000}"/>
    <cellStyle name="20% - uthevingsfarge 4 14" xfId="691" xr:uid="{00000000-0005-0000-0000-000092090000}"/>
    <cellStyle name="20% - uthevingsfarge 4 14 2" xfId="692" xr:uid="{00000000-0005-0000-0000-000093090000}"/>
    <cellStyle name="20% - uthevingsfarge 4 14 2 2" xfId="5431" xr:uid="{00000000-0005-0000-0000-000094090000}"/>
    <cellStyle name="20% - uthevingsfarge 4 14 2 2 2" xfId="8064" xr:uid="{00000000-0005-0000-0000-000095090000}"/>
    <cellStyle name="20% - uthevingsfarge 4 14 2 3" xfId="10033" xr:uid="{00000000-0005-0000-0000-000096090000}"/>
    <cellStyle name="20% - uthevingsfarge 4 14 3" xfId="4710" xr:uid="{00000000-0005-0000-0000-000097090000}"/>
    <cellStyle name="20% - uthevingsfarge 4 14 3 2" xfId="7363" xr:uid="{00000000-0005-0000-0000-000098090000}"/>
    <cellStyle name="20% - uthevingsfarge 4 14 4" xfId="9997" xr:uid="{00000000-0005-0000-0000-000099090000}"/>
    <cellStyle name="20% - uthevingsfarge 4 15" xfId="693" xr:uid="{00000000-0005-0000-0000-00009A090000}"/>
    <cellStyle name="20% - uthevingsfarge 4 15 2" xfId="694" xr:uid="{00000000-0005-0000-0000-00009B090000}"/>
    <cellStyle name="20% - uthevingsfarge 4 15 2 2" xfId="5432" xr:uid="{00000000-0005-0000-0000-00009C090000}"/>
    <cellStyle name="20% - uthevingsfarge 4 15 2 2 2" xfId="8065" xr:uid="{00000000-0005-0000-0000-00009D090000}"/>
    <cellStyle name="20% - uthevingsfarge 4 15 2 3" xfId="10032" xr:uid="{00000000-0005-0000-0000-00009E090000}"/>
    <cellStyle name="20% - uthevingsfarge 4 15 3" xfId="4711" xr:uid="{00000000-0005-0000-0000-00009F090000}"/>
    <cellStyle name="20% - uthevingsfarge 4 15 3 2" xfId="7364" xr:uid="{00000000-0005-0000-0000-0000A0090000}"/>
    <cellStyle name="20% - uthevingsfarge 4 15 4" xfId="10031" xr:uid="{00000000-0005-0000-0000-0000A1090000}"/>
    <cellStyle name="20% - uthevingsfarge 4 16" xfId="695" xr:uid="{00000000-0005-0000-0000-0000A2090000}"/>
    <cellStyle name="20% - uthevingsfarge 4 16 2" xfId="696" xr:uid="{00000000-0005-0000-0000-0000A3090000}"/>
    <cellStyle name="20% - uthevingsfarge 4 16 2 2" xfId="5433" xr:uid="{00000000-0005-0000-0000-0000A4090000}"/>
    <cellStyle name="20% - uthevingsfarge 4 16 2 2 2" xfId="8066" xr:uid="{00000000-0005-0000-0000-0000A5090000}"/>
    <cellStyle name="20% - uthevingsfarge 4 16 2 3" xfId="10030" xr:uid="{00000000-0005-0000-0000-0000A6090000}"/>
    <cellStyle name="20% - uthevingsfarge 4 16 3" xfId="4712" xr:uid="{00000000-0005-0000-0000-0000A7090000}"/>
    <cellStyle name="20% - uthevingsfarge 4 16 3 2" xfId="7365" xr:uid="{00000000-0005-0000-0000-0000A8090000}"/>
    <cellStyle name="20% - uthevingsfarge 4 16 4" xfId="10029" xr:uid="{00000000-0005-0000-0000-0000A9090000}"/>
    <cellStyle name="20% - uthevingsfarge 4 17" xfId="697" xr:uid="{00000000-0005-0000-0000-0000AA090000}"/>
    <cellStyle name="20% - uthevingsfarge 4 17 2" xfId="698" xr:uid="{00000000-0005-0000-0000-0000AB090000}"/>
    <cellStyle name="20% - uthevingsfarge 4 17 2 2" xfId="5434" xr:uid="{00000000-0005-0000-0000-0000AC090000}"/>
    <cellStyle name="20% - uthevingsfarge 4 17 2 2 2" xfId="8067" xr:uid="{00000000-0005-0000-0000-0000AD090000}"/>
    <cellStyle name="20% - uthevingsfarge 4 17 2 3" xfId="10028" xr:uid="{00000000-0005-0000-0000-0000AE090000}"/>
    <cellStyle name="20% - uthevingsfarge 4 17 3" xfId="4713" xr:uid="{00000000-0005-0000-0000-0000AF090000}"/>
    <cellStyle name="20% - uthevingsfarge 4 17 3 2" xfId="7366" xr:uid="{00000000-0005-0000-0000-0000B0090000}"/>
    <cellStyle name="20% - uthevingsfarge 4 17 4" xfId="10027" xr:uid="{00000000-0005-0000-0000-0000B1090000}"/>
    <cellStyle name="20% - uthevingsfarge 4 18" xfId="699" xr:uid="{00000000-0005-0000-0000-0000B2090000}"/>
    <cellStyle name="20% - uthevingsfarge 4 18 2" xfId="700" xr:uid="{00000000-0005-0000-0000-0000B3090000}"/>
    <cellStyle name="20% - uthevingsfarge 4 18 2 2" xfId="5435" xr:uid="{00000000-0005-0000-0000-0000B4090000}"/>
    <cellStyle name="20% - uthevingsfarge 4 18 2 2 2" xfId="8068" xr:uid="{00000000-0005-0000-0000-0000B5090000}"/>
    <cellStyle name="20% - uthevingsfarge 4 18 2 3" xfId="9996" xr:uid="{00000000-0005-0000-0000-0000B6090000}"/>
    <cellStyle name="20% - uthevingsfarge 4 18 3" xfId="4714" xr:uid="{00000000-0005-0000-0000-0000B7090000}"/>
    <cellStyle name="20% - uthevingsfarge 4 18 3 2" xfId="7367" xr:uid="{00000000-0005-0000-0000-0000B8090000}"/>
    <cellStyle name="20% - uthevingsfarge 4 18 4" xfId="9603" xr:uid="{00000000-0005-0000-0000-0000B9090000}"/>
    <cellStyle name="20% - uthevingsfarge 4 19" xfId="701" xr:uid="{00000000-0005-0000-0000-0000BA090000}"/>
    <cellStyle name="20% - uthevingsfarge 4 19 2" xfId="702" xr:uid="{00000000-0005-0000-0000-0000BB090000}"/>
    <cellStyle name="20% - uthevingsfarge 4 19 2 2" xfId="5436" xr:uid="{00000000-0005-0000-0000-0000BC090000}"/>
    <cellStyle name="20% - uthevingsfarge 4 19 2 2 2" xfId="8069" xr:uid="{00000000-0005-0000-0000-0000BD090000}"/>
    <cellStyle name="20% - uthevingsfarge 4 19 2 3" xfId="9602" xr:uid="{00000000-0005-0000-0000-0000BE090000}"/>
    <cellStyle name="20% - uthevingsfarge 4 19 3" xfId="4715" xr:uid="{00000000-0005-0000-0000-0000BF090000}"/>
    <cellStyle name="20% - uthevingsfarge 4 19 3 2" xfId="7368" xr:uid="{00000000-0005-0000-0000-0000C0090000}"/>
    <cellStyle name="20% - uthevingsfarge 4 19 4" xfId="9601" xr:uid="{00000000-0005-0000-0000-0000C1090000}"/>
    <cellStyle name="20% - uthevingsfarge 4 2" xfId="64" xr:uid="{00000000-0005-0000-0000-0000C2090000}"/>
    <cellStyle name="20% - uthevingsfarge 4 2 2" xfId="703" xr:uid="{00000000-0005-0000-0000-0000C3090000}"/>
    <cellStyle name="20% - uthevingsfarge 4 2 2 2" xfId="5437" xr:uid="{00000000-0005-0000-0000-0000C4090000}"/>
    <cellStyle name="20% - uthevingsfarge 4 2 2 2 2" xfId="8070" xr:uid="{00000000-0005-0000-0000-0000C5090000}"/>
    <cellStyle name="20% - uthevingsfarge 4 2 2 3" xfId="9600" xr:uid="{00000000-0005-0000-0000-0000C6090000}"/>
    <cellStyle name="20% - uthevingsfarge 4 2 3" xfId="4716" xr:uid="{00000000-0005-0000-0000-0000C7090000}"/>
    <cellStyle name="20% - uthevingsfarge 4 2 3 2" xfId="7369" xr:uid="{00000000-0005-0000-0000-0000C8090000}"/>
    <cellStyle name="20% - uthevingsfarge 4 2 4" xfId="9599" xr:uid="{00000000-0005-0000-0000-0000C9090000}"/>
    <cellStyle name="20% - uthevingsfarge 4 20" xfId="704" xr:uid="{00000000-0005-0000-0000-0000CA090000}"/>
    <cellStyle name="20% - uthevingsfarge 4 20 2" xfId="705" xr:uid="{00000000-0005-0000-0000-0000CB090000}"/>
    <cellStyle name="20% - uthevingsfarge 4 20 2 2" xfId="5438" xr:uid="{00000000-0005-0000-0000-0000CC090000}"/>
    <cellStyle name="20% - uthevingsfarge 4 20 2 2 2" xfId="8071" xr:uid="{00000000-0005-0000-0000-0000CD090000}"/>
    <cellStyle name="20% - uthevingsfarge 4 20 2 3" xfId="9754" xr:uid="{00000000-0005-0000-0000-0000CE090000}"/>
    <cellStyle name="20% - uthevingsfarge 4 20 3" xfId="4717" xr:uid="{00000000-0005-0000-0000-0000CF090000}"/>
    <cellStyle name="20% - uthevingsfarge 4 20 3 2" xfId="7370" xr:uid="{00000000-0005-0000-0000-0000D0090000}"/>
    <cellStyle name="20% - uthevingsfarge 4 20 4" xfId="10295" xr:uid="{00000000-0005-0000-0000-0000D1090000}"/>
    <cellStyle name="20% - uthevingsfarge 4 21" xfId="706" xr:uid="{00000000-0005-0000-0000-0000D2090000}"/>
    <cellStyle name="20% - uthevingsfarge 4 21 2" xfId="707" xr:uid="{00000000-0005-0000-0000-0000D3090000}"/>
    <cellStyle name="20% - uthevingsfarge 4 21 2 2" xfId="5439" xr:uid="{00000000-0005-0000-0000-0000D4090000}"/>
    <cellStyle name="20% - uthevingsfarge 4 21 2 2 2" xfId="8072" xr:uid="{00000000-0005-0000-0000-0000D5090000}"/>
    <cellStyle name="20% - uthevingsfarge 4 21 2 3" xfId="10702" xr:uid="{00000000-0005-0000-0000-0000D6090000}"/>
    <cellStyle name="20% - uthevingsfarge 4 21 3" xfId="4718" xr:uid="{00000000-0005-0000-0000-0000D7090000}"/>
    <cellStyle name="20% - uthevingsfarge 4 21 3 2" xfId="7371" xr:uid="{00000000-0005-0000-0000-0000D8090000}"/>
    <cellStyle name="20% - uthevingsfarge 4 21 4" xfId="9875" xr:uid="{00000000-0005-0000-0000-0000D9090000}"/>
    <cellStyle name="20% - uthevingsfarge 4 22" xfId="708" xr:uid="{00000000-0005-0000-0000-0000DA090000}"/>
    <cellStyle name="20% - uthevingsfarge 4 22 2" xfId="709" xr:uid="{00000000-0005-0000-0000-0000DB090000}"/>
    <cellStyle name="20% - uthevingsfarge 4 22 2 2" xfId="5440" xr:uid="{00000000-0005-0000-0000-0000DC090000}"/>
    <cellStyle name="20% - uthevingsfarge 4 22 2 2 2" xfId="8073" xr:uid="{00000000-0005-0000-0000-0000DD090000}"/>
    <cellStyle name="20% - uthevingsfarge 4 22 2 3" xfId="9598" xr:uid="{00000000-0005-0000-0000-0000DE090000}"/>
    <cellStyle name="20% - uthevingsfarge 4 22 3" xfId="4719" xr:uid="{00000000-0005-0000-0000-0000DF090000}"/>
    <cellStyle name="20% - uthevingsfarge 4 22 3 2" xfId="7372" xr:uid="{00000000-0005-0000-0000-0000E0090000}"/>
    <cellStyle name="20% - uthevingsfarge 4 22 4" xfId="9597" xr:uid="{00000000-0005-0000-0000-0000E1090000}"/>
    <cellStyle name="20% - uthevingsfarge 4 23" xfId="710" xr:uid="{00000000-0005-0000-0000-0000E2090000}"/>
    <cellStyle name="20% - uthevingsfarge 4 23 2" xfId="711" xr:uid="{00000000-0005-0000-0000-0000E3090000}"/>
    <cellStyle name="20% - uthevingsfarge 4 23 2 2" xfId="5441" xr:uid="{00000000-0005-0000-0000-0000E4090000}"/>
    <cellStyle name="20% - uthevingsfarge 4 23 2 2 2" xfId="8074" xr:uid="{00000000-0005-0000-0000-0000E5090000}"/>
    <cellStyle name="20% - uthevingsfarge 4 23 2 3" xfId="10438" xr:uid="{00000000-0005-0000-0000-0000E6090000}"/>
    <cellStyle name="20% - uthevingsfarge 4 23 3" xfId="4720" xr:uid="{00000000-0005-0000-0000-0000E7090000}"/>
    <cellStyle name="20% - uthevingsfarge 4 23 3 2" xfId="7373" xr:uid="{00000000-0005-0000-0000-0000E8090000}"/>
    <cellStyle name="20% - uthevingsfarge 4 23 4" xfId="10701" xr:uid="{00000000-0005-0000-0000-0000E9090000}"/>
    <cellStyle name="20% - uthevingsfarge 4 24" xfId="712" xr:uid="{00000000-0005-0000-0000-0000EA090000}"/>
    <cellStyle name="20% - uthevingsfarge 4 24 2" xfId="713" xr:uid="{00000000-0005-0000-0000-0000EB090000}"/>
    <cellStyle name="20% - uthevingsfarge 4 24 2 2" xfId="5442" xr:uid="{00000000-0005-0000-0000-0000EC090000}"/>
    <cellStyle name="20% - uthevingsfarge 4 24 2 2 2" xfId="8075" xr:uid="{00000000-0005-0000-0000-0000ED090000}"/>
    <cellStyle name="20% - uthevingsfarge 4 24 2 3" xfId="9846" xr:uid="{00000000-0005-0000-0000-0000EE090000}"/>
    <cellStyle name="20% - uthevingsfarge 4 24 3" xfId="4721" xr:uid="{00000000-0005-0000-0000-0000EF090000}"/>
    <cellStyle name="20% - uthevingsfarge 4 24 3 2" xfId="7374" xr:uid="{00000000-0005-0000-0000-0000F0090000}"/>
    <cellStyle name="20% - uthevingsfarge 4 24 4" xfId="9596" xr:uid="{00000000-0005-0000-0000-0000F1090000}"/>
    <cellStyle name="20% - uthevingsfarge 4 25" xfId="714" xr:uid="{00000000-0005-0000-0000-0000F2090000}"/>
    <cellStyle name="20% - uthevingsfarge 4 25 2" xfId="715" xr:uid="{00000000-0005-0000-0000-0000F3090000}"/>
    <cellStyle name="20% - uthevingsfarge 4 25 2 2" xfId="5443" xr:uid="{00000000-0005-0000-0000-0000F4090000}"/>
    <cellStyle name="20% - uthevingsfarge 4 25 2 2 2" xfId="8076" xr:uid="{00000000-0005-0000-0000-0000F5090000}"/>
    <cellStyle name="20% - uthevingsfarge 4 25 2 3" xfId="10437" xr:uid="{00000000-0005-0000-0000-0000F6090000}"/>
    <cellStyle name="20% - uthevingsfarge 4 25 3" xfId="4722" xr:uid="{00000000-0005-0000-0000-0000F7090000}"/>
    <cellStyle name="20% - uthevingsfarge 4 25 3 2" xfId="7375" xr:uid="{00000000-0005-0000-0000-0000F8090000}"/>
    <cellStyle name="20% - uthevingsfarge 4 25 4" xfId="10700" xr:uid="{00000000-0005-0000-0000-0000F9090000}"/>
    <cellStyle name="20% - uthevingsfarge 4 26" xfId="716" xr:uid="{00000000-0005-0000-0000-0000FA090000}"/>
    <cellStyle name="20% - uthevingsfarge 4 26 2" xfId="717" xr:uid="{00000000-0005-0000-0000-0000FB090000}"/>
    <cellStyle name="20% - uthevingsfarge 4 26 2 2" xfId="5444" xr:uid="{00000000-0005-0000-0000-0000FC090000}"/>
    <cellStyle name="20% - uthevingsfarge 4 26 2 2 2" xfId="8077" xr:uid="{00000000-0005-0000-0000-0000FD090000}"/>
    <cellStyle name="20% - uthevingsfarge 4 26 2 3" xfId="9845" xr:uid="{00000000-0005-0000-0000-0000FE090000}"/>
    <cellStyle name="20% - uthevingsfarge 4 26 3" xfId="4723" xr:uid="{00000000-0005-0000-0000-0000FF090000}"/>
    <cellStyle name="20% - uthevingsfarge 4 26 3 2" xfId="7376" xr:uid="{00000000-0005-0000-0000-0000000A0000}"/>
    <cellStyle name="20% - uthevingsfarge 4 26 4" xfId="9595" xr:uid="{00000000-0005-0000-0000-0000010A0000}"/>
    <cellStyle name="20% - uthevingsfarge 4 27" xfId="718" xr:uid="{00000000-0005-0000-0000-0000020A0000}"/>
    <cellStyle name="20% - uthevingsfarge 4 27 2" xfId="719" xr:uid="{00000000-0005-0000-0000-0000030A0000}"/>
    <cellStyle name="20% - uthevingsfarge 4 27 2 2" xfId="5445" xr:uid="{00000000-0005-0000-0000-0000040A0000}"/>
    <cellStyle name="20% - uthevingsfarge 4 27 2 2 2" xfId="8078" xr:uid="{00000000-0005-0000-0000-0000050A0000}"/>
    <cellStyle name="20% - uthevingsfarge 4 27 2 3" xfId="10436" xr:uid="{00000000-0005-0000-0000-0000060A0000}"/>
    <cellStyle name="20% - uthevingsfarge 4 27 3" xfId="4724" xr:uid="{00000000-0005-0000-0000-0000070A0000}"/>
    <cellStyle name="20% - uthevingsfarge 4 27 3 2" xfId="7377" xr:uid="{00000000-0005-0000-0000-0000080A0000}"/>
    <cellStyle name="20% - uthevingsfarge 4 27 4" xfId="10699" xr:uid="{00000000-0005-0000-0000-0000090A0000}"/>
    <cellStyle name="20% - uthevingsfarge 4 28" xfId="720" xr:uid="{00000000-0005-0000-0000-00000A0A0000}"/>
    <cellStyle name="20% - uthevingsfarge 4 28 2" xfId="721" xr:uid="{00000000-0005-0000-0000-00000B0A0000}"/>
    <cellStyle name="20% - uthevingsfarge 4 28 2 2" xfId="5446" xr:uid="{00000000-0005-0000-0000-00000C0A0000}"/>
    <cellStyle name="20% - uthevingsfarge 4 28 2 2 2" xfId="8079" xr:uid="{00000000-0005-0000-0000-00000D0A0000}"/>
    <cellStyle name="20% - uthevingsfarge 4 28 2 3" xfId="9844" xr:uid="{00000000-0005-0000-0000-00000E0A0000}"/>
    <cellStyle name="20% - uthevingsfarge 4 28 3" xfId="4725" xr:uid="{00000000-0005-0000-0000-00000F0A0000}"/>
    <cellStyle name="20% - uthevingsfarge 4 28 3 2" xfId="7378" xr:uid="{00000000-0005-0000-0000-0000100A0000}"/>
    <cellStyle name="20% - uthevingsfarge 4 28 4" xfId="9594" xr:uid="{00000000-0005-0000-0000-0000110A0000}"/>
    <cellStyle name="20% - uthevingsfarge 4 29" xfId="722" xr:uid="{00000000-0005-0000-0000-0000120A0000}"/>
    <cellStyle name="20% - uthevingsfarge 4 29 2" xfId="723" xr:uid="{00000000-0005-0000-0000-0000130A0000}"/>
    <cellStyle name="20% - uthevingsfarge 4 29 2 2" xfId="5447" xr:uid="{00000000-0005-0000-0000-0000140A0000}"/>
    <cellStyle name="20% - uthevingsfarge 4 29 2 2 2" xfId="8080" xr:uid="{00000000-0005-0000-0000-0000150A0000}"/>
    <cellStyle name="20% - uthevingsfarge 4 29 2 3" xfId="10435" xr:uid="{00000000-0005-0000-0000-0000160A0000}"/>
    <cellStyle name="20% - uthevingsfarge 4 29 3" xfId="4726" xr:uid="{00000000-0005-0000-0000-0000170A0000}"/>
    <cellStyle name="20% - uthevingsfarge 4 29 3 2" xfId="7379" xr:uid="{00000000-0005-0000-0000-0000180A0000}"/>
    <cellStyle name="20% - uthevingsfarge 4 29 4" xfId="10698" xr:uid="{00000000-0005-0000-0000-0000190A0000}"/>
    <cellStyle name="20% - uthevingsfarge 4 3" xfId="724" xr:uid="{00000000-0005-0000-0000-00001A0A0000}"/>
    <cellStyle name="20% - uthevingsfarge 4 3 2" xfId="725" xr:uid="{00000000-0005-0000-0000-00001B0A0000}"/>
    <cellStyle name="20% - uthevingsfarge 4 3 2 2" xfId="5448" xr:uid="{00000000-0005-0000-0000-00001C0A0000}"/>
    <cellStyle name="20% - uthevingsfarge 4 3 2 2 2" xfId="8081" xr:uid="{00000000-0005-0000-0000-00001D0A0000}"/>
    <cellStyle name="20% - uthevingsfarge 4 3 2 3" xfId="9843" xr:uid="{00000000-0005-0000-0000-00001E0A0000}"/>
    <cellStyle name="20% - uthevingsfarge 4 3 3" xfId="4727" xr:uid="{00000000-0005-0000-0000-00001F0A0000}"/>
    <cellStyle name="20% - uthevingsfarge 4 3 3 2" xfId="7380" xr:uid="{00000000-0005-0000-0000-0000200A0000}"/>
    <cellStyle name="20% - uthevingsfarge 4 3 4" xfId="9593" xr:uid="{00000000-0005-0000-0000-0000210A0000}"/>
    <cellStyle name="20% - uthevingsfarge 4 30" xfId="726" xr:uid="{00000000-0005-0000-0000-0000220A0000}"/>
    <cellStyle name="20% - uthevingsfarge 4 30 2" xfId="727" xr:uid="{00000000-0005-0000-0000-0000230A0000}"/>
    <cellStyle name="20% - uthevingsfarge 4 30 2 2" xfId="5449" xr:uid="{00000000-0005-0000-0000-0000240A0000}"/>
    <cellStyle name="20% - uthevingsfarge 4 30 2 2 2" xfId="8082" xr:uid="{00000000-0005-0000-0000-0000250A0000}"/>
    <cellStyle name="20% - uthevingsfarge 4 30 2 3" xfId="10434" xr:uid="{00000000-0005-0000-0000-0000260A0000}"/>
    <cellStyle name="20% - uthevingsfarge 4 30 3" xfId="4728" xr:uid="{00000000-0005-0000-0000-0000270A0000}"/>
    <cellStyle name="20% - uthevingsfarge 4 30 3 2" xfId="7381" xr:uid="{00000000-0005-0000-0000-0000280A0000}"/>
    <cellStyle name="20% - uthevingsfarge 4 30 4" xfId="10697" xr:uid="{00000000-0005-0000-0000-0000290A0000}"/>
    <cellStyle name="20% - uthevingsfarge 4 31" xfId="728" xr:uid="{00000000-0005-0000-0000-00002A0A0000}"/>
    <cellStyle name="20% - uthevingsfarge 4 31 2" xfId="729" xr:uid="{00000000-0005-0000-0000-00002B0A0000}"/>
    <cellStyle name="20% - uthevingsfarge 4 31 2 2" xfId="5450" xr:uid="{00000000-0005-0000-0000-00002C0A0000}"/>
    <cellStyle name="20% - uthevingsfarge 4 31 2 2 2" xfId="8083" xr:uid="{00000000-0005-0000-0000-00002D0A0000}"/>
    <cellStyle name="20% - uthevingsfarge 4 31 2 3" xfId="9842" xr:uid="{00000000-0005-0000-0000-00002E0A0000}"/>
    <cellStyle name="20% - uthevingsfarge 4 31 3" xfId="4729" xr:uid="{00000000-0005-0000-0000-00002F0A0000}"/>
    <cellStyle name="20% - uthevingsfarge 4 31 3 2" xfId="7382" xr:uid="{00000000-0005-0000-0000-0000300A0000}"/>
    <cellStyle name="20% - uthevingsfarge 4 31 4" xfId="9592" xr:uid="{00000000-0005-0000-0000-0000310A0000}"/>
    <cellStyle name="20% - uthevingsfarge 4 32" xfId="730" xr:uid="{00000000-0005-0000-0000-0000320A0000}"/>
    <cellStyle name="20% - uthevingsfarge 4 32 2" xfId="731" xr:uid="{00000000-0005-0000-0000-0000330A0000}"/>
    <cellStyle name="20% - uthevingsfarge 4 32 2 2" xfId="5451" xr:uid="{00000000-0005-0000-0000-0000340A0000}"/>
    <cellStyle name="20% - uthevingsfarge 4 32 2 2 2" xfId="8084" xr:uid="{00000000-0005-0000-0000-0000350A0000}"/>
    <cellStyle name="20% - uthevingsfarge 4 32 2 3" xfId="10433" xr:uid="{00000000-0005-0000-0000-0000360A0000}"/>
    <cellStyle name="20% - uthevingsfarge 4 32 3" xfId="4730" xr:uid="{00000000-0005-0000-0000-0000370A0000}"/>
    <cellStyle name="20% - uthevingsfarge 4 32 3 2" xfId="7383" xr:uid="{00000000-0005-0000-0000-0000380A0000}"/>
    <cellStyle name="20% - uthevingsfarge 4 32 4" xfId="10696" xr:uid="{00000000-0005-0000-0000-0000390A0000}"/>
    <cellStyle name="20% - uthevingsfarge 4 33" xfId="732" xr:uid="{00000000-0005-0000-0000-00003A0A0000}"/>
    <cellStyle name="20% - uthevingsfarge 4 33 2" xfId="733" xr:uid="{00000000-0005-0000-0000-00003B0A0000}"/>
    <cellStyle name="20% - uthevingsfarge 4 33 2 2" xfId="5452" xr:uid="{00000000-0005-0000-0000-00003C0A0000}"/>
    <cellStyle name="20% - uthevingsfarge 4 33 2 2 2" xfId="8085" xr:uid="{00000000-0005-0000-0000-00003D0A0000}"/>
    <cellStyle name="20% - uthevingsfarge 4 33 2 3" xfId="9841" xr:uid="{00000000-0005-0000-0000-00003E0A0000}"/>
    <cellStyle name="20% - uthevingsfarge 4 33 3" xfId="4731" xr:uid="{00000000-0005-0000-0000-00003F0A0000}"/>
    <cellStyle name="20% - uthevingsfarge 4 33 3 2" xfId="7384" xr:uid="{00000000-0005-0000-0000-0000400A0000}"/>
    <cellStyle name="20% - uthevingsfarge 4 33 4" xfId="9591" xr:uid="{00000000-0005-0000-0000-0000410A0000}"/>
    <cellStyle name="20% - uthevingsfarge 4 34" xfId="734" xr:uid="{00000000-0005-0000-0000-0000420A0000}"/>
    <cellStyle name="20% - uthevingsfarge 4 34 2" xfId="735" xr:uid="{00000000-0005-0000-0000-0000430A0000}"/>
    <cellStyle name="20% - uthevingsfarge 4 34 2 2" xfId="5453" xr:uid="{00000000-0005-0000-0000-0000440A0000}"/>
    <cellStyle name="20% - uthevingsfarge 4 34 2 2 2" xfId="8086" xr:uid="{00000000-0005-0000-0000-0000450A0000}"/>
    <cellStyle name="20% - uthevingsfarge 4 34 2 3" xfId="10432" xr:uid="{00000000-0005-0000-0000-0000460A0000}"/>
    <cellStyle name="20% - uthevingsfarge 4 34 3" xfId="4732" xr:uid="{00000000-0005-0000-0000-0000470A0000}"/>
    <cellStyle name="20% - uthevingsfarge 4 34 3 2" xfId="7385" xr:uid="{00000000-0005-0000-0000-0000480A0000}"/>
    <cellStyle name="20% - uthevingsfarge 4 34 4" xfId="10695" xr:uid="{00000000-0005-0000-0000-0000490A0000}"/>
    <cellStyle name="20% - uthevingsfarge 4 35" xfId="736" xr:uid="{00000000-0005-0000-0000-00004A0A0000}"/>
    <cellStyle name="20% - uthevingsfarge 4 35 2" xfId="737" xr:uid="{00000000-0005-0000-0000-00004B0A0000}"/>
    <cellStyle name="20% - uthevingsfarge 4 35 2 2" xfId="5454" xr:uid="{00000000-0005-0000-0000-00004C0A0000}"/>
    <cellStyle name="20% - uthevingsfarge 4 35 2 2 2" xfId="8087" xr:uid="{00000000-0005-0000-0000-00004D0A0000}"/>
    <cellStyle name="20% - uthevingsfarge 4 35 2 3" xfId="9840" xr:uid="{00000000-0005-0000-0000-00004E0A0000}"/>
    <cellStyle name="20% - uthevingsfarge 4 35 3" xfId="4733" xr:uid="{00000000-0005-0000-0000-00004F0A0000}"/>
    <cellStyle name="20% - uthevingsfarge 4 35 3 2" xfId="7386" xr:uid="{00000000-0005-0000-0000-0000500A0000}"/>
    <cellStyle name="20% - uthevingsfarge 4 35 4" xfId="9590" xr:uid="{00000000-0005-0000-0000-0000510A0000}"/>
    <cellStyle name="20% - uthevingsfarge 4 36" xfId="738" xr:uid="{00000000-0005-0000-0000-0000520A0000}"/>
    <cellStyle name="20% - uthevingsfarge 4 36 2" xfId="739" xr:uid="{00000000-0005-0000-0000-0000530A0000}"/>
    <cellStyle name="20% - uthevingsfarge 4 36 2 2" xfId="5455" xr:uid="{00000000-0005-0000-0000-0000540A0000}"/>
    <cellStyle name="20% - uthevingsfarge 4 36 2 2 2" xfId="8088" xr:uid="{00000000-0005-0000-0000-0000550A0000}"/>
    <cellStyle name="20% - uthevingsfarge 4 36 2 3" xfId="10431" xr:uid="{00000000-0005-0000-0000-0000560A0000}"/>
    <cellStyle name="20% - uthevingsfarge 4 36 3" xfId="4734" xr:uid="{00000000-0005-0000-0000-0000570A0000}"/>
    <cellStyle name="20% - uthevingsfarge 4 36 3 2" xfId="7387" xr:uid="{00000000-0005-0000-0000-0000580A0000}"/>
    <cellStyle name="20% - uthevingsfarge 4 36 4" xfId="10694" xr:uid="{00000000-0005-0000-0000-0000590A0000}"/>
    <cellStyle name="20% - uthevingsfarge 4 37" xfId="740" xr:uid="{00000000-0005-0000-0000-00005A0A0000}"/>
    <cellStyle name="20% - uthevingsfarge 4 37 2" xfId="741" xr:uid="{00000000-0005-0000-0000-00005B0A0000}"/>
    <cellStyle name="20% - uthevingsfarge 4 37 2 2" xfId="5456" xr:uid="{00000000-0005-0000-0000-00005C0A0000}"/>
    <cellStyle name="20% - uthevingsfarge 4 37 2 2 2" xfId="8089" xr:uid="{00000000-0005-0000-0000-00005D0A0000}"/>
    <cellStyle name="20% - uthevingsfarge 4 37 2 3" xfId="9839" xr:uid="{00000000-0005-0000-0000-00005E0A0000}"/>
    <cellStyle name="20% - uthevingsfarge 4 37 3" xfId="4735" xr:uid="{00000000-0005-0000-0000-00005F0A0000}"/>
    <cellStyle name="20% - uthevingsfarge 4 37 3 2" xfId="7388" xr:uid="{00000000-0005-0000-0000-0000600A0000}"/>
    <cellStyle name="20% - uthevingsfarge 4 37 4" xfId="9589" xr:uid="{00000000-0005-0000-0000-0000610A0000}"/>
    <cellStyle name="20% - uthevingsfarge 4 38" xfId="742" xr:uid="{00000000-0005-0000-0000-0000620A0000}"/>
    <cellStyle name="20% - uthevingsfarge 4 38 2" xfId="743" xr:uid="{00000000-0005-0000-0000-0000630A0000}"/>
    <cellStyle name="20% - uthevingsfarge 4 38 2 2" xfId="5457" xr:uid="{00000000-0005-0000-0000-0000640A0000}"/>
    <cellStyle name="20% - uthevingsfarge 4 38 2 2 2" xfId="8090" xr:uid="{00000000-0005-0000-0000-0000650A0000}"/>
    <cellStyle name="20% - uthevingsfarge 4 38 2 3" xfId="10430" xr:uid="{00000000-0005-0000-0000-0000660A0000}"/>
    <cellStyle name="20% - uthevingsfarge 4 38 3" xfId="4736" xr:uid="{00000000-0005-0000-0000-0000670A0000}"/>
    <cellStyle name="20% - uthevingsfarge 4 38 3 2" xfId="7389" xr:uid="{00000000-0005-0000-0000-0000680A0000}"/>
    <cellStyle name="20% - uthevingsfarge 4 38 4" xfId="10693" xr:uid="{00000000-0005-0000-0000-0000690A0000}"/>
    <cellStyle name="20% - uthevingsfarge 4 39" xfId="744" xr:uid="{00000000-0005-0000-0000-00006A0A0000}"/>
    <cellStyle name="20% - uthevingsfarge 4 39 2" xfId="745" xr:uid="{00000000-0005-0000-0000-00006B0A0000}"/>
    <cellStyle name="20% - uthevingsfarge 4 39 2 2" xfId="5458" xr:uid="{00000000-0005-0000-0000-00006C0A0000}"/>
    <cellStyle name="20% - uthevingsfarge 4 39 2 2 2" xfId="8091" xr:uid="{00000000-0005-0000-0000-00006D0A0000}"/>
    <cellStyle name="20% - uthevingsfarge 4 39 2 3" xfId="9838" xr:uid="{00000000-0005-0000-0000-00006E0A0000}"/>
    <cellStyle name="20% - uthevingsfarge 4 39 3" xfId="4737" xr:uid="{00000000-0005-0000-0000-00006F0A0000}"/>
    <cellStyle name="20% - uthevingsfarge 4 39 3 2" xfId="7390" xr:uid="{00000000-0005-0000-0000-0000700A0000}"/>
    <cellStyle name="20% - uthevingsfarge 4 39 4" xfId="9588" xr:uid="{00000000-0005-0000-0000-0000710A0000}"/>
    <cellStyle name="20% - uthevingsfarge 4 4" xfId="746" xr:uid="{00000000-0005-0000-0000-0000720A0000}"/>
    <cellStyle name="20% - uthevingsfarge 4 4 2" xfId="747" xr:uid="{00000000-0005-0000-0000-0000730A0000}"/>
    <cellStyle name="20% - uthevingsfarge 4 4 2 2" xfId="5459" xr:uid="{00000000-0005-0000-0000-0000740A0000}"/>
    <cellStyle name="20% - uthevingsfarge 4 4 2 2 2" xfId="8092" xr:uid="{00000000-0005-0000-0000-0000750A0000}"/>
    <cellStyle name="20% - uthevingsfarge 4 4 2 3" xfId="10429" xr:uid="{00000000-0005-0000-0000-0000760A0000}"/>
    <cellStyle name="20% - uthevingsfarge 4 4 3" xfId="4738" xr:uid="{00000000-0005-0000-0000-0000770A0000}"/>
    <cellStyle name="20% - uthevingsfarge 4 4 3 2" xfId="7391" xr:uid="{00000000-0005-0000-0000-0000780A0000}"/>
    <cellStyle name="20% - uthevingsfarge 4 4 4" xfId="10692" xr:uid="{00000000-0005-0000-0000-0000790A0000}"/>
    <cellStyle name="20% - uthevingsfarge 4 40" xfId="748" xr:uid="{00000000-0005-0000-0000-00007A0A0000}"/>
    <cellStyle name="20% - uthevingsfarge 4 40 2" xfId="749" xr:uid="{00000000-0005-0000-0000-00007B0A0000}"/>
    <cellStyle name="20% - uthevingsfarge 4 40 2 2" xfId="5460" xr:uid="{00000000-0005-0000-0000-00007C0A0000}"/>
    <cellStyle name="20% - uthevingsfarge 4 40 2 2 2" xfId="8093" xr:uid="{00000000-0005-0000-0000-00007D0A0000}"/>
    <cellStyle name="20% - uthevingsfarge 4 40 2 3" xfId="9837" xr:uid="{00000000-0005-0000-0000-00007E0A0000}"/>
    <cellStyle name="20% - uthevingsfarge 4 40 3" xfId="4739" xr:uid="{00000000-0005-0000-0000-00007F0A0000}"/>
    <cellStyle name="20% - uthevingsfarge 4 40 3 2" xfId="7392" xr:uid="{00000000-0005-0000-0000-0000800A0000}"/>
    <cellStyle name="20% - uthevingsfarge 4 40 4" xfId="9587" xr:uid="{00000000-0005-0000-0000-0000810A0000}"/>
    <cellStyle name="20% - uthevingsfarge 4 41" xfId="750" xr:uid="{00000000-0005-0000-0000-0000820A0000}"/>
    <cellStyle name="20% - uthevingsfarge 4 41 2" xfId="751" xr:uid="{00000000-0005-0000-0000-0000830A0000}"/>
    <cellStyle name="20% - uthevingsfarge 4 41 2 2" xfId="5461" xr:uid="{00000000-0005-0000-0000-0000840A0000}"/>
    <cellStyle name="20% - uthevingsfarge 4 41 2 2 2" xfId="8094" xr:uid="{00000000-0005-0000-0000-0000850A0000}"/>
    <cellStyle name="20% - uthevingsfarge 4 41 2 3" xfId="10294" xr:uid="{00000000-0005-0000-0000-0000860A0000}"/>
    <cellStyle name="20% - uthevingsfarge 4 41 3" xfId="4740" xr:uid="{00000000-0005-0000-0000-0000870A0000}"/>
    <cellStyle name="20% - uthevingsfarge 4 41 3 2" xfId="7393" xr:uid="{00000000-0005-0000-0000-0000880A0000}"/>
    <cellStyle name="20% - uthevingsfarge 4 41 4" xfId="10428" xr:uid="{00000000-0005-0000-0000-0000890A0000}"/>
    <cellStyle name="20% - uthevingsfarge 4 42" xfId="752" xr:uid="{00000000-0005-0000-0000-00008A0A0000}"/>
    <cellStyle name="20% - uthevingsfarge 4 42 2" xfId="753" xr:uid="{00000000-0005-0000-0000-00008B0A0000}"/>
    <cellStyle name="20% - uthevingsfarge 4 42 2 2" xfId="5462" xr:uid="{00000000-0005-0000-0000-00008C0A0000}"/>
    <cellStyle name="20% - uthevingsfarge 4 42 2 2 2" xfId="8095" xr:uid="{00000000-0005-0000-0000-00008D0A0000}"/>
    <cellStyle name="20% - uthevingsfarge 4 42 2 3" xfId="9953" xr:uid="{00000000-0005-0000-0000-00008E0A0000}"/>
    <cellStyle name="20% - uthevingsfarge 4 42 3" xfId="4741" xr:uid="{00000000-0005-0000-0000-00008F0A0000}"/>
    <cellStyle name="20% - uthevingsfarge 4 42 3 2" xfId="7394" xr:uid="{00000000-0005-0000-0000-0000900A0000}"/>
    <cellStyle name="20% - uthevingsfarge 4 42 4" xfId="9836" xr:uid="{00000000-0005-0000-0000-0000910A0000}"/>
    <cellStyle name="20% - uthevingsfarge 4 43" xfId="754" xr:uid="{00000000-0005-0000-0000-0000920A0000}"/>
    <cellStyle name="20% - uthevingsfarge 4 43 2" xfId="755" xr:uid="{00000000-0005-0000-0000-0000930A0000}"/>
    <cellStyle name="20% - uthevingsfarge 4 43 2 2" xfId="5463" xr:uid="{00000000-0005-0000-0000-0000940A0000}"/>
    <cellStyle name="20% - uthevingsfarge 4 43 2 2 2" xfId="8096" xr:uid="{00000000-0005-0000-0000-0000950A0000}"/>
    <cellStyle name="20% - uthevingsfarge 4 43 2 3" xfId="10293" xr:uid="{00000000-0005-0000-0000-0000960A0000}"/>
    <cellStyle name="20% - uthevingsfarge 4 43 3" xfId="4742" xr:uid="{00000000-0005-0000-0000-0000970A0000}"/>
    <cellStyle name="20% - uthevingsfarge 4 43 3 2" xfId="7395" xr:uid="{00000000-0005-0000-0000-0000980A0000}"/>
    <cellStyle name="20% - uthevingsfarge 4 43 4" xfId="10427" xr:uid="{00000000-0005-0000-0000-0000990A0000}"/>
    <cellStyle name="20% - uthevingsfarge 4 44" xfId="756" xr:uid="{00000000-0005-0000-0000-00009A0A0000}"/>
    <cellStyle name="20% - uthevingsfarge 4 44 2" xfId="757" xr:uid="{00000000-0005-0000-0000-00009B0A0000}"/>
    <cellStyle name="20% - uthevingsfarge 4 44 2 2" xfId="5464" xr:uid="{00000000-0005-0000-0000-00009C0A0000}"/>
    <cellStyle name="20% - uthevingsfarge 4 44 2 2 2" xfId="8097" xr:uid="{00000000-0005-0000-0000-00009D0A0000}"/>
    <cellStyle name="20% - uthevingsfarge 4 44 2 3" xfId="9876" xr:uid="{00000000-0005-0000-0000-00009E0A0000}"/>
    <cellStyle name="20% - uthevingsfarge 4 44 3" xfId="4743" xr:uid="{00000000-0005-0000-0000-00009F0A0000}"/>
    <cellStyle name="20% - uthevingsfarge 4 44 3 2" xfId="7396" xr:uid="{00000000-0005-0000-0000-0000A00A0000}"/>
    <cellStyle name="20% - uthevingsfarge 4 44 4" xfId="9835" xr:uid="{00000000-0005-0000-0000-0000A10A0000}"/>
    <cellStyle name="20% - uthevingsfarge 4 45" xfId="758" xr:uid="{00000000-0005-0000-0000-0000A20A0000}"/>
    <cellStyle name="20% - uthevingsfarge 4 45 2" xfId="759" xr:uid="{00000000-0005-0000-0000-0000A30A0000}"/>
    <cellStyle name="20% - uthevingsfarge 4 45 2 2" xfId="5465" xr:uid="{00000000-0005-0000-0000-0000A40A0000}"/>
    <cellStyle name="20% - uthevingsfarge 4 45 2 2 2" xfId="8098" xr:uid="{00000000-0005-0000-0000-0000A50A0000}"/>
    <cellStyle name="20% - uthevingsfarge 4 45 2 3" xfId="10292" xr:uid="{00000000-0005-0000-0000-0000A60A0000}"/>
    <cellStyle name="20% - uthevingsfarge 4 45 3" xfId="4744" xr:uid="{00000000-0005-0000-0000-0000A70A0000}"/>
    <cellStyle name="20% - uthevingsfarge 4 45 3 2" xfId="7397" xr:uid="{00000000-0005-0000-0000-0000A80A0000}"/>
    <cellStyle name="20% - uthevingsfarge 4 45 4" xfId="10426" xr:uid="{00000000-0005-0000-0000-0000A90A0000}"/>
    <cellStyle name="20% - uthevingsfarge 4 46" xfId="760" xr:uid="{00000000-0005-0000-0000-0000AA0A0000}"/>
    <cellStyle name="20% - uthevingsfarge 4 46 2" xfId="761" xr:uid="{00000000-0005-0000-0000-0000AB0A0000}"/>
    <cellStyle name="20% - uthevingsfarge 4 46 2 2" xfId="5466" xr:uid="{00000000-0005-0000-0000-0000AC0A0000}"/>
    <cellStyle name="20% - uthevingsfarge 4 46 2 2 2" xfId="8099" xr:uid="{00000000-0005-0000-0000-0000AD0A0000}"/>
    <cellStyle name="20% - uthevingsfarge 4 46 2 3" xfId="9929" xr:uid="{00000000-0005-0000-0000-0000AE0A0000}"/>
    <cellStyle name="20% - uthevingsfarge 4 46 3" xfId="4745" xr:uid="{00000000-0005-0000-0000-0000AF0A0000}"/>
    <cellStyle name="20% - uthevingsfarge 4 46 3 2" xfId="7398" xr:uid="{00000000-0005-0000-0000-0000B00A0000}"/>
    <cellStyle name="20% - uthevingsfarge 4 46 4" xfId="9834" xr:uid="{00000000-0005-0000-0000-0000B10A0000}"/>
    <cellStyle name="20% - uthevingsfarge 4 47" xfId="762" xr:uid="{00000000-0005-0000-0000-0000B20A0000}"/>
    <cellStyle name="20% - uthevingsfarge 4 47 2" xfId="763" xr:uid="{00000000-0005-0000-0000-0000B30A0000}"/>
    <cellStyle name="20% - uthevingsfarge 4 47 2 2" xfId="5467" xr:uid="{00000000-0005-0000-0000-0000B40A0000}"/>
    <cellStyle name="20% - uthevingsfarge 4 47 2 2 2" xfId="8100" xr:uid="{00000000-0005-0000-0000-0000B50A0000}"/>
    <cellStyle name="20% - uthevingsfarge 4 47 2 3" xfId="10291" xr:uid="{00000000-0005-0000-0000-0000B60A0000}"/>
    <cellStyle name="20% - uthevingsfarge 4 47 3" xfId="4746" xr:uid="{00000000-0005-0000-0000-0000B70A0000}"/>
    <cellStyle name="20% - uthevingsfarge 4 47 3 2" xfId="7399" xr:uid="{00000000-0005-0000-0000-0000B80A0000}"/>
    <cellStyle name="20% - uthevingsfarge 4 47 4" xfId="10425" xr:uid="{00000000-0005-0000-0000-0000B90A0000}"/>
    <cellStyle name="20% - uthevingsfarge 4 48" xfId="764" xr:uid="{00000000-0005-0000-0000-0000BA0A0000}"/>
    <cellStyle name="20% - uthevingsfarge 4 48 2" xfId="765" xr:uid="{00000000-0005-0000-0000-0000BB0A0000}"/>
    <cellStyle name="20% - uthevingsfarge 4 48 2 2" xfId="5468" xr:uid="{00000000-0005-0000-0000-0000BC0A0000}"/>
    <cellStyle name="20% - uthevingsfarge 4 48 2 2 2" xfId="8101" xr:uid="{00000000-0005-0000-0000-0000BD0A0000}"/>
    <cellStyle name="20% - uthevingsfarge 4 48 2 3" xfId="9940" xr:uid="{00000000-0005-0000-0000-0000BE0A0000}"/>
    <cellStyle name="20% - uthevingsfarge 4 48 3" xfId="4747" xr:uid="{00000000-0005-0000-0000-0000BF0A0000}"/>
    <cellStyle name="20% - uthevingsfarge 4 48 3 2" xfId="7400" xr:uid="{00000000-0005-0000-0000-0000C00A0000}"/>
    <cellStyle name="20% - uthevingsfarge 4 48 4" xfId="9833" xr:uid="{00000000-0005-0000-0000-0000C10A0000}"/>
    <cellStyle name="20% - uthevingsfarge 4 49" xfId="766" xr:uid="{00000000-0005-0000-0000-0000C20A0000}"/>
    <cellStyle name="20% - uthevingsfarge 4 49 2" xfId="767" xr:uid="{00000000-0005-0000-0000-0000C30A0000}"/>
    <cellStyle name="20% - uthevingsfarge 4 49 2 2" xfId="5469" xr:uid="{00000000-0005-0000-0000-0000C40A0000}"/>
    <cellStyle name="20% - uthevingsfarge 4 49 2 2 2" xfId="8102" xr:uid="{00000000-0005-0000-0000-0000C50A0000}"/>
    <cellStyle name="20% - uthevingsfarge 4 49 2 3" xfId="10290" xr:uid="{00000000-0005-0000-0000-0000C60A0000}"/>
    <cellStyle name="20% - uthevingsfarge 4 49 3" xfId="4748" xr:uid="{00000000-0005-0000-0000-0000C70A0000}"/>
    <cellStyle name="20% - uthevingsfarge 4 49 3 2" xfId="7401" xr:uid="{00000000-0005-0000-0000-0000C80A0000}"/>
    <cellStyle name="20% - uthevingsfarge 4 49 4" xfId="10424" xr:uid="{00000000-0005-0000-0000-0000C90A0000}"/>
    <cellStyle name="20% - uthevingsfarge 4 5" xfId="768" xr:uid="{00000000-0005-0000-0000-0000CA0A0000}"/>
    <cellStyle name="20% - uthevingsfarge 4 5 2" xfId="769" xr:uid="{00000000-0005-0000-0000-0000CB0A0000}"/>
    <cellStyle name="20% - uthevingsfarge 4 5 2 2" xfId="5470" xr:uid="{00000000-0005-0000-0000-0000CC0A0000}"/>
    <cellStyle name="20% - uthevingsfarge 4 5 2 2 2" xfId="8103" xr:uid="{00000000-0005-0000-0000-0000CD0A0000}"/>
    <cellStyle name="20% - uthevingsfarge 4 5 2 3" xfId="9931" xr:uid="{00000000-0005-0000-0000-0000CE0A0000}"/>
    <cellStyle name="20% - uthevingsfarge 4 5 3" xfId="4749" xr:uid="{00000000-0005-0000-0000-0000CF0A0000}"/>
    <cellStyle name="20% - uthevingsfarge 4 5 3 2" xfId="7402" xr:uid="{00000000-0005-0000-0000-0000D00A0000}"/>
    <cellStyle name="20% - uthevingsfarge 4 5 4" xfId="9832" xr:uid="{00000000-0005-0000-0000-0000D10A0000}"/>
    <cellStyle name="20% - uthevingsfarge 4 50" xfId="770" xr:uid="{00000000-0005-0000-0000-0000D20A0000}"/>
    <cellStyle name="20% - uthevingsfarge 4 50 2" xfId="771" xr:uid="{00000000-0005-0000-0000-0000D30A0000}"/>
    <cellStyle name="20% - uthevingsfarge 4 50 2 2" xfId="5471" xr:uid="{00000000-0005-0000-0000-0000D40A0000}"/>
    <cellStyle name="20% - uthevingsfarge 4 50 2 2 2" xfId="8104" xr:uid="{00000000-0005-0000-0000-0000D50A0000}"/>
    <cellStyle name="20% - uthevingsfarge 4 50 2 3" xfId="10289" xr:uid="{00000000-0005-0000-0000-0000D60A0000}"/>
    <cellStyle name="20% - uthevingsfarge 4 50 3" xfId="4750" xr:uid="{00000000-0005-0000-0000-0000D70A0000}"/>
    <cellStyle name="20% - uthevingsfarge 4 50 3 2" xfId="7403" xr:uid="{00000000-0005-0000-0000-0000D80A0000}"/>
    <cellStyle name="20% - uthevingsfarge 4 50 4" xfId="10423" xr:uid="{00000000-0005-0000-0000-0000D90A0000}"/>
    <cellStyle name="20% - uthevingsfarge 4 51" xfId="772" xr:uid="{00000000-0005-0000-0000-0000DA0A0000}"/>
    <cellStyle name="20% - uthevingsfarge 4 51 2" xfId="773" xr:uid="{00000000-0005-0000-0000-0000DB0A0000}"/>
    <cellStyle name="20% - uthevingsfarge 4 51 2 2" xfId="5472" xr:uid="{00000000-0005-0000-0000-0000DC0A0000}"/>
    <cellStyle name="20% - uthevingsfarge 4 51 2 2 2" xfId="8105" xr:uid="{00000000-0005-0000-0000-0000DD0A0000}"/>
    <cellStyle name="20% - uthevingsfarge 4 51 2 3" xfId="9877" xr:uid="{00000000-0005-0000-0000-0000DE0A0000}"/>
    <cellStyle name="20% - uthevingsfarge 4 51 3" xfId="4751" xr:uid="{00000000-0005-0000-0000-0000DF0A0000}"/>
    <cellStyle name="20% - uthevingsfarge 4 51 3 2" xfId="7404" xr:uid="{00000000-0005-0000-0000-0000E00A0000}"/>
    <cellStyle name="20% - uthevingsfarge 4 51 4" xfId="9831" xr:uid="{00000000-0005-0000-0000-0000E10A0000}"/>
    <cellStyle name="20% - uthevingsfarge 4 52" xfId="774" xr:uid="{00000000-0005-0000-0000-0000E20A0000}"/>
    <cellStyle name="20% - uthevingsfarge 4 52 2" xfId="775" xr:uid="{00000000-0005-0000-0000-0000E30A0000}"/>
    <cellStyle name="20% - uthevingsfarge 4 52 2 2" xfId="5473" xr:uid="{00000000-0005-0000-0000-0000E40A0000}"/>
    <cellStyle name="20% - uthevingsfarge 4 52 2 2 2" xfId="8106" xr:uid="{00000000-0005-0000-0000-0000E50A0000}"/>
    <cellStyle name="20% - uthevingsfarge 4 52 2 3" xfId="10288" xr:uid="{00000000-0005-0000-0000-0000E60A0000}"/>
    <cellStyle name="20% - uthevingsfarge 4 52 3" xfId="4752" xr:uid="{00000000-0005-0000-0000-0000E70A0000}"/>
    <cellStyle name="20% - uthevingsfarge 4 52 3 2" xfId="7405" xr:uid="{00000000-0005-0000-0000-0000E80A0000}"/>
    <cellStyle name="20% - uthevingsfarge 4 52 4" xfId="10422" xr:uid="{00000000-0005-0000-0000-0000E90A0000}"/>
    <cellStyle name="20% - uthevingsfarge 4 53" xfId="776" xr:uid="{00000000-0005-0000-0000-0000EA0A0000}"/>
    <cellStyle name="20% - uthevingsfarge 4 53 2" xfId="777" xr:uid="{00000000-0005-0000-0000-0000EB0A0000}"/>
    <cellStyle name="20% - uthevingsfarge 4 53 2 2" xfId="5474" xr:uid="{00000000-0005-0000-0000-0000EC0A0000}"/>
    <cellStyle name="20% - uthevingsfarge 4 53 2 2 2" xfId="8107" xr:uid="{00000000-0005-0000-0000-0000ED0A0000}"/>
    <cellStyle name="20% - uthevingsfarge 4 53 2 3" xfId="9930" xr:uid="{00000000-0005-0000-0000-0000EE0A0000}"/>
    <cellStyle name="20% - uthevingsfarge 4 53 3" xfId="4753" xr:uid="{00000000-0005-0000-0000-0000EF0A0000}"/>
    <cellStyle name="20% - uthevingsfarge 4 53 3 2" xfId="7406" xr:uid="{00000000-0005-0000-0000-0000F00A0000}"/>
    <cellStyle name="20% - uthevingsfarge 4 53 4" xfId="9830" xr:uid="{00000000-0005-0000-0000-0000F10A0000}"/>
    <cellStyle name="20% - uthevingsfarge 4 54" xfId="778" xr:uid="{00000000-0005-0000-0000-0000F20A0000}"/>
    <cellStyle name="20% - uthevingsfarge 4 54 2" xfId="779" xr:uid="{00000000-0005-0000-0000-0000F30A0000}"/>
    <cellStyle name="20% - uthevingsfarge 4 54 2 2" xfId="5475" xr:uid="{00000000-0005-0000-0000-0000F40A0000}"/>
    <cellStyle name="20% - uthevingsfarge 4 54 2 2 2" xfId="8108" xr:uid="{00000000-0005-0000-0000-0000F50A0000}"/>
    <cellStyle name="20% - uthevingsfarge 4 54 2 3" xfId="10287" xr:uid="{00000000-0005-0000-0000-0000F60A0000}"/>
    <cellStyle name="20% - uthevingsfarge 4 54 3" xfId="4754" xr:uid="{00000000-0005-0000-0000-0000F70A0000}"/>
    <cellStyle name="20% - uthevingsfarge 4 54 3 2" xfId="7407" xr:uid="{00000000-0005-0000-0000-0000F80A0000}"/>
    <cellStyle name="20% - uthevingsfarge 4 54 4" xfId="10421" xr:uid="{00000000-0005-0000-0000-0000F90A0000}"/>
    <cellStyle name="20% - uthevingsfarge 4 55" xfId="780" xr:uid="{00000000-0005-0000-0000-0000FA0A0000}"/>
    <cellStyle name="20% - uthevingsfarge 4 55 2" xfId="781" xr:uid="{00000000-0005-0000-0000-0000FB0A0000}"/>
    <cellStyle name="20% - uthevingsfarge 4 55 2 2" xfId="5476" xr:uid="{00000000-0005-0000-0000-0000FC0A0000}"/>
    <cellStyle name="20% - uthevingsfarge 4 55 2 2 2" xfId="8109" xr:uid="{00000000-0005-0000-0000-0000FD0A0000}"/>
    <cellStyle name="20% - uthevingsfarge 4 55 2 3" xfId="9954" xr:uid="{00000000-0005-0000-0000-0000FE0A0000}"/>
    <cellStyle name="20% - uthevingsfarge 4 55 3" xfId="4755" xr:uid="{00000000-0005-0000-0000-0000FF0A0000}"/>
    <cellStyle name="20% - uthevingsfarge 4 55 3 2" xfId="7408" xr:uid="{00000000-0005-0000-0000-0000000B0000}"/>
    <cellStyle name="20% - uthevingsfarge 4 55 4" xfId="9829" xr:uid="{00000000-0005-0000-0000-0000010B0000}"/>
    <cellStyle name="20% - uthevingsfarge 4 56" xfId="782" xr:uid="{00000000-0005-0000-0000-0000020B0000}"/>
    <cellStyle name="20% - uthevingsfarge 4 56 2" xfId="783" xr:uid="{00000000-0005-0000-0000-0000030B0000}"/>
    <cellStyle name="20% - uthevingsfarge 4 56 2 2" xfId="5477" xr:uid="{00000000-0005-0000-0000-0000040B0000}"/>
    <cellStyle name="20% - uthevingsfarge 4 56 2 2 2" xfId="8110" xr:uid="{00000000-0005-0000-0000-0000050B0000}"/>
    <cellStyle name="20% - uthevingsfarge 4 56 2 3" xfId="10286" xr:uid="{00000000-0005-0000-0000-0000060B0000}"/>
    <cellStyle name="20% - uthevingsfarge 4 56 3" xfId="4756" xr:uid="{00000000-0005-0000-0000-0000070B0000}"/>
    <cellStyle name="20% - uthevingsfarge 4 56 3 2" xfId="7409" xr:uid="{00000000-0005-0000-0000-0000080B0000}"/>
    <cellStyle name="20% - uthevingsfarge 4 56 4" xfId="10420" xr:uid="{00000000-0005-0000-0000-0000090B0000}"/>
    <cellStyle name="20% - uthevingsfarge 4 57" xfId="784" xr:uid="{00000000-0005-0000-0000-00000A0B0000}"/>
    <cellStyle name="20% - uthevingsfarge 4 57 2" xfId="785" xr:uid="{00000000-0005-0000-0000-00000B0B0000}"/>
    <cellStyle name="20% - uthevingsfarge 4 57 2 2" xfId="5478" xr:uid="{00000000-0005-0000-0000-00000C0B0000}"/>
    <cellStyle name="20% - uthevingsfarge 4 57 2 2 2" xfId="8111" xr:uid="{00000000-0005-0000-0000-00000D0B0000}"/>
    <cellStyle name="20% - uthevingsfarge 4 57 2 3" xfId="9955" xr:uid="{00000000-0005-0000-0000-00000E0B0000}"/>
    <cellStyle name="20% - uthevingsfarge 4 57 3" xfId="4757" xr:uid="{00000000-0005-0000-0000-00000F0B0000}"/>
    <cellStyle name="20% - uthevingsfarge 4 57 3 2" xfId="7410" xr:uid="{00000000-0005-0000-0000-0000100B0000}"/>
    <cellStyle name="20% - uthevingsfarge 4 57 4" xfId="9828" xr:uid="{00000000-0005-0000-0000-0000110B0000}"/>
    <cellStyle name="20% - uthevingsfarge 4 58" xfId="786" xr:uid="{00000000-0005-0000-0000-0000120B0000}"/>
    <cellStyle name="20% - uthevingsfarge 4 58 2" xfId="787" xr:uid="{00000000-0005-0000-0000-0000130B0000}"/>
    <cellStyle name="20% - uthevingsfarge 4 58 2 2" xfId="5479" xr:uid="{00000000-0005-0000-0000-0000140B0000}"/>
    <cellStyle name="20% - uthevingsfarge 4 58 2 2 2" xfId="8112" xr:uid="{00000000-0005-0000-0000-0000150B0000}"/>
    <cellStyle name="20% - uthevingsfarge 4 58 2 3" xfId="9586" xr:uid="{00000000-0005-0000-0000-0000160B0000}"/>
    <cellStyle name="20% - uthevingsfarge 4 58 3" xfId="4758" xr:uid="{00000000-0005-0000-0000-0000170B0000}"/>
    <cellStyle name="20% - uthevingsfarge 4 58 3 2" xfId="7411" xr:uid="{00000000-0005-0000-0000-0000180B0000}"/>
    <cellStyle name="20% - uthevingsfarge 4 58 4" xfId="9978" xr:uid="{00000000-0005-0000-0000-0000190B0000}"/>
    <cellStyle name="20% - uthevingsfarge 4 59" xfId="788" xr:uid="{00000000-0005-0000-0000-00001A0B0000}"/>
    <cellStyle name="20% - uthevingsfarge 4 59 2" xfId="789" xr:uid="{00000000-0005-0000-0000-00001B0B0000}"/>
    <cellStyle name="20% - uthevingsfarge 4 59 2 2" xfId="5480" xr:uid="{00000000-0005-0000-0000-00001C0B0000}"/>
    <cellStyle name="20% - uthevingsfarge 4 59 2 2 2" xfId="8113" xr:uid="{00000000-0005-0000-0000-00001D0B0000}"/>
    <cellStyle name="20% - uthevingsfarge 4 59 2 3" xfId="9216" xr:uid="{00000000-0005-0000-0000-00001E0B0000}"/>
    <cellStyle name="20% - uthevingsfarge 4 59 3" xfId="4759" xr:uid="{00000000-0005-0000-0000-00001F0B0000}"/>
    <cellStyle name="20% - uthevingsfarge 4 59 3 2" xfId="7412" xr:uid="{00000000-0005-0000-0000-0000200B0000}"/>
    <cellStyle name="20% - uthevingsfarge 4 59 4" xfId="10726" xr:uid="{00000000-0005-0000-0000-0000210B0000}"/>
    <cellStyle name="20% - uthevingsfarge 4 6" xfId="790" xr:uid="{00000000-0005-0000-0000-0000220B0000}"/>
    <cellStyle name="20% - uthevingsfarge 4 6 2" xfId="791" xr:uid="{00000000-0005-0000-0000-0000230B0000}"/>
    <cellStyle name="20% - uthevingsfarge 4 6 2 2" xfId="5481" xr:uid="{00000000-0005-0000-0000-0000240B0000}"/>
    <cellStyle name="20% - uthevingsfarge 4 6 2 2 2" xfId="8114" xr:uid="{00000000-0005-0000-0000-0000250B0000}"/>
    <cellStyle name="20% - uthevingsfarge 4 6 2 3" xfId="9215" xr:uid="{00000000-0005-0000-0000-0000260B0000}"/>
    <cellStyle name="20% - uthevingsfarge 4 6 3" xfId="4760" xr:uid="{00000000-0005-0000-0000-0000270B0000}"/>
    <cellStyle name="20% - uthevingsfarge 4 6 3 2" xfId="7413" xr:uid="{00000000-0005-0000-0000-0000280B0000}"/>
    <cellStyle name="20% - uthevingsfarge 4 6 4" xfId="10721" xr:uid="{00000000-0005-0000-0000-0000290B0000}"/>
    <cellStyle name="20% - uthevingsfarge 4 60" xfId="792" xr:uid="{00000000-0005-0000-0000-00002A0B0000}"/>
    <cellStyle name="20% - uthevingsfarge 4 60 2" xfId="793" xr:uid="{00000000-0005-0000-0000-00002B0B0000}"/>
    <cellStyle name="20% - uthevingsfarge 4 60 3" xfId="9977" xr:uid="{00000000-0005-0000-0000-00002C0B0000}"/>
    <cellStyle name="20% - uthevingsfarge 4 61" xfId="794" xr:uid="{00000000-0005-0000-0000-00002D0B0000}"/>
    <cellStyle name="20% - uthevingsfarge 4 61 2" xfId="795" xr:uid="{00000000-0005-0000-0000-00002E0B0000}"/>
    <cellStyle name="20% - uthevingsfarge 4 62" xfId="796" xr:uid="{00000000-0005-0000-0000-00002F0B0000}"/>
    <cellStyle name="20% - uthevingsfarge 4 62 2" xfId="797" xr:uid="{00000000-0005-0000-0000-0000300B0000}"/>
    <cellStyle name="20% - uthevingsfarge 4 63" xfId="798" xr:uid="{00000000-0005-0000-0000-0000310B0000}"/>
    <cellStyle name="20% - uthevingsfarge 4 63 2" xfId="799" xr:uid="{00000000-0005-0000-0000-0000320B0000}"/>
    <cellStyle name="20% - uthevingsfarge 4 64" xfId="800" xr:uid="{00000000-0005-0000-0000-0000330B0000}"/>
    <cellStyle name="20% - uthevingsfarge 4 64 2" xfId="801" xr:uid="{00000000-0005-0000-0000-0000340B0000}"/>
    <cellStyle name="20% - uthevingsfarge 4 65" xfId="802" xr:uid="{00000000-0005-0000-0000-0000350B0000}"/>
    <cellStyle name="20% - uthevingsfarge 4 65 2" xfId="803" xr:uid="{00000000-0005-0000-0000-0000360B0000}"/>
    <cellStyle name="20% - uthevingsfarge 4 66" xfId="804" xr:uid="{00000000-0005-0000-0000-0000370B0000}"/>
    <cellStyle name="20% - uthevingsfarge 4 66 2" xfId="805" xr:uid="{00000000-0005-0000-0000-0000380B0000}"/>
    <cellStyle name="20% - uthevingsfarge 4 67" xfId="806" xr:uid="{00000000-0005-0000-0000-0000390B0000}"/>
    <cellStyle name="20% - uthevingsfarge 4 67 2" xfId="807" xr:uid="{00000000-0005-0000-0000-00003A0B0000}"/>
    <cellStyle name="20% - uthevingsfarge 4 68" xfId="808" xr:uid="{00000000-0005-0000-0000-00003B0B0000}"/>
    <cellStyle name="20% - uthevingsfarge 4 68 2" xfId="809" xr:uid="{00000000-0005-0000-0000-00003C0B0000}"/>
    <cellStyle name="20% - uthevingsfarge 4 69" xfId="810" xr:uid="{00000000-0005-0000-0000-00003D0B0000}"/>
    <cellStyle name="20% - uthevingsfarge 4 69 2" xfId="811" xr:uid="{00000000-0005-0000-0000-00003E0B0000}"/>
    <cellStyle name="20% - uthevingsfarge 4 7" xfId="812" xr:uid="{00000000-0005-0000-0000-00003F0B0000}"/>
    <cellStyle name="20% - uthevingsfarge 4 7 2" xfId="813" xr:uid="{00000000-0005-0000-0000-0000400B0000}"/>
    <cellStyle name="20% - uthevingsfarge 4 7 2 2" xfId="5482" xr:uid="{00000000-0005-0000-0000-0000410B0000}"/>
    <cellStyle name="20% - uthevingsfarge 4 7 2 2 2" xfId="8115" xr:uid="{00000000-0005-0000-0000-0000420B0000}"/>
    <cellStyle name="20% - uthevingsfarge 4 7 2 3" xfId="9976" xr:uid="{00000000-0005-0000-0000-0000430B0000}"/>
    <cellStyle name="20% - uthevingsfarge 4 7 3" xfId="4761" xr:uid="{00000000-0005-0000-0000-0000440B0000}"/>
    <cellStyle name="20% - uthevingsfarge 4 7 3 2" xfId="7414" xr:uid="{00000000-0005-0000-0000-0000450B0000}"/>
    <cellStyle name="20% - uthevingsfarge 4 7 4" xfId="9975" xr:uid="{00000000-0005-0000-0000-0000460B0000}"/>
    <cellStyle name="20% - uthevingsfarge 4 70" xfId="814" xr:uid="{00000000-0005-0000-0000-0000470B0000}"/>
    <cellStyle name="20% - uthevingsfarge 4 70 2" xfId="815" xr:uid="{00000000-0005-0000-0000-0000480B0000}"/>
    <cellStyle name="20% - uthevingsfarge 4 71" xfId="816" xr:uid="{00000000-0005-0000-0000-0000490B0000}"/>
    <cellStyle name="20% - uthevingsfarge 4 71 2" xfId="817" xr:uid="{00000000-0005-0000-0000-00004A0B0000}"/>
    <cellStyle name="20% - uthevingsfarge 4 72" xfId="818" xr:uid="{00000000-0005-0000-0000-00004B0B0000}"/>
    <cellStyle name="20% - uthevingsfarge 4 72 2" xfId="819" xr:uid="{00000000-0005-0000-0000-00004C0B0000}"/>
    <cellStyle name="20% - uthevingsfarge 4 73" xfId="820" xr:uid="{00000000-0005-0000-0000-00004D0B0000}"/>
    <cellStyle name="20% - uthevingsfarge 4 73 2" xfId="821" xr:uid="{00000000-0005-0000-0000-00004E0B0000}"/>
    <cellStyle name="20% - uthevingsfarge 4 74" xfId="822" xr:uid="{00000000-0005-0000-0000-00004F0B0000}"/>
    <cellStyle name="20% - uthevingsfarge 4 74 2" xfId="823" xr:uid="{00000000-0005-0000-0000-0000500B0000}"/>
    <cellStyle name="20% - uthevingsfarge 4 75" xfId="824" xr:uid="{00000000-0005-0000-0000-0000510B0000}"/>
    <cellStyle name="20% - uthevingsfarge 4 75 2" xfId="825" xr:uid="{00000000-0005-0000-0000-0000520B0000}"/>
    <cellStyle name="20% - uthevingsfarge 4 76" xfId="826" xr:uid="{00000000-0005-0000-0000-0000530B0000}"/>
    <cellStyle name="20% - uthevingsfarge 4 76 2" xfId="827" xr:uid="{00000000-0005-0000-0000-0000540B0000}"/>
    <cellStyle name="20% - uthevingsfarge 4 77" xfId="828" xr:uid="{00000000-0005-0000-0000-0000550B0000}"/>
    <cellStyle name="20% - uthevingsfarge 4 78" xfId="829" xr:uid="{00000000-0005-0000-0000-0000560B0000}"/>
    <cellStyle name="20% - uthevingsfarge 4 79" xfId="830" xr:uid="{00000000-0005-0000-0000-0000570B0000}"/>
    <cellStyle name="20% - uthevingsfarge 4 8" xfId="831" xr:uid="{00000000-0005-0000-0000-0000580B0000}"/>
    <cellStyle name="20% - uthevingsfarge 4 8 2" xfId="832" xr:uid="{00000000-0005-0000-0000-0000590B0000}"/>
    <cellStyle name="20% - uthevingsfarge 4 8 2 2" xfId="5483" xr:uid="{00000000-0005-0000-0000-00005A0B0000}"/>
    <cellStyle name="20% - uthevingsfarge 4 8 2 2 2" xfId="8116" xr:uid="{00000000-0005-0000-0000-00005B0B0000}"/>
    <cellStyle name="20% - uthevingsfarge 4 8 2 3" xfId="10720" xr:uid="{00000000-0005-0000-0000-00005C0B0000}"/>
    <cellStyle name="20% - uthevingsfarge 4 8 3" xfId="4762" xr:uid="{00000000-0005-0000-0000-00005D0B0000}"/>
    <cellStyle name="20% - uthevingsfarge 4 8 3 2" xfId="7415" xr:uid="{00000000-0005-0000-0000-00005E0B0000}"/>
    <cellStyle name="20% - uthevingsfarge 4 8 4" xfId="9214" xr:uid="{00000000-0005-0000-0000-00005F0B0000}"/>
    <cellStyle name="20% - uthevingsfarge 4 80" xfId="833" xr:uid="{00000000-0005-0000-0000-0000600B0000}"/>
    <cellStyle name="20% - uthevingsfarge 4 81" xfId="834" xr:uid="{00000000-0005-0000-0000-0000610B0000}"/>
    <cellStyle name="20% - uthevingsfarge 4 82" xfId="835" xr:uid="{00000000-0005-0000-0000-0000620B0000}"/>
    <cellStyle name="20% - uthevingsfarge 4 83" xfId="836" xr:uid="{00000000-0005-0000-0000-0000630B0000}"/>
    <cellStyle name="20% - uthevingsfarge 4 84" xfId="837" xr:uid="{00000000-0005-0000-0000-0000640B0000}"/>
    <cellStyle name="20% - uthevingsfarge 4 85" xfId="838" xr:uid="{00000000-0005-0000-0000-0000650B0000}"/>
    <cellStyle name="20% - uthevingsfarge 4 86" xfId="839" xr:uid="{00000000-0005-0000-0000-0000660B0000}"/>
    <cellStyle name="20% - uthevingsfarge 4 87" xfId="840" xr:uid="{00000000-0005-0000-0000-0000670B0000}"/>
    <cellStyle name="20% - uthevingsfarge 4 88" xfId="841" xr:uid="{00000000-0005-0000-0000-0000680B0000}"/>
    <cellStyle name="20% - uthevingsfarge 4 89" xfId="842" xr:uid="{00000000-0005-0000-0000-0000690B0000}"/>
    <cellStyle name="20% - uthevingsfarge 4 9" xfId="843" xr:uid="{00000000-0005-0000-0000-00006A0B0000}"/>
    <cellStyle name="20% - uthevingsfarge 4 9 2" xfId="844" xr:uid="{00000000-0005-0000-0000-00006B0B0000}"/>
    <cellStyle name="20% - uthevingsfarge 4 9 2 2" xfId="5484" xr:uid="{00000000-0005-0000-0000-00006C0B0000}"/>
    <cellStyle name="20% - uthevingsfarge 4 9 2 2 2" xfId="8117" xr:uid="{00000000-0005-0000-0000-00006D0B0000}"/>
    <cellStyle name="20% - uthevingsfarge 4 9 2 3" xfId="9974" xr:uid="{00000000-0005-0000-0000-00006E0B0000}"/>
    <cellStyle name="20% - uthevingsfarge 4 9 3" xfId="4763" xr:uid="{00000000-0005-0000-0000-00006F0B0000}"/>
    <cellStyle name="20% - uthevingsfarge 4 9 3 2" xfId="7416" xr:uid="{00000000-0005-0000-0000-0000700B0000}"/>
    <cellStyle name="20% - uthevingsfarge 4 9 4" xfId="9986" xr:uid="{00000000-0005-0000-0000-0000710B0000}"/>
    <cellStyle name="20% - uthevingsfarge 4 90" xfId="845" xr:uid="{00000000-0005-0000-0000-0000720B0000}"/>
    <cellStyle name="20% - uthevingsfarge 4 90 2" xfId="2799" xr:uid="{00000000-0005-0000-0000-0000730B0000}"/>
    <cellStyle name="20% - uthevingsfarge 4 90 2 2" xfId="3159" xr:uid="{00000000-0005-0000-0000-0000740B0000}"/>
    <cellStyle name="20% - uthevingsfarge 4 90 2 2 2" xfId="6744" xr:uid="{00000000-0005-0000-0000-0000750B0000}"/>
    <cellStyle name="20% - uthevingsfarge 4 90 2 3" xfId="3754" xr:uid="{00000000-0005-0000-0000-0000760B0000}"/>
    <cellStyle name="20% - uthevingsfarge 4 90 2 4" xfId="6372" xr:uid="{00000000-0005-0000-0000-0000770B0000}"/>
    <cellStyle name="20% - uthevingsfarge 4 90 2 5" xfId="8744" xr:uid="{00000000-0005-0000-0000-0000780B0000}"/>
    <cellStyle name="20% - uthevingsfarge 4 90 3" xfId="3158" xr:uid="{00000000-0005-0000-0000-0000790B0000}"/>
    <cellStyle name="20% - uthevingsfarge 4 90 3 2" xfId="6743" xr:uid="{00000000-0005-0000-0000-00007A0B0000}"/>
    <cellStyle name="20% - uthevingsfarge 4 90 4" xfId="3941" xr:uid="{00000000-0005-0000-0000-00007B0B0000}"/>
    <cellStyle name="20% - uthevingsfarge 4 90 5" xfId="6087" xr:uid="{00000000-0005-0000-0000-00007C0B0000}"/>
    <cellStyle name="20% - uthevingsfarge 4 90 6" xfId="8743" xr:uid="{00000000-0005-0000-0000-00007D0B0000}"/>
    <cellStyle name="20% - uthevingsfarge 4 91" xfId="846" xr:uid="{00000000-0005-0000-0000-00007E0B0000}"/>
    <cellStyle name="20% - uthevingsfarge 4 91 2" xfId="2800" xr:uid="{00000000-0005-0000-0000-00007F0B0000}"/>
    <cellStyle name="20% - uthevingsfarge 4 91 2 2" xfId="3161" xr:uid="{00000000-0005-0000-0000-0000800B0000}"/>
    <cellStyle name="20% - uthevingsfarge 4 91 2 2 2" xfId="6746" xr:uid="{00000000-0005-0000-0000-0000810B0000}"/>
    <cellStyle name="20% - uthevingsfarge 4 91 2 3" xfId="3956" xr:uid="{00000000-0005-0000-0000-0000820B0000}"/>
    <cellStyle name="20% - uthevingsfarge 4 91 2 4" xfId="6373" xr:uid="{00000000-0005-0000-0000-0000830B0000}"/>
    <cellStyle name="20% - uthevingsfarge 4 91 2 5" xfId="8746" xr:uid="{00000000-0005-0000-0000-0000840B0000}"/>
    <cellStyle name="20% - uthevingsfarge 4 91 3" xfId="3160" xr:uid="{00000000-0005-0000-0000-0000850B0000}"/>
    <cellStyle name="20% - uthevingsfarge 4 91 3 2" xfId="6745" xr:uid="{00000000-0005-0000-0000-0000860B0000}"/>
    <cellStyle name="20% - uthevingsfarge 4 91 4" xfId="3890" xr:uid="{00000000-0005-0000-0000-0000870B0000}"/>
    <cellStyle name="20% - uthevingsfarge 4 91 5" xfId="6088" xr:uid="{00000000-0005-0000-0000-0000880B0000}"/>
    <cellStyle name="20% - uthevingsfarge 4 91 6" xfId="8745" xr:uid="{00000000-0005-0000-0000-0000890B0000}"/>
    <cellStyle name="20% - uthevingsfarge 4 92" xfId="847" xr:uid="{00000000-0005-0000-0000-00008A0B0000}"/>
    <cellStyle name="20% - uthevingsfarge 4 92 2" xfId="2801" xr:uid="{00000000-0005-0000-0000-00008B0B0000}"/>
    <cellStyle name="20% - uthevingsfarge 4 92 2 2" xfId="3163" xr:uid="{00000000-0005-0000-0000-00008C0B0000}"/>
    <cellStyle name="20% - uthevingsfarge 4 92 2 2 2" xfId="6748" xr:uid="{00000000-0005-0000-0000-00008D0B0000}"/>
    <cellStyle name="20% - uthevingsfarge 4 92 2 3" xfId="4052" xr:uid="{00000000-0005-0000-0000-00008E0B0000}"/>
    <cellStyle name="20% - uthevingsfarge 4 92 2 4" xfId="6374" xr:uid="{00000000-0005-0000-0000-00008F0B0000}"/>
    <cellStyle name="20% - uthevingsfarge 4 92 2 5" xfId="8748" xr:uid="{00000000-0005-0000-0000-0000900B0000}"/>
    <cellStyle name="20% - uthevingsfarge 4 92 3" xfId="3162" xr:uid="{00000000-0005-0000-0000-0000910B0000}"/>
    <cellStyle name="20% - uthevingsfarge 4 92 3 2" xfId="6747" xr:uid="{00000000-0005-0000-0000-0000920B0000}"/>
    <cellStyle name="20% - uthevingsfarge 4 92 4" xfId="3667" xr:uid="{00000000-0005-0000-0000-0000930B0000}"/>
    <cellStyle name="20% - uthevingsfarge 4 92 5" xfId="6089" xr:uid="{00000000-0005-0000-0000-0000940B0000}"/>
    <cellStyle name="20% - uthevingsfarge 4 92 6" xfId="8747" xr:uid="{00000000-0005-0000-0000-0000950B0000}"/>
    <cellStyle name="20% - uthevingsfarge 4 93" xfId="848" xr:uid="{00000000-0005-0000-0000-0000960B0000}"/>
    <cellStyle name="20% - uthevingsfarge 4 93 2" xfId="2802" xr:uid="{00000000-0005-0000-0000-0000970B0000}"/>
    <cellStyle name="20% - uthevingsfarge 4 93 2 2" xfId="3165" xr:uid="{00000000-0005-0000-0000-0000980B0000}"/>
    <cellStyle name="20% - uthevingsfarge 4 93 2 2 2" xfId="6750" xr:uid="{00000000-0005-0000-0000-0000990B0000}"/>
    <cellStyle name="20% - uthevingsfarge 4 93 2 3" xfId="3910" xr:uid="{00000000-0005-0000-0000-00009A0B0000}"/>
    <cellStyle name="20% - uthevingsfarge 4 93 2 4" xfId="6375" xr:uid="{00000000-0005-0000-0000-00009B0B0000}"/>
    <cellStyle name="20% - uthevingsfarge 4 93 2 5" xfId="8750" xr:uid="{00000000-0005-0000-0000-00009C0B0000}"/>
    <cellStyle name="20% - uthevingsfarge 4 93 3" xfId="3164" xr:uid="{00000000-0005-0000-0000-00009D0B0000}"/>
    <cellStyle name="20% - uthevingsfarge 4 93 3 2" xfId="6749" xr:uid="{00000000-0005-0000-0000-00009E0B0000}"/>
    <cellStyle name="20% - uthevingsfarge 4 93 4" xfId="3984" xr:uid="{00000000-0005-0000-0000-00009F0B0000}"/>
    <cellStyle name="20% - uthevingsfarge 4 93 5" xfId="6090" xr:uid="{00000000-0005-0000-0000-0000A00B0000}"/>
    <cellStyle name="20% - uthevingsfarge 4 93 6" xfId="8749" xr:uid="{00000000-0005-0000-0000-0000A10B0000}"/>
    <cellStyle name="20% - uthevingsfarge 4 94" xfId="849" xr:uid="{00000000-0005-0000-0000-0000A20B0000}"/>
    <cellStyle name="20% - uthevingsfarge 4 94 2" xfId="2803" xr:uid="{00000000-0005-0000-0000-0000A30B0000}"/>
    <cellStyle name="20% - uthevingsfarge 4 94 2 2" xfId="3167" xr:uid="{00000000-0005-0000-0000-0000A40B0000}"/>
    <cellStyle name="20% - uthevingsfarge 4 94 2 2 2" xfId="6752" xr:uid="{00000000-0005-0000-0000-0000A50B0000}"/>
    <cellStyle name="20% - uthevingsfarge 4 94 2 3" xfId="3753" xr:uid="{00000000-0005-0000-0000-0000A60B0000}"/>
    <cellStyle name="20% - uthevingsfarge 4 94 2 4" xfId="6376" xr:uid="{00000000-0005-0000-0000-0000A70B0000}"/>
    <cellStyle name="20% - uthevingsfarge 4 94 2 5" xfId="8752" xr:uid="{00000000-0005-0000-0000-0000A80B0000}"/>
    <cellStyle name="20% - uthevingsfarge 4 94 3" xfId="3166" xr:uid="{00000000-0005-0000-0000-0000A90B0000}"/>
    <cellStyle name="20% - uthevingsfarge 4 94 3 2" xfId="6751" xr:uid="{00000000-0005-0000-0000-0000AA0B0000}"/>
    <cellStyle name="20% - uthevingsfarge 4 94 4" xfId="3940" xr:uid="{00000000-0005-0000-0000-0000AB0B0000}"/>
    <cellStyle name="20% - uthevingsfarge 4 94 5" xfId="6091" xr:uid="{00000000-0005-0000-0000-0000AC0B0000}"/>
    <cellStyle name="20% - uthevingsfarge 4 94 6" xfId="8751" xr:uid="{00000000-0005-0000-0000-0000AD0B0000}"/>
    <cellStyle name="20% - uthevingsfarge 4 95" xfId="850" xr:uid="{00000000-0005-0000-0000-0000AE0B0000}"/>
    <cellStyle name="20% - uthevingsfarge 4 95 2" xfId="2804" xr:uid="{00000000-0005-0000-0000-0000AF0B0000}"/>
    <cellStyle name="20% - uthevingsfarge 4 95 2 2" xfId="3169" xr:uid="{00000000-0005-0000-0000-0000B00B0000}"/>
    <cellStyle name="20% - uthevingsfarge 4 95 2 2 2" xfId="6754" xr:uid="{00000000-0005-0000-0000-0000B10B0000}"/>
    <cellStyle name="20% - uthevingsfarge 4 95 2 3" xfId="3645" xr:uid="{00000000-0005-0000-0000-0000B20B0000}"/>
    <cellStyle name="20% - uthevingsfarge 4 95 2 4" xfId="6377" xr:uid="{00000000-0005-0000-0000-0000B30B0000}"/>
    <cellStyle name="20% - uthevingsfarge 4 95 2 5" xfId="8754" xr:uid="{00000000-0005-0000-0000-0000B40B0000}"/>
    <cellStyle name="20% - uthevingsfarge 4 95 3" xfId="3168" xr:uid="{00000000-0005-0000-0000-0000B50B0000}"/>
    <cellStyle name="20% - uthevingsfarge 4 95 3 2" xfId="6753" xr:uid="{00000000-0005-0000-0000-0000B60B0000}"/>
    <cellStyle name="20% - uthevingsfarge 4 95 4" xfId="4130" xr:uid="{00000000-0005-0000-0000-0000B70B0000}"/>
    <cellStyle name="20% - uthevingsfarge 4 95 5" xfId="6092" xr:uid="{00000000-0005-0000-0000-0000B80B0000}"/>
    <cellStyle name="20% - uthevingsfarge 4 95 6" xfId="8753" xr:uid="{00000000-0005-0000-0000-0000B90B0000}"/>
    <cellStyle name="20% - uthevingsfarge 4 96" xfId="851" xr:uid="{00000000-0005-0000-0000-0000BA0B0000}"/>
    <cellStyle name="20% - uthevingsfarge 4 96 2" xfId="2805" xr:uid="{00000000-0005-0000-0000-0000BB0B0000}"/>
    <cellStyle name="20% - uthevingsfarge 4 96 2 2" xfId="3171" xr:uid="{00000000-0005-0000-0000-0000BC0B0000}"/>
    <cellStyle name="20% - uthevingsfarge 4 96 2 2 2" xfId="6756" xr:uid="{00000000-0005-0000-0000-0000BD0B0000}"/>
    <cellStyle name="20% - uthevingsfarge 4 96 2 3" xfId="4060" xr:uid="{00000000-0005-0000-0000-0000BE0B0000}"/>
    <cellStyle name="20% - uthevingsfarge 4 96 2 4" xfId="6378" xr:uid="{00000000-0005-0000-0000-0000BF0B0000}"/>
    <cellStyle name="20% - uthevingsfarge 4 96 2 5" xfId="8756" xr:uid="{00000000-0005-0000-0000-0000C00B0000}"/>
    <cellStyle name="20% - uthevingsfarge 4 96 3" xfId="3170" xr:uid="{00000000-0005-0000-0000-0000C10B0000}"/>
    <cellStyle name="20% - uthevingsfarge 4 96 3 2" xfId="6755" xr:uid="{00000000-0005-0000-0000-0000C20B0000}"/>
    <cellStyle name="20% - uthevingsfarge 4 96 4" xfId="4131" xr:uid="{00000000-0005-0000-0000-0000C30B0000}"/>
    <cellStyle name="20% - uthevingsfarge 4 96 5" xfId="6093" xr:uid="{00000000-0005-0000-0000-0000C40B0000}"/>
    <cellStyle name="20% - uthevingsfarge 4 96 6" xfId="8755" xr:uid="{00000000-0005-0000-0000-0000C50B0000}"/>
    <cellStyle name="20% - uthevingsfarge 4 97" xfId="852" xr:uid="{00000000-0005-0000-0000-0000C60B0000}"/>
    <cellStyle name="20% - uthevingsfarge 4 97 2" xfId="2806" xr:uid="{00000000-0005-0000-0000-0000C70B0000}"/>
    <cellStyle name="20% - uthevingsfarge 4 97 2 2" xfId="3173" xr:uid="{00000000-0005-0000-0000-0000C80B0000}"/>
    <cellStyle name="20% - uthevingsfarge 4 97 2 2 2" xfId="6758" xr:uid="{00000000-0005-0000-0000-0000C90B0000}"/>
    <cellStyle name="20% - uthevingsfarge 4 97 2 3" xfId="4059" xr:uid="{00000000-0005-0000-0000-0000CA0B0000}"/>
    <cellStyle name="20% - uthevingsfarge 4 97 2 4" xfId="6379" xr:uid="{00000000-0005-0000-0000-0000CB0B0000}"/>
    <cellStyle name="20% - uthevingsfarge 4 97 2 5" xfId="8758" xr:uid="{00000000-0005-0000-0000-0000CC0B0000}"/>
    <cellStyle name="20% - uthevingsfarge 4 97 3" xfId="3172" xr:uid="{00000000-0005-0000-0000-0000CD0B0000}"/>
    <cellStyle name="20% - uthevingsfarge 4 97 3 2" xfId="6757" xr:uid="{00000000-0005-0000-0000-0000CE0B0000}"/>
    <cellStyle name="20% - uthevingsfarge 4 97 4" xfId="4039" xr:uid="{00000000-0005-0000-0000-0000CF0B0000}"/>
    <cellStyle name="20% - uthevingsfarge 4 97 5" xfId="6094" xr:uid="{00000000-0005-0000-0000-0000D00B0000}"/>
    <cellStyle name="20% - uthevingsfarge 4 97 6" xfId="8757" xr:uid="{00000000-0005-0000-0000-0000D10B0000}"/>
    <cellStyle name="20% - uthevingsfarge 4 98" xfId="853" xr:uid="{00000000-0005-0000-0000-0000D20B0000}"/>
    <cellStyle name="20% - uthevingsfarge 4 98 2" xfId="2807" xr:uid="{00000000-0005-0000-0000-0000D30B0000}"/>
    <cellStyle name="20% - uthevingsfarge 4 98 2 2" xfId="3175" xr:uid="{00000000-0005-0000-0000-0000D40B0000}"/>
    <cellStyle name="20% - uthevingsfarge 4 98 2 2 2" xfId="6760" xr:uid="{00000000-0005-0000-0000-0000D50B0000}"/>
    <cellStyle name="20% - uthevingsfarge 4 98 2 3" xfId="3678" xr:uid="{00000000-0005-0000-0000-0000D60B0000}"/>
    <cellStyle name="20% - uthevingsfarge 4 98 2 4" xfId="6380" xr:uid="{00000000-0005-0000-0000-0000D70B0000}"/>
    <cellStyle name="20% - uthevingsfarge 4 98 2 5" xfId="8760" xr:uid="{00000000-0005-0000-0000-0000D80B0000}"/>
    <cellStyle name="20% - uthevingsfarge 4 98 3" xfId="3174" xr:uid="{00000000-0005-0000-0000-0000D90B0000}"/>
    <cellStyle name="20% - uthevingsfarge 4 98 3 2" xfId="6759" xr:uid="{00000000-0005-0000-0000-0000DA0B0000}"/>
    <cellStyle name="20% - uthevingsfarge 4 98 4" xfId="3995" xr:uid="{00000000-0005-0000-0000-0000DB0B0000}"/>
    <cellStyle name="20% - uthevingsfarge 4 98 5" xfId="6095" xr:uid="{00000000-0005-0000-0000-0000DC0B0000}"/>
    <cellStyle name="20% - uthevingsfarge 4 98 6" xfId="8759" xr:uid="{00000000-0005-0000-0000-0000DD0B0000}"/>
    <cellStyle name="20% - uthevingsfarge 4 99" xfId="854" xr:uid="{00000000-0005-0000-0000-0000DE0B0000}"/>
    <cellStyle name="20% - uthevingsfarge 4 99 2" xfId="2808" xr:uid="{00000000-0005-0000-0000-0000DF0B0000}"/>
    <cellStyle name="20% - uthevingsfarge 4 99 2 2" xfId="3177" xr:uid="{00000000-0005-0000-0000-0000E00B0000}"/>
    <cellStyle name="20% - uthevingsfarge 4 99 2 2 2" xfId="6762" xr:uid="{00000000-0005-0000-0000-0000E10B0000}"/>
    <cellStyle name="20% - uthevingsfarge 4 99 2 3" xfId="3672" xr:uid="{00000000-0005-0000-0000-0000E20B0000}"/>
    <cellStyle name="20% - uthevingsfarge 4 99 2 4" xfId="6381" xr:uid="{00000000-0005-0000-0000-0000E30B0000}"/>
    <cellStyle name="20% - uthevingsfarge 4 99 2 5" xfId="8762" xr:uid="{00000000-0005-0000-0000-0000E40B0000}"/>
    <cellStyle name="20% - uthevingsfarge 4 99 3" xfId="3176" xr:uid="{00000000-0005-0000-0000-0000E50B0000}"/>
    <cellStyle name="20% - uthevingsfarge 4 99 3 2" xfId="6761" xr:uid="{00000000-0005-0000-0000-0000E60B0000}"/>
    <cellStyle name="20% - uthevingsfarge 4 99 4" xfId="4009" xr:uid="{00000000-0005-0000-0000-0000E70B0000}"/>
    <cellStyle name="20% - uthevingsfarge 4 99 5" xfId="6096" xr:uid="{00000000-0005-0000-0000-0000E80B0000}"/>
    <cellStyle name="20% - uthevingsfarge 4 99 6" xfId="8761" xr:uid="{00000000-0005-0000-0000-0000E90B0000}"/>
    <cellStyle name="20% - uthevingsfarge 5 10" xfId="855" xr:uid="{00000000-0005-0000-0000-0000EA0B0000}"/>
    <cellStyle name="20% - uthevingsfarge 5 10 2" xfId="856" xr:uid="{00000000-0005-0000-0000-0000EB0B0000}"/>
    <cellStyle name="20% - uthevingsfarge 5 10 2 2" xfId="5485" xr:uid="{00000000-0005-0000-0000-0000EC0B0000}"/>
    <cellStyle name="20% - uthevingsfarge 5 10 2 2 2" xfId="8118" xr:uid="{00000000-0005-0000-0000-0000ED0B0000}"/>
    <cellStyle name="20% - uthevingsfarge 5 10 2 3" xfId="9190" xr:uid="{00000000-0005-0000-0000-0000EE0B0000}"/>
    <cellStyle name="20% - uthevingsfarge 5 10 3" xfId="4764" xr:uid="{00000000-0005-0000-0000-0000EF0B0000}"/>
    <cellStyle name="20% - uthevingsfarge 5 10 3 2" xfId="7417" xr:uid="{00000000-0005-0000-0000-0000F00B0000}"/>
    <cellStyle name="20% - uthevingsfarge 5 10 4" xfId="9198" xr:uid="{00000000-0005-0000-0000-0000F10B0000}"/>
    <cellStyle name="20% - uthevingsfarge 5 100" xfId="857" xr:uid="{00000000-0005-0000-0000-0000F20B0000}"/>
    <cellStyle name="20% - uthevingsfarge 5 100 2" xfId="2809" xr:uid="{00000000-0005-0000-0000-0000F30B0000}"/>
    <cellStyle name="20% - uthevingsfarge 5 100 2 2" xfId="3179" xr:uid="{00000000-0005-0000-0000-0000F40B0000}"/>
    <cellStyle name="20% - uthevingsfarge 5 100 2 2 2" xfId="6764" xr:uid="{00000000-0005-0000-0000-0000F50B0000}"/>
    <cellStyle name="20% - uthevingsfarge 5 100 2 3" xfId="3640" xr:uid="{00000000-0005-0000-0000-0000F60B0000}"/>
    <cellStyle name="20% - uthevingsfarge 5 100 2 4" xfId="6382" xr:uid="{00000000-0005-0000-0000-0000F70B0000}"/>
    <cellStyle name="20% - uthevingsfarge 5 100 2 5" xfId="8764" xr:uid="{00000000-0005-0000-0000-0000F80B0000}"/>
    <cellStyle name="20% - uthevingsfarge 5 100 3" xfId="3178" xr:uid="{00000000-0005-0000-0000-0000F90B0000}"/>
    <cellStyle name="20% - uthevingsfarge 5 100 3 2" xfId="6763" xr:uid="{00000000-0005-0000-0000-0000FA0B0000}"/>
    <cellStyle name="20% - uthevingsfarge 5 100 4" xfId="3633" xr:uid="{00000000-0005-0000-0000-0000FB0B0000}"/>
    <cellStyle name="20% - uthevingsfarge 5 100 5" xfId="6097" xr:uid="{00000000-0005-0000-0000-0000FC0B0000}"/>
    <cellStyle name="20% - uthevingsfarge 5 100 6" xfId="8763" xr:uid="{00000000-0005-0000-0000-0000FD0B0000}"/>
    <cellStyle name="20% - uthevingsfarge 5 101" xfId="858" xr:uid="{00000000-0005-0000-0000-0000FE0B0000}"/>
    <cellStyle name="20% - uthevingsfarge 5 101 2" xfId="2810" xr:uid="{00000000-0005-0000-0000-0000FF0B0000}"/>
    <cellStyle name="20% - uthevingsfarge 5 101 2 2" xfId="3181" xr:uid="{00000000-0005-0000-0000-0000000C0000}"/>
    <cellStyle name="20% - uthevingsfarge 5 101 2 2 2" xfId="6766" xr:uid="{00000000-0005-0000-0000-0000010C0000}"/>
    <cellStyle name="20% - uthevingsfarge 5 101 2 3" xfId="3605" xr:uid="{00000000-0005-0000-0000-0000020C0000}"/>
    <cellStyle name="20% - uthevingsfarge 5 101 2 4" xfId="6383" xr:uid="{00000000-0005-0000-0000-0000030C0000}"/>
    <cellStyle name="20% - uthevingsfarge 5 101 2 5" xfId="8766" xr:uid="{00000000-0005-0000-0000-0000040C0000}"/>
    <cellStyle name="20% - uthevingsfarge 5 101 3" xfId="3180" xr:uid="{00000000-0005-0000-0000-0000050C0000}"/>
    <cellStyle name="20% - uthevingsfarge 5 101 3 2" xfId="6765" xr:uid="{00000000-0005-0000-0000-0000060C0000}"/>
    <cellStyle name="20% - uthevingsfarge 5 101 4" xfId="3939" xr:uid="{00000000-0005-0000-0000-0000070C0000}"/>
    <cellStyle name="20% - uthevingsfarge 5 101 5" xfId="6098" xr:uid="{00000000-0005-0000-0000-0000080C0000}"/>
    <cellStyle name="20% - uthevingsfarge 5 101 6" xfId="8765" xr:uid="{00000000-0005-0000-0000-0000090C0000}"/>
    <cellStyle name="20% - uthevingsfarge 5 102" xfId="859" xr:uid="{00000000-0005-0000-0000-00000A0C0000}"/>
    <cellStyle name="20% - uthevingsfarge 5 102 2" xfId="2811" xr:uid="{00000000-0005-0000-0000-00000B0C0000}"/>
    <cellStyle name="20% - uthevingsfarge 5 102 2 2" xfId="3183" xr:uid="{00000000-0005-0000-0000-00000C0C0000}"/>
    <cellStyle name="20% - uthevingsfarge 5 102 2 2 2" xfId="6768" xr:uid="{00000000-0005-0000-0000-00000D0C0000}"/>
    <cellStyle name="20% - uthevingsfarge 5 102 2 3" xfId="3636" xr:uid="{00000000-0005-0000-0000-00000E0C0000}"/>
    <cellStyle name="20% - uthevingsfarge 5 102 2 4" xfId="6384" xr:uid="{00000000-0005-0000-0000-00000F0C0000}"/>
    <cellStyle name="20% - uthevingsfarge 5 102 2 5" xfId="8768" xr:uid="{00000000-0005-0000-0000-0000100C0000}"/>
    <cellStyle name="20% - uthevingsfarge 5 102 3" xfId="3182" xr:uid="{00000000-0005-0000-0000-0000110C0000}"/>
    <cellStyle name="20% - uthevingsfarge 5 102 3 2" xfId="6767" xr:uid="{00000000-0005-0000-0000-0000120C0000}"/>
    <cellStyle name="20% - uthevingsfarge 5 102 4" xfId="3889" xr:uid="{00000000-0005-0000-0000-0000130C0000}"/>
    <cellStyle name="20% - uthevingsfarge 5 102 5" xfId="6099" xr:uid="{00000000-0005-0000-0000-0000140C0000}"/>
    <cellStyle name="20% - uthevingsfarge 5 102 6" xfId="8767" xr:uid="{00000000-0005-0000-0000-0000150C0000}"/>
    <cellStyle name="20% - uthevingsfarge 5 103" xfId="860" xr:uid="{00000000-0005-0000-0000-0000160C0000}"/>
    <cellStyle name="20% - uthevingsfarge 5 103 2" xfId="2812" xr:uid="{00000000-0005-0000-0000-0000170C0000}"/>
    <cellStyle name="20% - uthevingsfarge 5 103 2 2" xfId="3185" xr:uid="{00000000-0005-0000-0000-0000180C0000}"/>
    <cellStyle name="20% - uthevingsfarge 5 103 2 2 2" xfId="6770" xr:uid="{00000000-0005-0000-0000-0000190C0000}"/>
    <cellStyle name="20% - uthevingsfarge 5 103 2 3" xfId="4003" xr:uid="{00000000-0005-0000-0000-00001A0C0000}"/>
    <cellStyle name="20% - uthevingsfarge 5 103 2 4" xfId="6385" xr:uid="{00000000-0005-0000-0000-00001B0C0000}"/>
    <cellStyle name="20% - uthevingsfarge 5 103 2 5" xfId="8770" xr:uid="{00000000-0005-0000-0000-00001C0C0000}"/>
    <cellStyle name="20% - uthevingsfarge 5 103 3" xfId="3184" xr:uid="{00000000-0005-0000-0000-00001D0C0000}"/>
    <cellStyle name="20% - uthevingsfarge 5 103 3 2" xfId="6769" xr:uid="{00000000-0005-0000-0000-00001E0C0000}"/>
    <cellStyle name="20% - uthevingsfarge 5 103 4" xfId="3666" xr:uid="{00000000-0005-0000-0000-00001F0C0000}"/>
    <cellStyle name="20% - uthevingsfarge 5 103 5" xfId="6100" xr:uid="{00000000-0005-0000-0000-0000200C0000}"/>
    <cellStyle name="20% - uthevingsfarge 5 103 6" xfId="8769" xr:uid="{00000000-0005-0000-0000-0000210C0000}"/>
    <cellStyle name="20% - uthevingsfarge 5 104" xfId="861" xr:uid="{00000000-0005-0000-0000-0000220C0000}"/>
    <cellStyle name="20% - uthevingsfarge 5 104 2" xfId="2813" xr:uid="{00000000-0005-0000-0000-0000230C0000}"/>
    <cellStyle name="20% - uthevingsfarge 5 104 2 2" xfId="3187" xr:uid="{00000000-0005-0000-0000-0000240C0000}"/>
    <cellStyle name="20% - uthevingsfarge 5 104 2 2 2" xfId="6772" xr:uid="{00000000-0005-0000-0000-0000250C0000}"/>
    <cellStyle name="20% - uthevingsfarge 5 104 2 3" xfId="3992" xr:uid="{00000000-0005-0000-0000-0000260C0000}"/>
    <cellStyle name="20% - uthevingsfarge 5 104 2 4" xfId="6386" xr:uid="{00000000-0005-0000-0000-0000270C0000}"/>
    <cellStyle name="20% - uthevingsfarge 5 104 2 5" xfId="8772" xr:uid="{00000000-0005-0000-0000-0000280C0000}"/>
    <cellStyle name="20% - uthevingsfarge 5 104 3" xfId="3186" xr:uid="{00000000-0005-0000-0000-0000290C0000}"/>
    <cellStyle name="20% - uthevingsfarge 5 104 3 2" xfId="6771" xr:uid="{00000000-0005-0000-0000-00002A0C0000}"/>
    <cellStyle name="20% - uthevingsfarge 5 104 4" xfId="3983" xr:uid="{00000000-0005-0000-0000-00002B0C0000}"/>
    <cellStyle name="20% - uthevingsfarge 5 104 5" xfId="6101" xr:uid="{00000000-0005-0000-0000-00002C0C0000}"/>
    <cellStyle name="20% - uthevingsfarge 5 104 6" xfId="8771" xr:uid="{00000000-0005-0000-0000-00002D0C0000}"/>
    <cellStyle name="20% - uthevingsfarge 5 105" xfId="862" xr:uid="{00000000-0005-0000-0000-00002E0C0000}"/>
    <cellStyle name="20% - uthevingsfarge 5 105 2" xfId="2814" xr:uid="{00000000-0005-0000-0000-00002F0C0000}"/>
    <cellStyle name="20% - uthevingsfarge 5 105 2 2" xfId="3189" xr:uid="{00000000-0005-0000-0000-0000300C0000}"/>
    <cellStyle name="20% - uthevingsfarge 5 105 2 2 2" xfId="6774" xr:uid="{00000000-0005-0000-0000-0000310C0000}"/>
    <cellStyle name="20% - uthevingsfarge 5 105 2 3" xfId="3675" xr:uid="{00000000-0005-0000-0000-0000320C0000}"/>
    <cellStyle name="20% - uthevingsfarge 5 105 2 4" xfId="6387" xr:uid="{00000000-0005-0000-0000-0000330C0000}"/>
    <cellStyle name="20% - uthevingsfarge 5 105 2 5" xfId="8774" xr:uid="{00000000-0005-0000-0000-0000340C0000}"/>
    <cellStyle name="20% - uthevingsfarge 5 105 3" xfId="3188" xr:uid="{00000000-0005-0000-0000-0000350C0000}"/>
    <cellStyle name="20% - uthevingsfarge 5 105 3 2" xfId="6773" xr:uid="{00000000-0005-0000-0000-0000360C0000}"/>
    <cellStyle name="20% - uthevingsfarge 5 105 4" xfId="3938" xr:uid="{00000000-0005-0000-0000-0000370C0000}"/>
    <cellStyle name="20% - uthevingsfarge 5 105 5" xfId="6102" xr:uid="{00000000-0005-0000-0000-0000380C0000}"/>
    <cellStyle name="20% - uthevingsfarge 5 105 6" xfId="8773" xr:uid="{00000000-0005-0000-0000-0000390C0000}"/>
    <cellStyle name="20% - uthevingsfarge 5 106" xfId="863" xr:uid="{00000000-0005-0000-0000-00003A0C0000}"/>
    <cellStyle name="20% - uthevingsfarge 5 106 2" xfId="2815" xr:uid="{00000000-0005-0000-0000-00003B0C0000}"/>
    <cellStyle name="20% - uthevingsfarge 5 106 2 2" xfId="3191" xr:uid="{00000000-0005-0000-0000-00003C0C0000}"/>
    <cellStyle name="20% - uthevingsfarge 5 106 2 2 2" xfId="6776" xr:uid="{00000000-0005-0000-0000-00003D0C0000}"/>
    <cellStyle name="20% - uthevingsfarge 5 106 2 3" xfId="3639" xr:uid="{00000000-0005-0000-0000-00003E0C0000}"/>
    <cellStyle name="20% - uthevingsfarge 5 106 2 4" xfId="6388" xr:uid="{00000000-0005-0000-0000-00003F0C0000}"/>
    <cellStyle name="20% - uthevingsfarge 5 106 2 5" xfId="8776" xr:uid="{00000000-0005-0000-0000-0000400C0000}"/>
    <cellStyle name="20% - uthevingsfarge 5 106 3" xfId="3190" xr:uid="{00000000-0005-0000-0000-0000410C0000}"/>
    <cellStyle name="20% - uthevingsfarge 5 106 3 2" xfId="6775" xr:uid="{00000000-0005-0000-0000-0000420C0000}"/>
    <cellStyle name="20% - uthevingsfarge 5 106 4" xfId="4128" xr:uid="{00000000-0005-0000-0000-0000430C0000}"/>
    <cellStyle name="20% - uthevingsfarge 5 106 5" xfId="6103" xr:uid="{00000000-0005-0000-0000-0000440C0000}"/>
    <cellStyle name="20% - uthevingsfarge 5 106 6" xfId="8775" xr:uid="{00000000-0005-0000-0000-0000450C0000}"/>
    <cellStyle name="20% - uthevingsfarge 5 107" xfId="864" xr:uid="{00000000-0005-0000-0000-0000460C0000}"/>
    <cellStyle name="20% - uthevingsfarge 5 107 2" xfId="2816" xr:uid="{00000000-0005-0000-0000-0000470C0000}"/>
    <cellStyle name="20% - uthevingsfarge 5 107 2 2" xfId="3193" xr:uid="{00000000-0005-0000-0000-0000480C0000}"/>
    <cellStyle name="20% - uthevingsfarge 5 107 2 2 2" xfId="6778" xr:uid="{00000000-0005-0000-0000-0000490C0000}"/>
    <cellStyle name="20% - uthevingsfarge 5 107 2 3" xfId="3677" xr:uid="{00000000-0005-0000-0000-00004A0C0000}"/>
    <cellStyle name="20% - uthevingsfarge 5 107 2 4" xfId="6389" xr:uid="{00000000-0005-0000-0000-00004B0C0000}"/>
    <cellStyle name="20% - uthevingsfarge 5 107 2 5" xfId="8778" xr:uid="{00000000-0005-0000-0000-00004C0C0000}"/>
    <cellStyle name="20% - uthevingsfarge 5 107 3" xfId="3192" xr:uid="{00000000-0005-0000-0000-00004D0C0000}"/>
    <cellStyle name="20% - uthevingsfarge 5 107 3 2" xfId="6777" xr:uid="{00000000-0005-0000-0000-00004E0C0000}"/>
    <cellStyle name="20% - uthevingsfarge 5 107 4" xfId="3632" xr:uid="{00000000-0005-0000-0000-00004F0C0000}"/>
    <cellStyle name="20% - uthevingsfarge 5 107 5" xfId="6104" xr:uid="{00000000-0005-0000-0000-0000500C0000}"/>
    <cellStyle name="20% - uthevingsfarge 5 107 6" xfId="8777" xr:uid="{00000000-0005-0000-0000-0000510C0000}"/>
    <cellStyle name="20% - uthevingsfarge 5 108" xfId="865" xr:uid="{00000000-0005-0000-0000-0000520C0000}"/>
    <cellStyle name="20% - uthevingsfarge 5 108 2" xfId="2817" xr:uid="{00000000-0005-0000-0000-0000530C0000}"/>
    <cellStyle name="20% - uthevingsfarge 5 108 2 2" xfId="3195" xr:uid="{00000000-0005-0000-0000-0000540C0000}"/>
    <cellStyle name="20% - uthevingsfarge 5 108 2 2 2" xfId="6780" xr:uid="{00000000-0005-0000-0000-0000550C0000}"/>
    <cellStyle name="20% - uthevingsfarge 5 108 2 3" xfId="3604" xr:uid="{00000000-0005-0000-0000-0000560C0000}"/>
    <cellStyle name="20% - uthevingsfarge 5 108 2 4" xfId="6390" xr:uid="{00000000-0005-0000-0000-0000570C0000}"/>
    <cellStyle name="20% - uthevingsfarge 5 108 2 5" xfId="8780" xr:uid="{00000000-0005-0000-0000-0000580C0000}"/>
    <cellStyle name="20% - uthevingsfarge 5 108 3" xfId="3194" xr:uid="{00000000-0005-0000-0000-0000590C0000}"/>
    <cellStyle name="20% - uthevingsfarge 5 108 3 2" xfId="6779" xr:uid="{00000000-0005-0000-0000-00005A0C0000}"/>
    <cellStyle name="20% - uthevingsfarge 5 108 4" xfId="3631" xr:uid="{00000000-0005-0000-0000-00005B0C0000}"/>
    <cellStyle name="20% - uthevingsfarge 5 108 5" xfId="6105" xr:uid="{00000000-0005-0000-0000-00005C0C0000}"/>
    <cellStyle name="20% - uthevingsfarge 5 108 6" xfId="8779" xr:uid="{00000000-0005-0000-0000-00005D0C0000}"/>
    <cellStyle name="20% - uthevingsfarge 5 109" xfId="866" xr:uid="{00000000-0005-0000-0000-00005E0C0000}"/>
    <cellStyle name="20% - uthevingsfarge 5 109 2" xfId="2818" xr:uid="{00000000-0005-0000-0000-00005F0C0000}"/>
    <cellStyle name="20% - uthevingsfarge 5 109 2 2" xfId="3197" xr:uid="{00000000-0005-0000-0000-0000600C0000}"/>
    <cellStyle name="20% - uthevingsfarge 5 109 2 2 2" xfId="6782" xr:uid="{00000000-0005-0000-0000-0000610C0000}"/>
    <cellStyle name="20% - uthevingsfarge 5 109 2 3" xfId="3752" xr:uid="{00000000-0005-0000-0000-0000620C0000}"/>
    <cellStyle name="20% - uthevingsfarge 5 109 2 4" xfId="6391" xr:uid="{00000000-0005-0000-0000-0000630C0000}"/>
    <cellStyle name="20% - uthevingsfarge 5 109 2 5" xfId="8782" xr:uid="{00000000-0005-0000-0000-0000640C0000}"/>
    <cellStyle name="20% - uthevingsfarge 5 109 3" xfId="3196" xr:uid="{00000000-0005-0000-0000-0000650C0000}"/>
    <cellStyle name="20% - uthevingsfarge 5 109 3 2" xfId="6781" xr:uid="{00000000-0005-0000-0000-0000660C0000}"/>
    <cellStyle name="20% - uthevingsfarge 5 109 4" xfId="3937" xr:uid="{00000000-0005-0000-0000-0000670C0000}"/>
    <cellStyle name="20% - uthevingsfarge 5 109 5" xfId="6106" xr:uid="{00000000-0005-0000-0000-0000680C0000}"/>
    <cellStyle name="20% - uthevingsfarge 5 109 6" xfId="8781" xr:uid="{00000000-0005-0000-0000-0000690C0000}"/>
    <cellStyle name="20% - uthevingsfarge 5 11" xfId="867" xr:uid="{00000000-0005-0000-0000-00006A0C0000}"/>
    <cellStyle name="20% - uthevingsfarge 5 11 2" xfId="868" xr:uid="{00000000-0005-0000-0000-00006B0C0000}"/>
    <cellStyle name="20% - uthevingsfarge 5 11 2 2" xfId="5486" xr:uid="{00000000-0005-0000-0000-00006C0C0000}"/>
    <cellStyle name="20% - uthevingsfarge 5 11 2 2 2" xfId="8119" xr:uid="{00000000-0005-0000-0000-00006D0C0000}"/>
    <cellStyle name="20% - uthevingsfarge 5 11 2 3" xfId="9585" xr:uid="{00000000-0005-0000-0000-00006E0C0000}"/>
    <cellStyle name="20% - uthevingsfarge 5 11 3" xfId="4765" xr:uid="{00000000-0005-0000-0000-00006F0C0000}"/>
    <cellStyle name="20% - uthevingsfarge 5 11 3 2" xfId="7418" xr:uid="{00000000-0005-0000-0000-0000700C0000}"/>
    <cellStyle name="20% - uthevingsfarge 5 11 4" xfId="9973" xr:uid="{00000000-0005-0000-0000-0000710C0000}"/>
    <cellStyle name="20% - uthevingsfarge 5 110" xfId="6595" xr:uid="{00000000-0005-0000-0000-0000720C0000}"/>
    <cellStyle name="20% - uthevingsfarge 5 111" xfId="8598" xr:uid="{00000000-0005-0000-0000-0000730C0000}"/>
    <cellStyle name="20% - uthevingsfarge 5 12" xfId="869" xr:uid="{00000000-0005-0000-0000-0000740C0000}"/>
    <cellStyle name="20% - uthevingsfarge 5 12 2" xfId="870" xr:uid="{00000000-0005-0000-0000-0000750C0000}"/>
    <cellStyle name="20% - uthevingsfarge 5 12 2 2" xfId="5487" xr:uid="{00000000-0005-0000-0000-0000760C0000}"/>
    <cellStyle name="20% - uthevingsfarge 5 12 2 2 2" xfId="8120" xr:uid="{00000000-0005-0000-0000-0000770C0000}"/>
    <cellStyle name="20% - uthevingsfarge 5 12 2 3" xfId="9213" xr:uid="{00000000-0005-0000-0000-0000780C0000}"/>
    <cellStyle name="20% - uthevingsfarge 5 12 3" xfId="4766" xr:uid="{00000000-0005-0000-0000-0000790C0000}"/>
    <cellStyle name="20% - uthevingsfarge 5 12 3 2" xfId="7419" xr:uid="{00000000-0005-0000-0000-00007A0C0000}"/>
    <cellStyle name="20% - uthevingsfarge 5 12 4" xfId="9212" xr:uid="{00000000-0005-0000-0000-00007B0C0000}"/>
    <cellStyle name="20% - uthevingsfarge 5 13" xfId="871" xr:uid="{00000000-0005-0000-0000-00007C0C0000}"/>
    <cellStyle name="20% - uthevingsfarge 5 13 2" xfId="872" xr:uid="{00000000-0005-0000-0000-00007D0C0000}"/>
    <cellStyle name="20% - uthevingsfarge 5 13 2 2" xfId="5488" xr:uid="{00000000-0005-0000-0000-00007E0C0000}"/>
    <cellStyle name="20% - uthevingsfarge 5 13 2 2 2" xfId="8121" xr:uid="{00000000-0005-0000-0000-00007F0C0000}"/>
    <cellStyle name="20% - uthevingsfarge 5 13 2 3" xfId="9211" xr:uid="{00000000-0005-0000-0000-0000800C0000}"/>
    <cellStyle name="20% - uthevingsfarge 5 13 3" xfId="4767" xr:uid="{00000000-0005-0000-0000-0000810C0000}"/>
    <cellStyle name="20% - uthevingsfarge 5 13 3 2" xfId="7420" xr:uid="{00000000-0005-0000-0000-0000820C0000}"/>
    <cellStyle name="20% - uthevingsfarge 5 13 4" xfId="9210" xr:uid="{00000000-0005-0000-0000-0000830C0000}"/>
    <cellStyle name="20% - uthevingsfarge 5 14" xfId="873" xr:uid="{00000000-0005-0000-0000-0000840C0000}"/>
    <cellStyle name="20% - uthevingsfarge 5 14 2" xfId="874" xr:uid="{00000000-0005-0000-0000-0000850C0000}"/>
    <cellStyle name="20% - uthevingsfarge 5 14 2 2" xfId="5489" xr:uid="{00000000-0005-0000-0000-0000860C0000}"/>
    <cellStyle name="20% - uthevingsfarge 5 14 2 2 2" xfId="8122" xr:uid="{00000000-0005-0000-0000-0000870C0000}"/>
    <cellStyle name="20% - uthevingsfarge 5 14 2 3" xfId="10719" xr:uid="{00000000-0005-0000-0000-0000880C0000}"/>
    <cellStyle name="20% - uthevingsfarge 5 14 3" xfId="4768" xr:uid="{00000000-0005-0000-0000-0000890C0000}"/>
    <cellStyle name="20% - uthevingsfarge 5 14 3 2" xfId="7421" xr:uid="{00000000-0005-0000-0000-00008A0C0000}"/>
    <cellStyle name="20% - uthevingsfarge 5 14 4" xfId="9972" xr:uid="{00000000-0005-0000-0000-00008B0C0000}"/>
    <cellStyle name="20% - uthevingsfarge 5 15" xfId="875" xr:uid="{00000000-0005-0000-0000-00008C0C0000}"/>
    <cellStyle name="20% - uthevingsfarge 5 15 2" xfId="876" xr:uid="{00000000-0005-0000-0000-00008D0C0000}"/>
    <cellStyle name="20% - uthevingsfarge 5 15 2 2" xfId="5490" xr:uid="{00000000-0005-0000-0000-00008E0C0000}"/>
    <cellStyle name="20% - uthevingsfarge 5 15 2 2 2" xfId="8123" xr:uid="{00000000-0005-0000-0000-00008F0C0000}"/>
    <cellStyle name="20% - uthevingsfarge 5 15 2 3" xfId="9971" xr:uid="{00000000-0005-0000-0000-0000900C0000}"/>
    <cellStyle name="20% - uthevingsfarge 5 15 3" xfId="4769" xr:uid="{00000000-0005-0000-0000-0000910C0000}"/>
    <cellStyle name="20% - uthevingsfarge 5 15 3 2" xfId="7422" xr:uid="{00000000-0005-0000-0000-0000920C0000}"/>
    <cellStyle name="20% - uthevingsfarge 5 15 4" xfId="9970" xr:uid="{00000000-0005-0000-0000-0000930C0000}"/>
    <cellStyle name="20% - uthevingsfarge 5 16" xfId="877" xr:uid="{00000000-0005-0000-0000-0000940C0000}"/>
    <cellStyle name="20% - uthevingsfarge 5 16 2" xfId="878" xr:uid="{00000000-0005-0000-0000-0000950C0000}"/>
    <cellStyle name="20% - uthevingsfarge 5 16 2 2" xfId="5491" xr:uid="{00000000-0005-0000-0000-0000960C0000}"/>
    <cellStyle name="20% - uthevingsfarge 5 16 2 2 2" xfId="8124" xr:uid="{00000000-0005-0000-0000-0000970C0000}"/>
    <cellStyle name="20% - uthevingsfarge 5 16 2 3" xfId="9969" xr:uid="{00000000-0005-0000-0000-0000980C0000}"/>
    <cellStyle name="20% - uthevingsfarge 5 16 3" xfId="4770" xr:uid="{00000000-0005-0000-0000-0000990C0000}"/>
    <cellStyle name="20% - uthevingsfarge 5 16 3 2" xfId="7423" xr:uid="{00000000-0005-0000-0000-00009A0C0000}"/>
    <cellStyle name="20% - uthevingsfarge 5 16 4" xfId="9968" xr:uid="{00000000-0005-0000-0000-00009B0C0000}"/>
    <cellStyle name="20% - uthevingsfarge 5 17" xfId="879" xr:uid="{00000000-0005-0000-0000-00009C0C0000}"/>
    <cellStyle name="20% - uthevingsfarge 5 17 2" xfId="880" xr:uid="{00000000-0005-0000-0000-00009D0C0000}"/>
    <cellStyle name="20% - uthevingsfarge 5 17 2 2" xfId="5492" xr:uid="{00000000-0005-0000-0000-00009E0C0000}"/>
    <cellStyle name="20% - uthevingsfarge 5 17 2 2 2" xfId="8125" xr:uid="{00000000-0005-0000-0000-00009F0C0000}"/>
    <cellStyle name="20% - uthevingsfarge 5 17 2 3" xfId="9967" xr:uid="{00000000-0005-0000-0000-0000A00C0000}"/>
    <cellStyle name="20% - uthevingsfarge 5 17 3" xfId="4771" xr:uid="{00000000-0005-0000-0000-0000A10C0000}"/>
    <cellStyle name="20% - uthevingsfarge 5 17 3 2" xfId="7424" xr:uid="{00000000-0005-0000-0000-0000A20C0000}"/>
    <cellStyle name="20% - uthevingsfarge 5 17 4" xfId="10718" xr:uid="{00000000-0005-0000-0000-0000A30C0000}"/>
    <cellStyle name="20% - uthevingsfarge 5 18" xfId="881" xr:uid="{00000000-0005-0000-0000-0000A40C0000}"/>
    <cellStyle name="20% - uthevingsfarge 5 18 2" xfId="882" xr:uid="{00000000-0005-0000-0000-0000A50C0000}"/>
    <cellStyle name="20% - uthevingsfarge 5 18 2 2" xfId="5493" xr:uid="{00000000-0005-0000-0000-0000A60C0000}"/>
    <cellStyle name="20% - uthevingsfarge 5 18 2 2 2" xfId="8126" xr:uid="{00000000-0005-0000-0000-0000A70C0000}"/>
    <cellStyle name="20% - uthevingsfarge 5 18 2 3" xfId="10717" xr:uid="{00000000-0005-0000-0000-0000A80C0000}"/>
    <cellStyle name="20% - uthevingsfarge 5 18 3" xfId="4772" xr:uid="{00000000-0005-0000-0000-0000A90C0000}"/>
    <cellStyle name="20% - uthevingsfarge 5 18 3 2" xfId="7425" xr:uid="{00000000-0005-0000-0000-0000AA0C0000}"/>
    <cellStyle name="20% - uthevingsfarge 5 18 4" xfId="9584" xr:uid="{00000000-0005-0000-0000-0000AB0C0000}"/>
    <cellStyle name="20% - uthevingsfarge 5 19" xfId="883" xr:uid="{00000000-0005-0000-0000-0000AC0C0000}"/>
    <cellStyle name="20% - uthevingsfarge 5 19 2" xfId="884" xr:uid="{00000000-0005-0000-0000-0000AD0C0000}"/>
    <cellStyle name="20% - uthevingsfarge 5 19 2 2" xfId="5494" xr:uid="{00000000-0005-0000-0000-0000AE0C0000}"/>
    <cellStyle name="20% - uthevingsfarge 5 19 2 2 2" xfId="8127" xr:uid="{00000000-0005-0000-0000-0000AF0C0000}"/>
    <cellStyle name="20% - uthevingsfarge 5 19 2 3" xfId="9197" xr:uid="{00000000-0005-0000-0000-0000B00C0000}"/>
    <cellStyle name="20% - uthevingsfarge 5 19 3" xfId="4773" xr:uid="{00000000-0005-0000-0000-0000B10C0000}"/>
    <cellStyle name="20% - uthevingsfarge 5 19 3 2" xfId="7426" xr:uid="{00000000-0005-0000-0000-0000B20C0000}"/>
    <cellStyle name="20% - uthevingsfarge 5 19 4" xfId="9208" xr:uid="{00000000-0005-0000-0000-0000B30C0000}"/>
    <cellStyle name="20% - uthevingsfarge 5 2" xfId="65" xr:uid="{00000000-0005-0000-0000-0000B40C0000}"/>
    <cellStyle name="20% - uthevingsfarge 5 2 2" xfId="885" xr:uid="{00000000-0005-0000-0000-0000B50C0000}"/>
    <cellStyle name="20% - uthevingsfarge 5 2 2 2" xfId="5495" xr:uid="{00000000-0005-0000-0000-0000B60C0000}"/>
    <cellStyle name="20% - uthevingsfarge 5 2 2 2 2" xfId="8128" xr:uid="{00000000-0005-0000-0000-0000B70C0000}"/>
    <cellStyle name="20% - uthevingsfarge 5 2 2 3" xfId="9583" xr:uid="{00000000-0005-0000-0000-0000B80C0000}"/>
    <cellStyle name="20% - uthevingsfarge 5 2 3" xfId="4774" xr:uid="{00000000-0005-0000-0000-0000B90C0000}"/>
    <cellStyle name="20% - uthevingsfarge 5 2 3 2" xfId="7427" xr:uid="{00000000-0005-0000-0000-0000BA0C0000}"/>
    <cellStyle name="20% - uthevingsfarge 5 2 4" xfId="9582" xr:uid="{00000000-0005-0000-0000-0000BB0C0000}"/>
    <cellStyle name="20% - uthevingsfarge 5 20" xfId="886" xr:uid="{00000000-0005-0000-0000-0000BC0C0000}"/>
    <cellStyle name="20% - uthevingsfarge 5 20 2" xfId="887" xr:uid="{00000000-0005-0000-0000-0000BD0C0000}"/>
    <cellStyle name="20% - uthevingsfarge 5 20 2 2" xfId="5496" xr:uid="{00000000-0005-0000-0000-0000BE0C0000}"/>
    <cellStyle name="20% - uthevingsfarge 5 20 2 2 2" xfId="8129" xr:uid="{00000000-0005-0000-0000-0000BF0C0000}"/>
    <cellStyle name="20% - uthevingsfarge 5 20 2 3" xfId="9581" xr:uid="{00000000-0005-0000-0000-0000C00C0000}"/>
    <cellStyle name="20% - uthevingsfarge 5 20 3" xfId="4775" xr:uid="{00000000-0005-0000-0000-0000C10C0000}"/>
    <cellStyle name="20% - uthevingsfarge 5 20 3 2" xfId="7428" xr:uid="{00000000-0005-0000-0000-0000C20C0000}"/>
    <cellStyle name="20% - uthevingsfarge 5 20 4" xfId="9580" xr:uid="{00000000-0005-0000-0000-0000C30C0000}"/>
    <cellStyle name="20% - uthevingsfarge 5 21" xfId="888" xr:uid="{00000000-0005-0000-0000-0000C40C0000}"/>
    <cellStyle name="20% - uthevingsfarge 5 21 2" xfId="889" xr:uid="{00000000-0005-0000-0000-0000C50C0000}"/>
    <cellStyle name="20% - uthevingsfarge 5 21 2 2" xfId="5497" xr:uid="{00000000-0005-0000-0000-0000C60C0000}"/>
    <cellStyle name="20% - uthevingsfarge 5 21 2 2 2" xfId="8130" xr:uid="{00000000-0005-0000-0000-0000C70C0000}"/>
    <cellStyle name="20% - uthevingsfarge 5 21 2 3" xfId="9966" xr:uid="{00000000-0005-0000-0000-0000C80C0000}"/>
    <cellStyle name="20% - uthevingsfarge 5 21 3" xfId="4776" xr:uid="{00000000-0005-0000-0000-0000C90C0000}"/>
    <cellStyle name="20% - uthevingsfarge 5 21 3 2" xfId="7429" xr:uid="{00000000-0005-0000-0000-0000CA0C0000}"/>
    <cellStyle name="20% - uthevingsfarge 5 21 4" xfId="9965" xr:uid="{00000000-0005-0000-0000-0000CB0C0000}"/>
    <cellStyle name="20% - uthevingsfarge 5 22" xfId="890" xr:uid="{00000000-0005-0000-0000-0000CC0C0000}"/>
    <cellStyle name="20% - uthevingsfarge 5 22 2" xfId="891" xr:uid="{00000000-0005-0000-0000-0000CD0C0000}"/>
    <cellStyle name="20% - uthevingsfarge 5 22 2 2" xfId="5498" xr:uid="{00000000-0005-0000-0000-0000CE0C0000}"/>
    <cellStyle name="20% - uthevingsfarge 5 22 2 2 2" xfId="8131" xr:uid="{00000000-0005-0000-0000-0000CF0C0000}"/>
    <cellStyle name="20% - uthevingsfarge 5 22 2 3" xfId="9964" xr:uid="{00000000-0005-0000-0000-0000D00C0000}"/>
    <cellStyle name="20% - uthevingsfarge 5 22 3" xfId="4777" xr:uid="{00000000-0005-0000-0000-0000D10C0000}"/>
    <cellStyle name="20% - uthevingsfarge 5 22 3 2" xfId="7430" xr:uid="{00000000-0005-0000-0000-0000D20C0000}"/>
    <cellStyle name="20% - uthevingsfarge 5 22 4" xfId="9963" xr:uid="{00000000-0005-0000-0000-0000D30C0000}"/>
    <cellStyle name="20% - uthevingsfarge 5 23" xfId="892" xr:uid="{00000000-0005-0000-0000-0000D40C0000}"/>
    <cellStyle name="20% - uthevingsfarge 5 23 2" xfId="893" xr:uid="{00000000-0005-0000-0000-0000D50C0000}"/>
    <cellStyle name="20% - uthevingsfarge 5 23 2 2" xfId="5499" xr:uid="{00000000-0005-0000-0000-0000D60C0000}"/>
    <cellStyle name="20% - uthevingsfarge 5 23 2 2 2" xfId="8132" xr:uid="{00000000-0005-0000-0000-0000D70C0000}"/>
    <cellStyle name="20% - uthevingsfarge 5 23 2 3" xfId="10728" xr:uid="{00000000-0005-0000-0000-0000D80C0000}"/>
    <cellStyle name="20% - uthevingsfarge 5 23 3" xfId="4778" xr:uid="{00000000-0005-0000-0000-0000D90C0000}"/>
    <cellStyle name="20% - uthevingsfarge 5 23 3 2" xfId="7431" xr:uid="{00000000-0005-0000-0000-0000DA0C0000}"/>
    <cellStyle name="20% - uthevingsfarge 5 23 4" xfId="10727" xr:uid="{00000000-0005-0000-0000-0000DB0C0000}"/>
    <cellStyle name="20% - uthevingsfarge 5 24" xfId="894" xr:uid="{00000000-0005-0000-0000-0000DC0C0000}"/>
    <cellStyle name="20% - uthevingsfarge 5 24 2" xfId="895" xr:uid="{00000000-0005-0000-0000-0000DD0C0000}"/>
    <cellStyle name="20% - uthevingsfarge 5 24 2 2" xfId="5500" xr:uid="{00000000-0005-0000-0000-0000DE0C0000}"/>
    <cellStyle name="20% - uthevingsfarge 5 24 2 2 2" xfId="8133" xr:uid="{00000000-0005-0000-0000-0000DF0C0000}"/>
    <cellStyle name="20% - uthevingsfarge 5 24 2 3" xfId="10691" xr:uid="{00000000-0005-0000-0000-0000E00C0000}"/>
    <cellStyle name="20% - uthevingsfarge 5 24 3" xfId="4779" xr:uid="{00000000-0005-0000-0000-0000E10C0000}"/>
    <cellStyle name="20% - uthevingsfarge 5 24 3 2" xfId="7432" xr:uid="{00000000-0005-0000-0000-0000E20C0000}"/>
    <cellStyle name="20% - uthevingsfarge 5 24 4" xfId="9885" xr:uid="{00000000-0005-0000-0000-0000E30C0000}"/>
    <cellStyle name="20% - uthevingsfarge 5 25" xfId="896" xr:uid="{00000000-0005-0000-0000-0000E40C0000}"/>
    <cellStyle name="20% - uthevingsfarge 5 25 2" xfId="897" xr:uid="{00000000-0005-0000-0000-0000E50C0000}"/>
    <cellStyle name="20% - uthevingsfarge 5 25 2 2" xfId="5501" xr:uid="{00000000-0005-0000-0000-0000E60C0000}"/>
    <cellStyle name="20% - uthevingsfarge 5 25 2 2 2" xfId="8134" xr:uid="{00000000-0005-0000-0000-0000E70C0000}"/>
    <cellStyle name="20% - uthevingsfarge 5 25 2 3" xfId="10325" xr:uid="{00000000-0005-0000-0000-0000E80C0000}"/>
    <cellStyle name="20% - uthevingsfarge 5 25 3" xfId="4780" xr:uid="{00000000-0005-0000-0000-0000E90C0000}"/>
    <cellStyle name="20% - uthevingsfarge 5 25 3 2" xfId="7433" xr:uid="{00000000-0005-0000-0000-0000EA0C0000}"/>
    <cellStyle name="20% - uthevingsfarge 5 25 4" xfId="10419" xr:uid="{00000000-0005-0000-0000-0000EB0C0000}"/>
    <cellStyle name="20% - uthevingsfarge 5 26" xfId="898" xr:uid="{00000000-0005-0000-0000-0000EC0C0000}"/>
    <cellStyle name="20% - uthevingsfarge 5 26 2" xfId="899" xr:uid="{00000000-0005-0000-0000-0000ED0C0000}"/>
    <cellStyle name="20% - uthevingsfarge 5 26 2 2" xfId="5502" xr:uid="{00000000-0005-0000-0000-0000EE0C0000}"/>
    <cellStyle name="20% - uthevingsfarge 5 26 2 2 2" xfId="8135" xr:uid="{00000000-0005-0000-0000-0000EF0C0000}"/>
    <cellStyle name="20% - uthevingsfarge 5 26 2 3" xfId="10690" xr:uid="{00000000-0005-0000-0000-0000F00C0000}"/>
    <cellStyle name="20% - uthevingsfarge 5 26 3" xfId="4781" xr:uid="{00000000-0005-0000-0000-0000F10C0000}"/>
    <cellStyle name="20% - uthevingsfarge 5 26 3 2" xfId="7434" xr:uid="{00000000-0005-0000-0000-0000F20C0000}"/>
    <cellStyle name="20% - uthevingsfarge 5 26 4" xfId="9886" xr:uid="{00000000-0005-0000-0000-0000F30C0000}"/>
    <cellStyle name="20% - uthevingsfarge 5 27" xfId="900" xr:uid="{00000000-0005-0000-0000-0000F40C0000}"/>
    <cellStyle name="20% - uthevingsfarge 5 27 2" xfId="901" xr:uid="{00000000-0005-0000-0000-0000F50C0000}"/>
    <cellStyle name="20% - uthevingsfarge 5 27 2 2" xfId="5503" xr:uid="{00000000-0005-0000-0000-0000F60C0000}"/>
    <cellStyle name="20% - uthevingsfarge 5 27 2 2 2" xfId="8136" xr:uid="{00000000-0005-0000-0000-0000F70C0000}"/>
    <cellStyle name="20% - uthevingsfarge 5 27 2 3" xfId="10324" xr:uid="{00000000-0005-0000-0000-0000F80C0000}"/>
    <cellStyle name="20% - uthevingsfarge 5 27 3" xfId="4782" xr:uid="{00000000-0005-0000-0000-0000F90C0000}"/>
    <cellStyle name="20% - uthevingsfarge 5 27 3 2" xfId="7435" xr:uid="{00000000-0005-0000-0000-0000FA0C0000}"/>
    <cellStyle name="20% - uthevingsfarge 5 27 4" xfId="10418" xr:uid="{00000000-0005-0000-0000-0000FB0C0000}"/>
    <cellStyle name="20% - uthevingsfarge 5 28" xfId="902" xr:uid="{00000000-0005-0000-0000-0000FC0C0000}"/>
    <cellStyle name="20% - uthevingsfarge 5 28 2" xfId="903" xr:uid="{00000000-0005-0000-0000-0000FD0C0000}"/>
    <cellStyle name="20% - uthevingsfarge 5 28 2 2" xfId="5504" xr:uid="{00000000-0005-0000-0000-0000FE0C0000}"/>
    <cellStyle name="20% - uthevingsfarge 5 28 2 2 2" xfId="8137" xr:uid="{00000000-0005-0000-0000-0000FF0C0000}"/>
    <cellStyle name="20% - uthevingsfarge 5 28 2 3" xfId="10689" xr:uid="{00000000-0005-0000-0000-0000000D0000}"/>
    <cellStyle name="20% - uthevingsfarge 5 28 3" xfId="4783" xr:uid="{00000000-0005-0000-0000-0000010D0000}"/>
    <cellStyle name="20% - uthevingsfarge 5 28 3 2" xfId="7436" xr:uid="{00000000-0005-0000-0000-0000020D0000}"/>
    <cellStyle name="20% - uthevingsfarge 5 28 4" xfId="9887" xr:uid="{00000000-0005-0000-0000-0000030D0000}"/>
    <cellStyle name="20% - uthevingsfarge 5 29" xfId="904" xr:uid="{00000000-0005-0000-0000-0000040D0000}"/>
    <cellStyle name="20% - uthevingsfarge 5 29 2" xfId="905" xr:uid="{00000000-0005-0000-0000-0000050D0000}"/>
    <cellStyle name="20% - uthevingsfarge 5 29 2 2" xfId="5505" xr:uid="{00000000-0005-0000-0000-0000060D0000}"/>
    <cellStyle name="20% - uthevingsfarge 5 29 2 2 2" xfId="8138" xr:uid="{00000000-0005-0000-0000-0000070D0000}"/>
    <cellStyle name="20% - uthevingsfarge 5 29 2 3" xfId="10323" xr:uid="{00000000-0005-0000-0000-0000080D0000}"/>
    <cellStyle name="20% - uthevingsfarge 5 29 3" xfId="4784" xr:uid="{00000000-0005-0000-0000-0000090D0000}"/>
    <cellStyle name="20% - uthevingsfarge 5 29 3 2" xfId="7437" xr:uid="{00000000-0005-0000-0000-00000A0D0000}"/>
    <cellStyle name="20% - uthevingsfarge 5 29 4" xfId="10417" xr:uid="{00000000-0005-0000-0000-00000B0D0000}"/>
    <cellStyle name="20% - uthevingsfarge 5 3" xfId="906" xr:uid="{00000000-0005-0000-0000-00000C0D0000}"/>
    <cellStyle name="20% - uthevingsfarge 5 3 2" xfId="907" xr:uid="{00000000-0005-0000-0000-00000D0D0000}"/>
    <cellStyle name="20% - uthevingsfarge 5 3 2 2" xfId="5506" xr:uid="{00000000-0005-0000-0000-00000E0D0000}"/>
    <cellStyle name="20% - uthevingsfarge 5 3 2 2 2" xfId="8139" xr:uid="{00000000-0005-0000-0000-00000F0D0000}"/>
    <cellStyle name="20% - uthevingsfarge 5 3 2 3" xfId="10688" xr:uid="{00000000-0005-0000-0000-0000100D0000}"/>
    <cellStyle name="20% - uthevingsfarge 5 3 3" xfId="4785" xr:uid="{00000000-0005-0000-0000-0000110D0000}"/>
    <cellStyle name="20% - uthevingsfarge 5 3 3 2" xfId="7438" xr:uid="{00000000-0005-0000-0000-0000120D0000}"/>
    <cellStyle name="20% - uthevingsfarge 5 3 4" xfId="9888" xr:uid="{00000000-0005-0000-0000-0000130D0000}"/>
    <cellStyle name="20% - uthevingsfarge 5 30" xfId="908" xr:uid="{00000000-0005-0000-0000-0000140D0000}"/>
    <cellStyle name="20% - uthevingsfarge 5 30 2" xfId="909" xr:uid="{00000000-0005-0000-0000-0000150D0000}"/>
    <cellStyle name="20% - uthevingsfarge 5 30 2 2" xfId="5507" xr:uid="{00000000-0005-0000-0000-0000160D0000}"/>
    <cellStyle name="20% - uthevingsfarge 5 30 2 2 2" xfId="8140" xr:uid="{00000000-0005-0000-0000-0000170D0000}"/>
    <cellStyle name="20% - uthevingsfarge 5 30 2 3" xfId="10322" xr:uid="{00000000-0005-0000-0000-0000180D0000}"/>
    <cellStyle name="20% - uthevingsfarge 5 30 3" xfId="4786" xr:uid="{00000000-0005-0000-0000-0000190D0000}"/>
    <cellStyle name="20% - uthevingsfarge 5 30 3 2" xfId="7439" xr:uid="{00000000-0005-0000-0000-00001A0D0000}"/>
    <cellStyle name="20% - uthevingsfarge 5 30 4" xfId="10416" xr:uid="{00000000-0005-0000-0000-00001B0D0000}"/>
    <cellStyle name="20% - uthevingsfarge 5 31" xfId="910" xr:uid="{00000000-0005-0000-0000-00001C0D0000}"/>
    <cellStyle name="20% - uthevingsfarge 5 31 2" xfId="911" xr:uid="{00000000-0005-0000-0000-00001D0D0000}"/>
    <cellStyle name="20% - uthevingsfarge 5 31 2 2" xfId="5508" xr:uid="{00000000-0005-0000-0000-00001E0D0000}"/>
    <cellStyle name="20% - uthevingsfarge 5 31 2 2 2" xfId="8141" xr:uid="{00000000-0005-0000-0000-00001F0D0000}"/>
    <cellStyle name="20% - uthevingsfarge 5 31 2 3" xfId="10687" xr:uid="{00000000-0005-0000-0000-0000200D0000}"/>
    <cellStyle name="20% - uthevingsfarge 5 31 3" xfId="4787" xr:uid="{00000000-0005-0000-0000-0000210D0000}"/>
    <cellStyle name="20% - uthevingsfarge 5 31 3 2" xfId="7440" xr:uid="{00000000-0005-0000-0000-0000220D0000}"/>
    <cellStyle name="20% - uthevingsfarge 5 31 4" xfId="9889" xr:uid="{00000000-0005-0000-0000-0000230D0000}"/>
    <cellStyle name="20% - uthevingsfarge 5 32" xfId="912" xr:uid="{00000000-0005-0000-0000-0000240D0000}"/>
    <cellStyle name="20% - uthevingsfarge 5 32 2" xfId="913" xr:uid="{00000000-0005-0000-0000-0000250D0000}"/>
    <cellStyle name="20% - uthevingsfarge 5 32 2 2" xfId="5509" xr:uid="{00000000-0005-0000-0000-0000260D0000}"/>
    <cellStyle name="20% - uthevingsfarge 5 32 2 2 2" xfId="8142" xr:uid="{00000000-0005-0000-0000-0000270D0000}"/>
    <cellStyle name="20% - uthevingsfarge 5 32 2 3" xfId="10321" xr:uid="{00000000-0005-0000-0000-0000280D0000}"/>
    <cellStyle name="20% - uthevingsfarge 5 32 3" xfId="4788" xr:uid="{00000000-0005-0000-0000-0000290D0000}"/>
    <cellStyle name="20% - uthevingsfarge 5 32 3 2" xfId="7441" xr:uid="{00000000-0005-0000-0000-00002A0D0000}"/>
    <cellStyle name="20% - uthevingsfarge 5 32 4" xfId="10415" xr:uid="{00000000-0005-0000-0000-00002B0D0000}"/>
    <cellStyle name="20% - uthevingsfarge 5 33" xfId="914" xr:uid="{00000000-0005-0000-0000-00002C0D0000}"/>
    <cellStyle name="20% - uthevingsfarge 5 33 2" xfId="915" xr:uid="{00000000-0005-0000-0000-00002D0D0000}"/>
    <cellStyle name="20% - uthevingsfarge 5 33 2 2" xfId="5510" xr:uid="{00000000-0005-0000-0000-00002E0D0000}"/>
    <cellStyle name="20% - uthevingsfarge 5 33 2 2 2" xfId="8143" xr:uid="{00000000-0005-0000-0000-00002F0D0000}"/>
    <cellStyle name="20% - uthevingsfarge 5 33 2 3" xfId="10686" xr:uid="{00000000-0005-0000-0000-0000300D0000}"/>
    <cellStyle name="20% - uthevingsfarge 5 33 3" xfId="4789" xr:uid="{00000000-0005-0000-0000-0000310D0000}"/>
    <cellStyle name="20% - uthevingsfarge 5 33 3 2" xfId="7442" xr:uid="{00000000-0005-0000-0000-0000320D0000}"/>
    <cellStyle name="20% - uthevingsfarge 5 33 4" xfId="9890" xr:uid="{00000000-0005-0000-0000-0000330D0000}"/>
    <cellStyle name="20% - uthevingsfarge 5 34" xfId="916" xr:uid="{00000000-0005-0000-0000-0000340D0000}"/>
    <cellStyle name="20% - uthevingsfarge 5 34 2" xfId="917" xr:uid="{00000000-0005-0000-0000-0000350D0000}"/>
    <cellStyle name="20% - uthevingsfarge 5 34 2 2" xfId="5511" xr:uid="{00000000-0005-0000-0000-0000360D0000}"/>
    <cellStyle name="20% - uthevingsfarge 5 34 2 2 2" xfId="8144" xr:uid="{00000000-0005-0000-0000-0000370D0000}"/>
    <cellStyle name="20% - uthevingsfarge 5 34 2 3" xfId="10320" xr:uid="{00000000-0005-0000-0000-0000380D0000}"/>
    <cellStyle name="20% - uthevingsfarge 5 34 3" xfId="4790" xr:uid="{00000000-0005-0000-0000-0000390D0000}"/>
    <cellStyle name="20% - uthevingsfarge 5 34 3 2" xfId="7443" xr:uid="{00000000-0005-0000-0000-00003A0D0000}"/>
    <cellStyle name="20% - uthevingsfarge 5 34 4" xfId="10414" xr:uid="{00000000-0005-0000-0000-00003B0D0000}"/>
    <cellStyle name="20% - uthevingsfarge 5 35" xfId="918" xr:uid="{00000000-0005-0000-0000-00003C0D0000}"/>
    <cellStyle name="20% - uthevingsfarge 5 35 2" xfId="919" xr:uid="{00000000-0005-0000-0000-00003D0D0000}"/>
    <cellStyle name="20% - uthevingsfarge 5 35 2 2" xfId="5512" xr:uid="{00000000-0005-0000-0000-00003E0D0000}"/>
    <cellStyle name="20% - uthevingsfarge 5 35 2 2 2" xfId="8145" xr:uid="{00000000-0005-0000-0000-00003F0D0000}"/>
    <cellStyle name="20% - uthevingsfarge 5 35 2 3" xfId="10685" xr:uid="{00000000-0005-0000-0000-0000400D0000}"/>
    <cellStyle name="20% - uthevingsfarge 5 35 3" xfId="4791" xr:uid="{00000000-0005-0000-0000-0000410D0000}"/>
    <cellStyle name="20% - uthevingsfarge 5 35 3 2" xfId="7444" xr:uid="{00000000-0005-0000-0000-0000420D0000}"/>
    <cellStyle name="20% - uthevingsfarge 5 35 4" xfId="9891" xr:uid="{00000000-0005-0000-0000-0000430D0000}"/>
    <cellStyle name="20% - uthevingsfarge 5 36" xfId="920" xr:uid="{00000000-0005-0000-0000-0000440D0000}"/>
    <cellStyle name="20% - uthevingsfarge 5 36 2" xfId="921" xr:uid="{00000000-0005-0000-0000-0000450D0000}"/>
    <cellStyle name="20% - uthevingsfarge 5 36 2 2" xfId="5513" xr:uid="{00000000-0005-0000-0000-0000460D0000}"/>
    <cellStyle name="20% - uthevingsfarge 5 36 2 2 2" xfId="8146" xr:uid="{00000000-0005-0000-0000-0000470D0000}"/>
    <cellStyle name="20% - uthevingsfarge 5 36 2 3" xfId="10319" xr:uid="{00000000-0005-0000-0000-0000480D0000}"/>
    <cellStyle name="20% - uthevingsfarge 5 36 3" xfId="4792" xr:uid="{00000000-0005-0000-0000-0000490D0000}"/>
    <cellStyle name="20% - uthevingsfarge 5 36 3 2" xfId="7445" xr:uid="{00000000-0005-0000-0000-00004A0D0000}"/>
    <cellStyle name="20% - uthevingsfarge 5 36 4" xfId="10413" xr:uid="{00000000-0005-0000-0000-00004B0D0000}"/>
    <cellStyle name="20% - uthevingsfarge 5 37" xfId="922" xr:uid="{00000000-0005-0000-0000-00004C0D0000}"/>
    <cellStyle name="20% - uthevingsfarge 5 37 2" xfId="923" xr:uid="{00000000-0005-0000-0000-00004D0D0000}"/>
    <cellStyle name="20% - uthevingsfarge 5 37 2 2" xfId="5514" xr:uid="{00000000-0005-0000-0000-00004E0D0000}"/>
    <cellStyle name="20% - uthevingsfarge 5 37 2 2 2" xfId="8147" xr:uid="{00000000-0005-0000-0000-00004F0D0000}"/>
    <cellStyle name="20% - uthevingsfarge 5 37 2 3" xfId="10684" xr:uid="{00000000-0005-0000-0000-0000500D0000}"/>
    <cellStyle name="20% - uthevingsfarge 5 37 3" xfId="4793" xr:uid="{00000000-0005-0000-0000-0000510D0000}"/>
    <cellStyle name="20% - uthevingsfarge 5 37 3 2" xfId="7446" xr:uid="{00000000-0005-0000-0000-0000520D0000}"/>
    <cellStyle name="20% - uthevingsfarge 5 37 4" xfId="9892" xr:uid="{00000000-0005-0000-0000-0000530D0000}"/>
    <cellStyle name="20% - uthevingsfarge 5 38" xfId="924" xr:uid="{00000000-0005-0000-0000-0000540D0000}"/>
    <cellStyle name="20% - uthevingsfarge 5 38 2" xfId="925" xr:uid="{00000000-0005-0000-0000-0000550D0000}"/>
    <cellStyle name="20% - uthevingsfarge 5 38 2 2" xfId="5515" xr:uid="{00000000-0005-0000-0000-0000560D0000}"/>
    <cellStyle name="20% - uthevingsfarge 5 38 2 2 2" xfId="8148" xr:uid="{00000000-0005-0000-0000-0000570D0000}"/>
    <cellStyle name="20% - uthevingsfarge 5 38 2 3" xfId="10318" xr:uid="{00000000-0005-0000-0000-0000580D0000}"/>
    <cellStyle name="20% - uthevingsfarge 5 38 3" xfId="4794" xr:uid="{00000000-0005-0000-0000-0000590D0000}"/>
    <cellStyle name="20% - uthevingsfarge 5 38 3 2" xfId="7447" xr:uid="{00000000-0005-0000-0000-00005A0D0000}"/>
    <cellStyle name="20% - uthevingsfarge 5 38 4" xfId="10412" xr:uid="{00000000-0005-0000-0000-00005B0D0000}"/>
    <cellStyle name="20% - uthevingsfarge 5 39" xfId="926" xr:uid="{00000000-0005-0000-0000-00005C0D0000}"/>
    <cellStyle name="20% - uthevingsfarge 5 39 2" xfId="927" xr:uid="{00000000-0005-0000-0000-00005D0D0000}"/>
    <cellStyle name="20% - uthevingsfarge 5 39 2 2" xfId="5516" xr:uid="{00000000-0005-0000-0000-00005E0D0000}"/>
    <cellStyle name="20% - uthevingsfarge 5 39 2 2 2" xfId="8149" xr:uid="{00000000-0005-0000-0000-00005F0D0000}"/>
    <cellStyle name="20% - uthevingsfarge 5 39 2 3" xfId="10683" xr:uid="{00000000-0005-0000-0000-0000600D0000}"/>
    <cellStyle name="20% - uthevingsfarge 5 39 3" xfId="4795" xr:uid="{00000000-0005-0000-0000-0000610D0000}"/>
    <cellStyle name="20% - uthevingsfarge 5 39 3 2" xfId="7448" xr:uid="{00000000-0005-0000-0000-0000620D0000}"/>
    <cellStyle name="20% - uthevingsfarge 5 39 4" xfId="9893" xr:uid="{00000000-0005-0000-0000-0000630D0000}"/>
    <cellStyle name="20% - uthevingsfarge 5 4" xfId="928" xr:uid="{00000000-0005-0000-0000-0000640D0000}"/>
    <cellStyle name="20% - uthevingsfarge 5 4 2" xfId="929" xr:uid="{00000000-0005-0000-0000-0000650D0000}"/>
    <cellStyle name="20% - uthevingsfarge 5 4 2 2" xfId="5517" xr:uid="{00000000-0005-0000-0000-0000660D0000}"/>
    <cellStyle name="20% - uthevingsfarge 5 4 2 2 2" xfId="8150" xr:uid="{00000000-0005-0000-0000-0000670D0000}"/>
    <cellStyle name="20% - uthevingsfarge 5 4 2 3" xfId="10317" xr:uid="{00000000-0005-0000-0000-0000680D0000}"/>
    <cellStyle name="20% - uthevingsfarge 5 4 3" xfId="4796" xr:uid="{00000000-0005-0000-0000-0000690D0000}"/>
    <cellStyle name="20% - uthevingsfarge 5 4 3 2" xfId="7449" xr:uid="{00000000-0005-0000-0000-00006A0D0000}"/>
    <cellStyle name="20% - uthevingsfarge 5 4 4" xfId="10411" xr:uid="{00000000-0005-0000-0000-00006B0D0000}"/>
    <cellStyle name="20% - uthevingsfarge 5 40" xfId="930" xr:uid="{00000000-0005-0000-0000-00006C0D0000}"/>
    <cellStyle name="20% - uthevingsfarge 5 40 2" xfId="931" xr:uid="{00000000-0005-0000-0000-00006D0D0000}"/>
    <cellStyle name="20% - uthevingsfarge 5 40 2 2" xfId="5518" xr:uid="{00000000-0005-0000-0000-00006E0D0000}"/>
    <cellStyle name="20% - uthevingsfarge 5 40 2 2 2" xfId="8151" xr:uid="{00000000-0005-0000-0000-00006F0D0000}"/>
    <cellStyle name="20% - uthevingsfarge 5 40 2 3" xfId="10682" xr:uid="{00000000-0005-0000-0000-0000700D0000}"/>
    <cellStyle name="20% - uthevingsfarge 5 40 3" xfId="4797" xr:uid="{00000000-0005-0000-0000-0000710D0000}"/>
    <cellStyle name="20% - uthevingsfarge 5 40 3 2" xfId="7450" xr:uid="{00000000-0005-0000-0000-0000720D0000}"/>
    <cellStyle name="20% - uthevingsfarge 5 40 4" xfId="9894" xr:uid="{00000000-0005-0000-0000-0000730D0000}"/>
    <cellStyle name="20% - uthevingsfarge 5 41" xfId="932" xr:uid="{00000000-0005-0000-0000-0000740D0000}"/>
    <cellStyle name="20% - uthevingsfarge 5 41 2" xfId="933" xr:uid="{00000000-0005-0000-0000-0000750D0000}"/>
    <cellStyle name="20% - uthevingsfarge 5 41 2 2" xfId="5519" xr:uid="{00000000-0005-0000-0000-0000760D0000}"/>
    <cellStyle name="20% - uthevingsfarge 5 41 2 2 2" xfId="8152" xr:uid="{00000000-0005-0000-0000-0000770D0000}"/>
    <cellStyle name="20% - uthevingsfarge 5 41 2 3" xfId="10316" xr:uid="{00000000-0005-0000-0000-0000780D0000}"/>
    <cellStyle name="20% - uthevingsfarge 5 41 3" xfId="4798" xr:uid="{00000000-0005-0000-0000-0000790D0000}"/>
    <cellStyle name="20% - uthevingsfarge 5 41 3 2" xfId="7451" xr:uid="{00000000-0005-0000-0000-00007A0D0000}"/>
    <cellStyle name="20% - uthevingsfarge 5 41 4" xfId="10410" xr:uid="{00000000-0005-0000-0000-00007B0D0000}"/>
    <cellStyle name="20% - uthevingsfarge 5 42" xfId="934" xr:uid="{00000000-0005-0000-0000-00007C0D0000}"/>
    <cellStyle name="20% - uthevingsfarge 5 42 2" xfId="935" xr:uid="{00000000-0005-0000-0000-00007D0D0000}"/>
    <cellStyle name="20% - uthevingsfarge 5 42 2 2" xfId="5520" xr:uid="{00000000-0005-0000-0000-00007E0D0000}"/>
    <cellStyle name="20% - uthevingsfarge 5 42 2 2 2" xfId="8153" xr:uid="{00000000-0005-0000-0000-00007F0D0000}"/>
    <cellStyle name="20% - uthevingsfarge 5 42 2 3" xfId="10551" xr:uid="{00000000-0005-0000-0000-0000800D0000}"/>
    <cellStyle name="20% - uthevingsfarge 5 42 3" xfId="4799" xr:uid="{00000000-0005-0000-0000-0000810D0000}"/>
    <cellStyle name="20% - uthevingsfarge 5 42 3 2" xfId="7452" xr:uid="{00000000-0005-0000-0000-0000820D0000}"/>
    <cellStyle name="20% - uthevingsfarge 5 42 4" xfId="10647" xr:uid="{00000000-0005-0000-0000-0000830D0000}"/>
    <cellStyle name="20% - uthevingsfarge 5 43" xfId="936" xr:uid="{00000000-0005-0000-0000-0000840D0000}"/>
    <cellStyle name="20% - uthevingsfarge 5 43 2" xfId="937" xr:uid="{00000000-0005-0000-0000-0000850D0000}"/>
    <cellStyle name="20% - uthevingsfarge 5 43 2 2" xfId="5521" xr:uid="{00000000-0005-0000-0000-0000860D0000}"/>
    <cellStyle name="20% - uthevingsfarge 5 43 2 2 2" xfId="8154" xr:uid="{00000000-0005-0000-0000-0000870D0000}"/>
    <cellStyle name="20% - uthevingsfarge 5 43 2 3" xfId="9579" xr:uid="{00000000-0005-0000-0000-0000880D0000}"/>
    <cellStyle name="20% - uthevingsfarge 5 43 3" xfId="4800" xr:uid="{00000000-0005-0000-0000-0000890D0000}"/>
    <cellStyle name="20% - uthevingsfarge 5 43 3 2" xfId="7453" xr:uid="{00000000-0005-0000-0000-00008A0D0000}"/>
    <cellStyle name="20% - uthevingsfarge 5 43 4" xfId="9578" xr:uid="{00000000-0005-0000-0000-00008B0D0000}"/>
    <cellStyle name="20% - uthevingsfarge 5 44" xfId="938" xr:uid="{00000000-0005-0000-0000-00008C0D0000}"/>
    <cellStyle name="20% - uthevingsfarge 5 44 2" xfId="939" xr:uid="{00000000-0005-0000-0000-00008D0D0000}"/>
    <cellStyle name="20% - uthevingsfarge 5 44 2 2" xfId="5522" xr:uid="{00000000-0005-0000-0000-00008E0D0000}"/>
    <cellStyle name="20% - uthevingsfarge 5 44 2 2 2" xfId="8155" xr:uid="{00000000-0005-0000-0000-00008F0D0000}"/>
    <cellStyle name="20% - uthevingsfarge 5 44 2 3" xfId="9577" xr:uid="{00000000-0005-0000-0000-0000900D0000}"/>
    <cellStyle name="20% - uthevingsfarge 5 44 3" xfId="4801" xr:uid="{00000000-0005-0000-0000-0000910D0000}"/>
    <cellStyle name="20% - uthevingsfarge 5 44 3 2" xfId="7454" xr:uid="{00000000-0005-0000-0000-0000920D0000}"/>
    <cellStyle name="20% - uthevingsfarge 5 44 4" xfId="9576" xr:uid="{00000000-0005-0000-0000-0000930D0000}"/>
    <cellStyle name="20% - uthevingsfarge 5 45" xfId="940" xr:uid="{00000000-0005-0000-0000-0000940D0000}"/>
    <cellStyle name="20% - uthevingsfarge 5 45 2" xfId="941" xr:uid="{00000000-0005-0000-0000-0000950D0000}"/>
    <cellStyle name="20% - uthevingsfarge 5 45 2 2" xfId="5523" xr:uid="{00000000-0005-0000-0000-0000960D0000}"/>
    <cellStyle name="20% - uthevingsfarge 5 45 2 2 2" xfId="8156" xr:uid="{00000000-0005-0000-0000-0000970D0000}"/>
    <cellStyle name="20% - uthevingsfarge 5 45 2 3" xfId="10646" xr:uid="{00000000-0005-0000-0000-0000980D0000}"/>
    <cellStyle name="20% - uthevingsfarge 5 45 3" xfId="4802" xr:uid="{00000000-0005-0000-0000-0000990D0000}"/>
    <cellStyle name="20% - uthevingsfarge 5 45 3 2" xfId="7455" xr:uid="{00000000-0005-0000-0000-00009A0D0000}"/>
    <cellStyle name="20% - uthevingsfarge 5 45 4" xfId="9575" xr:uid="{00000000-0005-0000-0000-00009B0D0000}"/>
    <cellStyle name="20% - uthevingsfarge 5 46" xfId="942" xr:uid="{00000000-0005-0000-0000-00009C0D0000}"/>
    <cellStyle name="20% - uthevingsfarge 5 46 2" xfId="943" xr:uid="{00000000-0005-0000-0000-00009D0D0000}"/>
    <cellStyle name="20% - uthevingsfarge 5 46 2 2" xfId="5524" xr:uid="{00000000-0005-0000-0000-00009E0D0000}"/>
    <cellStyle name="20% - uthevingsfarge 5 46 2 2 2" xfId="8157" xr:uid="{00000000-0005-0000-0000-00009F0D0000}"/>
    <cellStyle name="20% - uthevingsfarge 5 46 2 3" xfId="9574" xr:uid="{00000000-0005-0000-0000-0000A00D0000}"/>
    <cellStyle name="20% - uthevingsfarge 5 46 3" xfId="4803" xr:uid="{00000000-0005-0000-0000-0000A10D0000}"/>
    <cellStyle name="20% - uthevingsfarge 5 46 3 2" xfId="7456" xr:uid="{00000000-0005-0000-0000-0000A20D0000}"/>
    <cellStyle name="20% - uthevingsfarge 5 46 4" xfId="9573" xr:uid="{00000000-0005-0000-0000-0000A30D0000}"/>
    <cellStyle name="20% - uthevingsfarge 5 47" xfId="944" xr:uid="{00000000-0005-0000-0000-0000A40D0000}"/>
    <cellStyle name="20% - uthevingsfarge 5 47 2" xfId="945" xr:uid="{00000000-0005-0000-0000-0000A50D0000}"/>
    <cellStyle name="20% - uthevingsfarge 5 47 2 2" xfId="5525" xr:uid="{00000000-0005-0000-0000-0000A60D0000}"/>
    <cellStyle name="20% - uthevingsfarge 5 47 2 2 2" xfId="8158" xr:uid="{00000000-0005-0000-0000-0000A70D0000}"/>
    <cellStyle name="20% - uthevingsfarge 5 47 2 3" xfId="9572" xr:uid="{00000000-0005-0000-0000-0000A80D0000}"/>
    <cellStyle name="20% - uthevingsfarge 5 47 3" xfId="4804" xr:uid="{00000000-0005-0000-0000-0000A90D0000}"/>
    <cellStyle name="20% - uthevingsfarge 5 47 3 2" xfId="7457" xr:uid="{00000000-0005-0000-0000-0000AA0D0000}"/>
    <cellStyle name="20% - uthevingsfarge 5 47 4" xfId="9571" xr:uid="{00000000-0005-0000-0000-0000AB0D0000}"/>
    <cellStyle name="20% - uthevingsfarge 5 48" xfId="946" xr:uid="{00000000-0005-0000-0000-0000AC0D0000}"/>
    <cellStyle name="20% - uthevingsfarge 5 48 2" xfId="947" xr:uid="{00000000-0005-0000-0000-0000AD0D0000}"/>
    <cellStyle name="20% - uthevingsfarge 5 48 2 2" xfId="5526" xr:uid="{00000000-0005-0000-0000-0000AE0D0000}"/>
    <cellStyle name="20% - uthevingsfarge 5 48 2 2 2" xfId="8159" xr:uid="{00000000-0005-0000-0000-0000AF0D0000}"/>
    <cellStyle name="20% - uthevingsfarge 5 48 2 3" xfId="9570" xr:uid="{00000000-0005-0000-0000-0000B00D0000}"/>
    <cellStyle name="20% - uthevingsfarge 5 48 3" xfId="4805" xr:uid="{00000000-0005-0000-0000-0000B10D0000}"/>
    <cellStyle name="20% - uthevingsfarge 5 48 3 2" xfId="7458" xr:uid="{00000000-0005-0000-0000-0000B20D0000}"/>
    <cellStyle name="20% - uthevingsfarge 5 48 4" xfId="9569" xr:uid="{00000000-0005-0000-0000-0000B30D0000}"/>
    <cellStyle name="20% - uthevingsfarge 5 49" xfId="948" xr:uid="{00000000-0005-0000-0000-0000B40D0000}"/>
    <cellStyle name="20% - uthevingsfarge 5 49 2" xfId="949" xr:uid="{00000000-0005-0000-0000-0000B50D0000}"/>
    <cellStyle name="20% - uthevingsfarge 5 49 2 2" xfId="5527" xr:uid="{00000000-0005-0000-0000-0000B60D0000}"/>
    <cellStyle name="20% - uthevingsfarge 5 49 2 2 2" xfId="8160" xr:uid="{00000000-0005-0000-0000-0000B70D0000}"/>
    <cellStyle name="20% - uthevingsfarge 5 49 2 3" xfId="10238" xr:uid="{00000000-0005-0000-0000-0000B80D0000}"/>
    <cellStyle name="20% - uthevingsfarge 5 49 3" xfId="4806" xr:uid="{00000000-0005-0000-0000-0000B90D0000}"/>
    <cellStyle name="20% - uthevingsfarge 5 49 3 2" xfId="7459" xr:uid="{00000000-0005-0000-0000-0000BA0D0000}"/>
    <cellStyle name="20% - uthevingsfarge 5 49 4" xfId="9568" xr:uid="{00000000-0005-0000-0000-0000BB0D0000}"/>
    <cellStyle name="20% - uthevingsfarge 5 5" xfId="950" xr:uid="{00000000-0005-0000-0000-0000BC0D0000}"/>
    <cellStyle name="20% - uthevingsfarge 5 5 2" xfId="951" xr:uid="{00000000-0005-0000-0000-0000BD0D0000}"/>
    <cellStyle name="20% - uthevingsfarge 5 5 2 2" xfId="5528" xr:uid="{00000000-0005-0000-0000-0000BE0D0000}"/>
    <cellStyle name="20% - uthevingsfarge 5 5 2 2 2" xfId="8161" xr:uid="{00000000-0005-0000-0000-0000BF0D0000}"/>
    <cellStyle name="20% - uthevingsfarge 5 5 2 3" xfId="9567" xr:uid="{00000000-0005-0000-0000-0000C00D0000}"/>
    <cellStyle name="20% - uthevingsfarge 5 5 3" xfId="4807" xr:uid="{00000000-0005-0000-0000-0000C10D0000}"/>
    <cellStyle name="20% - uthevingsfarge 5 5 3 2" xfId="7460" xr:uid="{00000000-0005-0000-0000-0000C20D0000}"/>
    <cellStyle name="20% - uthevingsfarge 5 5 4" xfId="9566" xr:uid="{00000000-0005-0000-0000-0000C30D0000}"/>
    <cellStyle name="20% - uthevingsfarge 5 50" xfId="952" xr:uid="{00000000-0005-0000-0000-0000C40D0000}"/>
    <cellStyle name="20% - uthevingsfarge 5 50 2" xfId="953" xr:uid="{00000000-0005-0000-0000-0000C50D0000}"/>
    <cellStyle name="20% - uthevingsfarge 5 50 2 2" xfId="5529" xr:uid="{00000000-0005-0000-0000-0000C60D0000}"/>
    <cellStyle name="20% - uthevingsfarge 5 50 2 2 2" xfId="8162" xr:uid="{00000000-0005-0000-0000-0000C70D0000}"/>
    <cellStyle name="20% - uthevingsfarge 5 50 2 3" xfId="9565" xr:uid="{00000000-0005-0000-0000-0000C80D0000}"/>
    <cellStyle name="20% - uthevingsfarge 5 50 3" xfId="4808" xr:uid="{00000000-0005-0000-0000-0000C90D0000}"/>
    <cellStyle name="20% - uthevingsfarge 5 50 3 2" xfId="7461" xr:uid="{00000000-0005-0000-0000-0000CA0D0000}"/>
    <cellStyle name="20% - uthevingsfarge 5 50 4" xfId="9564" xr:uid="{00000000-0005-0000-0000-0000CB0D0000}"/>
    <cellStyle name="20% - uthevingsfarge 5 51" xfId="954" xr:uid="{00000000-0005-0000-0000-0000CC0D0000}"/>
    <cellStyle name="20% - uthevingsfarge 5 51 2" xfId="955" xr:uid="{00000000-0005-0000-0000-0000CD0D0000}"/>
    <cellStyle name="20% - uthevingsfarge 5 51 2 2" xfId="5530" xr:uid="{00000000-0005-0000-0000-0000CE0D0000}"/>
    <cellStyle name="20% - uthevingsfarge 5 51 2 2 2" xfId="8163" xr:uid="{00000000-0005-0000-0000-0000CF0D0000}"/>
    <cellStyle name="20% - uthevingsfarge 5 51 2 3" xfId="9563" xr:uid="{00000000-0005-0000-0000-0000D00D0000}"/>
    <cellStyle name="20% - uthevingsfarge 5 51 3" xfId="4809" xr:uid="{00000000-0005-0000-0000-0000D10D0000}"/>
    <cellStyle name="20% - uthevingsfarge 5 51 3 2" xfId="7462" xr:uid="{00000000-0005-0000-0000-0000D20D0000}"/>
    <cellStyle name="20% - uthevingsfarge 5 51 4" xfId="9562" xr:uid="{00000000-0005-0000-0000-0000D30D0000}"/>
    <cellStyle name="20% - uthevingsfarge 5 52" xfId="956" xr:uid="{00000000-0005-0000-0000-0000D40D0000}"/>
    <cellStyle name="20% - uthevingsfarge 5 52 2" xfId="957" xr:uid="{00000000-0005-0000-0000-0000D50D0000}"/>
    <cellStyle name="20% - uthevingsfarge 5 52 2 2" xfId="5531" xr:uid="{00000000-0005-0000-0000-0000D60D0000}"/>
    <cellStyle name="20% - uthevingsfarge 5 52 2 2 2" xfId="8164" xr:uid="{00000000-0005-0000-0000-0000D70D0000}"/>
    <cellStyle name="20% - uthevingsfarge 5 52 2 3" xfId="10127" xr:uid="{00000000-0005-0000-0000-0000D80D0000}"/>
    <cellStyle name="20% - uthevingsfarge 5 52 3" xfId="4810" xr:uid="{00000000-0005-0000-0000-0000D90D0000}"/>
    <cellStyle name="20% - uthevingsfarge 5 52 3 2" xfId="7463" xr:uid="{00000000-0005-0000-0000-0000DA0D0000}"/>
    <cellStyle name="20% - uthevingsfarge 5 52 4" xfId="10237" xr:uid="{00000000-0005-0000-0000-0000DB0D0000}"/>
    <cellStyle name="20% - uthevingsfarge 5 53" xfId="958" xr:uid="{00000000-0005-0000-0000-0000DC0D0000}"/>
    <cellStyle name="20% - uthevingsfarge 5 53 2" xfId="959" xr:uid="{00000000-0005-0000-0000-0000DD0D0000}"/>
    <cellStyle name="20% - uthevingsfarge 5 53 2 2" xfId="5532" xr:uid="{00000000-0005-0000-0000-0000DE0D0000}"/>
    <cellStyle name="20% - uthevingsfarge 5 53 2 2 2" xfId="8165" xr:uid="{00000000-0005-0000-0000-0000DF0D0000}"/>
    <cellStyle name="20% - uthevingsfarge 5 53 2 3" xfId="10126" xr:uid="{00000000-0005-0000-0000-0000E00D0000}"/>
    <cellStyle name="20% - uthevingsfarge 5 53 3" xfId="4811" xr:uid="{00000000-0005-0000-0000-0000E10D0000}"/>
    <cellStyle name="20% - uthevingsfarge 5 53 3 2" xfId="7464" xr:uid="{00000000-0005-0000-0000-0000E20D0000}"/>
    <cellStyle name="20% - uthevingsfarge 5 53 4" xfId="10236" xr:uid="{00000000-0005-0000-0000-0000E30D0000}"/>
    <cellStyle name="20% - uthevingsfarge 5 54" xfId="960" xr:uid="{00000000-0005-0000-0000-0000E40D0000}"/>
    <cellStyle name="20% - uthevingsfarge 5 54 2" xfId="961" xr:uid="{00000000-0005-0000-0000-0000E50D0000}"/>
    <cellStyle name="20% - uthevingsfarge 5 54 2 2" xfId="5533" xr:uid="{00000000-0005-0000-0000-0000E60D0000}"/>
    <cellStyle name="20% - uthevingsfarge 5 54 2 2 2" xfId="8166" xr:uid="{00000000-0005-0000-0000-0000E70D0000}"/>
    <cellStyle name="20% - uthevingsfarge 5 54 2 3" xfId="10125" xr:uid="{00000000-0005-0000-0000-0000E80D0000}"/>
    <cellStyle name="20% - uthevingsfarge 5 54 3" xfId="4812" xr:uid="{00000000-0005-0000-0000-0000E90D0000}"/>
    <cellStyle name="20% - uthevingsfarge 5 54 3 2" xfId="7465" xr:uid="{00000000-0005-0000-0000-0000EA0D0000}"/>
    <cellStyle name="20% - uthevingsfarge 5 54 4" xfId="10235" xr:uid="{00000000-0005-0000-0000-0000EB0D0000}"/>
    <cellStyle name="20% - uthevingsfarge 5 55" xfId="962" xr:uid="{00000000-0005-0000-0000-0000EC0D0000}"/>
    <cellStyle name="20% - uthevingsfarge 5 55 2" xfId="963" xr:uid="{00000000-0005-0000-0000-0000ED0D0000}"/>
    <cellStyle name="20% - uthevingsfarge 5 55 2 2" xfId="5534" xr:uid="{00000000-0005-0000-0000-0000EE0D0000}"/>
    <cellStyle name="20% - uthevingsfarge 5 55 2 2 2" xfId="8167" xr:uid="{00000000-0005-0000-0000-0000EF0D0000}"/>
    <cellStyle name="20% - uthevingsfarge 5 55 2 3" xfId="10124" xr:uid="{00000000-0005-0000-0000-0000F00D0000}"/>
    <cellStyle name="20% - uthevingsfarge 5 55 3" xfId="4813" xr:uid="{00000000-0005-0000-0000-0000F10D0000}"/>
    <cellStyle name="20% - uthevingsfarge 5 55 3 2" xfId="7466" xr:uid="{00000000-0005-0000-0000-0000F20D0000}"/>
    <cellStyle name="20% - uthevingsfarge 5 55 4" xfId="10234" xr:uid="{00000000-0005-0000-0000-0000F30D0000}"/>
    <cellStyle name="20% - uthevingsfarge 5 56" xfId="964" xr:uid="{00000000-0005-0000-0000-0000F40D0000}"/>
    <cellStyle name="20% - uthevingsfarge 5 56 2" xfId="965" xr:uid="{00000000-0005-0000-0000-0000F50D0000}"/>
    <cellStyle name="20% - uthevingsfarge 5 56 2 2" xfId="5535" xr:uid="{00000000-0005-0000-0000-0000F60D0000}"/>
    <cellStyle name="20% - uthevingsfarge 5 56 2 2 2" xfId="8168" xr:uid="{00000000-0005-0000-0000-0000F70D0000}"/>
    <cellStyle name="20% - uthevingsfarge 5 56 2 3" xfId="10123" xr:uid="{00000000-0005-0000-0000-0000F80D0000}"/>
    <cellStyle name="20% - uthevingsfarge 5 56 3" xfId="4814" xr:uid="{00000000-0005-0000-0000-0000F90D0000}"/>
    <cellStyle name="20% - uthevingsfarge 5 56 3 2" xfId="7467" xr:uid="{00000000-0005-0000-0000-0000FA0D0000}"/>
    <cellStyle name="20% - uthevingsfarge 5 56 4" xfId="10233" xr:uid="{00000000-0005-0000-0000-0000FB0D0000}"/>
    <cellStyle name="20% - uthevingsfarge 5 57" xfId="966" xr:uid="{00000000-0005-0000-0000-0000FC0D0000}"/>
    <cellStyle name="20% - uthevingsfarge 5 57 2" xfId="967" xr:uid="{00000000-0005-0000-0000-0000FD0D0000}"/>
    <cellStyle name="20% - uthevingsfarge 5 57 2 2" xfId="5536" xr:uid="{00000000-0005-0000-0000-0000FE0D0000}"/>
    <cellStyle name="20% - uthevingsfarge 5 57 2 2 2" xfId="8169" xr:uid="{00000000-0005-0000-0000-0000FF0D0000}"/>
    <cellStyle name="20% - uthevingsfarge 5 57 2 3" xfId="10122" xr:uid="{00000000-0005-0000-0000-0000000E0000}"/>
    <cellStyle name="20% - uthevingsfarge 5 57 3" xfId="4815" xr:uid="{00000000-0005-0000-0000-0000010E0000}"/>
    <cellStyle name="20% - uthevingsfarge 5 57 3 2" xfId="7468" xr:uid="{00000000-0005-0000-0000-0000020E0000}"/>
    <cellStyle name="20% - uthevingsfarge 5 57 4" xfId="10232" xr:uid="{00000000-0005-0000-0000-0000030E0000}"/>
    <cellStyle name="20% - uthevingsfarge 5 58" xfId="968" xr:uid="{00000000-0005-0000-0000-0000040E0000}"/>
    <cellStyle name="20% - uthevingsfarge 5 58 2" xfId="969" xr:uid="{00000000-0005-0000-0000-0000050E0000}"/>
    <cellStyle name="20% - uthevingsfarge 5 58 2 2" xfId="5537" xr:uid="{00000000-0005-0000-0000-0000060E0000}"/>
    <cellStyle name="20% - uthevingsfarge 5 58 2 2 2" xfId="8170" xr:uid="{00000000-0005-0000-0000-0000070E0000}"/>
    <cellStyle name="20% - uthevingsfarge 5 58 2 3" xfId="10121" xr:uid="{00000000-0005-0000-0000-0000080E0000}"/>
    <cellStyle name="20% - uthevingsfarge 5 58 3" xfId="4816" xr:uid="{00000000-0005-0000-0000-0000090E0000}"/>
    <cellStyle name="20% - uthevingsfarge 5 58 3 2" xfId="7469" xr:uid="{00000000-0005-0000-0000-00000A0E0000}"/>
    <cellStyle name="20% - uthevingsfarge 5 58 4" xfId="10231" xr:uid="{00000000-0005-0000-0000-00000B0E0000}"/>
    <cellStyle name="20% - uthevingsfarge 5 59" xfId="970" xr:uid="{00000000-0005-0000-0000-00000C0E0000}"/>
    <cellStyle name="20% - uthevingsfarge 5 59 2" xfId="971" xr:uid="{00000000-0005-0000-0000-00000D0E0000}"/>
    <cellStyle name="20% - uthevingsfarge 5 59 2 2" xfId="5538" xr:uid="{00000000-0005-0000-0000-00000E0E0000}"/>
    <cellStyle name="20% - uthevingsfarge 5 59 2 2 2" xfId="8171" xr:uid="{00000000-0005-0000-0000-00000F0E0000}"/>
    <cellStyle name="20% - uthevingsfarge 5 59 2 3" xfId="10120" xr:uid="{00000000-0005-0000-0000-0000100E0000}"/>
    <cellStyle name="20% - uthevingsfarge 5 59 3" xfId="4817" xr:uid="{00000000-0005-0000-0000-0000110E0000}"/>
    <cellStyle name="20% - uthevingsfarge 5 59 3 2" xfId="7470" xr:uid="{00000000-0005-0000-0000-0000120E0000}"/>
    <cellStyle name="20% - uthevingsfarge 5 59 4" xfId="10230" xr:uid="{00000000-0005-0000-0000-0000130E0000}"/>
    <cellStyle name="20% - uthevingsfarge 5 6" xfId="972" xr:uid="{00000000-0005-0000-0000-0000140E0000}"/>
    <cellStyle name="20% - uthevingsfarge 5 6 2" xfId="973" xr:uid="{00000000-0005-0000-0000-0000150E0000}"/>
    <cellStyle name="20% - uthevingsfarge 5 6 2 2" xfId="5539" xr:uid="{00000000-0005-0000-0000-0000160E0000}"/>
    <cellStyle name="20% - uthevingsfarge 5 6 2 2 2" xfId="8172" xr:uid="{00000000-0005-0000-0000-0000170E0000}"/>
    <cellStyle name="20% - uthevingsfarge 5 6 2 3" xfId="10119" xr:uid="{00000000-0005-0000-0000-0000180E0000}"/>
    <cellStyle name="20% - uthevingsfarge 5 6 3" xfId="4818" xr:uid="{00000000-0005-0000-0000-0000190E0000}"/>
    <cellStyle name="20% - uthevingsfarge 5 6 3 2" xfId="7471" xr:uid="{00000000-0005-0000-0000-00001A0E0000}"/>
    <cellStyle name="20% - uthevingsfarge 5 6 4" xfId="10229" xr:uid="{00000000-0005-0000-0000-00001B0E0000}"/>
    <cellStyle name="20% - uthevingsfarge 5 60" xfId="974" xr:uid="{00000000-0005-0000-0000-00001C0E0000}"/>
    <cellStyle name="20% - uthevingsfarge 5 60 2" xfId="975" xr:uid="{00000000-0005-0000-0000-00001D0E0000}"/>
    <cellStyle name="20% - uthevingsfarge 5 60 3" xfId="9561" xr:uid="{00000000-0005-0000-0000-00001E0E0000}"/>
    <cellStyle name="20% - uthevingsfarge 5 61" xfId="976" xr:uid="{00000000-0005-0000-0000-00001F0E0000}"/>
    <cellStyle name="20% - uthevingsfarge 5 61 2" xfId="977" xr:uid="{00000000-0005-0000-0000-0000200E0000}"/>
    <cellStyle name="20% - uthevingsfarge 5 62" xfId="978" xr:uid="{00000000-0005-0000-0000-0000210E0000}"/>
    <cellStyle name="20% - uthevingsfarge 5 62 2" xfId="979" xr:uid="{00000000-0005-0000-0000-0000220E0000}"/>
    <cellStyle name="20% - uthevingsfarge 5 63" xfId="980" xr:uid="{00000000-0005-0000-0000-0000230E0000}"/>
    <cellStyle name="20% - uthevingsfarge 5 63 2" xfId="981" xr:uid="{00000000-0005-0000-0000-0000240E0000}"/>
    <cellStyle name="20% - uthevingsfarge 5 64" xfId="982" xr:uid="{00000000-0005-0000-0000-0000250E0000}"/>
    <cellStyle name="20% - uthevingsfarge 5 64 2" xfId="983" xr:uid="{00000000-0005-0000-0000-0000260E0000}"/>
    <cellStyle name="20% - uthevingsfarge 5 65" xfId="984" xr:uid="{00000000-0005-0000-0000-0000270E0000}"/>
    <cellStyle name="20% - uthevingsfarge 5 65 2" xfId="985" xr:uid="{00000000-0005-0000-0000-0000280E0000}"/>
    <cellStyle name="20% - uthevingsfarge 5 66" xfId="986" xr:uid="{00000000-0005-0000-0000-0000290E0000}"/>
    <cellStyle name="20% - uthevingsfarge 5 66 2" xfId="987" xr:uid="{00000000-0005-0000-0000-00002A0E0000}"/>
    <cellStyle name="20% - uthevingsfarge 5 67" xfId="988" xr:uid="{00000000-0005-0000-0000-00002B0E0000}"/>
    <cellStyle name="20% - uthevingsfarge 5 67 2" xfId="989" xr:uid="{00000000-0005-0000-0000-00002C0E0000}"/>
    <cellStyle name="20% - uthevingsfarge 5 68" xfId="990" xr:uid="{00000000-0005-0000-0000-00002D0E0000}"/>
    <cellStyle name="20% - uthevingsfarge 5 68 2" xfId="991" xr:uid="{00000000-0005-0000-0000-00002E0E0000}"/>
    <cellStyle name="20% - uthevingsfarge 5 69" xfId="992" xr:uid="{00000000-0005-0000-0000-00002F0E0000}"/>
    <cellStyle name="20% - uthevingsfarge 5 69 2" xfId="993" xr:uid="{00000000-0005-0000-0000-0000300E0000}"/>
    <cellStyle name="20% - uthevingsfarge 5 7" xfId="994" xr:uid="{00000000-0005-0000-0000-0000310E0000}"/>
    <cellStyle name="20% - uthevingsfarge 5 7 2" xfId="995" xr:uid="{00000000-0005-0000-0000-0000320E0000}"/>
    <cellStyle name="20% - uthevingsfarge 5 7 2 2" xfId="5540" xr:uid="{00000000-0005-0000-0000-0000330E0000}"/>
    <cellStyle name="20% - uthevingsfarge 5 7 2 2 2" xfId="8173" xr:uid="{00000000-0005-0000-0000-0000340E0000}"/>
    <cellStyle name="20% - uthevingsfarge 5 7 2 3" xfId="10645" xr:uid="{00000000-0005-0000-0000-0000350E0000}"/>
    <cellStyle name="20% - uthevingsfarge 5 7 3" xfId="4819" xr:uid="{00000000-0005-0000-0000-0000360E0000}"/>
    <cellStyle name="20% - uthevingsfarge 5 7 3 2" xfId="7472" xr:uid="{00000000-0005-0000-0000-0000370E0000}"/>
    <cellStyle name="20% - uthevingsfarge 5 7 4" xfId="9560" xr:uid="{00000000-0005-0000-0000-0000380E0000}"/>
    <cellStyle name="20% - uthevingsfarge 5 70" xfId="996" xr:uid="{00000000-0005-0000-0000-0000390E0000}"/>
    <cellStyle name="20% - uthevingsfarge 5 70 2" xfId="997" xr:uid="{00000000-0005-0000-0000-00003A0E0000}"/>
    <cellStyle name="20% - uthevingsfarge 5 71" xfId="998" xr:uid="{00000000-0005-0000-0000-00003B0E0000}"/>
    <cellStyle name="20% - uthevingsfarge 5 71 2" xfId="999" xr:uid="{00000000-0005-0000-0000-00003C0E0000}"/>
    <cellStyle name="20% - uthevingsfarge 5 72" xfId="1000" xr:uid="{00000000-0005-0000-0000-00003D0E0000}"/>
    <cellStyle name="20% - uthevingsfarge 5 72 2" xfId="1001" xr:uid="{00000000-0005-0000-0000-00003E0E0000}"/>
    <cellStyle name="20% - uthevingsfarge 5 73" xfId="1002" xr:uid="{00000000-0005-0000-0000-00003F0E0000}"/>
    <cellStyle name="20% - uthevingsfarge 5 73 2" xfId="1003" xr:uid="{00000000-0005-0000-0000-0000400E0000}"/>
    <cellStyle name="20% - uthevingsfarge 5 74" xfId="1004" xr:uid="{00000000-0005-0000-0000-0000410E0000}"/>
    <cellStyle name="20% - uthevingsfarge 5 74 2" xfId="1005" xr:uid="{00000000-0005-0000-0000-0000420E0000}"/>
    <cellStyle name="20% - uthevingsfarge 5 75" xfId="1006" xr:uid="{00000000-0005-0000-0000-0000430E0000}"/>
    <cellStyle name="20% - uthevingsfarge 5 75 2" xfId="1007" xr:uid="{00000000-0005-0000-0000-0000440E0000}"/>
    <cellStyle name="20% - uthevingsfarge 5 76" xfId="1008" xr:uid="{00000000-0005-0000-0000-0000450E0000}"/>
    <cellStyle name="20% - uthevingsfarge 5 76 2" xfId="1009" xr:uid="{00000000-0005-0000-0000-0000460E0000}"/>
    <cellStyle name="20% - uthevingsfarge 5 77" xfId="1010" xr:uid="{00000000-0005-0000-0000-0000470E0000}"/>
    <cellStyle name="20% - uthevingsfarge 5 78" xfId="1011" xr:uid="{00000000-0005-0000-0000-0000480E0000}"/>
    <cellStyle name="20% - uthevingsfarge 5 79" xfId="1012" xr:uid="{00000000-0005-0000-0000-0000490E0000}"/>
    <cellStyle name="20% - uthevingsfarge 5 8" xfId="1013" xr:uid="{00000000-0005-0000-0000-00004A0E0000}"/>
    <cellStyle name="20% - uthevingsfarge 5 8 2" xfId="1014" xr:uid="{00000000-0005-0000-0000-00004B0E0000}"/>
    <cellStyle name="20% - uthevingsfarge 5 8 2 2" xfId="5541" xr:uid="{00000000-0005-0000-0000-00004C0E0000}"/>
    <cellStyle name="20% - uthevingsfarge 5 8 2 2 2" xfId="8174" xr:uid="{00000000-0005-0000-0000-00004D0E0000}"/>
    <cellStyle name="20% - uthevingsfarge 5 8 2 3" xfId="10644" xr:uid="{00000000-0005-0000-0000-00004E0E0000}"/>
    <cellStyle name="20% - uthevingsfarge 5 8 3" xfId="4820" xr:uid="{00000000-0005-0000-0000-00004F0E0000}"/>
    <cellStyle name="20% - uthevingsfarge 5 8 3 2" xfId="7473" xr:uid="{00000000-0005-0000-0000-0000500E0000}"/>
    <cellStyle name="20% - uthevingsfarge 5 8 4" xfId="9559" xr:uid="{00000000-0005-0000-0000-0000510E0000}"/>
    <cellStyle name="20% - uthevingsfarge 5 80" xfId="1015" xr:uid="{00000000-0005-0000-0000-0000520E0000}"/>
    <cellStyle name="20% - uthevingsfarge 5 81" xfId="1016" xr:uid="{00000000-0005-0000-0000-0000530E0000}"/>
    <cellStyle name="20% - uthevingsfarge 5 82" xfId="1017" xr:uid="{00000000-0005-0000-0000-0000540E0000}"/>
    <cellStyle name="20% - uthevingsfarge 5 83" xfId="1018" xr:uid="{00000000-0005-0000-0000-0000550E0000}"/>
    <cellStyle name="20% - uthevingsfarge 5 84" xfId="1019" xr:uid="{00000000-0005-0000-0000-0000560E0000}"/>
    <cellStyle name="20% - uthevingsfarge 5 85" xfId="1020" xr:uid="{00000000-0005-0000-0000-0000570E0000}"/>
    <cellStyle name="20% - uthevingsfarge 5 86" xfId="1021" xr:uid="{00000000-0005-0000-0000-0000580E0000}"/>
    <cellStyle name="20% - uthevingsfarge 5 87" xfId="1022" xr:uid="{00000000-0005-0000-0000-0000590E0000}"/>
    <cellStyle name="20% - uthevingsfarge 5 88" xfId="1023" xr:uid="{00000000-0005-0000-0000-00005A0E0000}"/>
    <cellStyle name="20% - uthevingsfarge 5 89" xfId="1024" xr:uid="{00000000-0005-0000-0000-00005B0E0000}"/>
    <cellStyle name="20% - uthevingsfarge 5 9" xfId="1025" xr:uid="{00000000-0005-0000-0000-00005C0E0000}"/>
    <cellStyle name="20% - uthevingsfarge 5 9 2" xfId="1026" xr:uid="{00000000-0005-0000-0000-00005D0E0000}"/>
    <cellStyle name="20% - uthevingsfarge 5 9 2 2" xfId="5542" xr:uid="{00000000-0005-0000-0000-00005E0E0000}"/>
    <cellStyle name="20% - uthevingsfarge 5 9 2 2 2" xfId="8175" xr:uid="{00000000-0005-0000-0000-00005F0E0000}"/>
    <cellStyle name="20% - uthevingsfarge 5 9 2 3" xfId="10643" xr:uid="{00000000-0005-0000-0000-0000600E0000}"/>
    <cellStyle name="20% - uthevingsfarge 5 9 3" xfId="4821" xr:uid="{00000000-0005-0000-0000-0000610E0000}"/>
    <cellStyle name="20% - uthevingsfarge 5 9 3 2" xfId="7474" xr:uid="{00000000-0005-0000-0000-0000620E0000}"/>
    <cellStyle name="20% - uthevingsfarge 5 9 4" xfId="9558" xr:uid="{00000000-0005-0000-0000-0000630E0000}"/>
    <cellStyle name="20% - uthevingsfarge 5 90" xfId="1027" xr:uid="{00000000-0005-0000-0000-0000640E0000}"/>
    <cellStyle name="20% - uthevingsfarge 5 90 2" xfId="2819" xr:uid="{00000000-0005-0000-0000-0000650E0000}"/>
    <cellStyle name="20% - uthevingsfarge 5 90 2 2" xfId="3199" xr:uid="{00000000-0005-0000-0000-0000660E0000}"/>
    <cellStyle name="20% - uthevingsfarge 5 90 2 2 2" xfId="6784" xr:uid="{00000000-0005-0000-0000-0000670E0000}"/>
    <cellStyle name="20% - uthevingsfarge 5 90 2 3" xfId="3751" xr:uid="{00000000-0005-0000-0000-0000680E0000}"/>
    <cellStyle name="20% - uthevingsfarge 5 90 2 4" xfId="6392" xr:uid="{00000000-0005-0000-0000-0000690E0000}"/>
    <cellStyle name="20% - uthevingsfarge 5 90 2 5" xfId="8784" xr:uid="{00000000-0005-0000-0000-00006A0E0000}"/>
    <cellStyle name="20% - uthevingsfarge 5 90 3" xfId="3198" xr:uid="{00000000-0005-0000-0000-00006B0E0000}"/>
    <cellStyle name="20% - uthevingsfarge 5 90 3 2" xfId="6783" xr:uid="{00000000-0005-0000-0000-00006C0E0000}"/>
    <cellStyle name="20% - uthevingsfarge 5 90 4" xfId="4129" xr:uid="{00000000-0005-0000-0000-00006D0E0000}"/>
    <cellStyle name="20% - uthevingsfarge 5 90 5" xfId="6107" xr:uid="{00000000-0005-0000-0000-00006E0E0000}"/>
    <cellStyle name="20% - uthevingsfarge 5 90 6" xfId="8783" xr:uid="{00000000-0005-0000-0000-00006F0E0000}"/>
    <cellStyle name="20% - uthevingsfarge 5 91" xfId="1028" xr:uid="{00000000-0005-0000-0000-0000700E0000}"/>
    <cellStyle name="20% - uthevingsfarge 5 91 2" xfId="2820" xr:uid="{00000000-0005-0000-0000-0000710E0000}"/>
    <cellStyle name="20% - uthevingsfarge 5 91 2 2" xfId="3201" xr:uid="{00000000-0005-0000-0000-0000720E0000}"/>
    <cellStyle name="20% - uthevingsfarge 5 91 2 2 2" xfId="6786" xr:uid="{00000000-0005-0000-0000-0000730E0000}"/>
    <cellStyle name="20% - uthevingsfarge 5 91 2 3" xfId="3750" xr:uid="{00000000-0005-0000-0000-0000740E0000}"/>
    <cellStyle name="20% - uthevingsfarge 5 91 2 4" xfId="6393" xr:uid="{00000000-0005-0000-0000-0000750E0000}"/>
    <cellStyle name="20% - uthevingsfarge 5 91 2 5" xfId="8786" xr:uid="{00000000-0005-0000-0000-0000760E0000}"/>
    <cellStyle name="20% - uthevingsfarge 5 91 3" xfId="3200" xr:uid="{00000000-0005-0000-0000-0000770E0000}"/>
    <cellStyle name="20% - uthevingsfarge 5 91 3 2" xfId="6785" xr:uid="{00000000-0005-0000-0000-0000780E0000}"/>
    <cellStyle name="20% - uthevingsfarge 5 91 4" xfId="3665" xr:uid="{00000000-0005-0000-0000-0000790E0000}"/>
    <cellStyle name="20% - uthevingsfarge 5 91 5" xfId="6108" xr:uid="{00000000-0005-0000-0000-00007A0E0000}"/>
    <cellStyle name="20% - uthevingsfarge 5 91 6" xfId="8785" xr:uid="{00000000-0005-0000-0000-00007B0E0000}"/>
    <cellStyle name="20% - uthevingsfarge 5 92" xfId="1029" xr:uid="{00000000-0005-0000-0000-00007C0E0000}"/>
    <cellStyle name="20% - uthevingsfarge 5 92 2" xfId="2821" xr:uid="{00000000-0005-0000-0000-00007D0E0000}"/>
    <cellStyle name="20% - uthevingsfarge 5 92 2 2" xfId="3203" xr:uid="{00000000-0005-0000-0000-00007E0E0000}"/>
    <cellStyle name="20% - uthevingsfarge 5 92 2 2 2" xfId="6788" xr:uid="{00000000-0005-0000-0000-00007F0E0000}"/>
    <cellStyle name="20% - uthevingsfarge 5 92 2 3" xfId="3749" xr:uid="{00000000-0005-0000-0000-0000800E0000}"/>
    <cellStyle name="20% - uthevingsfarge 5 92 2 4" xfId="6394" xr:uid="{00000000-0005-0000-0000-0000810E0000}"/>
    <cellStyle name="20% - uthevingsfarge 5 92 2 5" xfId="8788" xr:uid="{00000000-0005-0000-0000-0000820E0000}"/>
    <cellStyle name="20% - uthevingsfarge 5 92 3" xfId="3202" xr:uid="{00000000-0005-0000-0000-0000830E0000}"/>
    <cellStyle name="20% - uthevingsfarge 5 92 3 2" xfId="6787" xr:uid="{00000000-0005-0000-0000-0000840E0000}"/>
    <cellStyle name="20% - uthevingsfarge 5 92 4" xfId="3982" xr:uid="{00000000-0005-0000-0000-0000850E0000}"/>
    <cellStyle name="20% - uthevingsfarge 5 92 5" xfId="6109" xr:uid="{00000000-0005-0000-0000-0000860E0000}"/>
    <cellStyle name="20% - uthevingsfarge 5 92 6" xfId="8787" xr:uid="{00000000-0005-0000-0000-0000870E0000}"/>
    <cellStyle name="20% - uthevingsfarge 5 93" xfId="1030" xr:uid="{00000000-0005-0000-0000-0000880E0000}"/>
    <cellStyle name="20% - uthevingsfarge 5 93 2" xfId="2822" xr:uid="{00000000-0005-0000-0000-0000890E0000}"/>
    <cellStyle name="20% - uthevingsfarge 5 93 2 2" xfId="3205" xr:uid="{00000000-0005-0000-0000-00008A0E0000}"/>
    <cellStyle name="20% - uthevingsfarge 5 93 2 2 2" xfId="6790" xr:uid="{00000000-0005-0000-0000-00008B0E0000}"/>
    <cellStyle name="20% - uthevingsfarge 5 93 2 3" xfId="3748" xr:uid="{00000000-0005-0000-0000-00008C0E0000}"/>
    <cellStyle name="20% - uthevingsfarge 5 93 2 4" xfId="6395" xr:uid="{00000000-0005-0000-0000-00008D0E0000}"/>
    <cellStyle name="20% - uthevingsfarge 5 93 2 5" xfId="8790" xr:uid="{00000000-0005-0000-0000-00008E0E0000}"/>
    <cellStyle name="20% - uthevingsfarge 5 93 3" xfId="3204" xr:uid="{00000000-0005-0000-0000-00008F0E0000}"/>
    <cellStyle name="20% - uthevingsfarge 5 93 3 2" xfId="6789" xr:uid="{00000000-0005-0000-0000-0000900E0000}"/>
    <cellStyle name="20% - uthevingsfarge 5 93 4" xfId="3936" xr:uid="{00000000-0005-0000-0000-0000910E0000}"/>
    <cellStyle name="20% - uthevingsfarge 5 93 5" xfId="6110" xr:uid="{00000000-0005-0000-0000-0000920E0000}"/>
    <cellStyle name="20% - uthevingsfarge 5 93 6" xfId="8789" xr:uid="{00000000-0005-0000-0000-0000930E0000}"/>
    <cellStyle name="20% - uthevingsfarge 5 94" xfId="1031" xr:uid="{00000000-0005-0000-0000-0000940E0000}"/>
    <cellStyle name="20% - uthevingsfarge 5 94 2" xfId="2823" xr:uid="{00000000-0005-0000-0000-0000950E0000}"/>
    <cellStyle name="20% - uthevingsfarge 5 94 2 2" xfId="3207" xr:uid="{00000000-0005-0000-0000-0000960E0000}"/>
    <cellStyle name="20% - uthevingsfarge 5 94 2 2 2" xfId="6792" xr:uid="{00000000-0005-0000-0000-0000970E0000}"/>
    <cellStyle name="20% - uthevingsfarge 5 94 2 3" xfId="3747" xr:uid="{00000000-0005-0000-0000-0000980E0000}"/>
    <cellStyle name="20% - uthevingsfarge 5 94 2 4" xfId="6396" xr:uid="{00000000-0005-0000-0000-0000990E0000}"/>
    <cellStyle name="20% - uthevingsfarge 5 94 2 5" xfId="8792" xr:uid="{00000000-0005-0000-0000-00009A0E0000}"/>
    <cellStyle name="20% - uthevingsfarge 5 94 3" xfId="3206" xr:uid="{00000000-0005-0000-0000-00009B0E0000}"/>
    <cellStyle name="20% - uthevingsfarge 5 94 3 2" xfId="6791" xr:uid="{00000000-0005-0000-0000-00009C0E0000}"/>
    <cellStyle name="20% - uthevingsfarge 5 94 4" xfId="4038" xr:uid="{00000000-0005-0000-0000-00009D0E0000}"/>
    <cellStyle name="20% - uthevingsfarge 5 94 5" xfId="6111" xr:uid="{00000000-0005-0000-0000-00009E0E0000}"/>
    <cellStyle name="20% - uthevingsfarge 5 94 6" xfId="8791" xr:uid="{00000000-0005-0000-0000-00009F0E0000}"/>
    <cellStyle name="20% - uthevingsfarge 5 95" xfId="1032" xr:uid="{00000000-0005-0000-0000-0000A00E0000}"/>
    <cellStyle name="20% - uthevingsfarge 5 95 2" xfId="2824" xr:uid="{00000000-0005-0000-0000-0000A10E0000}"/>
    <cellStyle name="20% - uthevingsfarge 5 95 2 2" xfId="3209" xr:uid="{00000000-0005-0000-0000-0000A20E0000}"/>
    <cellStyle name="20% - uthevingsfarge 5 95 2 2 2" xfId="6794" xr:uid="{00000000-0005-0000-0000-0000A30E0000}"/>
    <cellStyle name="20% - uthevingsfarge 5 95 2 3" xfId="3746" xr:uid="{00000000-0005-0000-0000-0000A40E0000}"/>
    <cellStyle name="20% - uthevingsfarge 5 95 2 4" xfId="6397" xr:uid="{00000000-0005-0000-0000-0000A50E0000}"/>
    <cellStyle name="20% - uthevingsfarge 5 95 2 5" xfId="8794" xr:uid="{00000000-0005-0000-0000-0000A60E0000}"/>
    <cellStyle name="20% - uthevingsfarge 5 95 3" xfId="3208" xr:uid="{00000000-0005-0000-0000-0000A70E0000}"/>
    <cellStyle name="20% - uthevingsfarge 5 95 3 2" xfId="6793" xr:uid="{00000000-0005-0000-0000-0000A80E0000}"/>
    <cellStyle name="20% - uthevingsfarge 5 95 4" xfId="3595" xr:uid="{00000000-0005-0000-0000-0000A90E0000}"/>
    <cellStyle name="20% - uthevingsfarge 5 95 5" xfId="6112" xr:uid="{00000000-0005-0000-0000-0000AA0E0000}"/>
    <cellStyle name="20% - uthevingsfarge 5 95 6" xfId="8793" xr:uid="{00000000-0005-0000-0000-0000AB0E0000}"/>
    <cellStyle name="20% - uthevingsfarge 5 96" xfId="1033" xr:uid="{00000000-0005-0000-0000-0000AC0E0000}"/>
    <cellStyle name="20% - uthevingsfarge 5 96 2" xfId="2825" xr:uid="{00000000-0005-0000-0000-0000AD0E0000}"/>
    <cellStyle name="20% - uthevingsfarge 5 96 2 2" xfId="3211" xr:uid="{00000000-0005-0000-0000-0000AE0E0000}"/>
    <cellStyle name="20% - uthevingsfarge 5 96 2 2 2" xfId="6796" xr:uid="{00000000-0005-0000-0000-0000AF0E0000}"/>
    <cellStyle name="20% - uthevingsfarge 5 96 2 3" xfId="3745" xr:uid="{00000000-0005-0000-0000-0000B00E0000}"/>
    <cellStyle name="20% - uthevingsfarge 5 96 2 4" xfId="6398" xr:uid="{00000000-0005-0000-0000-0000B10E0000}"/>
    <cellStyle name="20% - uthevingsfarge 5 96 2 5" xfId="8796" xr:uid="{00000000-0005-0000-0000-0000B20E0000}"/>
    <cellStyle name="20% - uthevingsfarge 5 96 3" xfId="3210" xr:uid="{00000000-0005-0000-0000-0000B30E0000}"/>
    <cellStyle name="20% - uthevingsfarge 5 96 3 2" xfId="6795" xr:uid="{00000000-0005-0000-0000-0000B40E0000}"/>
    <cellStyle name="20% - uthevingsfarge 5 96 4" xfId="4070" xr:uid="{00000000-0005-0000-0000-0000B50E0000}"/>
    <cellStyle name="20% - uthevingsfarge 5 96 5" xfId="6113" xr:uid="{00000000-0005-0000-0000-0000B60E0000}"/>
    <cellStyle name="20% - uthevingsfarge 5 96 6" xfId="8795" xr:uid="{00000000-0005-0000-0000-0000B70E0000}"/>
    <cellStyle name="20% - uthevingsfarge 5 97" xfId="1034" xr:uid="{00000000-0005-0000-0000-0000B80E0000}"/>
    <cellStyle name="20% - uthevingsfarge 5 97 2" xfId="2826" xr:uid="{00000000-0005-0000-0000-0000B90E0000}"/>
    <cellStyle name="20% - uthevingsfarge 5 97 2 2" xfId="3213" xr:uid="{00000000-0005-0000-0000-0000BA0E0000}"/>
    <cellStyle name="20% - uthevingsfarge 5 97 2 2 2" xfId="6798" xr:uid="{00000000-0005-0000-0000-0000BB0E0000}"/>
    <cellStyle name="20% - uthevingsfarge 5 97 2 3" xfId="3744" xr:uid="{00000000-0005-0000-0000-0000BC0E0000}"/>
    <cellStyle name="20% - uthevingsfarge 5 97 2 4" xfId="6399" xr:uid="{00000000-0005-0000-0000-0000BD0E0000}"/>
    <cellStyle name="20% - uthevingsfarge 5 97 2 5" xfId="8798" xr:uid="{00000000-0005-0000-0000-0000BE0E0000}"/>
    <cellStyle name="20% - uthevingsfarge 5 97 3" xfId="3212" xr:uid="{00000000-0005-0000-0000-0000BF0E0000}"/>
    <cellStyle name="20% - uthevingsfarge 5 97 3 2" xfId="6797" xr:uid="{00000000-0005-0000-0000-0000C00E0000}"/>
    <cellStyle name="20% - uthevingsfarge 5 97 4" xfId="3935" xr:uid="{00000000-0005-0000-0000-0000C10E0000}"/>
    <cellStyle name="20% - uthevingsfarge 5 97 5" xfId="6114" xr:uid="{00000000-0005-0000-0000-0000C20E0000}"/>
    <cellStyle name="20% - uthevingsfarge 5 97 6" xfId="8797" xr:uid="{00000000-0005-0000-0000-0000C30E0000}"/>
    <cellStyle name="20% - uthevingsfarge 5 98" xfId="1035" xr:uid="{00000000-0005-0000-0000-0000C40E0000}"/>
    <cellStyle name="20% - uthevingsfarge 5 98 2" xfId="2827" xr:uid="{00000000-0005-0000-0000-0000C50E0000}"/>
    <cellStyle name="20% - uthevingsfarge 5 98 2 2" xfId="3215" xr:uid="{00000000-0005-0000-0000-0000C60E0000}"/>
    <cellStyle name="20% - uthevingsfarge 5 98 2 2 2" xfId="6800" xr:uid="{00000000-0005-0000-0000-0000C70E0000}"/>
    <cellStyle name="20% - uthevingsfarge 5 98 2 3" xfId="3743" xr:uid="{00000000-0005-0000-0000-0000C80E0000}"/>
    <cellStyle name="20% - uthevingsfarge 5 98 2 4" xfId="6400" xr:uid="{00000000-0005-0000-0000-0000C90E0000}"/>
    <cellStyle name="20% - uthevingsfarge 5 98 2 5" xfId="8800" xr:uid="{00000000-0005-0000-0000-0000CA0E0000}"/>
    <cellStyle name="20% - uthevingsfarge 5 98 3" xfId="3214" xr:uid="{00000000-0005-0000-0000-0000CB0E0000}"/>
    <cellStyle name="20% - uthevingsfarge 5 98 3 2" xfId="6799" xr:uid="{00000000-0005-0000-0000-0000CC0E0000}"/>
    <cellStyle name="20% - uthevingsfarge 5 98 4" xfId="3888" xr:uid="{00000000-0005-0000-0000-0000CD0E0000}"/>
    <cellStyle name="20% - uthevingsfarge 5 98 5" xfId="6115" xr:uid="{00000000-0005-0000-0000-0000CE0E0000}"/>
    <cellStyle name="20% - uthevingsfarge 5 98 6" xfId="8799" xr:uid="{00000000-0005-0000-0000-0000CF0E0000}"/>
    <cellStyle name="20% - uthevingsfarge 5 99" xfId="1036" xr:uid="{00000000-0005-0000-0000-0000D00E0000}"/>
    <cellStyle name="20% - uthevingsfarge 5 99 2" xfId="2828" xr:uid="{00000000-0005-0000-0000-0000D10E0000}"/>
    <cellStyle name="20% - uthevingsfarge 5 99 2 2" xfId="3217" xr:uid="{00000000-0005-0000-0000-0000D20E0000}"/>
    <cellStyle name="20% - uthevingsfarge 5 99 2 2 2" xfId="6802" xr:uid="{00000000-0005-0000-0000-0000D30E0000}"/>
    <cellStyle name="20% - uthevingsfarge 5 99 2 3" xfId="3742" xr:uid="{00000000-0005-0000-0000-0000D40E0000}"/>
    <cellStyle name="20% - uthevingsfarge 5 99 2 4" xfId="6401" xr:uid="{00000000-0005-0000-0000-0000D50E0000}"/>
    <cellStyle name="20% - uthevingsfarge 5 99 2 5" xfId="8802" xr:uid="{00000000-0005-0000-0000-0000D60E0000}"/>
    <cellStyle name="20% - uthevingsfarge 5 99 3" xfId="3216" xr:uid="{00000000-0005-0000-0000-0000D70E0000}"/>
    <cellStyle name="20% - uthevingsfarge 5 99 3 2" xfId="6801" xr:uid="{00000000-0005-0000-0000-0000D80E0000}"/>
    <cellStyle name="20% - uthevingsfarge 5 99 4" xfId="3664" xr:uid="{00000000-0005-0000-0000-0000D90E0000}"/>
    <cellStyle name="20% - uthevingsfarge 5 99 5" xfId="6116" xr:uid="{00000000-0005-0000-0000-0000DA0E0000}"/>
    <cellStyle name="20% - uthevingsfarge 5 99 6" xfId="8801" xr:uid="{00000000-0005-0000-0000-0000DB0E0000}"/>
    <cellStyle name="20% - uthevingsfarge 6 10" xfId="1037" xr:uid="{00000000-0005-0000-0000-0000DC0E0000}"/>
    <cellStyle name="20% - uthevingsfarge 6 10 2" xfId="1038" xr:uid="{00000000-0005-0000-0000-0000DD0E0000}"/>
    <cellStyle name="20% - uthevingsfarge 6 10 2 2" xfId="5543" xr:uid="{00000000-0005-0000-0000-0000DE0E0000}"/>
    <cellStyle name="20% - uthevingsfarge 6 10 2 2 2" xfId="8176" xr:uid="{00000000-0005-0000-0000-0000DF0E0000}"/>
    <cellStyle name="20% - uthevingsfarge 6 10 2 3" xfId="10642" xr:uid="{00000000-0005-0000-0000-0000E00E0000}"/>
    <cellStyle name="20% - uthevingsfarge 6 10 3" xfId="4822" xr:uid="{00000000-0005-0000-0000-0000E10E0000}"/>
    <cellStyle name="20% - uthevingsfarge 6 10 3 2" xfId="7475" xr:uid="{00000000-0005-0000-0000-0000E20E0000}"/>
    <cellStyle name="20% - uthevingsfarge 6 10 4" xfId="9557" xr:uid="{00000000-0005-0000-0000-0000E30E0000}"/>
    <cellStyle name="20% - uthevingsfarge 6 100" xfId="1039" xr:uid="{00000000-0005-0000-0000-0000E40E0000}"/>
    <cellStyle name="20% - uthevingsfarge 6 100 2" xfId="2829" xr:uid="{00000000-0005-0000-0000-0000E50E0000}"/>
    <cellStyle name="20% - uthevingsfarge 6 100 2 2" xfId="3219" xr:uid="{00000000-0005-0000-0000-0000E60E0000}"/>
    <cellStyle name="20% - uthevingsfarge 6 100 2 2 2" xfId="6804" xr:uid="{00000000-0005-0000-0000-0000E70E0000}"/>
    <cellStyle name="20% - uthevingsfarge 6 100 2 3" xfId="3741" xr:uid="{00000000-0005-0000-0000-0000E80E0000}"/>
    <cellStyle name="20% - uthevingsfarge 6 100 2 4" xfId="6402" xr:uid="{00000000-0005-0000-0000-0000E90E0000}"/>
    <cellStyle name="20% - uthevingsfarge 6 100 2 5" xfId="8804" xr:uid="{00000000-0005-0000-0000-0000EA0E0000}"/>
    <cellStyle name="20% - uthevingsfarge 6 100 3" xfId="3218" xr:uid="{00000000-0005-0000-0000-0000EB0E0000}"/>
    <cellStyle name="20% - uthevingsfarge 6 100 3 2" xfId="6803" xr:uid="{00000000-0005-0000-0000-0000EC0E0000}"/>
    <cellStyle name="20% - uthevingsfarge 6 100 4" xfId="3981" xr:uid="{00000000-0005-0000-0000-0000ED0E0000}"/>
    <cellStyle name="20% - uthevingsfarge 6 100 5" xfId="6117" xr:uid="{00000000-0005-0000-0000-0000EE0E0000}"/>
    <cellStyle name="20% - uthevingsfarge 6 100 6" xfId="8803" xr:uid="{00000000-0005-0000-0000-0000EF0E0000}"/>
    <cellStyle name="20% - uthevingsfarge 6 101" xfId="1040" xr:uid="{00000000-0005-0000-0000-0000F00E0000}"/>
    <cellStyle name="20% - uthevingsfarge 6 101 2" xfId="2830" xr:uid="{00000000-0005-0000-0000-0000F10E0000}"/>
    <cellStyle name="20% - uthevingsfarge 6 101 2 2" xfId="3221" xr:uid="{00000000-0005-0000-0000-0000F20E0000}"/>
    <cellStyle name="20% - uthevingsfarge 6 101 2 2 2" xfId="6806" xr:uid="{00000000-0005-0000-0000-0000F30E0000}"/>
    <cellStyle name="20% - uthevingsfarge 6 101 2 3" xfId="3740" xr:uid="{00000000-0005-0000-0000-0000F40E0000}"/>
    <cellStyle name="20% - uthevingsfarge 6 101 2 4" xfId="6403" xr:uid="{00000000-0005-0000-0000-0000F50E0000}"/>
    <cellStyle name="20% - uthevingsfarge 6 101 2 5" xfId="8806" xr:uid="{00000000-0005-0000-0000-0000F60E0000}"/>
    <cellStyle name="20% - uthevingsfarge 6 101 3" xfId="3220" xr:uid="{00000000-0005-0000-0000-0000F70E0000}"/>
    <cellStyle name="20% - uthevingsfarge 6 101 3 2" xfId="6805" xr:uid="{00000000-0005-0000-0000-0000F80E0000}"/>
    <cellStyle name="20% - uthevingsfarge 6 101 4" xfId="3934" xr:uid="{00000000-0005-0000-0000-0000F90E0000}"/>
    <cellStyle name="20% - uthevingsfarge 6 101 5" xfId="6118" xr:uid="{00000000-0005-0000-0000-0000FA0E0000}"/>
    <cellStyle name="20% - uthevingsfarge 6 101 6" xfId="8805" xr:uid="{00000000-0005-0000-0000-0000FB0E0000}"/>
    <cellStyle name="20% - uthevingsfarge 6 102" xfId="1041" xr:uid="{00000000-0005-0000-0000-0000FC0E0000}"/>
    <cellStyle name="20% - uthevingsfarge 6 102 2" xfId="2831" xr:uid="{00000000-0005-0000-0000-0000FD0E0000}"/>
    <cellStyle name="20% - uthevingsfarge 6 102 2 2" xfId="3223" xr:uid="{00000000-0005-0000-0000-0000FE0E0000}"/>
    <cellStyle name="20% - uthevingsfarge 6 102 2 2 2" xfId="6808" xr:uid="{00000000-0005-0000-0000-0000FF0E0000}"/>
    <cellStyle name="20% - uthevingsfarge 6 102 2 3" xfId="3599" xr:uid="{00000000-0005-0000-0000-0000000F0000}"/>
    <cellStyle name="20% - uthevingsfarge 6 102 2 4" xfId="6404" xr:uid="{00000000-0005-0000-0000-0000010F0000}"/>
    <cellStyle name="20% - uthevingsfarge 6 102 2 5" xfId="8808" xr:uid="{00000000-0005-0000-0000-0000020F0000}"/>
    <cellStyle name="20% - uthevingsfarge 6 102 3" xfId="3222" xr:uid="{00000000-0005-0000-0000-0000030F0000}"/>
    <cellStyle name="20% - uthevingsfarge 6 102 3 2" xfId="6807" xr:uid="{00000000-0005-0000-0000-0000040F0000}"/>
    <cellStyle name="20% - uthevingsfarge 6 102 4" xfId="4126" xr:uid="{00000000-0005-0000-0000-0000050F0000}"/>
    <cellStyle name="20% - uthevingsfarge 6 102 5" xfId="6119" xr:uid="{00000000-0005-0000-0000-0000060F0000}"/>
    <cellStyle name="20% - uthevingsfarge 6 102 6" xfId="8807" xr:uid="{00000000-0005-0000-0000-0000070F0000}"/>
    <cellStyle name="20% - uthevingsfarge 6 103" xfId="1042" xr:uid="{00000000-0005-0000-0000-0000080F0000}"/>
    <cellStyle name="20% - uthevingsfarge 6 103 2" xfId="2832" xr:uid="{00000000-0005-0000-0000-0000090F0000}"/>
    <cellStyle name="20% - uthevingsfarge 6 103 2 2" xfId="3225" xr:uid="{00000000-0005-0000-0000-00000A0F0000}"/>
    <cellStyle name="20% - uthevingsfarge 6 103 2 2 2" xfId="6810" xr:uid="{00000000-0005-0000-0000-00000B0F0000}"/>
    <cellStyle name="20% - uthevingsfarge 6 103 2 3" xfId="3739" xr:uid="{00000000-0005-0000-0000-00000C0F0000}"/>
    <cellStyle name="20% - uthevingsfarge 6 103 2 4" xfId="6405" xr:uid="{00000000-0005-0000-0000-00000D0F0000}"/>
    <cellStyle name="20% - uthevingsfarge 6 103 2 5" xfId="8810" xr:uid="{00000000-0005-0000-0000-00000E0F0000}"/>
    <cellStyle name="20% - uthevingsfarge 6 103 3" xfId="3224" xr:uid="{00000000-0005-0000-0000-00000F0F0000}"/>
    <cellStyle name="20% - uthevingsfarge 6 103 3 2" xfId="6809" xr:uid="{00000000-0005-0000-0000-0000100F0000}"/>
    <cellStyle name="20% - uthevingsfarge 6 103 4" xfId="4071" xr:uid="{00000000-0005-0000-0000-0000110F0000}"/>
    <cellStyle name="20% - uthevingsfarge 6 103 5" xfId="6120" xr:uid="{00000000-0005-0000-0000-0000120F0000}"/>
    <cellStyle name="20% - uthevingsfarge 6 103 6" xfId="8809" xr:uid="{00000000-0005-0000-0000-0000130F0000}"/>
    <cellStyle name="20% - uthevingsfarge 6 104" xfId="1043" xr:uid="{00000000-0005-0000-0000-0000140F0000}"/>
    <cellStyle name="20% - uthevingsfarge 6 104 2" xfId="2833" xr:uid="{00000000-0005-0000-0000-0000150F0000}"/>
    <cellStyle name="20% - uthevingsfarge 6 104 2 2" xfId="3227" xr:uid="{00000000-0005-0000-0000-0000160F0000}"/>
    <cellStyle name="20% - uthevingsfarge 6 104 2 2 2" xfId="6812" xr:uid="{00000000-0005-0000-0000-0000170F0000}"/>
    <cellStyle name="20% - uthevingsfarge 6 104 2 3" xfId="3738" xr:uid="{00000000-0005-0000-0000-0000180F0000}"/>
    <cellStyle name="20% - uthevingsfarge 6 104 2 4" xfId="6406" xr:uid="{00000000-0005-0000-0000-0000190F0000}"/>
    <cellStyle name="20% - uthevingsfarge 6 104 2 5" xfId="8812" xr:uid="{00000000-0005-0000-0000-00001A0F0000}"/>
    <cellStyle name="20% - uthevingsfarge 6 104 3" xfId="3226" xr:uid="{00000000-0005-0000-0000-00001B0F0000}"/>
    <cellStyle name="20% - uthevingsfarge 6 104 3 2" xfId="6811" xr:uid="{00000000-0005-0000-0000-00001C0F0000}"/>
    <cellStyle name="20% - uthevingsfarge 6 104 4" xfId="4008" xr:uid="{00000000-0005-0000-0000-00001D0F0000}"/>
    <cellStyle name="20% - uthevingsfarge 6 104 5" xfId="6121" xr:uid="{00000000-0005-0000-0000-00001E0F0000}"/>
    <cellStyle name="20% - uthevingsfarge 6 104 6" xfId="8811" xr:uid="{00000000-0005-0000-0000-00001F0F0000}"/>
    <cellStyle name="20% - uthevingsfarge 6 105" xfId="1044" xr:uid="{00000000-0005-0000-0000-0000200F0000}"/>
    <cellStyle name="20% - uthevingsfarge 6 105 2" xfId="2834" xr:uid="{00000000-0005-0000-0000-0000210F0000}"/>
    <cellStyle name="20% - uthevingsfarge 6 105 2 2" xfId="3229" xr:uid="{00000000-0005-0000-0000-0000220F0000}"/>
    <cellStyle name="20% - uthevingsfarge 6 105 2 2 2" xfId="6814" xr:uid="{00000000-0005-0000-0000-0000230F0000}"/>
    <cellStyle name="20% - uthevingsfarge 6 105 2 3" xfId="3593" xr:uid="{00000000-0005-0000-0000-0000240F0000}"/>
    <cellStyle name="20% - uthevingsfarge 6 105 2 4" xfId="6407" xr:uid="{00000000-0005-0000-0000-0000250F0000}"/>
    <cellStyle name="20% - uthevingsfarge 6 105 2 5" xfId="8814" xr:uid="{00000000-0005-0000-0000-0000260F0000}"/>
    <cellStyle name="20% - uthevingsfarge 6 105 3" xfId="3228" xr:uid="{00000000-0005-0000-0000-0000270F0000}"/>
    <cellStyle name="20% - uthevingsfarge 6 105 3 2" xfId="6813" xr:uid="{00000000-0005-0000-0000-0000280F0000}"/>
    <cellStyle name="20% - uthevingsfarge 6 105 4" xfId="3933" xr:uid="{00000000-0005-0000-0000-0000290F0000}"/>
    <cellStyle name="20% - uthevingsfarge 6 105 5" xfId="6122" xr:uid="{00000000-0005-0000-0000-00002A0F0000}"/>
    <cellStyle name="20% - uthevingsfarge 6 105 6" xfId="8813" xr:uid="{00000000-0005-0000-0000-00002B0F0000}"/>
    <cellStyle name="20% - uthevingsfarge 6 106" xfId="1045" xr:uid="{00000000-0005-0000-0000-00002C0F0000}"/>
    <cellStyle name="20% - uthevingsfarge 6 106 2" xfId="2835" xr:uid="{00000000-0005-0000-0000-00002D0F0000}"/>
    <cellStyle name="20% - uthevingsfarge 6 106 2 2" xfId="3231" xr:uid="{00000000-0005-0000-0000-00002E0F0000}"/>
    <cellStyle name="20% - uthevingsfarge 6 106 2 2 2" xfId="6816" xr:uid="{00000000-0005-0000-0000-00002F0F0000}"/>
    <cellStyle name="20% - uthevingsfarge 6 106 2 3" xfId="3601" xr:uid="{00000000-0005-0000-0000-0000300F0000}"/>
    <cellStyle name="20% - uthevingsfarge 6 106 2 4" xfId="6408" xr:uid="{00000000-0005-0000-0000-0000310F0000}"/>
    <cellStyle name="20% - uthevingsfarge 6 106 2 5" xfId="8816" xr:uid="{00000000-0005-0000-0000-0000320F0000}"/>
    <cellStyle name="20% - uthevingsfarge 6 106 3" xfId="3230" xr:uid="{00000000-0005-0000-0000-0000330F0000}"/>
    <cellStyle name="20% - uthevingsfarge 6 106 3 2" xfId="6815" xr:uid="{00000000-0005-0000-0000-0000340F0000}"/>
    <cellStyle name="20% - uthevingsfarge 6 106 4" xfId="4127" xr:uid="{00000000-0005-0000-0000-0000350F0000}"/>
    <cellStyle name="20% - uthevingsfarge 6 106 5" xfId="6123" xr:uid="{00000000-0005-0000-0000-0000360F0000}"/>
    <cellStyle name="20% - uthevingsfarge 6 106 6" xfId="8815" xr:uid="{00000000-0005-0000-0000-0000370F0000}"/>
    <cellStyle name="20% - uthevingsfarge 6 107" xfId="1046" xr:uid="{00000000-0005-0000-0000-0000380F0000}"/>
    <cellStyle name="20% - uthevingsfarge 6 107 2" xfId="2836" xr:uid="{00000000-0005-0000-0000-0000390F0000}"/>
    <cellStyle name="20% - uthevingsfarge 6 107 2 2" xfId="3233" xr:uid="{00000000-0005-0000-0000-00003A0F0000}"/>
    <cellStyle name="20% - uthevingsfarge 6 107 2 2 2" xfId="6818" xr:uid="{00000000-0005-0000-0000-00003B0F0000}"/>
    <cellStyle name="20% - uthevingsfarge 6 107 2 3" xfId="3673" xr:uid="{00000000-0005-0000-0000-00003C0F0000}"/>
    <cellStyle name="20% - uthevingsfarge 6 107 2 4" xfId="6409" xr:uid="{00000000-0005-0000-0000-00003D0F0000}"/>
    <cellStyle name="20% - uthevingsfarge 6 107 2 5" xfId="8818" xr:uid="{00000000-0005-0000-0000-00003E0F0000}"/>
    <cellStyle name="20% - uthevingsfarge 6 107 3" xfId="3232" xr:uid="{00000000-0005-0000-0000-00003F0F0000}"/>
    <cellStyle name="20% - uthevingsfarge 6 107 3 2" xfId="6817" xr:uid="{00000000-0005-0000-0000-0000400F0000}"/>
    <cellStyle name="20% - uthevingsfarge 6 107 4" xfId="3663" xr:uid="{00000000-0005-0000-0000-0000410F0000}"/>
    <cellStyle name="20% - uthevingsfarge 6 107 5" xfId="6124" xr:uid="{00000000-0005-0000-0000-0000420F0000}"/>
    <cellStyle name="20% - uthevingsfarge 6 107 6" xfId="8817" xr:uid="{00000000-0005-0000-0000-0000430F0000}"/>
    <cellStyle name="20% - uthevingsfarge 6 108" xfId="1047" xr:uid="{00000000-0005-0000-0000-0000440F0000}"/>
    <cellStyle name="20% - uthevingsfarge 6 108 2" xfId="2837" xr:uid="{00000000-0005-0000-0000-0000450F0000}"/>
    <cellStyle name="20% - uthevingsfarge 6 108 2 2" xfId="3235" xr:uid="{00000000-0005-0000-0000-0000460F0000}"/>
    <cellStyle name="20% - uthevingsfarge 6 108 2 2 2" xfId="6820" xr:uid="{00000000-0005-0000-0000-0000470F0000}"/>
    <cellStyle name="20% - uthevingsfarge 6 108 2 3" xfId="3641" xr:uid="{00000000-0005-0000-0000-0000480F0000}"/>
    <cellStyle name="20% - uthevingsfarge 6 108 2 4" xfId="6410" xr:uid="{00000000-0005-0000-0000-0000490F0000}"/>
    <cellStyle name="20% - uthevingsfarge 6 108 2 5" xfId="8820" xr:uid="{00000000-0005-0000-0000-00004A0F0000}"/>
    <cellStyle name="20% - uthevingsfarge 6 108 3" xfId="3234" xr:uid="{00000000-0005-0000-0000-00004B0F0000}"/>
    <cellStyle name="20% - uthevingsfarge 6 108 3 2" xfId="6819" xr:uid="{00000000-0005-0000-0000-00004C0F0000}"/>
    <cellStyle name="20% - uthevingsfarge 6 108 4" xfId="3980" xr:uid="{00000000-0005-0000-0000-00004D0F0000}"/>
    <cellStyle name="20% - uthevingsfarge 6 108 5" xfId="6125" xr:uid="{00000000-0005-0000-0000-00004E0F0000}"/>
    <cellStyle name="20% - uthevingsfarge 6 108 6" xfId="8819" xr:uid="{00000000-0005-0000-0000-00004F0F0000}"/>
    <cellStyle name="20% - uthevingsfarge 6 109" xfId="1048" xr:uid="{00000000-0005-0000-0000-0000500F0000}"/>
    <cellStyle name="20% - uthevingsfarge 6 109 2" xfId="2838" xr:uid="{00000000-0005-0000-0000-0000510F0000}"/>
    <cellStyle name="20% - uthevingsfarge 6 109 2 2" xfId="3237" xr:uid="{00000000-0005-0000-0000-0000520F0000}"/>
    <cellStyle name="20% - uthevingsfarge 6 109 2 2 2" xfId="6822" xr:uid="{00000000-0005-0000-0000-0000530F0000}"/>
    <cellStyle name="20% - uthevingsfarge 6 109 2 3" xfId="4001" xr:uid="{00000000-0005-0000-0000-0000540F0000}"/>
    <cellStyle name="20% - uthevingsfarge 6 109 2 4" xfId="6411" xr:uid="{00000000-0005-0000-0000-0000550F0000}"/>
    <cellStyle name="20% - uthevingsfarge 6 109 2 5" xfId="8822" xr:uid="{00000000-0005-0000-0000-0000560F0000}"/>
    <cellStyle name="20% - uthevingsfarge 6 109 3" xfId="3236" xr:uid="{00000000-0005-0000-0000-0000570F0000}"/>
    <cellStyle name="20% - uthevingsfarge 6 109 3 2" xfId="6821" xr:uid="{00000000-0005-0000-0000-0000580F0000}"/>
    <cellStyle name="20% - uthevingsfarge 6 109 4" xfId="3932" xr:uid="{00000000-0005-0000-0000-0000590F0000}"/>
    <cellStyle name="20% - uthevingsfarge 6 109 5" xfId="6126" xr:uid="{00000000-0005-0000-0000-00005A0F0000}"/>
    <cellStyle name="20% - uthevingsfarge 6 109 6" xfId="8821" xr:uid="{00000000-0005-0000-0000-00005B0F0000}"/>
    <cellStyle name="20% - uthevingsfarge 6 11" xfId="1049" xr:uid="{00000000-0005-0000-0000-00005C0F0000}"/>
    <cellStyle name="20% - uthevingsfarge 6 11 2" xfId="1050" xr:uid="{00000000-0005-0000-0000-00005D0F0000}"/>
    <cellStyle name="20% - uthevingsfarge 6 11 2 2" xfId="5544" xr:uid="{00000000-0005-0000-0000-00005E0F0000}"/>
    <cellStyle name="20% - uthevingsfarge 6 11 2 2 2" xfId="8177" xr:uid="{00000000-0005-0000-0000-00005F0F0000}"/>
    <cellStyle name="20% - uthevingsfarge 6 11 2 3" xfId="10641" xr:uid="{00000000-0005-0000-0000-0000600F0000}"/>
    <cellStyle name="20% - uthevingsfarge 6 11 3" xfId="4823" xr:uid="{00000000-0005-0000-0000-0000610F0000}"/>
    <cellStyle name="20% - uthevingsfarge 6 11 3 2" xfId="7476" xr:uid="{00000000-0005-0000-0000-0000620F0000}"/>
    <cellStyle name="20% - uthevingsfarge 6 11 4" xfId="9556" xr:uid="{00000000-0005-0000-0000-0000630F0000}"/>
    <cellStyle name="20% - uthevingsfarge 6 110" xfId="6597" xr:uid="{00000000-0005-0000-0000-0000640F0000}"/>
    <cellStyle name="20% - uthevingsfarge 6 111" xfId="8600" xr:uid="{00000000-0005-0000-0000-0000650F0000}"/>
    <cellStyle name="20% - uthevingsfarge 6 12" xfId="1051" xr:uid="{00000000-0005-0000-0000-0000660F0000}"/>
    <cellStyle name="20% - uthevingsfarge 6 12 2" xfId="1052" xr:uid="{00000000-0005-0000-0000-0000670F0000}"/>
    <cellStyle name="20% - uthevingsfarge 6 12 2 2" xfId="5545" xr:uid="{00000000-0005-0000-0000-0000680F0000}"/>
    <cellStyle name="20% - uthevingsfarge 6 12 2 2 2" xfId="8178" xr:uid="{00000000-0005-0000-0000-0000690F0000}"/>
    <cellStyle name="20% - uthevingsfarge 6 12 2 3" xfId="10640" xr:uid="{00000000-0005-0000-0000-00006A0F0000}"/>
    <cellStyle name="20% - uthevingsfarge 6 12 3" xfId="4824" xr:uid="{00000000-0005-0000-0000-00006B0F0000}"/>
    <cellStyle name="20% - uthevingsfarge 6 12 3 2" xfId="7477" xr:uid="{00000000-0005-0000-0000-00006C0F0000}"/>
    <cellStyle name="20% - uthevingsfarge 6 12 4" xfId="9555" xr:uid="{00000000-0005-0000-0000-00006D0F0000}"/>
    <cellStyle name="20% - uthevingsfarge 6 13" xfId="1053" xr:uid="{00000000-0005-0000-0000-00006E0F0000}"/>
    <cellStyle name="20% - uthevingsfarge 6 13 2" xfId="1054" xr:uid="{00000000-0005-0000-0000-00006F0F0000}"/>
    <cellStyle name="20% - uthevingsfarge 6 13 2 2" xfId="5546" xr:uid="{00000000-0005-0000-0000-0000700F0000}"/>
    <cellStyle name="20% - uthevingsfarge 6 13 2 2 2" xfId="8179" xr:uid="{00000000-0005-0000-0000-0000710F0000}"/>
    <cellStyle name="20% - uthevingsfarge 6 13 2 3" xfId="10639" xr:uid="{00000000-0005-0000-0000-0000720F0000}"/>
    <cellStyle name="20% - uthevingsfarge 6 13 3" xfId="4825" xr:uid="{00000000-0005-0000-0000-0000730F0000}"/>
    <cellStyle name="20% - uthevingsfarge 6 13 3 2" xfId="7478" xr:uid="{00000000-0005-0000-0000-0000740F0000}"/>
    <cellStyle name="20% - uthevingsfarge 6 13 4" xfId="9554" xr:uid="{00000000-0005-0000-0000-0000750F0000}"/>
    <cellStyle name="20% - uthevingsfarge 6 14" xfId="1055" xr:uid="{00000000-0005-0000-0000-0000760F0000}"/>
    <cellStyle name="20% - uthevingsfarge 6 14 2" xfId="1056" xr:uid="{00000000-0005-0000-0000-0000770F0000}"/>
    <cellStyle name="20% - uthevingsfarge 6 14 2 2" xfId="5547" xr:uid="{00000000-0005-0000-0000-0000780F0000}"/>
    <cellStyle name="20% - uthevingsfarge 6 14 2 2 2" xfId="8180" xr:uid="{00000000-0005-0000-0000-0000790F0000}"/>
    <cellStyle name="20% - uthevingsfarge 6 14 2 3" xfId="10638" xr:uid="{00000000-0005-0000-0000-00007A0F0000}"/>
    <cellStyle name="20% - uthevingsfarge 6 14 3" xfId="4826" xr:uid="{00000000-0005-0000-0000-00007B0F0000}"/>
    <cellStyle name="20% - uthevingsfarge 6 14 3 2" xfId="7479" xr:uid="{00000000-0005-0000-0000-00007C0F0000}"/>
    <cellStyle name="20% - uthevingsfarge 6 14 4" xfId="9553" xr:uid="{00000000-0005-0000-0000-00007D0F0000}"/>
    <cellStyle name="20% - uthevingsfarge 6 15" xfId="1057" xr:uid="{00000000-0005-0000-0000-00007E0F0000}"/>
    <cellStyle name="20% - uthevingsfarge 6 15 2" xfId="1058" xr:uid="{00000000-0005-0000-0000-00007F0F0000}"/>
    <cellStyle name="20% - uthevingsfarge 6 15 2 2" xfId="5548" xr:uid="{00000000-0005-0000-0000-0000800F0000}"/>
    <cellStyle name="20% - uthevingsfarge 6 15 2 2 2" xfId="8181" xr:uid="{00000000-0005-0000-0000-0000810F0000}"/>
    <cellStyle name="20% - uthevingsfarge 6 15 2 3" xfId="10637" xr:uid="{00000000-0005-0000-0000-0000820F0000}"/>
    <cellStyle name="20% - uthevingsfarge 6 15 3" xfId="4827" xr:uid="{00000000-0005-0000-0000-0000830F0000}"/>
    <cellStyle name="20% - uthevingsfarge 6 15 3 2" xfId="7480" xr:uid="{00000000-0005-0000-0000-0000840F0000}"/>
    <cellStyle name="20% - uthevingsfarge 6 15 4" xfId="9552" xr:uid="{00000000-0005-0000-0000-0000850F0000}"/>
    <cellStyle name="20% - uthevingsfarge 6 16" xfId="1059" xr:uid="{00000000-0005-0000-0000-0000860F0000}"/>
    <cellStyle name="20% - uthevingsfarge 6 16 2" xfId="1060" xr:uid="{00000000-0005-0000-0000-0000870F0000}"/>
    <cellStyle name="20% - uthevingsfarge 6 16 2 2" xfId="5549" xr:uid="{00000000-0005-0000-0000-0000880F0000}"/>
    <cellStyle name="20% - uthevingsfarge 6 16 2 2 2" xfId="8182" xr:uid="{00000000-0005-0000-0000-0000890F0000}"/>
    <cellStyle name="20% - uthevingsfarge 6 16 2 3" xfId="10636" xr:uid="{00000000-0005-0000-0000-00008A0F0000}"/>
    <cellStyle name="20% - uthevingsfarge 6 16 3" xfId="4828" xr:uid="{00000000-0005-0000-0000-00008B0F0000}"/>
    <cellStyle name="20% - uthevingsfarge 6 16 3 2" xfId="7481" xr:uid="{00000000-0005-0000-0000-00008C0F0000}"/>
    <cellStyle name="20% - uthevingsfarge 6 16 4" xfId="9551" xr:uid="{00000000-0005-0000-0000-00008D0F0000}"/>
    <cellStyle name="20% - uthevingsfarge 6 17" xfId="1061" xr:uid="{00000000-0005-0000-0000-00008E0F0000}"/>
    <cellStyle name="20% - uthevingsfarge 6 17 2" xfId="1062" xr:uid="{00000000-0005-0000-0000-00008F0F0000}"/>
    <cellStyle name="20% - uthevingsfarge 6 17 2 2" xfId="5550" xr:uid="{00000000-0005-0000-0000-0000900F0000}"/>
    <cellStyle name="20% - uthevingsfarge 6 17 2 2 2" xfId="8183" xr:uid="{00000000-0005-0000-0000-0000910F0000}"/>
    <cellStyle name="20% - uthevingsfarge 6 17 2 3" xfId="10635" xr:uid="{00000000-0005-0000-0000-0000920F0000}"/>
    <cellStyle name="20% - uthevingsfarge 6 17 3" xfId="4829" xr:uid="{00000000-0005-0000-0000-0000930F0000}"/>
    <cellStyle name="20% - uthevingsfarge 6 17 3 2" xfId="7482" xr:uid="{00000000-0005-0000-0000-0000940F0000}"/>
    <cellStyle name="20% - uthevingsfarge 6 17 4" xfId="9550" xr:uid="{00000000-0005-0000-0000-0000950F0000}"/>
    <cellStyle name="20% - uthevingsfarge 6 18" xfId="1063" xr:uid="{00000000-0005-0000-0000-0000960F0000}"/>
    <cellStyle name="20% - uthevingsfarge 6 18 2" xfId="1064" xr:uid="{00000000-0005-0000-0000-0000970F0000}"/>
    <cellStyle name="20% - uthevingsfarge 6 18 2 2" xfId="5551" xr:uid="{00000000-0005-0000-0000-0000980F0000}"/>
    <cellStyle name="20% - uthevingsfarge 6 18 2 2 2" xfId="8184" xr:uid="{00000000-0005-0000-0000-0000990F0000}"/>
    <cellStyle name="20% - uthevingsfarge 6 18 2 3" xfId="10634" xr:uid="{00000000-0005-0000-0000-00009A0F0000}"/>
    <cellStyle name="20% - uthevingsfarge 6 18 3" xfId="4830" xr:uid="{00000000-0005-0000-0000-00009B0F0000}"/>
    <cellStyle name="20% - uthevingsfarge 6 18 3 2" xfId="7483" xr:uid="{00000000-0005-0000-0000-00009C0F0000}"/>
    <cellStyle name="20% - uthevingsfarge 6 18 4" xfId="9549" xr:uid="{00000000-0005-0000-0000-00009D0F0000}"/>
    <cellStyle name="20% - uthevingsfarge 6 19" xfId="1065" xr:uid="{00000000-0005-0000-0000-00009E0F0000}"/>
    <cellStyle name="20% - uthevingsfarge 6 19 2" xfId="1066" xr:uid="{00000000-0005-0000-0000-00009F0F0000}"/>
    <cellStyle name="20% - uthevingsfarge 6 19 2 2" xfId="5552" xr:uid="{00000000-0005-0000-0000-0000A00F0000}"/>
    <cellStyle name="20% - uthevingsfarge 6 19 2 2 2" xfId="8185" xr:uid="{00000000-0005-0000-0000-0000A10F0000}"/>
    <cellStyle name="20% - uthevingsfarge 6 19 2 3" xfId="10633" xr:uid="{00000000-0005-0000-0000-0000A20F0000}"/>
    <cellStyle name="20% - uthevingsfarge 6 19 3" xfId="4831" xr:uid="{00000000-0005-0000-0000-0000A30F0000}"/>
    <cellStyle name="20% - uthevingsfarge 6 19 3 2" xfId="7484" xr:uid="{00000000-0005-0000-0000-0000A40F0000}"/>
    <cellStyle name="20% - uthevingsfarge 6 19 4" xfId="9548" xr:uid="{00000000-0005-0000-0000-0000A50F0000}"/>
    <cellStyle name="20% - uthevingsfarge 6 2" xfId="66" xr:uid="{00000000-0005-0000-0000-0000A60F0000}"/>
    <cellStyle name="20% - uthevingsfarge 6 2 2" xfId="1067" xr:uid="{00000000-0005-0000-0000-0000A70F0000}"/>
    <cellStyle name="20% - uthevingsfarge 6 2 2 2" xfId="5553" xr:uid="{00000000-0005-0000-0000-0000A80F0000}"/>
    <cellStyle name="20% - uthevingsfarge 6 2 2 2 2" xfId="8186" xr:uid="{00000000-0005-0000-0000-0000A90F0000}"/>
    <cellStyle name="20% - uthevingsfarge 6 2 2 3" xfId="10632" xr:uid="{00000000-0005-0000-0000-0000AA0F0000}"/>
    <cellStyle name="20% - uthevingsfarge 6 2 3" xfId="4832" xr:uid="{00000000-0005-0000-0000-0000AB0F0000}"/>
    <cellStyle name="20% - uthevingsfarge 6 2 3 2" xfId="7485" xr:uid="{00000000-0005-0000-0000-0000AC0F0000}"/>
    <cellStyle name="20% - uthevingsfarge 6 2 4" xfId="9547" xr:uid="{00000000-0005-0000-0000-0000AD0F0000}"/>
    <cellStyle name="20% - uthevingsfarge 6 20" xfId="1068" xr:uid="{00000000-0005-0000-0000-0000AE0F0000}"/>
    <cellStyle name="20% - uthevingsfarge 6 20 2" xfId="1069" xr:uid="{00000000-0005-0000-0000-0000AF0F0000}"/>
    <cellStyle name="20% - uthevingsfarge 6 20 2 2" xfId="5554" xr:uid="{00000000-0005-0000-0000-0000B00F0000}"/>
    <cellStyle name="20% - uthevingsfarge 6 20 2 2 2" xfId="8187" xr:uid="{00000000-0005-0000-0000-0000B10F0000}"/>
    <cellStyle name="20% - uthevingsfarge 6 20 2 3" xfId="10631" xr:uid="{00000000-0005-0000-0000-0000B20F0000}"/>
    <cellStyle name="20% - uthevingsfarge 6 20 3" xfId="4833" xr:uid="{00000000-0005-0000-0000-0000B30F0000}"/>
    <cellStyle name="20% - uthevingsfarge 6 20 3 2" xfId="7486" xr:uid="{00000000-0005-0000-0000-0000B40F0000}"/>
    <cellStyle name="20% - uthevingsfarge 6 20 4" xfId="9546" xr:uid="{00000000-0005-0000-0000-0000B50F0000}"/>
    <cellStyle name="20% - uthevingsfarge 6 21" xfId="1070" xr:uid="{00000000-0005-0000-0000-0000B60F0000}"/>
    <cellStyle name="20% - uthevingsfarge 6 21 2" xfId="1071" xr:uid="{00000000-0005-0000-0000-0000B70F0000}"/>
    <cellStyle name="20% - uthevingsfarge 6 21 2 2" xfId="5555" xr:uid="{00000000-0005-0000-0000-0000B80F0000}"/>
    <cellStyle name="20% - uthevingsfarge 6 21 2 2 2" xfId="8188" xr:uid="{00000000-0005-0000-0000-0000B90F0000}"/>
    <cellStyle name="20% - uthevingsfarge 6 21 2 3" xfId="10630" xr:uid="{00000000-0005-0000-0000-0000BA0F0000}"/>
    <cellStyle name="20% - uthevingsfarge 6 21 3" xfId="4834" xr:uid="{00000000-0005-0000-0000-0000BB0F0000}"/>
    <cellStyle name="20% - uthevingsfarge 6 21 3 2" xfId="7487" xr:uid="{00000000-0005-0000-0000-0000BC0F0000}"/>
    <cellStyle name="20% - uthevingsfarge 6 21 4" xfId="9545" xr:uid="{00000000-0005-0000-0000-0000BD0F0000}"/>
    <cellStyle name="20% - uthevingsfarge 6 22" xfId="1072" xr:uid="{00000000-0005-0000-0000-0000BE0F0000}"/>
    <cellStyle name="20% - uthevingsfarge 6 22 2" xfId="1073" xr:uid="{00000000-0005-0000-0000-0000BF0F0000}"/>
    <cellStyle name="20% - uthevingsfarge 6 22 2 2" xfId="5556" xr:uid="{00000000-0005-0000-0000-0000C00F0000}"/>
    <cellStyle name="20% - uthevingsfarge 6 22 2 2 2" xfId="8189" xr:uid="{00000000-0005-0000-0000-0000C10F0000}"/>
    <cellStyle name="20% - uthevingsfarge 6 22 2 3" xfId="10629" xr:uid="{00000000-0005-0000-0000-0000C20F0000}"/>
    <cellStyle name="20% - uthevingsfarge 6 22 3" xfId="4835" xr:uid="{00000000-0005-0000-0000-0000C30F0000}"/>
    <cellStyle name="20% - uthevingsfarge 6 22 3 2" xfId="7488" xr:uid="{00000000-0005-0000-0000-0000C40F0000}"/>
    <cellStyle name="20% - uthevingsfarge 6 22 4" xfId="9544" xr:uid="{00000000-0005-0000-0000-0000C50F0000}"/>
    <cellStyle name="20% - uthevingsfarge 6 23" xfId="1074" xr:uid="{00000000-0005-0000-0000-0000C60F0000}"/>
    <cellStyle name="20% - uthevingsfarge 6 23 2" xfId="1075" xr:uid="{00000000-0005-0000-0000-0000C70F0000}"/>
    <cellStyle name="20% - uthevingsfarge 6 23 2 2" xfId="5557" xr:uid="{00000000-0005-0000-0000-0000C80F0000}"/>
    <cellStyle name="20% - uthevingsfarge 6 23 2 2 2" xfId="8190" xr:uid="{00000000-0005-0000-0000-0000C90F0000}"/>
    <cellStyle name="20% - uthevingsfarge 6 23 2 3" xfId="10628" xr:uid="{00000000-0005-0000-0000-0000CA0F0000}"/>
    <cellStyle name="20% - uthevingsfarge 6 23 3" xfId="4836" xr:uid="{00000000-0005-0000-0000-0000CB0F0000}"/>
    <cellStyle name="20% - uthevingsfarge 6 23 3 2" xfId="7489" xr:uid="{00000000-0005-0000-0000-0000CC0F0000}"/>
    <cellStyle name="20% - uthevingsfarge 6 23 4" xfId="9543" xr:uid="{00000000-0005-0000-0000-0000CD0F0000}"/>
    <cellStyle name="20% - uthevingsfarge 6 24" xfId="1076" xr:uid="{00000000-0005-0000-0000-0000CE0F0000}"/>
    <cellStyle name="20% - uthevingsfarge 6 24 2" xfId="1077" xr:uid="{00000000-0005-0000-0000-0000CF0F0000}"/>
    <cellStyle name="20% - uthevingsfarge 6 24 2 2" xfId="5558" xr:uid="{00000000-0005-0000-0000-0000D00F0000}"/>
    <cellStyle name="20% - uthevingsfarge 6 24 2 2 2" xfId="8191" xr:uid="{00000000-0005-0000-0000-0000D10F0000}"/>
    <cellStyle name="20% - uthevingsfarge 6 24 2 3" xfId="10627" xr:uid="{00000000-0005-0000-0000-0000D20F0000}"/>
    <cellStyle name="20% - uthevingsfarge 6 24 3" xfId="4837" xr:uid="{00000000-0005-0000-0000-0000D30F0000}"/>
    <cellStyle name="20% - uthevingsfarge 6 24 3 2" xfId="7490" xr:uid="{00000000-0005-0000-0000-0000D40F0000}"/>
    <cellStyle name="20% - uthevingsfarge 6 24 4" xfId="9542" xr:uid="{00000000-0005-0000-0000-0000D50F0000}"/>
    <cellStyle name="20% - uthevingsfarge 6 25" xfId="1078" xr:uid="{00000000-0005-0000-0000-0000D60F0000}"/>
    <cellStyle name="20% - uthevingsfarge 6 25 2" xfId="1079" xr:uid="{00000000-0005-0000-0000-0000D70F0000}"/>
    <cellStyle name="20% - uthevingsfarge 6 25 2 2" xfId="5559" xr:uid="{00000000-0005-0000-0000-0000D80F0000}"/>
    <cellStyle name="20% - uthevingsfarge 6 25 2 2 2" xfId="8192" xr:uid="{00000000-0005-0000-0000-0000D90F0000}"/>
    <cellStyle name="20% - uthevingsfarge 6 25 2 3" xfId="10626" xr:uid="{00000000-0005-0000-0000-0000DA0F0000}"/>
    <cellStyle name="20% - uthevingsfarge 6 25 3" xfId="4838" xr:uid="{00000000-0005-0000-0000-0000DB0F0000}"/>
    <cellStyle name="20% - uthevingsfarge 6 25 3 2" xfId="7491" xr:uid="{00000000-0005-0000-0000-0000DC0F0000}"/>
    <cellStyle name="20% - uthevingsfarge 6 25 4" xfId="9541" xr:uid="{00000000-0005-0000-0000-0000DD0F0000}"/>
    <cellStyle name="20% - uthevingsfarge 6 26" xfId="1080" xr:uid="{00000000-0005-0000-0000-0000DE0F0000}"/>
    <cellStyle name="20% - uthevingsfarge 6 26 2" xfId="1081" xr:uid="{00000000-0005-0000-0000-0000DF0F0000}"/>
    <cellStyle name="20% - uthevingsfarge 6 26 2 2" xfId="5560" xr:uid="{00000000-0005-0000-0000-0000E00F0000}"/>
    <cellStyle name="20% - uthevingsfarge 6 26 2 2 2" xfId="8193" xr:uid="{00000000-0005-0000-0000-0000E10F0000}"/>
    <cellStyle name="20% - uthevingsfarge 6 26 2 3" xfId="10625" xr:uid="{00000000-0005-0000-0000-0000E20F0000}"/>
    <cellStyle name="20% - uthevingsfarge 6 26 3" xfId="4839" xr:uid="{00000000-0005-0000-0000-0000E30F0000}"/>
    <cellStyle name="20% - uthevingsfarge 6 26 3 2" xfId="7492" xr:uid="{00000000-0005-0000-0000-0000E40F0000}"/>
    <cellStyle name="20% - uthevingsfarge 6 26 4" xfId="9540" xr:uid="{00000000-0005-0000-0000-0000E50F0000}"/>
    <cellStyle name="20% - uthevingsfarge 6 27" xfId="1082" xr:uid="{00000000-0005-0000-0000-0000E60F0000}"/>
    <cellStyle name="20% - uthevingsfarge 6 27 2" xfId="1083" xr:uid="{00000000-0005-0000-0000-0000E70F0000}"/>
    <cellStyle name="20% - uthevingsfarge 6 27 2 2" xfId="5561" xr:uid="{00000000-0005-0000-0000-0000E80F0000}"/>
    <cellStyle name="20% - uthevingsfarge 6 27 2 2 2" xfId="8194" xr:uid="{00000000-0005-0000-0000-0000E90F0000}"/>
    <cellStyle name="20% - uthevingsfarge 6 27 2 3" xfId="10624" xr:uid="{00000000-0005-0000-0000-0000EA0F0000}"/>
    <cellStyle name="20% - uthevingsfarge 6 27 3" xfId="4840" xr:uid="{00000000-0005-0000-0000-0000EB0F0000}"/>
    <cellStyle name="20% - uthevingsfarge 6 27 3 2" xfId="7493" xr:uid="{00000000-0005-0000-0000-0000EC0F0000}"/>
    <cellStyle name="20% - uthevingsfarge 6 27 4" xfId="9539" xr:uid="{00000000-0005-0000-0000-0000ED0F0000}"/>
    <cellStyle name="20% - uthevingsfarge 6 28" xfId="1084" xr:uid="{00000000-0005-0000-0000-0000EE0F0000}"/>
    <cellStyle name="20% - uthevingsfarge 6 28 2" xfId="1085" xr:uid="{00000000-0005-0000-0000-0000EF0F0000}"/>
    <cellStyle name="20% - uthevingsfarge 6 28 2 2" xfId="5562" xr:uid="{00000000-0005-0000-0000-0000F00F0000}"/>
    <cellStyle name="20% - uthevingsfarge 6 28 2 2 2" xfId="8195" xr:uid="{00000000-0005-0000-0000-0000F10F0000}"/>
    <cellStyle name="20% - uthevingsfarge 6 28 2 3" xfId="10623" xr:uid="{00000000-0005-0000-0000-0000F20F0000}"/>
    <cellStyle name="20% - uthevingsfarge 6 28 3" xfId="4841" xr:uid="{00000000-0005-0000-0000-0000F30F0000}"/>
    <cellStyle name="20% - uthevingsfarge 6 28 3 2" xfId="7494" xr:uid="{00000000-0005-0000-0000-0000F40F0000}"/>
    <cellStyle name="20% - uthevingsfarge 6 28 4" xfId="9538" xr:uid="{00000000-0005-0000-0000-0000F50F0000}"/>
    <cellStyle name="20% - uthevingsfarge 6 29" xfId="1086" xr:uid="{00000000-0005-0000-0000-0000F60F0000}"/>
    <cellStyle name="20% - uthevingsfarge 6 29 2" xfId="1087" xr:uid="{00000000-0005-0000-0000-0000F70F0000}"/>
    <cellStyle name="20% - uthevingsfarge 6 29 2 2" xfId="5563" xr:uid="{00000000-0005-0000-0000-0000F80F0000}"/>
    <cellStyle name="20% - uthevingsfarge 6 29 2 2 2" xfId="8196" xr:uid="{00000000-0005-0000-0000-0000F90F0000}"/>
    <cellStyle name="20% - uthevingsfarge 6 29 2 3" xfId="10622" xr:uid="{00000000-0005-0000-0000-0000FA0F0000}"/>
    <cellStyle name="20% - uthevingsfarge 6 29 3" xfId="4842" xr:uid="{00000000-0005-0000-0000-0000FB0F0000}"/>
    <cellStyle name="20% - uthevingsfarge 6 29 3 2" xfId="7495" xr:uid="{00000000-0005-0000-0000-0000FC0F0000}"/>
    <cellStyle name="20% - uthevingsfarge 6 29 4" xfId="9537" xr:uid="{00000000-0005-0000-0000-0000FD0F0000}"/>
    <cellStyle name="20% - uthevingsfarge 6 3" xfId="1088" xr:uid="{00000000-0005-0000-0000-0000FE0F0000}"/>
    <cellStyle name="20% - uthevingsfarge 6 3 2" xfId="1089" xr:uid="{00000000-0005-0000-0000-0000FF0F0000}"/>
    <cellStyle name="20% - uthevingsfarge 6 3 2 2" xfId="5564" xr:uid="{00000000-0005-0000-0000-000000100000}"/>
    <cellStyle name="20% - uthevingsfarge 6 3 2 2 2" xfId="8197" xr:uid="{00000000-0005-0000-0000-000001100000}"/>
    <cellStyle name="20% - uthevingsfarge 6 3 2 3" xfId="10621" xr:uid="{00000000-0005-0000-0000-000002100000}"/>
    <cellStyle name="20% - uthevingsfarge 6 3 3" xfId="4843" xr:uid="{00000000-0005-0000-0000-000003100000}"/>
    <cellStyle name="20% - uthevingsfarge 6 3 3 2" xfId="7496" xr:uid="{00000000-0005-0000-0000-000004100000}"/>
    <cellStyle name="20% - uthevingsfarge 6 3 4" xfId="9536" xr:uid="{00000000-0005-0000-0000-000005100000}"/>
    <cellStyle name="20% - uthevingsfarge 6 30" xfId="1090" xr:uid="{00000000-0005-0000-0000-000006100000}"/>
    <cellStyle name="20% - uthevingsfarge 6 30 2" xfId="1091" xr:uid="{00000000-0005-0000-0000-000007100000}"/>
    <cellStyle name="20% - uthevingsfarge 6 30 2 2" xfId="5565" xr:uid="{00000000-0005-0000-0000-000008100000}"/>
    <cellStyle name="20% - uthevingsfarge 6 30 2 2 2" xfId="8198" xr:uid="{00000000-0005-0000-0000-000009100000}"/>
    <cellStyle name="20% - uthevingsfarge 6 30 2 3" xfId="10620" xr:uid="{00000000-0005-0000-0000-00000A100000}"/>
    <cellStyle name="20% - uthevingsfarge 6 30 3" xfId="4844" xr:uid="{00000000-0005-0000-0000-00000B100000}"/>
    <cellStyle name="20% - uthevingsfarge 6 30 3 2" xfId="7497" xr:uid="{00000000-0005-0000-0000-00000C100000}"/>
    <cellStyle name="20% - uthevingsfarge 6 30 4" xfId="9535" xr:uid="{00000000-0005-0000-0000-00000D100000}"/>
    <cellStyle name="20% - uthevingsfarge 6 31" xfId="1092" xr:uid="{00000000-0005-0000-0000-00000E100000}"/>
    <cellStyle name="20% - uthevingsfarge 6 31 2" xfId="1093" xr:uid="{00000000-0005-0000-0000-00000F100000}"/>
    <cellStyle name="20% - uthevingsfarge 6 31 2 2" xfId="5566" xr:uid="{00000000-0005-0000-0000-000010100000}"/>
    <cellStyle name="20% - uthevingsfarge 6 31 2 2 2" xfId="8199" xr:uid="{00000000-0005-0000-0000-000011100000}"/>
    <cellStyle name="20% - uthevingsfarge 6 31 2 3" xfId="10619" xr:uid="{00000000-0005-0000-0000-000012100000}"/>
    <cellStyle name="20% - uthevingsfarge 6 31 3" xfId="4845" xr:uid="{00000000-0005-0000-0000-000013100000}"/>
    <cellStyle name="20% - uthevingsfarge 6 31 3 2" xfId="7498" xr:uid="{00000000-0005-0000-0000-000014100000}"/>
    <cellStyle name="20% - uthevingsfarge 6 31 4" xfId="9534" xr:uid="{00000000-0005-0000-0000-000015100000}"/>
    <cellStyle name="20% - uthevingsfarge 6 32" xfId="1094" xr:uid="{00000000-0005-0000-0000-000016100000}"/>
    <cellStyle name="20% - uthevingsfarge 6 32 2" xfId="1095" xr:uid="{00000000-0005-0000-0000-000017100000}"/>
    <cellStyle name="20% - uthevingsfarge 6 32 2 2" xfId="5567" xr:uid="{00000000-0005-0000-0000-000018100000}"/>
    <cellStyle name="20% - uthevingsfarge 6 32 2 2 2" xfId="8200" xr:uid="{00000000-0005-0000-0000-000019100000}"/>
    <cellStyle name="20% - uthevingsfarge 6 32 2 3" xfId="10618" xr:uid="{00000000-0005-0000-0000-00001A100000}"/>
    <cellStyle name="20% - uthevingsfarge 6 32 3" xfId="4846" xr:uid="{00000000-0005-0000-0000-00001B100000}"/>
    <cellStyle name="20% - uthevingsfarge 6 32 3 2" xfId="7499" xr:uid="{00000000-0005-0000-0000-00001C100000}"/>
    <cellStyle name="20% - uthevingsfarge 6 32 4" xfId="9533" xr:uid="{00000000-0005-0000-0000-00001D100000}"/>
    <cellStyle name="20% - uthevingsfarge 6 33" xfId="1096" xr:uid="{00000000-0005-0000-0000-00001E100000}"/>
    <cellStyle name="20% - uthevingsfarge 6 33 2" xfId="1097" xr:uid="{00000000-0005-0000-0000-00001F100000}"/>
    <cellStyle name="20% - uthevingsfarge 6 33 2 2" xfId="5568" xr:uid="{00000000-0005-0000-0000-000020100000}"/>
    <cellStyle name="20% - uthevingsfarge 6 33 2 2 2" xfId="8201" xr:uid="{00000000-0005-0000-0000-000021100000}"/>
    <cellStyle name="20% - uthevingsfarge 6 33 2 3" xfId="10617" xr:uid="{00000000-0005-0000-0000-000022100000}"/>
    <cellStyle name="20% - uthevingsfarge 6 33 3" xfId="4847" xr:uid="{00000000-0005-0000-0000-000023100000}"/>
    <cellStyle name="20% - uthevingsfarge 6 33 3 2" xfId="7500" xr:uid="{00000000-0005-0000-0000-000024100000}"/>
    <cellStyle name="20% - uthevingsfarge 6 33 4" xfId="9532" xr:uid="{00000000-0005-0000-0000-000025100000}"/>
    <cellStyle name="20% - uthevingsfarge 6 34" xfId="1098" xr:uid="{00000000-0005-0000-0000-000026100000}"/>
    <cellStyle name="20% - uthevingsfarge 6 34 2" xfId="1099" xr:uid="{00000000-0005-0000-0000-000027100000}"/>
    <cellStyle name="20% - uthevingsfarge 6 34 2 2" xfId="5569" xr:uid="{00000000-0005-0000-0000-000028100000}"/>
    <cellStyle name="20% - uthevingsfarge 6 34 2 2 2" xfId="8202" xr:uid="{00000000-0005-0000-0000-000029100000}"/>
    <cellStyle name="20% - uthevingsfarge 6 34 2 3" xfId="10616" xr:uid="{00000000-0005-0000-0000-00002A100000}"/>
    <cellStyle name="20% - uthevingsfarge 6 34 3" xfId="4848" xr:uid="{00000000-0005-0000-0000-00002B100000}"/>
    <cellStyle name="20% - uthevingsfarge 6 34 3 2" xfId="7501" xr:uid="{00000000-0005-0000-0000-00002C100000}"/>
    <cellStyle name="20% - uthevingsfarge 6 34 4" xfId="9531" xr:uid="{00000000-0005-0000-0000-00002D100000}"/>
    <cellStyle name="20% - uthevingsfarge 6 35" xfId="1100" xr:uid="{00000000-0005-0000-0000-00002E100000}"/>
    <cellStyle name="20% - uthevingsfarge 6 35 2" xfId="1101" xr:uid="{00000000-0005-0000-0000-00002F100000}"/>
    <cellStyle name="20% - uthevingsfarge 6 35 2 2" xfId="5570" xr:uid="{00000000-0005-0000-0000-000030100000}"/>
    <cellStyle name="20% - uthevingsfarge 6 35 2 2 2" xfId="8203" xr:uid="{00000000-0005-0000-0000-000031100000}"/>
    <cellStyle name="20% - uthevingsfarge 6 35 2 3" xfId="10615" xr:uid="{00000000-0005-0000-0000-000032100000}"/>
    <cellStyle name="20% - uthevingsfarge 6 35 3" xfId="4849" xr:uid="{00000000-0005-0000-0000-000033100000}"/>
    <cellStyle name="20% - uthevingsfarge 6 35 3 2" xfId="7502" xr:uid="{00000000-0005-0000-0000-000034100000}"/>
    <cellStyle name="20% - uthevingsfarge 6 35 4" xfId="9530" xr:uid="{00000000-0005-0000-0000-000035100000}"/>
    <cellStyle name="20% - uthevingsfarge 6 36" xfId="1102" xr:uid="{00000000-0005-0000-0000-000036100000}"/>
    <cellStyle name="20% - uthevingsfarge 6 36 2" xfId="1103" xr:uid="{00000000-0005-0000-0000-000037100000}"/>
    <cellStyle name="20% - uthevingsfarge 6 36 2 2" xfId="5571" xr:uid="{00000000-0005-0000-0000-000038100000}"/>
    <cellStyle name="20% - uthevingsfarge 6 36 2 2 2" xfId="8204" xr:uid="{00000000-0005-0000-0000-000039100000}"/>
    <cellStyle name="20% - uthevingsfarge 6 36 2 3" xfId="10614" xr:uid="{00000000-0005-0000-0000-00003A100000}"/>
    <cellStyle name="20% - uthevingsfarge 6 36 3" xfId="4850" xr:uid="{00000000-0005-0000-0000-00003B100000}"/>
    <cellStyle name="20% - uthevingsfarge 6 36 3 2" xfId="7503" xr:uid="{00000000-0005-0000-0000-00003C100000}"/>
    <cellStyle name="20% - uthevingsfarge 6 36 4" xfId="9529" xr:uid="{00000000-0005-0000-0000-00003D100000}"/>
    <cellStyle name="20% - uthevingsfarge 6 37" xfId="1104" xr:uid="{00000000-0005-0000-0000-00003E100000}"/>
    <cellStyle name="20% - uthevingsfarge 6 37 2" xfId="1105" xr:uid="{00000000-0005-0000-0000-00003F100000}"/>
    <cellStyle name="20% - uthevingsfarge 6 37 2 2" xfId="5572" xr:uid="{00000000-0005-0000-0000-000040100000}"/>
    <cellStyle name="20% - uthevingsfarge 6 37 2 2 2" xfId="8205" xr:uid="{00000000-0005-0000-0000-000041100000}"/>
    <cellStyle name="20% - uthevingsfarge 6 37 2 3" xfId="10613" xr:uid="{00000000-0005-0000-0000-000042100000}"/>
    <cellStyle name="20% - uthevingsfarge 6 37 3" xfId="4851" xr:uid="{00000000-0005-0000-0000-000043100000}"/>
    <cellStyle name="20% - uthevingsfarge 6 37 3 2" xfId="7504" xr:uid="{00000000-0005-0000-0000-000044100000}"/>
    <cellStyle name="20% - uthevingsfarge 6 37 4" xfId="9528" xr:uid="{00000000-0005-0000-0000-000045100000}"/>
    <cellStyle name="20% - uthevingsfarge 6 38" xfId="1106" xr:uid="{00000000-0005-0000-0000-000046100000}"/>
    <cellStyle name="20% - uthevingsfarge 6 38 2" xfId="1107" xr:uid="{00000000-0005-0000-0000-000047100000}"/>
    <cellStyle name="20% - uthevingsfarge 6 38 2 2" xfId="5573" xr:uid="{00000000-0005-0000-0000-000048100000}"/>
    <cellStyle name="20% - uthevingsfarge 6 38 2 2 2" xfId="8206" xr:uid="{00000000-0005-0000-0000-000049100000}"/>
    <cellStyle name="20% - uthevingsfarge 6 38 2 3" xfId="10612" xr:uid="{00000000-0005-0000-0000-00004A100000}"/>
    <cellStyle name="20% - uthevingsfarge 6 38 3" xfId="4852" xr:uid="{00000000-0005-0000-0000-00004B100000}"/>
    <cellStyle name="20% - uthevingsfarge 6 38 3 2" xfId="7505" xr:uid="{00000000-0005-0000-0000-00004C100000}"/>
    <cellStyle name="20% - uthevingsfarge 6 38 4" xfId="9527" xr:uid="{00000000-0005-0000-0000-00004D100000}"/>
    <cellStyle name="20% - uthevingsfarge 6 39" xfId="1108" xr:uid="{00000000-0005-0000-0000-00004E100000}"/>
    <cellStyle name="20% - uthevingsfarge 6 39 2" xfId="1109" xr:uid="{00000000-0005-0000-0000-00004F100000}"/>
    <cellStyle name="20% - uthevingsfarge 6 39 2 2" xfId="5574" xr:uid="{00000000-0005-0000-0000-000050100000}"/>
    <cellStyle name="20% - uthevingsfarge 6 39 2 2 2" xfId="8207" xr:uid="{00000000-0005-0000-0000-000051100000}"/>
    <cellStyle name="20% - uthevingsfarge 6 39 2 3" xfId="10611" xr:uid="{00000000-0005-0000-0000-000052100000}"/>
    <cellStyle name="20% - uthevingsfarge 6 39 3" xfId="4853" xr:uid="{00000000-0005-0000-0000-000053100000}"/>
    <cellStyle name="20% - uthevingsfarge 6 39 3 2" xfId="7506" xr:uid="{00000000-0005-0000-0000-000054100000}"/>
    <cellStyle name="20% - uthevingsfarge 6 39 4" xfId="9526" xr:uid="{00000000-0005-0000-0000-000055100000}"/>
    <cellStyle name="20% - uthevingsfarge 6 4" xfId="1110" xr:uid="{00000000-0005-0000-0000-000056100000}"/>
    <cellStyle name="20% - uthevingsfarge 6 4 2" xfId="1111" xr:uid="{00000000-0005-0000-0000-000057100000}"/>
    <cellStyle name="20% - uthevingsfarge 6 4 2 2" xfId="5575" xr:uid="{00000000-0005-0000-0000-000058100000}"/>
    <cellStyle name="20% - uthevingsfarge 6 4 2 2 2" xfId="8208" xr:uid="{00000000-0005-0000-0000-000059100000}"/>
    <cellStyle name="20% - uthevingsfarge 6 4 2 3" xfId="10610" xr:uid="{00000000-0005-0000-0000-00005A100000}"/>
    <cellStyle name="20% - uthevingsfarge 6 4 3" xfId="4854" xr:uid="{00000000-0005-0000-0000-00005B100000}"/>
    <cellStyle name="20% - uthevingsfarge 6 4 3 2" xfId="7507" xr:uid="{00000000-0005-0000-0000-00005C100000}"/>
    <cellStyle name="20% - uthevingsfarge 6 4 4" xfId="9525" xr:uid="{00000000-0005-0000-0000-00005D100000}"/>
    <cellStyle name="20% - uthevingsfarge 6 40" xfId="1112" xr:uid="{00000000-0005-0000-0000-00005E100000}"/>
    <cellStyle name="20% - uthevingsfarge 6 40 2" xfId="1113" xr:uid="{00000000-0005-0000-0000-00005F100000}"/>
    <cellStyle name="20% - uthevingsfarge 6 40 2 2" xfId="5576" xr:uid="{00000000-0005-0000-0000-000060100000}"/>
    <cellStyle name="20% - uthevingsfarge 6 40 2 2 2" xfId="8209" xr:uid="{00000000-0005-0000-0000-000061100000}"/>
    <cellStyle name="20% - uthevingsfarge 6 40 2 3" xfId="10609" xr:uid="{00000000-0005-0000-0000-000062100000}"/>
    <cellStyle name="20% - uthevingsfarge 6 40 3" xfId="4855" xr:uid="{00000000-0005-0000-0000-000063100000}"/>
    <cellStyle name="20% - uthevingsfarge 6 40 3 2" xfId="7508" xr:uid="{00000000-0005-0000-0000-000064100000}"/>
    <cellStyle name="20% - uthevingsfarge 6 40 4" xfId="9524" xr:uid="{00000000-0005-0000-0000-000065100000}"/>
    <cellStyle name="20% - uthevingsfarge 6 41" xfId="1114" xr:uid="{00000000-0005-0000-0000-000066100000}"/>
    <cellStyle name="20% - uthevingsfarge 6 41 2" xfId="1115" xr:uid="{00000000-0005-0000-0000-000067100000}"/>
    <cellStyle name="20% - uthevingsfarge 6 41 2 2" xfId="5577" xr:uid="{00000000-0005-0000-0000-000068100000}"/>
    <cellStyle name="20% - uthevingsfarge 6 41 2 2 2" xfId="8210" xr:uid="{00000000-0005-0000-0000-000069100000}"/>
    <cellStyle name="20% - uthevingsfarge 6 41 2 3" xfId="10608" xr:uid="{00000000-0005-0000-0000-00006A100000}"/>
    <cellStyle name="20% - uthevingsfarge 6 41 3" xfId="4856" xr:uid="{00000000-0005-0000-0000-00006B100000}"/>
    <cellStyle name="20% - uthevingsfarge 6 41 3 2" xfId="7509" xr:uid="{00000000-0005-0000-0000-00006C100000}"/>
    <cellStyle name="20% - uthevingsfarge 6 41 4" xfId="9523" xr:uid="{00000000-0005-0000-0000-00006D100000}"/>
    <cellStyle name="20% - uthevingsfarge 6 42" xfId="1116" xr:uid="{00000000-0005-0000-0000-00006E100000}"/>
    <cellStyle name="20% - uthevingsfarge 6 42 2" xfId="1117" xr:uid="{00000000-0005-0000-0000-00006F100000}"/>
    <cellStyle name="20% - uthevingsfarge 6 42 2 2" xfId="5578" xr:uid="{00000000-0005-0000-0000-000070100000}"/>
    <cellStyle name="20% - uthevingsfarge 6 42 2 2 2" xfId="8211" xr:uid="{00000000-0005-0000-0000-000071100000}"/>
    <cellStyle name="20% - uthevingsfarge 6 42 2 3" xfId="10607" xr:uid="{00000000-0005-0000-0000-000072100000}"/>
    <cellStyle name="20% - uthevingsfarge 6 42 3" xfId="4857" xr:uid="{00000000-0005-0000-0000-000073100000}"/>
    <cellStyle name="20% - uthevingsfarge 6 42 3 2" xfId="7510" xr:uid="{00000000-0005-0000-0000-000074100000}"/>
    <cellStyle name="20% - uthevingsfarge 6 42 4" xfId="9522" xr:uid="{00000000-0005-0000-0000-000075100000}"/>
    <cellStyle name="20% - uthevingsfarge 6 43" xfId="1118" xr:uid="{00000000-0005-0000-0000-000076100000}"/>
    <cellStyle name="20% - uthevingsfarge 6 43 2" xfId="1119" xr:uid="{00000000-0005-0000-0000-000077100000}"/>
    <cellStyle name="20% - uthevingsfarge 6 43 2 2" xfId="5579" xr:uid="{00000000-0005-0000-0000-000078100000}"/>
    <cellStyle name="20% - uthevingsfarge 6 43 2 2 2" xfId="8212" xr:uid="{00000000-0005-0000-0000-000079100000}"/>
    <cellStyle name="20% - uthevingsfarge 6 43 2 3" xfId="10606" xr:uid="{00000000-0005-0000-0000-00007A100000}"/>
    <cellStyle name="20% - uthevingsfarge 6 43 3" xfId="4858" xr:uid="{00000000-0005-0000-0000-00007B100000}"/>
    <cellStyle name="20% - uthevingsfarge 6 43 3 2" xfId="7511" xr:uid="{00000000-0005-0000-0000-00007C100000}"/>
    <cellStyle name="20% - uthevingsfarge 6 43 4" xfId="9521" xr:uid="{00000000-0005-0000-0000-00007D100000}"/>
    <cellStyle name="20% - uthevingsfarge 6 44" xfId="1120" xr:uid="{00000000-0005-0000-0000-00007E100000}"/>
    <cellStyle name="20% - uthevingsfarge 6 44 2" xfId="1121" xr:uid="{00000000-0005-0000-0000-00007F100000}"/>
    <cellStyle name="20% - uthevingsfarge 6 44 2 2" xfId="5580" xr:uid="{00000000-0005-0000-0000-000080100000}"/>
    <cellStyle name="20% - uthevingsfarge 6 44 2 2 2" xfId="8213" xr:uid="{00000000-0005-0000-0000-000081100000}"/>
    <cellStyle name="20% - uthevingsfarge 6 44 2 3" xfId="10605" xr:uid="{00000000-0005-0000-0000-000082100000}"/>
    <cellStyle name="20% - uthevingsfarge 6 44 3" xfId="4859" xr:uid="{00000000-0005-0000-0000-000083100000}"/>
    <cellStyle name="20% - uthevingsfarge 6 44 3 2" xfId="7512" xr:uid="{00000000-0005-0000-0000-000084100000}"/>
    <cellStyle name="20% - uthevingsfarge 6 44 4" xfId="9520" xr:uid="{00000000-0005-0000-0000-000085100000}"/>
    <cellStyle name="20% - uthevingsfarge 6 45" xfId="1122" xr:uid="{00000000-0005-0000-0000-000086100000}"/>
    <cellStyle name="20% - uthevingsfarge 6 45 2" xfId="1123" xr:uid="{00000000-0005-0000-0000-000087100000}"/>
    <cellStyle name="20% - uthevingsfarge 6 45 2 2" xfId="5581" xr:uid="{00000000-0005-0000-0000-000088100000}"/>
    <cellStyle name="20% - uthevingsfarge 6 45 2 2 2" xfId="8214" xr:uid="{00000000-0005-0000-0000-000089100000}"/>
    <cellStyle name="20% - uthevingsfarge 6 45 2 3" xfId="10604" xr:uid="{00000000-0005-0000-0000-00008A100000}"/>
    <cellStyle name="20% - uthevingsfarge 6 45 3" xfId="4860" xr:uid="{00000000-0005-0000-0000-00008B100000}"/>
    <cellStyle name="20% - uthevingsfarge 6 45 3 2" xfId="7513" xr:uid="{00000000-0005-0000-0000-00008C100000}"/>
    <cellStyle name="20% - uthevingsfarge 6 45 4" xfId="9519" xr:uid="{00000000-0005-0000-0000-00008D100000}"/>
    <cellStyle name="20% - uthevingsfarge 6 46" xfId="1124" xr:uid="{00000000-0005-0000-0000-00008E100000}"/>
    <cellStyle name="20% - uthevingsfarge 6 46 2" xfId="1125" xr:uid="{00000000-0005-0000-0000-00008F100000}"/>
    <cellStyle name="20% - uthevingsfarge 6 46 2 2" xfId="5582" xr:uid="{00000000-0005-0000-0000-000090100000}"/>
    <cellStyle name="20% - uthevingsfarge 6 46 2 2 2" xfId="8215" xr:uid="{00000000-0005-0000-0000-000091100000}"/>
    <cellStyle name="20% - uthevingsfarge 6 46 2 3" xfId="10603" xr:uid="{00000000-0005-0000-0000-000092100000}"/>
    <cellStyle name="20% - uthevingsfarge 6 46 3" xfId="4861" xr:uid="{00000000-0005-0000-0000-000093100000}"/>
    <cellStyle name="20% - uthevingsfarge 6 46 3 2" xfId="7514" xr:uid="{00000000-0005-0000-0000-000094100000}"/>
    <cellStyle name="20% - uthevingsfarge 6 46 4" xfId="9518" xr:uid="{00000000-0005-0000-0000-000095100000}"/>
    <cellStyle name="20% - uthevingsfarge 6 47" xfId="1126" xr:uid="{00000000-0005-0000-0000-000096100000}"/>
    <cellStyle name="20% - uthevingsfarge 6 47 2" xfId="1127" xr:uid="{00000000-0005-0000-0000-000097100000}"/>
    <cellStyle name="20% - uthevingsfarge 6 47 2 2" xfId="5583" xr:uid="{00000000-0005-0000-0000-000098100000}"/>
    <cellStyle name="20% - uthevingsfarge 6 47 2 2 2" xfId="8216" xr:uid="{00000000-0005-0000-0000-000099100000}"/>
    <cellStyle name="20% - uthevingsfarge 6 47 2 3" xfId="10602" xr:uid="{00000000-0005-0000-0000-00009A100000}"/>
    <cellStyle name="20% - uthevingsfarge 6 47 3" xfId="4862" xr:uid="{00000000-0005-0000-0000-00009B100000}"/>
    <cellStyle name="20% - uthevingsfarge 6 47 3 2" xfId="7515" xr:uid="{00000000-0005-0000-0000-00009C100000}"/>
    <cellStyle name="20% - uthevingsfarge 6 47 4" xfId="9517" xr:uid="{00000000-0005-0000-0000-00009D100000}"/>
    <cellStyle name="20% - uthevingsfarge 6 48" xfId="1128" xr:uid="{00000000-0005-0000-0000-00009E100000}"/>
    <cellStyle name="20% - uthevingsfarge 6 48 2" xfId="1129" xr:uid="{00000000-0005-0000-0000-00009F100000}"/>
    <cellStyle name="20% - uthevingsfarge 6 48 2 2" xfId="5584" xr:uid="{00000000-0005-0000-0000-0000A0100000}"/>
    <cellStyle name="20% - uthevingsfarge 6 48 2 2 2" xfId="8217" xr:uid="{00000000-0005-0000-0000-0000A1100000}"/>
    <cellStyle name="20% - uthevingsfarge 6 48 2 3" xfId="10550" xr:uid="{00000000-0005-0000-0000-0000A2100000}"/>
    <cellStyle name="20% - uthevingsfarge 6 48 3" xfId="4863" xr:uid="{00000000-0005-0000-0000-0000A3100000}"/>
    <cellStyle name="20% - uthevingsfarge 6 48 3 2" xfId="7516" xr:uid="{00000000-0005-0000-0000-0000A4100000}"/>
    <cellStyle name="20% - uthevingsfarge 6 48 4" xfId="10601" xr:uid="{00000000-0005-0000-0000-0000A5100000}"/>
    <cellStyle name="20% - uthevingsfarge 6 49" xfId="1130" xr:uid="{00000000-0005-0000-0000-0000A6100000}"/>
    <cellStyle name="20% - uthevingsfarge 6 49 2" xfId="1131" xr:uid="{00000000-0005-0000-0000-0000A7100000}"/>
    <cellStyle name="20% - uthevingsfarge 6 49 2 2" xfId="5585" xr:uid="{00000000-0005-0000-0000-0000A8100000}"/>
    <cellStyle name="20% - uthevingsfarge 6 49 2 2 2" xfId="8218" xr:uid="{00000000-0005-0000-0000-0000A9100000}"/>
    <cellStyle name="20% - uthevingsfarge 6 49 2 3" xfId="10681" xr:uid="{00000000-0005-0000-0000-0000AA100000}"/>
    <cellStyle name="20% - uthevingsfarge 6 49 3" xfId="4864" xr:uid="{00000000-0005-0000-0000-0000AB100000}"/>
    <cellStyle name="20% - uthevingsfarge 6 49 3 2" xfId="7517" xr:uid="{00000000-0005-0000-0000-0000AC100000}"/>
    <cellStyle name="20% - uthevingsfarge 6 49 4" xfId="9895" xr:uid="{00000000-0005-0000-0000-0000AD100000}"/>
    <cellStyle name="20% - uthevingsfarge 6 5" xfId="1132" xr:uid="{00000000-0005-0000-0000-0000AE100000}"/>
    <cellStyle name="20% - uthevingsfarge 6 5 2" xfId="1133" xr:uid="{00000000-0005-0000-0000-0000AF100000}"/>
    <cellStyle name="20% - uthevingsfarge 6 5 2 2" xfId="5586" xr:uid="{00000000-0005-0000-0000-0000B0100000}"/>
    <cellStyle name="20% - uthevingsfarge 6 5 2 2 2" xfId="8219" xr:uid="{00000000-0005-0000-0000-0000B1100000}"/>
    <cellStyle name="20% - uthevingsfarge 6 5 2 3" xfId="10315" xr:uid="{00000000-0005-0000-0000-0000B2100000}"/>
    <cellStyle name="20% - uthevingsfarge 6 5 3" xfId="4865" xr:uid="{00000000-0005-0000-0000-0000B3100000}"/>
    <cellStyle name="20% - uthevingsfarge 6 5 3 2" xfId="7518" xr:uid="{00000000-0005-0000-0000-0000B4100000}"/>
    <cellStyle name="20% - uthevingsfarge 6 5 4" xfId="10409" xr:uid="{00000000-0005-0000-0000-0000B5100000}"/>
    <cellStyle name="20% - uthevingsfarge 6 50" xfId="1134" xr:uid="{00000000-0005-0000-0000-0000B6100000}"/>
    <cellStyle name="20% - uthevingsfarge 6 50 2" xfId="1135" xr:uid="{00000000-0005-0000-0000-0000B7100000}"/>
    <cellStyle name="20% - uthevingsfarge 6 50 2 2" xfId="5587" xr:uid="{00000000-0005-0000-0000-0000B8100000}"/>
    <cellStyle name="20% - uthevingsfarge 6 50 2 2 2" xfId="8220" xr:uid="{00000000-0005-0000-0000-0000B9100000}"/>
    <cellStyle name="20% - uthevingsfarge 6 50 2 3" xfId="10680" xr:uid="{00000000-0005-0000-0000-0000BA100000}"/>
    <cellStyle name="20% - uthevingsfarge 6 50 3" xfId="4866" xr:uid="{00000000-0005-0000-0000-0000BB100000}"/>
    <cellStyle name="20% - uthevingsfarge 6 50 3 2" xfId="7519" xr:uid="{00000000-0005-0000-0000-0000BC100000}"/>
    <cellStyle name="20% - uthevingsfarge 6 50 4" xfId="9896" xr:uid="{00000000-0005-0000-0000-0000BD100000}"/>
    <cellStyle name="20% - uthevingsfarge 6 51" xfId="1136" xr:uid="{00000000-0005-0000-0000-0000BE100000}"/>
    <cellStyle name="20% - uthevingsfarge 6 51 2" xfId="1137" xr:uid="{00000000-0005-0000-0000-0000BF100000}"/>
    <cellStyle name="20% - uthevingsfarge 6 51 2 2" xfId="5588" xr:uid="{00000000-0005-0000-0000-0000C0100000}"/>
    <cellStyle name="20% - uthevingsfarge 6 51 2 2 2" xfId="8221" xr:uid="{00000000-0005-0000-0000-0000C1100000}"/>
    <cellStyle name="20% - uthevingsfarge 6 51 2 3" xfId="10314" xr:uid="{00000000-0005-0000-0000-0000C2100000}"/>
    <cellStyle name="20% - uthevingsfarge 6 51 3" xfId="4867" xr:uid="{00000000-0005-0000-0000-0000C3100000}"/>
    <cellStyle name="20% - uthevingsfarge 6 51 3 2" xfId="7520" xr:uid="{00000000-0005-0000-0000-0000C4100000}"/>
    <cellStyle name="20% - uthevingsfarge 6 51 4" xfId="10408" xr:uid="{00000000-0005-0000-0000-0000C5100000}"/>
    <cellStyle name="20% - uthevingsfarge 6 52" xfId="1138" xr:uid="{00000000-0005-0000-0000-0000C6100000}"/>
    <cellStyle name="20% - uthevingsfarge 6 52 2" xfId="1139" xr:uid="{00000000-0005-0000-0000-0000C7100000}"/>
    <cellStyle name="20% - uthevingsfarge 6 52 2 2" xfId="5589" xr:uid="{00000000-0005-0000-0000-0000C8100000}"/>
    <cellStyle name="20% - uthevingsfarge 6 52 2 2 2" xfId="8222" xr:uid="{00000000-0005-0000-0000-0000C9100000}"/>
    <cellStyle name="20% - uthevingsfarge 6 52 2 3" xfId="10679" xr:uid="{00000000-0005-0000-0000-0000CA100000}"/>
    <cellStyle name="20% - uthevingsfarge 6 52 3" xfId="4868" xr:uid="{00000000-0005-0000-0000-0000CB100000}"/>
    <cellStyle name="20% - uthevingsfarge 6 52 3 2" xfId="7521" xr:uid="{00000000-0005-0000-0000-0000CC100000}"/>
    <cellStyle name="20% - uthevingsfarge 6 52 4" xfId="9897" xr:uid="{00000000-0005-0000-0000-0000CD100000}"/>
    <cellStyle name="20% - uthevingsfarge 6 53" xfId="1140" xr:uid="{00000000-0005-0000-0000-0000CE100000}"/>
    <cellStyle name="20% - uthevingsfarge 6 53 2" xfId="1141" xr:uid="{00000000-0005-0000-0000-0000CF100000}"/>
    <cellStyle name="20% - uthevingsfarge 6 53 2 2" xfId="5590" xr:uid="{00000000-0005-0000-0000-0000D0100000}"/>
    <cellStyle name="20% - uthevingsfarge 6 53 2 2 2" xfId="8223" xr:uid="{00000000-0005-0000-0000-0000D1100000}"/>
    <cellStyle name="20% - uthevingsfarge 6 53 2 3" xfId="10313" xr:uid="{00000000-0005-0000-0000-0000D2100000}"/>
    <cellStyle name="20% - uthevingsfarge 6 53 3" xfId="4869" xr:uid="{00000000-0005-0000-0000-0000D3100000}"/>
    <cellStyle name="20% - uthevingsfarge 6 53 3 2" xfId="7522" xr:uid="{00000000-0005-0000-0000-0000D4100000}"/>
    <cellStyle name="20% - uthevingsfarge 6 53 4" xfId="10407" xr:uid="{00000000-0005-0000-0000-0000D5100000}"/>
    <cellStyle name="20% - uthevingsfarge 6 54" xfId="1142" xr:uid="{00000000-0005-0000-0000-0000D6100000}"/>
    <cellStyle name="20% - uthevingsfarge 6 54 2" xfId="1143" xr:uid="{00000000-0005-0000-0000-0000D7100000}"/>
    <cellStyle name="20% - uthevingsfarge 6 54 2 2" xfId="5591" xr:uid="{00000000-0005-0000-0000-0000D8100000}"/>
    <cellStyle name="20% - uthevingsfarge 6 54 2 2 2" xfId="8224" xr:uid="{00000000-0005-0000-0000-0000D9100000}"/>
    <cellStyle name="20% - uthevingsfarge 6 54 2 3" xfId="10678" xr:uid="{00000000-0005-0000-0000-0000DA100000}"/>
    <cellStyle name="20% - uthevingsfarge 6 54 3" xfId="4870" xr:uid="{00000000-0005-0000-0000-0000DB100000}"/>
    <cellStyle name="20% - uthevingsfarge 6 54 3 2" xfId="7523" xr:uid="{00000000-0005-0000-0000-0000DC100000}"/>
    <cellStyle name="20% - uthevingsfarge 6 54 4" xfId="9898" xr:uid="{00000000-0005-0000-0000-0000DD100000}"/>
    <cellStyle name="20% - uthevingsfarge 6 55" xfId="1144" xr:uid="{00000000-0005-0000-0000-0000DE100000}"/>
    <cellStyle name="20% - uthevingsfarge 6 55 2" xfId="1145" xr:uid="{00000000-0005-0000-0000-0000DF100000}"/>
    <cellStyle name="20% - uthevingsfarge 6 55 2 2" xfId="5592" xr:uid="{00000000-0005-0000-0000-0000E0100000}"/>
    <cellStyle name="20% - uthevingsfarge 6 55 2 2 2" xfId="8225" xr:uid="{00000000-0005-0000-0000-0000E1100000}"/>
    <cellStyle name="20% - uthevingsfarge 6 55 2 3" xfId="10312" xr:uid="{00000000-0005-0000-0000-0000E2100000}"/>
    <cellStyle name="20% - uthevingsfarge 6 55 3" xfId="4871" xr:uid="{00000000-0005-0000-0000-0000E3100000}"/>
    <cellStyle name="20% - uthevingsfarge 6 55 3 2" xfId="7524" xr:uid="{00000000-0005-0000-0000-0000E4100000}"/>
    <cellStyle name="20% - uthevingsfarge 6 55 4" xfId="10406" xr:uid="{00000000-0005-0000-0000-0000E5100000}"/>
    <cellStyle name="20% - uthevingsfarge 6 56" xfId="1146" xr:uid="{00000000-0005-0000-0000-0000E6100000}"/>
    <cellStyle name="20% - uthevingsfarge 6 56 2" xfId="1147" xr:uid="{00000000-0005-0000-0000-0000E7100000}"/>
    <cellStyle name="20% - uthevingsfarge 6 56 2 2" xfId="5593" xr:uid="{00000000-0005-0000-0000-0000E8100000}"/>
    <cellStyle name="20% - uthevingsfarge 6 56 2 2 2" xfId="8226" xr:uid="{00000000-0005-0000-0000-0000E9100000}"/>
    <cellStyle name="20% - uthevingsfarge 6 56 2 3" xfId="10677" xr:uid="{00000000-0005-0000-0000-0000EA100000}"/>
    <cellStyle name="20% - uthevingsfarge 6 56 3" xfId="4872" xr:uid="{00000000-0005-0000-0000-0000EB100000}"/>
    <cellStyle name="20% - uthevingsfarge 6 56 3 2" xfId="7525" xr:uid="{00000000-0005-0000-0000-0000EC100000}"/>
    <cellStyle name="20% - uthevingsfarge 6 56 4" xfId="9899" xr:uid="{00000000-0005-0000-0000-0000ED100000}"/>
    <cellStyle name="20% - uthevingsfarge 6 57" xfId="1148" xr:uid="{00000000-0005-0000-0000-0000EE100000}"/>
    <cellStyle name="20% - uthevingsfarge 6 57 2" xfId="1149" xr:uid="{00000000-0005-0000-0000-0000EF100000}"/>
    <cellStyle name="20% - uthevingsfarge 6 57 2 2" xfId="5594" xr:uid="{00000000-0005-0000-0000-0000F0100000}"/>
    <cellStyle name="20% - uthevingsfarge 6 57 2 2 2" xfId="8227" xr:uid="{00000000-0005-0000-0000-0000F1100000}"/>
    <cellStyle name="20% - uthevingsfarge 6 57 2 3" xfId="10311" xr:uid="{00000000-0005-0000-0000-0000F2100000}"/>
    <cellStyle name="20% - uthevingsfarge 6 57 3" xfId="4873" xr:uid="{00000000-0005-0000-0000-0000F3100000}"/>
    <cellStyle name="20% - uthevingsfarge 6 57 3 2" xfId="7526" xr:uid="{00000000-0005-0000-0000-0000F4100000}"/>
    <cellStyle name="20% - uthevingsfarge 6 57 4" xfId="10405" xr:uid="{00000000-0005-0000-0000-0000F5100000}"/>
    <cellStyle name="20% - uthevingsfarge 6 58" xfId="1150" xr:uid="{00000000-0005-0000-0000-0000F6100000}"/>
    <cellStyle name="20% - uthevingsfarge 6 58 2" xfId="1151" xr:uid="{00000000-0005-0000-0000-0000F7100000}"/>
    <cellStyle name="20% - uthevingsfarge 6 58 2 2" xfId="5595" xr:uid="{00000000-0005-0000-0000-0000F8100000}"/>
    <cellStyle name="20% - uthevingsfarge 6 58 2 2 2" xfId="8228" xr:uid="{00000000-0005-0000-0000-0000F9100000}"/>
    <cellStyle name="20% - uthevingsfarge 6 58 2 3" xfId="10676" xr:uid="{00000000-0005-0000-0000-0000FA100000}"/>
    <cellStyle name="20% - uthevingsfarge 6 58 3" xfId="4874" xr:uid="{00000000-0005-0000-0000-0000FB100000}"/>
    <cellStyle name="20% - uthevingsfarge 6 58 3 2" xfId="7527" xr:uid="{00000000-0005-0000-0000-0000FC100000}"/>
    <cellStyle name="20% - uthevingsfarge 6 58 4" xfId="9900" xr:uid="{00000000-0005-0000-0000-0000FD100000}"/>
    <cellStyle name="20% - uthevingsfarge 6 59" xfId="1152" xr:uid="{00000000-0005-0000-0000-0000FE100000}"/>
    <cellStyle name="20% - uthevingsfarge 6 59 2" xfId="1153" xr:uid="{00000000-0005-0000-0000-0000FF100000}"/>
    <cellStyle name="20% - uthevingsfarge 6 59 2 2" xfId="5596" xr:uid="{00000000-0005-0000-0000-000000110000}"/>
    <cellStyle name="20% - uthevingsfarge 6 59 2 2 2" xfId="8229" xr:uid="{00000000-0005-0000-0000-000001110000}"/>
    <cellStyle name="20% - uthevingsfarge 6 59 2 3" xfId="10310" xr:uid="{00000000-0005-0000-0000-000002110000}"/>
    <cellStyle name="20% - uthevingsfarge 6 59 3" xfId="4875" xr:uid="{00000000-0005-0000-0000-000003110000}"/>
    <cellStyle name="20% - uthevingsfarge 6 59 3 2" xfId="7528" xr:uid="{00000000-0005-0000-0000-000004110000}"/>
    <cellStyle name="20% - uthevingsfarge 6 59 4" xfId="10404" xr:uid="{00000000-0005-0000-0000-000005110000}"/>
    <cellStyle name="20% - uthevingsfarge 6 6" xfId="1154" xr:uid="{00000000-0005-0000-0000-000006110000}"/>
    <cellStyle name="20% - uthevingsfarge 6 6 2" xfId="1155" xr:uid="{00000000-0005-0000-0000-000007110000}"/>
    <cellStyle name="20% - uthevingsfarge 6 6 2 2" xfId="5597" xr:uid="{00000000-0005-0000-0000-000008110000}"/>
    <cellStyle name="20% - uthevingsfarge 6 6 2 2 2" xfId="8230" xr:uid="{00000000-0005-0000-0000-000009110000}"/>
    <cellStyle name="20% - uthevingsfarge 6 6 2 3" xfId="10675" xr:uid="{00000000-0005-0000-0000-00000A110000}"/>
    <cellStyle name="20% - uthevingsfarge 6 6 3" xfId="4876" xr:uid="{00000000-0005-0000-0000-00000B110000}"/>
    <cellStyle name="20% - uthevingsfarge 6 6 3 2" xfId="7529" xr:uid="{00000000-0005-0000-0000-00000C110000}"/>
    <cellStyle name="20% - uthevingsfarge 6 6 4" xfId="9901" xr:uid="{00000000-0005-0000-0000-00000D110000}"/>
    <cellStyle name="20% - uthevingsfarge 6 60" xfId="1156" xr:uid="{00000000-0005-0000-0000-00000E110000}"/>
    <cellStyle name="20% - uthevingsfarge 6 60 2" xfId="1157" xr:uid="{00000000-0005-0000-0000-00000F110000}"/>
    <cellStyle name="20% - uthevingsfarge 6 60 3" xfId="10403" xr:uid="{00000000-0005-0000-0000-000010110000}"/>
    <cellStyle name="20% - uthevingsfarge 6 61" xfId="1158" xr:uid="{00000000-0005-0000-0000-000011110000}"/>
    <cellStyle name="20% - uthevingsfarge 6 61 2" xfId="1159" xr:uid="{00000000-0005-0000-0000-000012110000}"/>
    <cellStyle name="20% - uthevingsfarge 6 62" xfId="1160" xr:uid="{00000000-0005-0000-0000-000013110000}"/>
    <cellStyle name="20% - uthevingsfarge 6 62 2" xfId="1161" xr:uid="{00000000-0005-0000-0000-000014110000}"/>
    <cellStyle name="20% - uthevingsfarge 6 63" xfId="1162" xr:uid="{00000000-0005-0000-0000-000015110000}"/>
    <cellStyle name="20% - uthevingsfarge 6 63 2" xfId="1163" xr:uid="{00000000-0005-0000-0000-000016110000}"/>
    <cellStyle name="20% - uthevingsfarge 6 64" xfId="1164" xr:uid="{00000000-0005-0000-0000-000017110000}"/>
    <cellStyle name="20% - uthevingsfarge 6 64 2" xfId="1165" xr:uid="{00000000-0005-0000-0000-000018110000}"/>
    <cellStyle name="20% - uthevingsfarge 6 65" xfId="1166" xr:uid="{00000000-0005-0000-0000-000019110000}"/>
    <cellStyle name="20% - uthevingsfarge 6 65 2" xfId="1167" xr:uid="{00000000-0005-0000-0000-00001A110000}"/>
    <cellStyle name="20% - uthevingsfarge 6 66" xfId="1168" xr:uid="{00000000-0005-0000-0000-00001B110000}"/>
    <cellStyle name="20% - uthevingsfarge 6 66 2" xfId="1169" xr:uid="{00000000-0005-0000-0000-00001C110000}"/>
    <cellStyle name="20% - uthevingsfarge 6 67" xfId="1170" xr:uid="{00000000-0005-0000-0000-00001D110000}"/>
    <cellStyle name="20% - uthevingsfarge 6 67 2" xfId="1171" xr:uid="{00000000-0005-0000-0000-00001E110000}"/>
    <cellStyle name="20% - uthevingsfarge 6 68" xfId="1172" xr:uid="{00000000-0005-0000-0000-00001F110000}"/>
    <cellStyle name="20% - uthevingsfarge 6 68 2" xfId="1173" xr:uid="{00000000-0005-0000-0000-000020110000}"/>
    <cellStyle name="20% - uthevingsfarge 6 69" xfId="1174" xr:uid="{00000000-0005-0000-0000-000021110000}"/>
    <cellStyle name="20% - uthevingsfarge 6 69 2" xfId="1175" xr:uid="{00000000-0005-0000-0000-000022110000}"/>
    <cellStyle name="20% - uthevingsfarge 6 7" xfId="1176" xr:uid="{00000000-0005-0000-0000-000023110000}"/>
    <cellStyle name="20% - uthevingsfarge 6 7 2" xfId="1177" xr:uid="{00000000-0005-0000-0000-000024110000}"/>
    <cellStyle name="20% - uthevingsfarge 6 7 2 2" xfId="5598" xr:uid="{00000000-0005-0000-0000-000025110000}"/>
    <cellStyle name="20% - uthevingsfarge 6 7 2 2 2" xfId="8231" xr:uid="{00000000-0005-0000-0000-000026110000}"/>
    <cellStyle name="20% - uthevingsfarge 6 7 2 3" xfId="9878" xr:uid="{00000000-0005-0000-0000-000027110000}"/>
    <cellStyle name="20% - uthevingsfarge 6 7 3" xfId="4877" xr:uid="{00000000-0005-0000-0000-000028110000}"/>
    <cellStyle name="20% - uthevingsfarge 6 7 3 2" xfId="7530" xr:uid="{00000000-0005-0000-0000-000029110000}"/>
    <cellStyle name="20% - uthevingsfarge 6 7 4" xfId="9827" xr:uid="{00000000-0005-0000-0000-00002A110000}"/>
    <cellStyle name="20% - uthevingsfarge 6 70" xfId="1178" xr:uid="{00000000-0005-0000-0000-00002B110000}"/>
    <cellStyle name="20% - uthevingsfarge 6 70 2" xfId="1179" xr:uid="{00000000-0005-0000-0000-00002C110000}"/>
    <cellStyle name="20% - uthevingsfarge 6 71" xfId="1180" xr:uid="{00000000-0005-0000-0000-00002D110000}"/>
    <cellStyle name="20% - uthevingsfarge 6 71 2" xfId="1181" xr:uid="{00000000-0005-0000-0000-00002E110000}"/>
    <cellStyle name="20% - uthevingsfarge 6 72" xfId="1182" xr:uid="{00000000-0005-0000-0000-00002F110000}"/>
    <cellStyle name="20% - uthevingsfarge 6 72 2" xfId="1183" xr:uid="{00000000-0005-0000-0000-000030110000}"/>
    <cellStyle name="20% - uthevingsfarge 6 73" xfId="1184" xr:uid="{00000000-0005-0000-0000-000031110000}"/>
    <cellStyle name="20% - uthevingsfarge 6 73 2" xfId="1185" xr:uid="{00000000-0005-0000-0000-000032110000}"/>
    <cellStyle name="20% - uthevingsfarge 6 74" xfId="1186" xr:uid="{00000000-0005-0000-0000-000033110000}"/>
    <cellStyle name="20% - uthevingsfarge 6 74 2" xfId="1187" xr:uid="{00000000-0005-0000-0000-000034110000}"/>
    <cellStyle name="20% - uthevingsfarge 6 75" xfId="1188" xr:uid="{00000000-0005-0000-0000-000035110000}"/>
    <cellStyle name="20% - uthevingsfarge 6 75 2" xfId="1189" xr:uid="{00000000-0005-0000-0000-000036110000}"/>
    <cellStyle name="20% - uthevingsfarge 6 76" xfId="1190" xr:uid="{00000000-0005-0000-0000-000037110000}"/>
    <cellStyle name="20% - uthevingsfarge 6 76 2" xfId="1191" xr:uid="{00000000-0005-0000-0000-000038110000}"/>
    <cellStyle name="20% - uthevingsfarge 6 77" xfId="1192" xr:uid="{00000000-0005-0000-0000-000039110000}"/>
    <cellStyle name="20% - uthevingsfarge 6 78" xfId="1193" xr:uid="{00000000-0005-0000-0000-00003A110000}"/>
    <cellStyle name="20% - uthevingsfarge 6 79" xfId="1194" xr:uid="{00000000-0005-0000-0000-00003B110000}"/>
    <cellStyle name="20% - uthevingsfarge 6 8" xfId="1195" xr:uid="{00000000-0005-0000-0000-00003C110000}"/>
    <cellStyle name="20% - uthevingsfarge 6 8 2" xfId="1196" xr:uid="{00000000-0005-0000-0000-00003D110000}"/>
    <cellStyle name="20% - uthevingsfarge 6 8 2 2" xfId="5599" xr:uid="{00000000-0005-0000-0000-00003E110000}"/>
    <cellStyle name="20% - uthevingsfarge 6 8 2 2 2" xfId="8232" xr:uid="{00000000-0005-0000-0000-00003F110000}"/>
    <cellStyle name="20% - uthevingsfarge 6 8 2 3" xfId="10285" xr:uid="{00000000-0005-0000-0000-000040110000}"/>
    <cellStyle name="20% - uthevingsfarge 6 8 3" xfId="4878" xr:uid="{00000000-0005-0000-0000-000041110000}"/>
    <cellStyle name="20% - uthevingsfarge 6 8 3 2" xfId="7531" xr:uid="{00000000-0005-0000-0000-000042110000}"/>
    <cellStyle name="20% - uthevingsfarge 6 8 4" xfId="10402" xr:uid="{00000000-0005-0000-0000-000043110000}"/>
    <cellStyle name="20% - uthevingsfarge 6 80" xfId="1197" xr:uid="{00000000-0005-0000-0000-000044110000}"/>
    <cellStyle name="20% - uthevingsfarge 6 81" xfId="1198" xr:uid="{00000000-0005-0000-0000-000045110000}"/>
    <cellStyle name="20% - uthevingsfarge 6 82" xfId="1199" xr:uid="{00000000-0005-0000-0000-000046110000}"/>
    <cellStyle name="20% - uthevingsfarge 6 83" xfId="1200" xr:uid="{00000000-0005-0000-0000-000047110000}"/>
    <cellStyle name="20% - uthevingsfarge 6 84" xfId="1201" xr:uid="{00000000-0005-0000-0000-000048110000}"/>
    <cellStyle name="20% - uthevingsfarge 6 85" xfId="1202" xr:uid="{00000000-0005-0000-0000-000049110000}"/>
    <cellStyle name="20% - uthevingsfarge 6 86" xfId="1203" xr:uid="{00000000-0005-0000-0000-00004A110000}"/>
    <cellStyle name="20% - uthevingsfarge 6 87" xfId="1204" xr:uid="{00000000-0005-0000-0000-00004B110000}"/>
    <cellStyle name="20% - uthevingsfarge 6 88" xfId="1205" xr:uid="{00000000-0005-0000-0000-00004C110000}"/>
    <cellStyle name="20% - uthevingsfarge 6 89" xfId="1206" xr:uid="{00000000-0005-0000-0000-00004D110000}"/>
    <cellStyle name="20% - uthevingsfarge 6 9" xfId="1207" xr:uid="{00000000-0005-0000-0000-00004E110000}"/>
    <cellStyle name="20% - uthevingsfarge 6 9 2" xfId="1208" xr:uid="{00000000-0005-0000-0000-00004F110000}"/>
    <cellStyle name="20% - uthevingsfarge 6 9 2 2" xfId="5600" xr:uid="{00000000-0005-0000-0000-000050110000}"/>
    <cellStyle name="20% - uthevingsfarge 6 9 2 2 2" xfId="8233" xr:uid="{00000000-0005-0000-0000-000051110000}"/>
    <cellStyle name="20% - uthevingsfarge 6 9 2 3" xfId="9934" xr:uid="{00000000-0005-0000-0000-000052110000}"/>
    <cellStyle name="20% - uthevingsfarge 6 9 3" xfId="4879" xr:uid="{00000000-0005-0000-0000-000053110000}"/>
    <cellStyle name="20% - uthevingsfarge 6 9 3 2" xfId="7532" xr:uid="{00000000-0005-0000-0000-000054110000}"/>
    <cellStyle name="20% - uthevingsfarge 6 9 4" xfId="9826" xr:uid="{00000000-0005-0000-0000-000055110000}"/>
    <cellStyle name="20% - uthevingsfarge 6 90" xfId="1209" xr:uid="{00000000-0005-0000-0000-000056110000}"/>
    <cellStyle name="20% - uthevingsfarge 6 90 2" xfId="2839" xr:uid="{00000000-0005-0000-0000-000057110000}"/>
    <cellStyle name="20% - uthevingsfarge 6 90 2 2" xfId="3239" xr:uid="{00000000-0005-0000-0000-000058110000}"/>
    <cellStyle name="20% - uthevingsfarge 6 90 2 2 2" xfId="6824" xr:uid="{00000000-0005-0000-0000-000059110000}"/>
    <cellStyle name="20% - uthevingsfarge 6 90 2 3" xfId="3637" xr:uid="{00000000-0005-0000-0000-00005A110000}"/>
    <cellStyle name="20% - uthevingsfarge 6 90 2 4" xfId="6412" xr:uid="{00000000-0005-0000-0000-00005B110000}"/>
    <cellStyle name="20% - uthevingsfarge 6 90 2 5" xfId="8824" xr:uid="{00000000-0005-0000-0000-00005C110000}"/>
    <cellStyle name="20% - uthevingsfarge 6 90 3" xfId="3238" xr:uid="{00000000-0005-0000-0000-00005D110000}"/>
    <cellStyle name="20% - uthevingsfarge 6 90 3 2" xfId="6823" xr:uid="{00000000-0005-0000-0000-00005E110000}"/>
    <cellStyle name="20% - uthevingsfarge 6 90 4" xfId="4037" xr:uid="{00000000-0005-0000-0000-00005F110000}"/>
    <cellStyle name="20% - uthevingsfarge 6 90 5" xfId="6127" xr:uid="{00000000-0005-0000-0000-000060110000}"/>
    <cellStyle name="20% - uthevingsfarge 6 90 6" xfId="8823" xr:uid="{00000000-0005-0000-0000-000061110000}"/>
    <cellStyle name="20% - uthevingsfarge 6 91" xfId="1210" xr:uid="{00000000-0005-0000-0000-000062110000}"/>
    <cellStyle name="20% - uthevingsfarge 6 91 2" xfId="2840" xr:uid="{00000000-0005-0000-0000-000063110000}"/>
    <cellStyle name="20% - uthevingsfarge 6 91 2 2" xfId="3241" xr:uid="{00000000-0005-0000-0000-000064110000}"/>
    <cellStyle name="20% - uthevingsfarge 6 91 2 2 2" xfId="6826" xr:uid="{00000000-0005-0000-0000-000065110000}"/>
    <cellStyle name="20% - uthevingsfarge 6 91 2 3" xfId="3607" xr:uid="{00000000-0005-0000-0000-000066110000}"/>
    <cellStyle name="20% - uthevingsfarge 6 91 2 4" xfId="6413" xr:uid="{00000000-0005-0000-0000-000067110000}"/>
    <cellStyle name="20% - uthevingsfarge 6 91 2 5" xfId="8826" xr:uid="{00000000-0005-0000-0000-000068110000}"/>
    <cellStyle name="20% - uthevingsfarge 6 91 3" xfId="3240" xr:uid="{00000000-0005-0000-0000-000069110000}"/>
    <cellStyle name="20% - uthevingsfarge 6 91 3 2" xfId="6825" xr:uid="{00000000-0005-0000-0000-00006A110000}"/>
    <cellStyle name="20% - uthevingsfarge 6 91 4" xfId="3630" xr:uid="{00000000-0005-0000-0000-00006B110000}"/>
    <cellStyle name="20% - uthevingsfarge 6 91 5" xfId="6128" xr:uid="{00000000-0005-0000-0000-00006C110000}"/>
    <cellStyle name="20% - uthevingsfarge 6 91 6" xfId="8825" xr:uid="{00000000-0005-0000-0000-00006D110000}"/>
    <cellStyle name="20% - uthevingsfarge 6 92" xfId="1211" xr:uid="{00000000-0005-0000-0000-00006E110000}"/>
    <cellStyle name="20% - uthevingsfarge 6 92 2" xfId="2841" xr:uid="{00000000-0005-0000-0000-00006F110000}"/>
    <cellStyle name="20% - uthevingsfarge 6 92 2 2" xfId="3243" xr:uid="{00000000-0005-0000-0000-000070110000}"/>
    <cellStyle name="20% - uthevingsfarge 6 92 2 2 2" xfId="6828" xr:uid="{00000000-0005-0000-0000-000071110000}"/>
    <cellStyle name="20% - uthevingsfarge 6 92 2 3" xfId="3676" xr:uid="{00000000-0005-0000-0000-000072110000}"/>
    <cellStyle name="20% - uthevingsfarge 6 92 2 4" xfId="6414" xr:uid="{00000000-0005-0000-0000-000073110000}"/>
    <cellStyle name="20% - uthevingsfarge 6 92 2 5" xfId="8828" xr:uid="{00000000-0005-0000-0000-000074110000}"/>
    <cellStyle name="20% - uthevingsfarge 6 92 3" xfId="3242" xr:uid="{00000000-0005-0000-0000-000075110000}"/>
    <cellStyle name="20% - uthevingsfarge 6 92 3 2" xfId="6827" xr:uid="{00000000-0005-0000-0000-000076110000}"/>
    <cellStyle name="20% - uthevingsfarge 6 92 4" xfId="4068" xr:uid="{00000000-0005-0000-0000-000077110000}"/>
    <cellStyle name="20% - uthevingsfarge 6 92 5" xfId="6129" xr:uid="{00000000-0005-0000-0000-000078110000}"/>
    <cellStyle name="20% - uthevingsfarge 6 92 6" xfId="8827" xr:uid="{00000000-0005-0000-0000-000079110000}"/>
    <cellStyle name="20% - uthevingsfarge 6 93" xfId="1212" xr:uid="{00000000-0005-0000-0000-00007A110000}"/>
    <cellStyle name="20% - uthevingsfarge 6 93 2" xfId="2842" xr:uid="{00000000-0005-0000-0000-00007B110000}"/>
    <cellStyle name="20% - uthevingsfarge 6 93 2 2" xfId="3245" xr:uid="{00000000-0005-0000-0000-00007C110000}"/>
    <cellStyle name="20% - uthevingsfarge 6 93 2 2 2" xfId="6830" xr:uid="{00000000-0005-0000-0000-00007D110000}"/>
    <cellStyle name="20% - uthevingsfarge 6 93 2 3" xfId="3737" xr:uid="{00000000-0005-0000-0000-00007E110000}"/>
    <cellStyle name="20% - uthevingsfarge 6 93 2 4" xfId="6415" xr:uid="{00000000-0005-0000-0000-00007F110000}"/>
    <cellStyle name="20% - uthevingsfarge 6 93 2 5" xfId="8830" xr:uid="{00000000-0005-0000-0000-000080110000}"/>
    <cellStyle name="20% - uthevingsfarge 6 93 3" xfId="3244" xr:uid="{00000000-0005-0000-0000-000081110000}"/>
    <cellStyle name="20% - uthevingsfarge 6 93 3 2" xfId="6829" xr:uid="{00000000-0005-0000-0000-000082110000}"/>
    <cellStyle name="20% - uthevingsfarge 6 93 4" xfId="3931" xr:uid="{00000000-0005-0000-0000-000083110000}"/>
    <cellStyle name="20% - uthevingsfarge 6 93 5" xfId="6130" xr:uid="{00000000-0005-0000-0000-000084110000}"/>
    <cellStyle name="20% - uthevingsfarge 6 93 6" xfId="8829" xr:uid="{00000000-0005-0000-0000-000085110000}"/>
    <cellStyle name="20% - uthevingsfarge 6 94" xfId="1213" xr:uid="{00000000-0005-0000-0000-000086110000}"/>
    <cellStyle name="20% - uthevingsfarge 6 94 2" xfId="2843" xr:uid="{00000000-0005-0000-0000-000087110000}"/>
    <cellStyle name="20% - uthevingsfarge 6 94 2 2" xfId="3247" xr:uid="{00000000-0005-0000-0000-000088110000}"/>
    <cellStyle name="20% - uthevingsfarge 6 94 2 2 2" xfId="6832" xr:uid="{00000000-0005-0000-0000-000089110000}"/>
    <cellStyle name="20% - uthevingsfarge 6 94 2 3" xfId="3736" xr:uid="{00000000-0005-0000-0000-00008A110000}"/>
    <cellStyle name="20% - uthevingsfarge 6 94 2 4" xfId="6416" xr:uid="{00000000-0005-0000-0000-00008B110000}"/>
    <cellStyle name="20% - uthevingsfarge 6 94 2 5" xfId="8832" xr:uid="{00000000-0005-0000-0000-00008C110000}"/>
    <cellStyle name="20% - uthevingsfarge 6 94 3" xfId="3246" xr:uid="{00000000-0005-0000-0000-00008D110000}"/>
    <cellStyle name="20% - uthevingsfarge 6 94 3 2" xfId="6831" xr:uid="{00000000-0005-0000-0000-00008E110000}"/>
    <cellStyle name="20% - uthevingsfarge 6 94 4" xfId="3887" xr:uid="{00000000-0005-0000-0000-00008F110000}"/>
    <cellStyle name="20% - uthevingsfarge 6 94 5" xfId="6131" xr:uid="{00000000-0005-0000-0000-000090110000}"/>
    <cellStyle name="20% - uthevingsfarge 6 94 6" xfId="8831" xr:uid="{00000000-0005-0000-0000-000091110000}"/>
    <cellStyle name="20% - uthevingsfarge 6 95" xfId="1214" xr:uid="{00000000-0005-0000-0000-000092110000}"/>
    <cellStyle name="20% - uthevingsfarge 6 95 2" xfId="2844" xr:uid="{00000000-0005-0000-0000-000093110000}"/>
    <cellStyle name="20% - uthevingsfarge 6 95 2 2" xfId="3249" xr:uid="{00000000-0005-0000-0000-000094110000}"/>
    <cellStyle name="20% - uthevingsfarge 6 95 2 2 2" xfId="6834" xr:uid="{00000000-0005-0000-0000-000095110000}"/>
    <cellStyle name="20% - uthevingsfarge 6 95 2 3" xfId="3735" xr:uid="{00000000-0005-0000-0000-000096110000}"/>
    <cellStyle name="20% - uthevingsfarge 6 95 2 4" xfId="6417" xr:uid="{00000000-0005-0000-0000-000097110000}"/>
    <cellStyle name="20% - uthevingsfarge 6 95 2 5" xfId="8834" xr:uid="{00000000-0005-0000-0000-000098110000}"/>
    <cellStyle name="20% - uthevingsfarge 6 95 3" xfId="3248" xr:uid="{00000000-0005-0000-0000-000099110000}"/>
    <cellStyle name="20% - uthevingsfarge 6 95 3 2" xfId="6833" xr:uid="{00000000-0005-0000-0000-00009A110000}"/>
    <cellStyle name="20% - uthevingsfarge 6 95 4" xfId="3662" xr:uid="{00000000-0005-0000-0000-00009B110000}"/>
    <cellStyle name="20% - uthevingsfarge 6 95 5" xfId="6132" xr:uid="{00000000-0005-0000-0000-00009C110000}"/>
    <cellStyle name="20% - uthevingsfarge 6 95 6" xfId="8833" xr:uid="{00000000-0005-0000-0000-00009D110000}"/>
    <cellStyle name="20% - uthevingsfarge 6 96" xfId="1215" xr:uid="{00000000-0005-0000-0000-00009E110000}"/>
    <cellStyle name="20% - uthevingsfarge 6 96 2" xfId="2845" xr:uid="{00000000-0005-0000-0000-00009F110000}"/>
    <cellStyle name="20% - uthevingsfarge 6 96 2 2" xfId="3251" xr:uid="{00000000-0005-0000-0000-0000A0110000}"/>
    <cellStyle name="20% - uthevingsfarge 6 96 2 2 2" xfId="6836" xr:uid="{00000000-0005-0000-0000-0000A1110000}"/>
    <cellStyle name="20% - uthevingsfarge 6 96 2 3" xfId="3734" xr:uid="{00000000-0005-0000-0000-0000A2110000}"/>
    <cellStyle name="20% - uthevingsfarge 6 96 2 4" xfId="6418" xr:uid="{00000000-0005-0000-0000-0000A3110000}"/>
    <cellStyle name="20% - uthevingsfarge 6 96 2 5" xfId="8836" xr:uid="{00000000-0005-0000-0000-0000A4110000}"/>
    <cellStyle name="20% - uthevingsfarge 6 96 3" xfId="3250" xr:uid="{00000000-0005-0000-0000-0000A5110000}"/>
    <cellStyle name="20% - uthevingsfarge 6 96 3 2" xfId="6835" xr:uid="{00000000-0005-0000-0000-0000A6110000}"/>
    <cellStyle name="20% - uthevingsfarge 6 96 4" xfId="3979" xr:uid="{00000000-0005-0000-0000-0000A7110000}"/>
    <cellStyle name="20% - uthevingsfarge 6 96 5" xfId="6133" xr:uid="{00000000-0005-0000-0000-0000A8110000}"/>
    <cellStyle name="20% - uthevingsfarge 6 96 6" xfId="8835" xr:uid="{00000000-0005-0000-0000-0000A9110000}"/>
    <cellStyle name="20% - uthevingsfarge 6 97" xfId="1216" xr:uid="{00000000-0005-0000-0000-0000AA110000}"/>
    <cellStyle name="20% - uthevingsfarge 6 97 2" xfId="2846" xr:uid="{00000000-0005-0000-0000-0000AB110000}"/>
    <cellStyle name="20% - uthevingsfarge 6 97 2 2" xfId="3253" xr:uid="{00000000-0005-0000-0000-0000AC110000}"/>
    <cellStyle name="20% - uthevingsfarge 6 97 2 2 2" xfId="6838" xr:uid="{00000000-0005-0000-0000-0000AD110000}"/>
    <cellStyle name="20% - uthevingsfarge 6 97 2 3" xfId="3733" xr:uid="{00000000-0005-0000-0000-0000AE110000}"/>
    <cellStyle name="20% - uthevingsfarge 6 97 2 4" xfId="6419" xr:uid="{00000000-0005-0000-0000-0000AF110000}"/>
    <cellStyle name="20% - uthevingsfarge 6 97 2 5" xfId="8838" xr:uid="{00000000-0005-0000-0000-0000B0110000}"/>
    <cellStyle name="20% - uthevingsfarge 6 97 3" xfId="3252" xr:uid="{00000000-0005-0000-0000-0000B1110000}"/>
    <cellStyle name="20% - uthevingsfarge 6 97 3 2" xfId="6837" xr:uid="{00000000-0005-0000-0000-0000B2110000}"/>
    <cellStyle name="20% - uthevingsfarge 6 97 4" xfId="3930" xr:uid="{00000000-0005-0000-0000-0000B3110000}"/>
    <cellStyle name="20% - uthevingsfarge 6 97 5" xfId="6134" xr:uid="{00000000-0005-0000-0000-0000B4110000}"/>
    <cellStyle name="20% - uthevingsfarge 6 97 6" xfId="8837" xr:uid="{00000000-0005-0000-0000-0000B5110000}"/>
    <cellStyle name="20% - uthevingsfarge 6 98" xfId="1217" xr:uid="{00000000-0005-0000-0000-0000B6110000}"/>
    <cellStyle name="20% - uthevingsfarge 6 98 2" xfId="2847" xr:uid="{00000000-0005-0000-0000-0000B7110000}"/>
    <cellStyle name="20% - uthevingsfarge 6 98 2 2" xfId="3255" xr:uid="{00000000-0005-0000-0000-0000B8110000}"/>
    <cellStyle name="20% - uthevingsfarge 6 98 2 2 2" xfId="6840" xr:uid="{00000000-0005-0000-0000-0000B9110000}"/>
    <cellStyle name="20% - uthevingsfarge 6 98 2 3" xfId="3732" xr:uid="{00000000-0005-0000-0000-0000BA110000}"/>
    <cellStyle name="20% - uthevingsfarge 6 98 2 4" xfId="6420" xr:uid="{00000000-0005-0000-0000-0000BB110000}"/>
    <cellStyle name="20% - uthevingsfarge 6 98 2 5" xfId="8840" xr:uid="{00000000-0005-0000-0000-0000BC110000}"/>
    <cellStyle name="20% - uthevingsfarge 6 98 3" xfId="3254" xr:uid="{00000000-0005-0000-0000-0000BD110000}"/>
    <cellStyle name="20% - uthevingsfarge 6 98 3 2" xfId="6839" xr:uid="{00000000-0005-0000-0000-0000BE110000}"/>
    <cellStyle name="20% - uthevingsfarge 6 98 4" xfId="4124" xr:uid="{00000000-0005-0000-0000-0000BF110000}"/>
    <cellStyle name="20% - uthevingsfarge 6 98 5" xfId="6135" xr:uid="{00000000-0005-0000-0000-0000C0110000}"/>
    <cellStyle name="20% - uthevingsfarge 6 98 6" xfId="8839" xr:uid="{00000000-0005-0000-0000-0000C1110000}"/>
    <cellStyle name="20% - uthevingsfarge 6 99" xfId="1218" xr:uid="{00000000-0005-0000-0000-0000C2110000}"/>
    <cellStyle name="20% - uthevingsfarge 6 99 2" xfId="2848" xr:uid="{00000000-0005-0000-0000-0000C3110000}"/>
    <cellStyle name="20% - uthevingsfarge 6 99 2 2" xfId="3257" xr:uid="{00000000-0005-0000-0000-0000C4110000}"/>
    <cellStyle name="20% - uthevingsfarge 6 99 2 2 2" xfId="6842" xr:uid="{00000000-0005-0000-0000-0000C5110000}"/>
    <cellStyle name="20% - uthevingsfarge 6 99 2 3" xfId="3731" xr:uid="{00000000-0005-0000-0000-0000C6110000}"/>
    <cellStyle name="20% - uthevingsfarge 6 99 2 4" xfId="6421" xr:uid="{00000000-0005-0000-0000-0000C7110000}"/>
    <cellStyle name="20% - uthevingsfarge 6 99 2 5" xfId="8842" xr:uid="{00000000-0005-0000-0000-0000C8110000}"/>
    <cellStyle name="20% - uthevingsfarge 6 99 3" xfId="3256" xr:uid="{00000000-0005-0000-0000-0000C9110000}"/>
    <cellStyle name="20% - uthevingsfarge 6 99 3 2" xfId="6841" xr:uid="{00000000-0005-0000-0000-0000CA110000}"/>
    <cellStyle name="20% - uthevingsfarge 6 99 4" xfId="4125" xr:uid="{00000000-0005-0000-0000-0000CB110000}"/>
    <cellStyle name="20% - uthevingsfarge 6 99 5" xfId="6136" xr:uid="{00000000-0005-0000-0000-0000CC110000}"/>
    <cellStyle name="20% - uthevingsfarge 6 99 6" xfId="8841" xr:uid="{00000000-0005-0000-0000-0000CD110000}"/>
    <cellStyle name="40 % - uthevingsfarge 1" xfId="11311" xr:uid="{16568573-5696-4192-918F-BA6A38847A75}"/>
    <cellStyle name="40 % – uthevingsfarge 1" xfId="23" builtinId="31" customBuiltin="1"/>
    <cellStyle name="40 % - uthevingsfarge 2" xfId="11312" xr:uid="{5A9022BC-5916-41C9-88A8-D84CD5A9C815}"/>
    <cellStyle name="40 % – uthevingsfarge 2" xfId="25" builtinId="35" customBuiltin="1"/>
    <cellStyle name="40 % - uthevingsfarge 3" xfId="11313" xr:uid="{6CF9F63B-77FE-4781-8CDA-78F730557BFF}"/>
    <cellStyle name="40 % – uthevingsfarge 3" xfId="27" builtinId="39" customBuiltin="1"/>
    <cellStyle name="40 % - uthevingsfarge 4" xfId="11314" xr:uid="{D6DB8F9F-A1FA-4503-8A61-4630F966C28C}"/>
    <cellStyle name="40 % – uthevingsfarge 4" xfId="29" builtinId="43" customBuiltin="1"/>
    <cellStyle name="40 % - uthevingsfarge 5" xfId="11315" xr:uid="{EC1FE79C-849B-4F1C-80F5-1EC115021F8C}"/>
    <cellStyle name="40 % – uthevingsfarge 5" xfId="31" builtinId="47" customBuiltin="1"/>
    <cellStyle name="40 % - uthevingsfarge 6" xfId="11316" xr:uid="{0E773132-8991-49A6-A5F6-92D832EAA8F1}"/>
    <cellStyle name="40 % – uthevingsfarge 6" xfId="33" builtinId="51" customBuiltin="1"/>
    <cellStyle name="40% - 1. jelölőszín" xfId="4186" xr:uid="{00000000-0005-0000-0000-0000D4110000}"/>
    <cellStyle name="40% - 1. jelölőszín 2" xfId="10766" xr:uid="{00000000-0005-0000-0000-0000D5110000}"/>
    <cellStyle name="40% - 1. jelölőszín_20130128_ITS on reporting_Annex I_CA" xfId="10767" xr:uid="{00000000-0005-0000-0000-0000D6110000}"/>
    <cellStyle name="40% - 2. jelölőszín" xfId="4187" xr:uid="{00000000-0005-0000-0000-0000D7110000}"/>
    <cellStyle name="40% - 2. jelölőszín 2" xfId="10768" xr:uid="{00000000-0005-0000-0000-0000D8110000}"/>
    <cellStyle name="40% - 2. jelölőszín_20130128_ITS on reporting_Annex I_CA" xfId="10769" xr:uid="{00000000-0005-0000-0000-0000D9110000}"/>
    <cellStyle name="40% - 3. jelölőszín" xfId="4188" xr:uid="{00000000-0005-0000-0000-0000DA110000}"/>
    <cellStyle name="40% - 3. jelölőszín 2" xfId="10770" xr:uid="{00000000-0005-0000-0000-0000DB110000}"/>
    <cellStyle name="40% - 3. jelölőszín_20130128_ITS on reporting_Annex I_CA" xfId="10771" xr:uid="{00000000-0005-0000-0000-0000DC110000}"/>
    <cellStyle name="40% - 4. jelölőszín" xfId="4189" xr:uid="{00000000-0005-0000-0000-0000DD110000}"/>
    <cellStyle name="40% - 4. jelölőszín 2" xfId="10772" xr:uid="{00000000-0005-0000-0000-0000DE110000}"/>
    <cellStyle name="40% - 4. jelölőszín_20130128_ITS on reporting_Annex I_CA" xfId="10773" xr:uid="{00000000-0005-0000-0000-0000DF110000}"/>
    <cellStyle name="40% - 5. jelölőszín" xfId="4190" xr:uid="{00000000-0005-0000-0000-0000E0110000}"/>
    <cellStyle name="40% - 5. jelölőszín 2" xfId="10774" xr:uid="{00000000-0005-0000-0000-0000E1110000}"/>
    <cellStyle name="40% - 5. jelölőszín_20130128_ITS on reporting_Annex I_CA" xfId="10775" xr:uid="{00000000-0005-0000-0000-0000E2110000}"/>
    <cellStyle name="40% - 6. jelölőszín" xfId="4191" xr:uid="{00000000-0005-0000-0000-0000E3110000}"/>
    <cellStyle name="40% - 6. jelölőszín 2" xfId="10776" xr:uid="{00000000-0005-0000-0000-0000E4110000}"/>
    <cellStyle name="40% - 6. jelölőszín_20130128_ITS on reporting_Annex I_CA" xfId="10777" xr:uid="{00000000-0005-0000-0000-0000E5110000}"/>
    <cellStyle name="40% - Accent1 2" xfId="10778" xr:uid="{00000000-0005-0000-0000-0000E6110000}"/>
    <cellStyle name="40% - Accent2 2" xfId="10779" xr:uid="{00000000-0005-0000-0000-0000E7110000}"/>
    <cellStyle name="40% - Accent3 2" xfId="10780" xr:uid="{00000000-0005-0000-0000-0000E8110000}"/>
    <cellStyle name="40% - Accent4 2" xfId="10781" xr:uid="{00000000-0005-0000-0000-0000E9110000}"/>
    <cellStyle name="40% - Accent5 2" xfId="10782" xr:uid="{00000000-0005-0000-0000-0000EA110000}"/>
    <cellStyle name="40% - Accent6 2" xfId="10783" xr:uid="{00000000-0005-0000-0000-0000EB110000}"/>
    <cellStyle name="40% - Énfasis1" xfId="4192" xr:uid="{00000000-0005-0000-0000-0000EC110000}"/>
    <cellStyle name="40% - Énfasis2" xfId="4193" xr:uid="{00000000-0005-0000-0000-0000ED110000}"/>
    <cellStyle name="40% - Énfasis3" xfId="4194" xr:uid="{00000000-0005-0000-0000-0000EE110000}"/>
    <cellStyle name="40% - Énfasis4" xfId="4195" xr:uid="{00000000-0005-0000-0000-0000EF110000}"/>
    <cellStyle name="40% - Énfasis5" xfId="4196" xr:uid="{00000000-0005-0000-0000-0000F0110000}"/>
    <cellStyle name="40% - Énfasis6" xfId="4197" xr:uid="{00000000-0005-0000-0000-0000F1110000}"/>
    <cellStyle name="40% - uthevingsfarge 1 10" xfId="1219" xr:uid="{00000000-0005-0000-0000-0000F2110000}"/>
    <cellStyle name="40% - uthevingsfarge 1 10 2" xfId="1220" xr:uid="{00000000-0005-0000-0000-0000F3110000}"/>
    <cellStyle name="40% - uthevingsfarge 1 10 2 2" xfId="5601" xr:uid="{00000000-0005-0000-0000-0000F4110000}"/>
    <cellStyle name="40% - uthevingsfarge 1 10 2 2 2" xfId="8234" xr:uid="{00000000-0005-0000-0000-0000F5110000}"/>
    <cellStyle name="40% - uthevingsfarge 1 10 2 3" xfId="10284" xr:uid="{00000000-0005-0000-0000-0000F6110000}"/>
    <cellStyle name="40% - uthevingsfarge 1 10 3" xfId="4880" xr:uid="{00000000-0005-0000-0000-0000F7110000}"/>
    <cellStyle name="40% - uthevingsfarge 1 10 3 2" xfId="7533" xr:uid="{00000000-0005-0000-0000-0000F8110000}"/>
    <cellStyle name="40% - uthevingsfarge 1 10 4" xfId="10401" xr:uid="{00000000-0005-0000-0000-0000F9110000}"/>
    <cellStyle name="40% - uthevingsfarge 1 100" xfId="1221" xr:uid="{00000000-0005-0000-0000-0000FA110000}"/>
    <cellStyle name="40% - uthevingsfarge 1 100 2" xfId="2849" xr:uid="{00000000-0005-0000-0000-0000FB110000}"/>
    <cellStyle name="40% - uthevingsfarge 1 100 2 2" xfId="3259" xr:uid="{00000000-0005-0000-0000-0000FC110000}"/>
    <cellStyle name="40% - uthevingsfarge 1 100 2 2 2" xfId="6844" xr:uid="{00000000-0005-0000-0000-0000FD110000}"/>
    <cellStyle name="40% - uthevingsfarge 1 100 2 3" xfId="3730" xr:uid="{00000000-0005-0000-0000-0000FE110000}"/>
    <cellStyle name="40% - uthevingsfarge 1 100 2 4" xfId="6422" xr:uid="{00000000-0005-0000-0000-0000FF110000}"/>
    <cellStyle name="40% - uthevingsfarge 1 100 2 5" xfId="8844" xr:uid="{00000000-0005-0000-0000-000000120000}"/>
    <cellStyle name="40% - uthevingsfarge 1 100 3" xfId="3258" xr:uid="{00000000-0005-0000-0000-000001120000}"/>
    <cellStyle name="40% - uthevingsfarge 1 100 3 2" xfId="6843" xr:uid="{00000000-0005-0000-0000-000002120000}"/>
    <cellStyle name="40% - uthevingsfarge 1 100 4" xfId="4036" xr:uid="{00000000-0005-0000-0000-000003120000}"/>
    <cellStyle name="40% - uthevingsfarge 1 100 5" xfId="6137" xr:uid="{00000000-0005-0000-0000-000004120000}"/>
    <cellStyle name="40% - uthevingsfarge 1 100 6" xfId="8843" xr:uid="{00000000-0005-0000-0000-000005120000}"/>
    <cellStyle name="40% - uthevingsfarge 1 101" xfId="1222" xr:uid="{00000000-0005-0000-0000-000006120000}"/>
    <cellStyle name="40% - uthevingsfarge 1 101 2" xfId="2850" xr:uid="{00000000-0005-0000-0000-000007120000}"/>
    <cellStyle name="40% - uthevingsfarge 1 101 2 2" xfId="3261" xr:uid="{00000000-0005-0000-0000-000008120000}"/>
    <cellStyle name="40% - uthevingsfarge 1 101 2 2 2" xfId="6846" xr:uid="{00000000-0005-0000-0000-000009120000}"/>
    <cellStyle name="40% - uthevingsfarge 1 101 2 3" xfId="3729" xr:uid="{00000000-0005-0000-0000-00000A120000}"/>
    <cellStyle name="40% - uthevingsfarge 1 101 2 4" xfId="6423" xr:uid="{00000000-0005-0000-0000-00000B120000}"/>
    <cellStyle name="40% - uthevingsfarge 1 101 2 5" xfId="8846" xr:uid="{00000000-0005-0000-0000-00000C120000}"/>
    <cellStyle name="40% - uthevingsfarge 1 101 3" xfId="3260" xr:uid="{00000000-0005-0000-0000-00000D120000}"/>
    <cellStyle name="40% - uthevingsfarge 1 101 3 2" xfId="6845" xr:uid="{00000000-0005-0000-0000-00000E120000}"/>
    <cellStyle name="40% - uthevingsfarge 1 101 4" xfId="3886" xr:uid="{00000000-0005-0000-0000-00000F120000}"/>
    <cellStyle name="40% - uthevingsfarge 1 101 5" xfId="6138" xr:uid="{00000000-0005-0000-0000-000010120000}"/>
    <cellStyle name="40% - uthevingsfarge 1 101 6" xfId="8845" xr:uid="{00000000-0005-0000-0000-000011120000}"/>
    <cellStyle name="40% - uthevingsfarge 1 102" xfId="1223" xr:uid="{00000000-0005-0000-0000-000012120000}"/>
    <cellStyle name="40% - uthevingsfarge 1 102 2" xfId="2851" xr:uid="{00000000-0005-0000-0000-000013120000}"/>
    <cellStyle name="40% - uthevingsfarge 1 102 2 2" xfId="3263" xr:uid="{00000000-0005-0000-0000-000014120000}"/>
    <cellStyle name="40% - uthevingsfarge 1 102 2 2 2" xfId="6848" xr:uid="{00000000-0005-0000-0000-000015120000}"/>
    <cellStyle name="40% - uthevingsfarge 1 102 2 3" xfId="3728" xr:uid="{00000000-0005-0000-0000-000016120000}"/>
    <cellStyle name="40% - uthevingsfarge 1 102 2 4" xfId="6424" xr:uid="{00000000-0005-0000-0000-000017120000}"/>
    <cellStyle name="40% - uthevingsfarge 1 102 2 5" xfId="8848" xr:uid="{00000000-0005-0000-0000-000018120000}"/>
    <cellStyle name="40% - uthevingsfarge 1 102 3" xfId="3262" xr:uid="{00000000-0005-0000-0000-000019120000}"/>
    <cellStyle name="40% - uthevingsfarge 1 102 3 2" xfId="6847" xr:uid="{00000000-0005-0000-0000-00001A120000}"/>
    <cellStyle name="40% - uthevingsfarge 1 102 4" xfId="4122" xr:uid="{00000000-0005-0000-0000-00001B120000}"/>
    <cellStyle name="40% - uthevingsfarge 1 102 5" xfId="6139" xr:uid="{00000000-0005-0000-0000-00001C120000}"/>
    <cellStyle name="40% - uthevingsfarge 1 102 6" xfId="8847" xr:uid="{00000000-0005-0000-0000-00001D120000}"/>
    <cellStyle name="40% - uthevingsfarge 1 103" xfId="1224" xr:uid="{00000000-0005-0000-0000-00001E120000}"/>
    <cellStyle name="40% - uthevingsfarge 1 103 2" xfId="2852" xr:uid="{00000000-0005-0000-0000-00001F120000}"/>
    <cellStyle name="40% - uthevingsfarge 1 103 2 2" xfId="3265" xr:uid="{00000000-0005-0000-0000-000020120000}"/>
    <cellStyle name="40% - uthevingsfarge 1 103 2 2 2" xfId="6850" xr:uid="{00000000-0005-0000-0000-000021120000}"/>
    <cellStyle name="40% - uthevingsfarge 1 103 2 3" xfId="3727" xr:uid="{00000000-0005-0000-0000-000022120000}"/>
    <cellStyle name="40% - uthevingsfarge 1 103 2 4" xfId="6425" xr:uid="{00000000-0005-0000-0000-000023120000}"/>
    <cellStyle name="40% - uthevingsfarge 1 103 2 5" xfId="8850" xr:uid="{00000000-0005-0000-0000-000024120000}"/>
    <cellStyle name="40% - uthevingsfarge 1 103 3" xfId="3264" xr:uid="{00000000-0005-0000-0000-000025120000}"/>
    <cellStyle name="40% - uthevingsfarge 1 103 3 2" xfId="6849" xr:uid="{00000000-0005-0000-0000-000026120000}"/>
    <cellStyle name="40% - uthevingsfarge 1 103 4" xfId="4123" xr:uid="{00000000-0005-0000-0000-000027120000}"/>
    <cellStyle name="40% - uthevingsfarge 1 103 5" xfId="6140" xr:uid="{00000000-0005-0000-0000-000028120000}"/>
    <cellStyle name="40% - uthevingsfarge 1 103 6" xfId="8849" xr:uid="{00000000-0005-0000-0000-000029120000}"/>
    <cellStyle name="40% - uthevingsfarge 1 104" xfId="1225" xr:uid="{00000000-0005-0000-0000-00002A120000}"/>
    <cellStyle name="40% - uthevingsfarge 1 104 2" xfId="2853" xr:uid="{00000000-0005-0000-0000-00002B120000}"/>
    <cellStyle name="40% - uthevingsfarge 1 104 2 2" xfId="3267" xr:uid="{00000000-0005-0000-0000-00002C120000}"/>
    <cellStyle name="40% - uthevingsfarge 1 104 2 2 2" xfId="6852" xr:uid="{00000000-0005-0000-0000-00002D120000}"/>
    <cellStyle name="40% - uthevingsfarge 1 104 2 3" xfId="3726" xr:uid="{00000000-0005-0000-0000-00002E120000}"/>
    <cellStyle name="40% - uthevingsfarge 1 104 2 4" xfId="6426" xr:uid="{00000000-0005-0000-0000-00002F120000}"/>
    <cellStyle name="40% - uthevingsfarge 1 104 2 5" xfId="8852" xr:uid="{00000000-0005-0000-0000-000030120000}"/>
    <cellStyle name="40% - uthevingsfarge 1 104 3" xfId="3266" xr:uid="{00000000-0005-0000-0000-000031120000}"/>
    <cellStyle name="40% - uthevingsfarge 1 104 3 2" xfId="6851" xr:uid="{00000000-0005-0000-0000-000032120000}"/>
    <cellStyle name="40% - uthevingsfarge 1 104 4" xfId="4035" xr:uid="{00000000-0005-0000-0000-000033120000}"/>
    <cellStyle name="40% - uthevingsfarge 1 104 5" xfId="6141" xr:uid="{00000000-0005-0000-0000-000034120000}"/>
    <cellStyle name="40% - uthevingsfarge 1 104 6" xfId="8851" xr:uid="{00000000-0005-0000-0000-000035120000}"/>
    <cellStyle name="40% - uthevingsfarge 1 105" xfId="1226" xr:uid="{00000000-0005-0000-0000-000036120000}"/>
    <cellStyle name="40% - uthevingsfarge 1 105 2" xfId="2854" xr:uid="{00000000-0005-0000-0000-000037120000}"/>
    <cellStyle name="40% - uthevingsfarge 1 105 2 2" xfId="3269" xr:uid="{00000000-0005-0000-0000-000038120000}"/>
    <cellStyle name="40% - uthevingsfarge 1 105 2 2 2" xfId="6854" xr:uid="{00000000-0005-0000-0000-000039120000}"/>
    <cellStyle name="40% - uthevingsfarge 1 105 2 3" xfId="3725" xr:uid="{00000000-0005-0000-0000-00003A120000}"/>
    <cellStyle name="40% - uthevingsfarge 1 105 2 4" xfId="6427" xr:uid="{00000000-0005-0000-0000-00003B120000}"/>
    <cellStyle name="40% - uthevingsfarge 1 105 2 5" xfId="8854" xr:uid="{00000000-0005-0000-0000-00003C120000}"/>
    <cellStyle name="40% - uthevingsfarge 1 105 3" xfId="3268" xr:uid="{00000000-0005-0000-0000-00003D120000}"/>
    <cellStyle name="40% - uthevingsfarge 1 105 3 2" xfId="6853" xr:uid="{00000000-0005-0000-0000-00003E120000}"/>
    <cellStyle name="40% - uthevingsfarge 1 105 4" xfId="3885" xr:uid="{00000000-0005-0000-0000-00003F120000}"/>
    <cellStyle name="40% - uthevingsfarge 1 105 5" xfId="6142" xr:uid="{00000000-0005-0000-0000-000040120000}"/>
    <cellStyle name="40% - uthevingsfarge 1 105 6" xfId="8853" xr:uid="{00000000-0005-0000-0000-000041120000}"/>
    <cellStyle name="40% - uthevingsfarge 1 106" xfId="1227" xr:uid="{00000000-0005-0000-0000-000042120000}"/>
    <cellStyle name="40% - uthevingsfarge 1 106 2" xfId="2855" xr:uid="{00000000-0005-0000-0000-000043120000}"/>
    <cellStyle name="40% - uthevingsfarge 1 106 2 2" xfId="3271" xr:uid="{00000000-0005-0000-0000-000044120000}"/>
    <cellStyle name="40% - uthevingsfarge 1 106 2 2 2" xfId="6856" xr:uid="{00000000-0005-0000-0000-000045120000}"/>
    <cellStyle name="40% - uthevingsfarge 1 106 2 3" xfId="3724" xr:uid="{00000000-0005-0000-0000-000046120000}"/>
    <cellStyle name="40% - uthevingsfarge 1 106 2 4" xfId="6428" xr:uid="{00000000-0005-0000-0000-000047120000}"/>
    <cellStyle name="40% - uthevingsfarge 1 106 2 5" xfId="8856" xr:uid="{00000000-0005-0000-0000-000048120000}"/>
    <cellStyle name="40% - uthevingsfarge 1 106 3" xfId="3270" xr:uid="{00000000-0005-0000-0000-000049120000}"/>
    <cellStyle name="40% - uthevingsfarge 1 106 3 2" xfId="6855" xr:uid="{00000000-0005-0000-0000-00004A120000}"/>
    <cellStyle name="40% - uthevingsfarge 1 106 4" xfId="4120" xr:uid="{00000000-0005-0000-0000-00004B120000}"/>
    <cellStyle name="40% - uthevingsfarge 1 106 5" xfId="6143" xr:uid="{00000000-0005-0000-0000-00004C120000}"/>
    <cellStyle name="40% - uthevingsfarge 1 106 6" xfId="8855" xr:uid="{00000000-0005-0000-0000-00004D120000}"/>
    <cellStyle name="40% - uthevingsfarge 1 107" xfId="1228" xr:uid="{00000000-0005-0000-0000-00004E120000}"/>
    <cellStyle name="40% - uthevingsfarge 1 107 2" xfId="2856" xr:uid="{00000000-0005-0000-0000-00004F120000}"/>
    <cellStyle name="40% - uthevingsfarge 1 107 2 2" xfId="3273" xr:uid="{00000000-0005-0000-0000-000050120000}"/>
    <cellStyle name="40% - uthevingsfarge 1 107 2 2 2" xfId="6858" xr:uid="{00000000-0005-0000-0000-000051120000}"/>
    <cellStyle name="40% - uthevingsfarge 1 107 2 3" xfId="3723" xr:uid="{00000000-0005-0000-0000-000052120000}"/>
    <cellStyle name="40% - uthevingsfarge 1 107 2 4" xfId="6429" xr:uid="{00000000-0005-0000-0000-000053120000}"/>
    <cellStyle name="40% - uthevingsfarge 1 107 2 5" xfId="8858" xr:uid="{00000000-0005-0000-0000-000054120000}"/>
    <cellStyle name="40% - uthevingsfarge 1 107 3" xfId="3272" xr:uid="{00000000-0005-0000-0000-000055120000}"/>
    <cellStyle name="40% - uthevingsfarge 1 107 3 2" xfId="6857" xr:uid="{00000000-0005-0000-0000-000056120000}"/>
    <cellStyle name="40% - uthevingsfarge 1 107 4" xfId="4121" xr:uid="{00000000-0005-0000-0000-000057120000}"/>
    <cellStyle name="40% - uthevingsfarge 1 107 5" xfId="6144" xr:uid="{00000000-0005-0000-0000-000058120000}"/>
    <cellStyle name="40% - uthevingsfarge 1 107 6" xfId="8857" xr:uid="{00000000-0005-0000-0000-000059120000}"/>
    <cellStyle name="40% - uthevingsfarge 1 108" xfId="1229" xr:uid="{00000000-0005-0000-0000-00005A120000}"/>
    <cellStyle name="40% - uthevingsfarge 1 108 2" xfId="2857" xr:uid="{00000000-0005-0000-0000-00005B120000}"/>
    <cellStyle name="40% - uthevingsfarge 1 108 2 2" xfId="3275" xr:uid="{00000000-0005-0000-0000-00005C120000}"/>
    <cellStyle name="40% - uthevingsfarge 1 108 2 2 2" xfId="6860" xr:uid="{00000000-0005-0000-0000-00005D120000}"/>
    <cellStyle name="40% - uthevingsfarge 1 108 2 3" xfId="3722" xr:uid="{00000000-0005-0000-0000-00005E120000}"/>
    <cellStyle name="40% - uthevingsfarge 1 108 2 4" xfId="6430" xr:uid="{00000000-0005-0000-0000-00005F120000}"/>
    <cellStyle name="40% - uthevingsfarge 1 108 2 5" xfId="8860" xr:uid="{00000000-0005-0000-0000-000060120000}"/>
    <cellStyle name="40% - uthevingsfarge 1 108 3" xfId="3274" xr:uid="{00000000-0005-0000-0000-000061120000}"/>
    <cellStyle name="40% - uthevingsfarge 1 108 3 2" xfId="6859" xr:uid="{00000000-0005-0000-0000-000062120000}"/>
    <cellStyle name="40% - uthevingsfarge 1 108 4" xfId="4034" xr:uid="{00000000-0005-0000-0000-000063120000}"/>
    <cellStyle name="40% - uthevingsfarge 1 108 5" xfId="6145" xr:uid="{00000000-0005-0000-0000-000064120000}"/>
    <cellStyle name="40% - uthevingsfarge 1 108 6" xfId="8859" xr:uid="{00000000-0005-0000-0000-000065120000}"/>
    <cellStyle name="40% - uthevingsfarge 1 109" xfId="1230" xr:uid="{00000000-0005-0000-0000-000066120000}"/>
    <cellStyle name="40% - uthevingsfarge 1 109 2" xfId="2858" xr:uid="{00000000-0005-0000-0000-000067120000}"/>
    <cellStyle name="40% - uthevingsfarge 1 109 2 2" xfId="3277" xr:uid="{00000000-0005-0000-0000-000068120000}"/>
    <cellStyle name="40% - uthevingsfarge 1 109 2 2 2" xfId="6862" xr:uid="{00000000-0005-0000-0000-000069120000}"/>
    <cellStyle name="40% - uthevingsfarge 1 109 2 3" xfId="4114" xr:uid="{00000000-0005-0000-0000-00006A120000}"/>
    <cellStyle name="40% - uthevingsfarge 1 109 2 4" xfId="6431" xr:uid="{00000000-0005-0000-0000-00006B120000}"/>
    <cellStyle name="40% - uthevingsfarge 1 109 2 5" xfId="8862" xr:uid="{00000000-0005-0000-0000-00006C120000}"/>
    <cellStyle name="40% - uthevingsfarge 1 109 3" xfId="3276" xr:uid="{00000000-0005-0000-0000-00006D120000}"/>
    <cellStyle name="40% - uthevingsfarge 1 109 3 2" xfId="6861" xr:uid="{00000000-0005-0000-0000-00006E120000}"/>
    <cellStyle name="40% - uthevingsfarge 1 109 4" xfId="3884" xr:uid="{00000000-0005-0000-0000-00006F120000}"/>
    <cellStyle name="40% - uthevingsfarge 1 109 5" xfId="6146" xr:uid="{00000000-0005-0000-0000-000070120000}"/>
    <cellStyle name="40% - uthevingsfarge 1 109 6" xfId="8861" xr:uid="{00000000-0005-0000-0000-000071120000}"/>
    <cellStyle name="40% - uthevingsfarge 1 11" xfId="1231" xr:uid="{00000000-0005-0000-0000-000072120000}"/>
    <cellStyle name="40% - uthevingsfarge 1 11 2" xfId="1232" xr:uid="{00000000-0005-0000-0000-000073120000}"/>
    <cellStyle name="40% - uthevingsfarge 1 11 2 2" xfId="5602" xr:uid="{00000000-0005-0000-0000-000074120000}"/>
    <cellStyle name="40% - uthevingsfarge 1 11 2 2 2" xfId="8235" xr:uid="{00000000-0005-0000-0000-000075120000}"/>
    <cellStyle name="40% - uthevingsfarge 1 11 2 3" xfId="9941" xr:uid="{00000000-0005-0000-0000-000076120000}"/>
    <cellStyle name="40% - uthevingsfarge 1 11 3" xfId="4881" xr:uid="{00000000-0005-0000-0000-000077120000}"/>
    <cellStyle name="40% - uthevingsfarge 1 11 3 2" xfId="7534" xr:uid="{00000000-0005-0000-0000-000078120000}"/>
    <cellStyle name="40% - uthevingsfarge 1 11 4" xfId="9825" xr:uid="{00000000-0005-0000-0000-000079120000}"/>
    <cellStyle name="40% - uthevingsfarge 1 110" xfId="6588" xr:uid="{00000000-0005-0000-0000-00007A120000}"/>
    <cellStyle name="40% - uthevingsfarge 1 111" xfId="8591" xr:uid="{00000000-0005-0000-0000-00007B120000}"/>
    <cellStyle name="40% - uthevingsfarge 1 12" xfId="1233" xr:uid="{00000000-0005-0000-0000-00007C120000}"/>
    <cellStyle name="40% - uthevingsfarge 1 12 2" xfId="1234" xr:uid="{00000000-0005-0000-0000-00007D120000}"/>
    <cellStyle name="40% - uthevingsfarge 1 12 2 2" xfId="5603" xr:uid="{00000000-0005-0000-0000-00007E120000}"/>
    <cellStyle name="40% - uthevingsfarge 1 12 2 2 2" xfId="8236" xr:uid="{00000000-0005-0000-0000-00007F120000}"/>
    <cellStyle name="40% - uthevingsfarge 1 12 2 3" xfId="10118" xr:uid="{00000000-0005-0000-0000-000080120000}"/>
    <cellStyle name="40% - uthevingsfarge 1 12 3" xfId="4882" xr:uid="{00000000-0005-0000-0000-000081120000}"/>
    <cellStyle name="40% - uthevingsfarge 1 12 3 2" xfId="7535" xr:uid="{00000000-0005-0000-0000-000082120000}"/>
    <cellStyle name="40% - uthevingsfarge 1 12 4" xfId="10228" xr:uid="{00000000-0005-0000-0000-000083120000}"/>
    <cellStyle name="40% - uthevingsfarge 1 13" xfId="1235" xr:uid="{00000000-0005-0000-0000-000084120000}"/>
    <cellStyle name="40% - uthevingsfarge 1 13 2" xfId="1236" xr:uid="{00000000-0005-0000-0000-000085120000}"/>
    <cellStyle name="40% - uthevingsfarge 1 13 2 2" xfId="5604" xr:uid="{00000000-0005-0000-0000-000086120000}"/>
    <cellStyle name="40% - uthevingsfarge 1 13 2 2 2" xfId="8237" xr:uid="{00000000-0005-0000-0000-000087120000}"/>
    <cellStyle name="40% - uthevingsfarge 1 13 2 3" xfId="10283" xr:uid="{00000000-0005-0000-0000-000088120000}"/>
    <cellStyle name="40% - uthevingsfarge 1 13 3" xfId="4883" xr:uid="{00000000-0005-0000-0000-000089120000}"/>
    <cellStyle name="40% - uthevingsfarge 1 13 3 2" xfId="7536" xr:uid="{00000000-0005-0000-0000-00008A120000}"/>
    <cellStyle name="40% - uthevingsfarge 1 13 4" xfId="10400" xr:uid="{00000000-0005-0000-0000-00008B120000}"/>
    <cellStyle name="40% - uthevingsfarge 1 14" xfId="1237" xr:uid="{00000000-0005-0000-0000-00008C120000}"/>
    <cellStyle name="40% - uthevingsfarge 1 14 2" xfId="1238" xr:uid="{00000000-0005-0000-0000-00008D120000}"/>
    <cellStyle name="40% - uthevingsfarge 1 14 2 2" xfId="5605" xr:uid="{00000000-0005-0000-0000-00008E120000}"/>
    <cellStyle name="40% - uthevingsfarge 1 14 2 2 2" xfId="8238" xr:uid="{00000000-0005-0000-0000-00008F120000}"/>
    <cellStyle name="40% - uthevingsfarge 1 14 2 3" xfId="9879" xr:uid="{00000000-0005-0000-0000-000090120000}"/>
    <cellStyle name="40% - uthevingsfarge 1 14 3" xfId="4884" xr:uid="{00000000-0005-0000-0000-000091120000}"/>
    <cellStyle name="40% - uthevingsfarge 1 14 3 2" xfId="7537" xr:uid="{00000000-0005-0000-0000-000092120000}"/>
    <cellStyle name="40% - uthevingsfarge 1 14 4" xfId="9824" xr:uid="{00000000-0005-0000-0000-000093120000}"/>
    <cellStyle name="40% - uthevingsfarge 1 15" xfId="1239" xr:uid="{00000000-0005-0000-0000-000094120000}"/>
    <cellStyle name="40% - uthevingsfarge 1 15 2" xfId="1240" xr:uid="{00000000-0005-0000-0000-000095120000}"/>
    <cellStyle name="40% - uthevingsfarge 1 15 2 2" xfId="5606" xr:uid="{00000000-0005-0000-0000-000096120000}"/>
    <cellStyle name="40% - uthevingsfarge 1 15 2 2 2" xfId="8239" xr:uid="{00000000-0005-0000-0000-000097120000}"/>
    <cellStyle name="40% - uthevingsfarge 1 15 2 3" xfId="10282" xr:uid="{00000000-0005-0000-0000-000098120000}"/>
    <cellStyle name="40% - uthevingsfarge 1 15 3" xfId="4885" xr:uid="{00000000-0005-0000-0000-000099120000}"/>
    <cellStyle name="40% - uthevingsfarge 1 15 3 2" xfId="7538" xr:uid="{00000000-0005-0000-0000-00009A120000}"/>
    <cellStyle name="40% - uthevingsfarge 1 15 4" xfId="10399" xr:uid="{00000000-0005-0000-0000-00009B120000}"/>
    <cellStyle name="40% - uthevingsfarge 1 16" xfId="1241" xr:uid="{00000000-0005-0000-0000-00009C120000}"/>
    <cellStyle name="40% - uthevingsfarge 1 16 2" xfId="1242" xr:uid="{00000000-0005-0000-0000-00009D120000}"/>
    <cellStyle name="40% - uthevingsfarge 1 16 2 2" xfId="5607" xr:uid="{00000000-0005-0000-0000-00009E120000}"/>
    <cellStyle name="40% - uthevingsfarge 1 16 2 2 2" xfId="8240" xr:uid="{00000000-0005-0000-0000-00009F120000}"/>
    <cellStyle name="40% - uthevingsfarge 1 16 2 3" xfId="9935" xr:uid="{00000000-0005-0000-0000-0000A0120000}"/>
    <cellStyle name="40% - uthevingsfarge 1 16 3" xfId="4886" xr:uid="{00000000-0005-0000-0000-0000A1120000}"/>
    <cellStyle name="40% - uthevingsfarge 1 16 3 2" xfId="7539" xr:uid="{00000000-0005-0000-0000-0000A2120000}"/>
    <cellStyle name="40% - uthevingsfarge 1 16 4" xfId="9823" xr:uid="{00000000-0005-0000-0000-0000A3120000}"/>
    <cellStyle name="40% - uthevingsfarge 1 17" xfId="1243" xr:uid="{00000000-0005-0000-0000-0000A4120000}"/>
    <cellStyle name="40% - uthevingsfarge 1 17 2" xfId="1244" xr:uid="{00000000-0005-0000-0000-0000A5120000}"/>
    <cellStyle name="40% - uthevingsfarge 1 17 2 2" xfId="5608" xr:uid="{00000000-0005-0000-0000-0000A6120000}"/>
    <cellStyle name="40% - uthevingsfarge 1 17 2 2 2" xfId="8241" xr:uid="{00000000-0005-0000-0000-0000A7120000}"/>
    <cellStyle name="40% - uthevingsfarge 1 17 2 3" xfId="10281" xr:uid="{00000000-0005-0000-0000-0000A8120000}"/>
    <cellStyle name="40% - uthevingsfarge 1 17 3" xfId="4887" xr:uid="{00000000-0005-0000-0000-0000A9120000}"/>
    <cellStyle name="40% - uthevingsfarge 1 17 3 2" xfId="7540" xr:uid="{00000000-0005-0000-0000-0000AA120000}"/>
    <cellStyle name="40% - uthevingsfarge 1 17 4" xfId="10398" xr:uid="{00000000-0005-0000-0000-0000AB120000}"/>
    <cellStyle name="40% - uthevingsfarge 1 18" xfId="1245" xr:uid="{00000000-0005-0000-0000-0000AC120000}"/>
    <cellStyle name="40% - uthevingsfarge 1 18 2" xfId="1246" xr:uid="{00000000-0005-0000-0000-0000AD120000}"/>
    <cellStyle name="40% - uthevingsfarge 1 18 2 2" xfId="5609" xr:uid="{00000000-0005-0000-0000-0000AE120000}"/>
    <cellStyle name="40% - uthevingsfarge 1 18 2 2 2" xfId="8242" xr:uid="{00000000-0005-0000-0000-0000AF120000}"/>
    <cellStyle name="40% - uthevingsfarge 1 18 2 3" xfId="9933" xr:uid="{00000000-0005-0000-0000-0000B0120000}"/>
    <cellStyle name="40% - uthevingsfarge 1 18 3" xfId="4888" xr:uid="{00000000-0005-0000-0000-0000B1120000}"/>
    <cellStyle name="40% - uthevingsfarge 1 18 3 2" xfId="7541" xr:uid="{00000000-0005-0000-0000-0000B2120000}"/>
    <cellStyle name="40% - uthevingsfarge 1 18 4" xfId="9822" xr:uid="{00000000-0005-0000-0000-0000B3120000}"/>
    <cellStyle name="40% - uthevingsfarge 1 19" xfId="1247" xr:uid="{00000000-0005-0000-0000-0000B4120000}"/>
    <cellStyle name="40% - uthevingsfarge 1 19 2" xfId="1248" xr:uid="{00000000-0005-0000-0000-0000B5120000}"/>
    <cellStyle name="40% - uthevingsfarge 1 19 2 2" xfId="5610" xr:uid="{00000000-0005-0000-0000-0000B6120000}"/>
    <cellStyle name="40% - uthevingsfarge 1 19 2 2 2" xfId="8243" xr:uid="{00000000-0005-0000-0000-0000B7120000}"/>
    <cellStyle name="40% - uthevingsfarge 1 19 2 3" xfId="10280" xr:uid="{00000000-0005-0000-0000-0000B8120000}"/>
    <cellStyle name="40% - uthevingsfarge 1 19 3" xfId="4889" xr:uid="{00000000-0005-0000-0000-0000B9120000}"/>
    <cellStyle name="40% - uthevingsfarge 1 19 3 2" xfId="7542" xr:uid="{00000000-0005-0000-0000-0000BA120000}"/>
    <cellStyle name="40% - uthevingsfarge 1 19 4" xfId="10397" xr:uid="{00000000-0005-0000-0000-0000BB120000}"/>
    <cellStyle name="40% - uthevingsfarge 1 2" xfId="67" xr:uid="{00000000-0005-0000-0000-0000BC120000}"/>
    <cellStyle name="40% - uthevingsfarge 1 2 2" xfId="1249" xr:uid="{00000000-0005-0000-0000-0000BD120000}"/>
    <cellStyle name="40% - uthevingsfarge 1 2 2 2" xfId="5611" xr:uid="{00000000-0005-0000-0000-0000BE120000}"/>
    <cellStyle name="40% - uthevingsfarge 1 2 2 2 2" xfId="8244" xr:uid="{00000000-0005-0000-0000-0000BF120000}"/>
    <cellStyle name="40% - uthevingsfarge 1 2 2 3" xfId="9943" xr:uid="{00000000-0005-0000-0000-0000C0120000}"/>
    <cellStyle name="40% - uthevingsfarge 1 2 3" xfId="4890" xr:uid="{00000000-0005-0000-0000-0000C1120000}"/>
    <cellStyle name="40% - uthevingsfarge 1 2 3 2" xfId="7543" xr:uid="{00000000-0005-0000-0000-0000C2120000}"/>
    <cellStyle name="40% - uthevingsfarge 1 2 4" xfId="9821" xr:uid="{00000000-0005-0000-0000-0000C3120000}"/>
    <cellStyle name="40% - uthevingsfarge 1 20" xfId="1250" xr:uid="{00000000-0005-0000-0000-0000C4120000}"/>
    <cellStyle name="40% - uthevingsfarge 1 20 2" xfId="1251" xr:uid="{00000000-0005-0000-0000-0000C5120000}"/>
    <cellStyle name="40% - uthevingsfarge 1 20 2 2" xfId="5612" xr:uid="{00000000-0005-0000-0000-0000C6120000}"/>
    <cellStyle name="40% - uthevingsfarge 1 20 2 2 2" xfId="8245" xr:uid="{00000000-0005-0000-0000-0000C7120000}"/>
    <cellStyle name="40% - uthevingsfarge 1 20 2 3" xfId="10279" xr:uid="{00000000-0005-0000-0000-0000C8120000}"/>
    <cellStyle name="40% - uthevingsfarge 1 20 3" xfId="4891" xr:uid="{00000000-0005-0000-0000-0000C9120000}"/>
    <cellStyle name="40% - uthevingsfarge 1 20 3 2" xfId="7544" xr:uid="{00000000-0005-0000-0000-0000CA120000}"/>
    <cellStyle name="40% - uthevingsfarge 1 20 4" xfId="10396" xr:uid="{00000000-0005-0000-0000-0000CB120000}"/>
    <cellStyle name="40% - uthevingsfarge 1 21" xfId="1252" xr:uid="{00000000-0005-0000-0000-0000CC120000}"/>
    <cellStyle name="40% - uthevingsfarge 1 21 2" xfId="1253" xr:uid="{00000000-0005-0000-0000-0000CD120000}"/>
    <cellStyle name="40% - uthevingsfarge 1 21 2 2" xfId="5613" xr:uid="{00000000-0005-0000-0000-0000CE120000}"/>
    <cellStyle name="40% - uthevingsfarge 1 21 2 2 2" xfId="8246" xr:uid="{00000000-0005-0000-0000-0000CF120000}"/>
    <cellStyle name="40% - uthevingsfarge 1 21 2 3" xfId="9942" xr:uid="{00000000-0005-0000-0000-0000D0120000}"/>
    <cellStyle name="40% - uthevingsfarge 1 21 3" xfId="4892" xr:uid="{00000000-0005-0000-0000-0000D1120000}"/>
    <cellStyle name="40% - uthevingsfarge 1 21 3 2" xfId="7545" xr:uid="{00000000-0005-0000-0000-0000D2120000}"/>
    <cellStyle name="40% - uthevingsfarge 1 21 4" xfId="9820" xr:uid="{00000000-0005-0000-0000-0000D3120000}"/>
    <cellStyle name="40% - uthevingsfarge 1 22" xfId="1254" xr:uid="{00000000-0005-0000-0000-0000D4120000}"/>
    <cellStyle name="40% - uthevingsfarge 1 22 2" xfId="1255" xr:uid="{00000000-0005-0000-0000-0000D5120000}"/>
    <cellStyle name="40% - uthevingsfarge 1 22 2 2" xfId="5614" xr:uid="{00000000-0005-0000-0000-0000D6120000}"/>
    <cellStyle name="40% - uthevingsfarge 1 22 2 2 2" xfId="8247" xr:uid="{00000000-0005-0000-0000-0000D7120000}"/>
    <cellStyle name="40% - uthevingsfarge 1 22 2 3" xfId="10278" xr:uid="{00000000-0005-0000-0000-0000D8120000}"/>
    <cellStyle name="40% - uthevingsfarge 1 22 3" xfId="4893" xr:uid="{00000000-0005-0000-0000-0000D9120000}"/>
    <cellStyle name="40% - uthevingsfarge 1 22 3 2" xfId="7546" xr:uid="{00000000-0005-0000-0000-0000DA120000}"/>
    <cellStyle name="40% - uthevingsfarge 1 22 4" xfId="10395" xr:uid="{00000000-0005-0000-0000-0000DB120000}"/>
    <cellStyle name="40% - uthevingsfarge 1 23" xfId="1256" xr:uid="{00000000-0005-0000-0000-0000DC120000}"/>
    <cellStyle name="40% - uthevingsfarge 1 23 2" xfId="1257" xr:uid="{00000000-0005-0000-0000-0000DD120000}"/>
    <cellStyle name="40% - uthevingsfarge 1 23 2 2" xfId="5615" xr:uid="{00000000-0005-0000-0000-0000DE120000}"/>
    <cellStyle name="40% - uthevingsfarge 1 23 2 2 2" xfId="8248" xr:uid="{00000000-0005-0000-0000-0000DF120000}"/>
    <cellStyle name="40% - uthevingsfarge 1 23 2 3" xfId="9880" xr:uid="{00000000-0005-0000-0000-0000E0120000}"/>
    <cellStyle name="40% - uthevingsfarge 1 23 3" xfId="4894" xr:uid="{00000000-0005-0000-0000-0000E1120000}"/>
    <cellStyle name="40% - uthevingsfarge 1 23 3 2" xfId="7547" xr:uid="{00000000-0005-0000-0000-0000E2120000}"/>
    <cellStyle name="40% - uthevingsfarge 1 23 4" xfId="9819" xr:uid="{00000000-0005-0000-0000-0000E3120000}"/>
    <cellStyle name="40% - uthevingsfarge 1 24" xfId="1258" xr:uid="{00000000-0005-0000-0000-0000E4120000}"/>
    <cellStyle name="40% - uthevingsfarge 1 24 2" xfId="1259" xr:uid="{00000000-0005-0000-0000-0000E5120000}"/>
    <cellStyle name="40% - uthevingsfarge 1 24 2 2" xfId="5616" xr:uid="{00000000-0005-0000-0000-0000E6120000}"/>
    <cellStyle name="40% - uthevingsfarge 1 24 2 2 2" xfId="8249" xr:uid="{00000000-0005-0000-0000-0000E7120000}"/>
    <cellStyle name="40% - uthevingsfarge 1 24 2 3" xfId="10277" xr:uid="{00000000-0005-0000-0000-0000E8120000}"/>
    <cellStyle name="40% - uthevingsfarge 1 24 3" xfId="4895" xr:uid="{00000000-0005-0000-0000-0000E9120000}"/>
    <cellStyle name="40% - uthevingsfarge 1 24 3 2" xfId="7548" xr:uid="{00000000-0005-0000-0000-0000EA120000}"/>
    <cellStyle name="40% - uthevingsfarge 1 24 4" xfId="10394" xr:uid="{00000000-0005-0000-0000-0000EB120000}"/>
    <cellStyle name="40% - uthevingsfarge 1 25" xfId="1260" xr:uid="{00000000-0005-0000-0000-0000EC120000}"/>
    <cellStyle name="40% - uthevingsfarge 1 25 2" xfId="1261" xr:uid="{00000000-0005-0000-0000-0000ED120000}"/>
    <cellStyle name="40% - uthevingsfarge 1 25 2 2" xfId="5617" xr:uid="{00000000-0005-0000-0000-0000EE120000}"/>
    <cellStyle name="40% - uthevingsfarge 1 25 2 2 2" xfId="8250" xr:uid="{00000000-0005-0000-0000-0000EF120000}"/>
    <cellStyle name="40% - uthevingsfarge 1 25 2 3" xfId="9936" xr:uid="{00000000-0005-0000-0000-0000F0120000}"/>
    <cellStyle name="40% - uthevingsfarge 1 25 3" xfId="4896" xr:uid="{00000000-0005-0000-0000-0000F1120000}"/>
    <cellStyle name="40% - uthevingsfarge 1 25 3 2" xfId="7549" xr:uid="{00000000-0005-0000-0000-0000F2120000}"/>
    <cellStyle name="40% - uthevingsfarge 1 25 4" xfId="9818" xr:uid="{00000000-0005-0000-0000-0000F3120000}"/>
    <cellStyle name="40% - uthevingsfarge 1 26" xfId="1262" xr:uid="{00000000-0005-0000-0000-0000F4120000}"/>
    <cellStyle name="40% - uthevingsfarge 1 26 2" xfId="1263" xr:uid="{00000000-0005-0000-0000-0000F5120000}"/>
    <cellStyle name="40% - uthevingsfarge 1 26 2 2" xfId="5618" xr:uid="{00000000-0005-0000-0000-0000F6120000}"/>
    <cellStyle name="40% - uthevingsfarge 1 26 2 2 2" xfId="8251" xr:uid="{00000000-0005-0000-0000-0000F7120000}"/>
    <cellStyle name="40% - uthevingsfarge 1 26 2 3" xfId="10276" xr:uid="{00000000-0005-0000-0000-0000F8120000}"/>
    <cellStyle name="40% - uthevingsfarge 1 26 3" xfId="4897" xr:uid="{00000000-0005-0000-0000-0000F9120000}"/>
    <cellStyle name="40% - uthevingsfarge 1 26 3 2" xfId="7550" xr:uid="{00000000-0005-0000-0000-0000FA120000}"/>
    <cellStyle name="40% - uthevingsfarge 1 26 4" xfId="10393" xr:uid="{00000000-0005-0000-0000-0000FB120000}"/>
    <cellStyle name="40% - uthevingsfarge 1 27" xfId="1264" xr:uid="{00000000-0005-0000-0000-0000FC120000}"/>
    <cellStyle name="40% - uthevingsfarge 1 27 2" xfId="1265" xr:uid="{00000000-0005-0000-0000-0000FD120000}"/>
    <cellStyle name="40% - uthevingsfarge 1 27 2 2" xfId="5619" xr:uid="{00000000-0005-0000-0000-0000FE120000}"/>
    <cellStyle name="40% - uthevingsfarge 1 27 2 2 2" xfId="8252" xr:uid="{00000000-0005-0000-0000-0000FF120000}"/>
    <cellStyle name="40% - uthevingsfarge 1 27 2 3" xfId="9945" xr:uid="{00000000-0005-0000-0000-000000130000}"/>
    <cellStyle name="40% - uthevingsfarge 1 27 3" xfId="4898" xr:uid="{00000000-0005-0000-0000-000001130000}"/>
    <cellStyle name="40% - uthevingsfarge 1 27 3 2" xfId="7551" xr:uid="{00000000-0005-0000-0000-000002130000}"/>
    <cellStyle name="40% - uthevingsfarge 1 27 4" xfId="9817" xr:uid="{00000000-0005-0000-0000-000003130000}"/>
    <cellStyle name="40% - uthevingsfarge 1 28" xfId="1266" xr:uid="{00000000-0005-0000-0000-000004130000}"/>
    <cellStyle name="40% - uthevingsfarge 1 28 2" xfId="1267" xr:uid="{00000000-0005-0000-0000-000005130000}"/>
    <cellStyle name="40% - uthevingsfarge 1 28 2 2" xfId="5620" xr:uid="{00000000-0005-0000-0000-000006130000}"/>
    <cellStyle name="40% - uthevingsfarge 1 28 2 2 2" xfId="8253" xr:uid="{00000000-0005-0000-0000-000007130000}"/>
    <cellStyle name="40% - uthevingsfarge 1 28 2 3" xfId="10275" xr:uid="{00000000-0005-0000-0000-000008130000}"/>
    <cellStyle name="40% - uthevingsfarge 1 28 3" xfId="4899" xr:uid="{00000000-0005-0000-0000-000009130000}"/>
    <cellStyle name="40% - uthevingsfarge 1 28 3 2" xfId="7552" xr:uid="{00000000-0005-0000-0000-00000A130000}"/>
    <cellStyle name="40% - uthevingsfarge 1 28 4" xfId="10392" xr:uid="{00000000-0005-0000-0000-00000B130000}"/>
    <cellStyle name="40% - uthevingsfarge 1 29" xfId="1268" xr:uid="{00000000-0005-0000-0000-00000C130000}"/>
    <cellStyle name="40% - uthevingsfarge 1 29 2" xfId="1269" xr:uid="{00000000-0005-0000-0000-00000D130000}"/>
    <cellStyle name="40% - uthevingsfarge 1 29 2 2" xfId="5621" xr:uid="{00000000-0005-0000-0000-00000E130000}"/>
    <cellStyle name="40% - uthevingsfarge 1 29 2 2 2" xfId="8254" xr:uid="{00000000-0005-0000-0000-00000F130000}"/>
    <cellStyle name="40% - uthevingsfarge 1 29 2 3" xfId="9944" xr:uid="{00000000-0005-0000-0000-000010130000}"/>
    <cellStyle name="40% - uthevingsfarge 1 29 3" xfId="4900" xr:uid="{00000000-0005-0000-0000-000011130000}"/>
    <cellStyle name="40% - uthevingsfarge 1 29 3 2" xfId="7553" xr:uid="{00000000-0005-0000-0000-000012130000}"/>
    <cellStyle name="40% - uthevingsfarge 1 29 4" xfId="9816" xr:uid="{00000000-0005-0000-0000-000013130000}"/>
    <cellStyle name="40% - uthevingsfarge 1 3" xfId="1270" xr:uid="{00000000-0005-0000-0000-000014130000}"/>
    <cellStyle name="40% - uthevingsfarge 1 3 2" xfId="1271" xr:uid="{00000000-0005-0000-0000-000015130000}"/>
    <cellStyle name="40% - uthevingsfarge 1 3 2 2" xfId="5622" xr:uid="{00000000-0005-0000-0000-000016130000}"/>
    <cellStyle name="40% - uthevingsfarge 1 3 2 2 2" xfId="8255" xr:uid="{00000000-0005-0000-0000-000017130000}"/>
    <cellStyle name="40% - uthevingsfarge 1 3 2 3" xfId="10274" xr:uid="{00000000-0005-0000-0000-000018130000}"/>
    <cellStyle name="40% - uthevingsfarge 1 3 3" xfId="4901" xr:uid="{00000000-0005-0000-0000-000019130000}"/>
    <cellStyle name="40% - uthevingsfarge 1 3 3 2" xfId="7554" xr:uid="{00000000-0005-0000-0000-00001A130000}"/>
    <cellStyle name="40% - uthevingsfarge 1 3 4" xfId="10391" xr:uid="{00000000-0005-0000-0000-00001B130000}"/>
    <cellStyle name="40% - uthevingsfarge 1 30" xfId="1272" xr:uid="{00000000-0005-0000-0000-00001C130000}"/>
    <cellStyle name="40% - uthevingsfarge 1 30 2" xfId="1273" xr:uid="{00000000-0005-0000-0000-00001D130000}"/>
    <cellStyle name="40% - uthevingsfarge 1 30 2 2" xfId="5623" xr:uid="{00000000-0005-0000-0000-00001E130000}"/>
    <cellStyle name="40% - uthevingsfarge 1 30 2 2 2" xfId="8256" xr:uid="{00000000-0005-0000-0000-00001F130000}"/>
    <cellStyle name="40% - uthevingsfarge 1 30 2 3" xfId="9881" xr:uid="{00000000-0005-0000-0000-000020130000}"/>
    <cellStyle name="40% - uthevingsfarge 1 30 3" xfId="4902" xr:uid="{00000000-0005-0000-0000-000021130000}"/>
    <cellStyle name="40% - uthevingsfarge 1 30 3 2" xfId="7555" xr:uid="{00000000-0005-0000-0000-000022130000}"/>
    <cellStyle name="40% - uthevingsfarge 1 30 4" xfId="9815" xr:uid="{00000000-0005-0000-0000-000023130000}"/>
    <cellStyle name="40% - uthevingsfarge 1 31" xfId="1274" xr:uid="{00000000-0005-0000-0000-000024130000}"/>
    <cellStyle name="40% - uthevingsfarge 1 31 2" xfId="1275" xr:uid="{00000000-0005-0000-0000-000025130000}"/>
    <cellStyle name="40% - uthevingsfarge 1 31 2 2" xfId="5624" xr:uid="{00000000-0005-0000-0000-000026130000}"/>
    <cellStyle name="40% - uthevingsfarge 1 31 2 2 2" xfId="8257" xr:uid="{00000000-0005-0000-0000-000027130000}"/>
    <cellStyle name="40% - uthevingsfarge 1 31 2 3" xfId="10117" xr:uid="{00000000-0005-0000-0000-000028130000}"/>
    <cellStyle name="40% - uthevingsfarge 1 31 3" xfId="4903" xr:uid="{00000000-0005-0000-0000-000029130000}"/>
    <cellStyle name="40% - uthevingsfarge 1 31 3 2" xfId="7556" xr:uid="{00000000-0005-0000-0000-00002A130000}"/>
    <cellStyle name="40% - uthevingsfarge 1 31 4" xfId="10227" xr:uid="{00000000-0005-0000-0000-00002B130000}"/>
    <cellStyle name="40% - uthevingsfarge 1 32" xfId="1276" xr:uid="{00000000-0005-0000-0000-00002C130000}"/>
    <cellStyle name="40% - uthevingsfarge 1 32 2" xfId="1277" xr:uid="{00000000-0005-0000-0000-00002D130000}"/>
    <cellStyle name="40% - uthevingsfarge 1 32 2 2" xfId="5625" xr:uid="{00000000-0005-0000-0000-00002E130000}"/>
    <cellStyle name="40% - uthevingsfarge 1 32 2 2 2" xfId="8258" xr:uid="{00000000-0005-0000-0000-00002F130000}"/>
    <cellStyle name="40% - uthevingsfarge 1 32 2 3" xfId="9516" xr:uid="{00000000-0005-0000-0000-000030130000}"/>
    <cellStyle name="40% - uthevingsfarge 1 32 3" xfId="4904" xr:uid="{00000000-0005-0000-0000-000031130000}"/>
    <cellStyle name="40% - uthevingsfarge 1 32 3 2" xfId="7557" xr:uid="{00000000-0005-0000-0000-000032130000}"/>
    <cellStyle name="40% - uthevingsfarge 1 32 4" xfId="9515" xr:uid="{00000000-0005-0000-0000-000033130000}"/>
    <cellStyle name="40% - uthevingsfarge 1 33" xfId="1278" xr:uid="{00000000-0005-0000-0000-000034130000}"/>
    <cellStyle name="40% - uthevingsfarge 1 33 2" xfId="1279" xr:uid="{00000000-0005-0000-0000-000035130000}"/>
    <cellStyle name="40% - uthevingsfarge 1 33 2 2" xfId="5626" xr:uid="{00000000-0005-0000-0000-000036130000}"/>
    <cellStyle name="40% - uthevingsfarge 1 33 2 2 2" xfId="8259" xr:uid="{00000000-0005-0000-0000-000037130000}"/>
    <cellStyle name="40% - uthevingsfarge 1 33 2 3" xfId="9514" xr:uid="{00000000-0005-0000-0000-000038130000}"/>
    <cellStyle name="40% - uthevingsfarge 1 33 3" xfId="4905" xr:uid="{00000000-0005-0000-0000-000039130000}"/>
    <cellStyle name="40% - uthevingsfarge 1 33 3 2" xfId="7558" xr:uid="{00000000-0005-0000-0000-00003A130000}"/>
    <cellStyle name="40% - uthevingsfarge 1 33 4" xfId="9513" xr:uid="{00000000-0005-0000-0000-00003B130000}"/>
    <cellStyle name="40% - uthevingsfarge 1 34" xfId="1280" xr:uid="{00000000-0005-0000-0000-00003C130000}"/>
    <cellStyle name="40% - uthevingsfarge 1 34 2" xfId="1281" xr:uid="{00000000-0005-0000-0000-00003D130000}"/>
    <cellStyle name="40% - uthevingsfarge 1 34 2 2" xfId="5627" xr:uid="{00000000-0005-0000-0000-00003E130000}"/>
    <cellStyle name="40% - uthevingsfarge 1 34 2 2 2" xfId="8260" xr:uid="{00000000-0005-0000-0000-00003F130000}"/>
    <cellStyle name="40% - uthevingsfarge 1 34 2 3" xfId="10226" xr:uid="{00000000-0005-0000-0000-000040130000}"/>
    <cellStyle name="40% - uthevingsfarge 1 34 3" xfId="4906" xr:uid="{00000000-0005-0000-0000-000041130000}"/>
    <cellStyle name="40% - uthevingsfarge 1 34 3 2" xfId="7559" xr:uid="{00000000-0005-0000-0000-000042130000}"/>
    <cellStyle name="40% - uthevingsfarge 1 34 4" xfId="9512" xr:uid="{00000000-0005-0000-0000-000043130000}"/>
    <cellStyle name="40% - uthevingsfarge 1 35" xfId="1282" xr:uid="{00000000-0005-0000-0000-000044130000}"/>
    <cellStyle name="40% - uthevingsfarge 1 35 2" xfId="1283" xr:uid="{00000000-0005-0000-0000-000045130000}"/>
    <cellStyle name="40% - uthevingsfarge 1 35 2 2" xfId="5628" xr:uid="{00000000-0005-0000-0000-000046130000}"/>
    <cellStyle name="40% - uthevingsfarge 1 35 2 2 2" xfId="8261" xr:uid="{00000000-0005-0000-0000-000047130000}"/>
    <cellStyle name="40% - uthevingsfarge 1 35 2 3" xfId="9511" xr:uid="{00000000-0005-0000-0000-000048130000}"/>
    <cellStyle name="40% - uthevingsfarge 1 35 3" xfId="4907" xr:uid="{00000000-0005-0000-0000-000049130000}"/>
    <cellStyle name="40% - uthevingsfarge 1 35 3 2" xfId="7560" xr:uid="{00000000-0005-0000-0000-00004A130000}"/>
    <cellStyle name="40% - uthevingsfarge 1 35 4" xfId="9510" xr:uid="{00000000-0005-0000-0000-00004B130000}"/>
    <cellStyle name="40% - uthevingsfarge 1 36" xfId="1284" xr:uid="{00000000-0005-0000-0000-00004C130000}"/>
    <cellStyle name="40% - uthevingsfarge 1 36 2" xfId="1285" xr:uid="{00000000-0005-0000-0000-00004D130000}"/>
    <cellStyle name="40% - uthevingsfarge 1 36 2 2" xfId="5629" xr:uid="{00000000-0005-0000-0000-00004E130000}"/>
    <cellStyle name="40% - uthevingsfarge 1 36 2 2 2" xfId="8262" xr:uid="{00000000-0005-0000-0000-00004F130000}"/>
    <cellStyle name="40% - uthevingsfarge 1 36 2 3" xfId="9509" xr:uid="{00000000-0005-0000-0000-000050130000}"/>
    <cellStyle name="40% - uthevingsfarge 1 36 3" xfId="4908" xr:uid="{00000000-0005-0000-0000-000051130000}"/>
    <cellStyle name="40% - uthevingsfarge 1 36 3 2" xfId="7561" xr:uid="{00000000-0005-0000-0000-000052130000}"/>
    <cellStyle name="40% - uthevingsfarge 1 36 4" xfId="9508" xr:uid="{00000000-0005-0000-0000-000053130000}"/>
    <cellStyle name="40% - uthevingsfarge 1 37" xfId="1286" xr:uid="{00000000-0005-0000-0000-000054130000}"/>
    <cellStyle name="40% - uthevingsfarge 1 37 2" xfId="1287" xr:uid="{00000000-0005-0000-0000-000055130000}"/>
    <cellStyle name="40% - uthevingsfarge 1 37 2 2" xfId="5630" xr:uid="{00000000-0005-0000-0000-000056130000}"/>
    <cellStyle name="40% - uthevingsfarge 1 37 2 2 2" xfId="8263" xr:uid="{00000000-0005-0000-0000-000057130000}"/>
    <cellStyle name="40% - uthevingsfarge 1 37 2 3" xfId="9507" xr:uid="{00000000-0005-0000-0000-000058130000}"/>
    <cellStyle name="40% - uthevingsfarge 1 37 3" xfId="4909" xr:uid="{00000000-0005-0000-0000-000059130000}"/>
    <cellStyle name="40% - uthevingsfarge 1 37 3 2" xfId="7562" xr:uid="{00000000-0005-0000-0000-00005A130000}"/>
    <cellStyle name="40% - uthevingsfarge 1 37 4" xfId="10549" xr:uid="{00000000-0005-0000-0000-00005B130000}"/>
    <cellStyle name="40% - uthevingsfarge 1 38" xfId="1288" xr:uid="{00000000-0005-0000-0000-00005C130000}"/>
    <cellStyle name="40% - uthevingsfarge 1 38 2" xfId="1289" xr:uid="{00000000-0005-0000-0000-00005D130000}"/>
    <cellStyle name="40% - uthevingsfarge 1 38 2 2" xfId="5631" xr:uid="{00000000-0005-0000-0000-00005E130000}"/>
    <cellStyle name="40% - uthevingsfarge 1 38 2 2 2" xfId="8264" xr:uid="{00000000-0005-0000-0000-00005F130000}"/>
    <cellStyle name="40% - uthevingsfarge 1 38 2 3" xfId="9506" xr:uid="{00000000-0005-0000-0000-000060130000}"/>
    <cellStyle name="40% - uthevingsfarge 1 38 3" xfId="4910" xr:uid="{00000000-0005-0000-0000-000061130000}"/>
    <cellStyle name="40% - uthevingsfarge 1 38 3 2" xfId="7563" xr:uid="{00000000-0005-0000-0000-000062130000}"/>
    <cellStyle name="40% - uthevingsfarge 1 38 4" xfId="9505" xr:uid="{00000000-0005-0000-0000-000063130000}"/>
    <cellStyle name="40% - uthevingsfarge 1 39" xfId="1290" xr:uid="{00000000-0005-0000-0000-000064130000}"/>
    <cellStyle name="40% - uthevingsfarge 1 39 2" xfId="1291" xr:uid="{00000000-0005-0000-0000-000065130000}"/>
    <cellStyle name="40% - uthevingsfarge 1 39 2 2" xfId="5632" xr:uid="{00000000-0005-0000-0000-000066130000}"/>
    <cellStyle name="40% - uthevingsfarge 1 39 2 2 2" xfId="8265" xr:uid="{00000000-0005-0000-0000-000067130000}"/>
    <cellStyle name="40% - uthevingsfarge 1 39 2 3" xfId="9504" xr:uid="{00000000-0005-0000-0000-000068130000}"/>
    <cellStyle name="40% - uthevingsfarge 1 39 3" xfId="4911" xr:uid="{00000000-0005-0000-0000-000069130000}"/>
    <cellStyle name="40% - uthevingsfarge 1 39 3 2" xfId="7564" xr:uid="{00000000-0005-0000-0000-00006A130000}"/>
    <cellStyle name="40% - uthevingsfarge 1 39 4" xfId="9503" xr:uid="{00000000-0005-0000-0000-00006B130000}"/>
    <cellStyle name="40% - uthevingsfarge 1 4" xfId="1292" xr:uid="{00000000-0005-0000-0000-00006C130000}"/>
    <cellStyle name="40% - uthevingsfarge 1 4 2" xfId="1293" xr:uid="{00000000-0005-0000-0000-00006D130000}"/>
    <cellStyle name="40% - uthevingsfarge 1 4 2 2" xfId="5633" xr:uid="{00000000-0005-0000-0000-00006E130000}"/>
    <cellStyle name="40% - uthevingsfarge 1 4 2 2 2" xfId="8266" xr:uid="{00000000-0005-0000-0000-00006F130000}"/>
    <cellStyle name="40% - uthevingsfarge 1 4 2 3" xfId="9502" xr:uid="{00000000-0005-0000-0000-000070130000}"/>
    <cellStyle name="40% - uthevingsfarge 1 4 3" xfId="4912" xr:uid="{00000000-0005-0000-0000-000071130000}"/>
    <cellStyle name="40% - uthevingsfarge 1 4 3 2" xfId="7565" xr:uid="{00000000-0005-0000-0000-000072130000}"/>
    <cellStyle name="40% - uthevingsfarge 1 4 4" xfId="9501" xr:uid="{00000000-0005-0000-0000-000073130000}"/>
    <cellStyle name="40% - uthevingsfarge 1 40" xfId="1294" xr:uid="{00000000-0005-0000-0000-000074130000}"/>
    <cellStyle name="40% - uthevingsfarge 1 40 2" xfId="1295" xr:uid="{00000000-0005-0000-0000-000075130000}"/>
    <cellStyle name="40% - uthevingsfarge 1 40 2 2" xfId="5634" xr:uid="{00000000-0005-0000-0000-000076130000}"/>
    <cellStyle name="40% - uthevingsfarge 1 40 2 2 2" xfId="8267" xr:uid="{00000000-0005-0000-0000-000077130000}"/>
    <cellStyle name="40% - uthevingsfarge 1 40 2 3" xfId="9500" xr:uid="{00000000-0005-0000-0000-000078130000}"/>
    <cellStyle name="40% - uthevingsfarge 1 40 3" xfId="4913" xr:uid="{00000000-0005-0000-0000-000079130000}"/>
    <cellStyle name="40% - uthevingsfarge 1 40 3 2" xfId="7566" xr:uid="{00000000-0005-0000-0000-00007A130000}"/>
    <cellStyle name="40% - uthevingsfarge 1 40 4" xfId="9499" xr:uid="{00000000-0005-0000-0000-00007B130000}"/>
    <cellStyle name="40% - uthevingsfarge 1 41" xfId="1296" xr:uid="{00000000-0005-0000-0000-00007C130000}"/>
    <cellStyle name="40% - uthevingsfarge 1 41 2" xfId="1297" xr:uid="{00000000-0005-0000-0000-00007D130000}"/>
    <cellStyle name="40% - uthevingsfarge 1 41 2 2" xfId="5635" xr:uid="{00000000-0005-0000-0000-00007E130000}"/>
    <cellStyle name="40% - uthevingsfarge 1 41 2 2 2" xfId="8268" xr:uid="{00000000-0005-0000-0000-00007F130000}"/>
    <cellStyle name="40% - uthevingsfarge 1 41 2 3" xfId="10600" xr:uid="{00000000-0005-0000-0000-000080130000}"/>
    <cellStyle name="40% - uthevingsfarge 1 41 3" xfId="4914" xr:uid="{00000000-0005-0000-0000-000081130000}"/>
    <cellStyle name="40% - uthevingsfarge 1 41 3 2" xfId="7567" xr:uid="{00000000-0005-0000-0000-000082130000}"/>
    <cellStyle name="40% - uthevingsfarge 1 41 4" xfId="9498" xr:uid="{00000000-0005-0000-0000-000083130000}"/>
    <cellStyle name="40% - uthevingsfarge 1 42" xfId="1298" xr:uid="{00000000-0005-0000-0000-000084130000}"/>
    <cellStyle name="40% - uthevingsfarge 1 42 2" xfId="1299" xr:uid="{00000000-0005-0000-0000-000085130000}"/>
    <cellStyle name="40% - uthevingsfarge 1 42 2 2" xfId="5636" xr:uid="{00000000-0005-0000-0000-000086130000}"/>
    <cellStyle name="40% - uthevingsfarge 1 42 2 2 2" xfId="8269" xr:uid="{00000000-0005-0000-0000-000087130000}"/>
    <cellStyle name="40% - uthevingsfarge 1 42 2 3" xfId="10599" xr:uid="{00000000-0005-0000-0000-000088130000}"/>
    <cellStyle name="40% - uthevingsfarge 1 42 3" xfId="4915" xr:uid="{00000000-0005-0000-0000-000089130000}"/>
    <cellStyle name="40% - uthevingsfarge 1 42 3 2" xfId="7568" xr:uid="{00000000-0005-0000-0000-00008A130000}"/>
    <cellStyle name="40% - uthevingsfarge 1 42 4" xfId="9497" xr:uid="{00000000-0005-0000-0000-00008B130000}"/>
    <cellStyle name="40% - uthevingsfarge 1 43" xfId="1300" xr:uid="{00000000-0005-0000-0000-00008C130000}"/>
    <cellStyle name="40% - uthevingsfarge 1 43 2" xfId="1301" xr:uid="{00000000-0005-0000-0000-00008D130000}"/>
    <cellStyle name="40% - uthevingsfarge 1 43 2 2" xfId="5637" xr:uid="{00000000-0005-0000-0000-00008E130000}"/>
    <cellStyle name="40% - uthevingsfarge 1 43 2 2 2" xfId="8270" xr:uid="{00000000-0005-0000-0000-00008F130000}"/>
    <cellStyle name="40% - uthevingsfarge 1 43 2 3" xfId="10598" xr:uid="{00000000-0005-0000-0000-000090130000}"/>
    <cellStyle name="40% - uthevingsfarge 1 43 3" xfId="4916" xr:uid="{00000000-0005-0000-0000-000091130000}"/>
    <cellStyle name="40% - uthevingsfarge 1 43 3 2" xfId="7569" xr:uid="{00000000-0005-0000-0000-000092130000}"/>
    <cellStyle name="40% - uthevingsfarge 1 43 4" xfId="9496" xr:uid="{00000000-0005-0000-0000-000093130000}"/>
    <cellStyle name="40% - uthevingsfarge 1 44" xfId="1302" xr:uid="{00000000-0005-0000-0000-000094130000}"/>
    <cellStyle name="40% - uthevingsfarge 1 44 2" xfId="1303" xr:uid="{00000000-0005-0000-0000-000095130000}"/>
    <cellStyle name="40% - uthevingsfarge 1 44 2 2" xfId="5638" xr:uid="{00000000-0005-0000-0000-000096130000}"/>
    <cellStyle name="40% - uthevingsfarge 1 44 2 2 2" xfId="8271" xr:uid="{00000000-0005-0000-0000-000097130000}"/>
    <cellStyle name="40% - uthevingsfarge 1 44 2 3" xfId="10597" xr:uid="{00000000-0005-0000-0000-000098130000}"/>
    <cellStyle name="40% - uthevingsfarge 1 44 3" xfId="4917" xr:uid="{00000000-0005-0000-0000-000099130000}"/>
    <cellStyle name="40% - uthevingsfarge 1 44 3 2" xfId="7570" xr:uid="{00000000-0005-0000-0000-00009A130000}"/>
    <cellStyle name="40% - uthevingsfarge 1 44 4" xfId="9495" xr:uid="{00000000-0005-0000-0000-00009B130000}"/>
    <cellStyle name="40% - uthevingsfarge 1 45" xfId="1304" xr:uid="{00000000-0005-0000-0000-00009C130000}"/>
    <cellStyle name="40% - uthevingsfarge 1 45 2" xfId="1305" xr:uid="{00000000-0005-0000-0000-00009D130000}"/>
    <cellStyle name="40% - uthevingsfarge 1 45 2 2" xfId="5639" xr:uid="{00000000-0005-0000-0000-00009E130000}"/>
    <cellStyle name="40% - uthevingsfarge 1 45 2 2 2" xfId="8272" xr:uid="{00000000-0005-0000-0000-00009F130000}"/>
    <cellStyle name="40% - uthevingsfarge 1 45 2 3" xfId="10596" xr:uid="{00000000-0005-0000-0000-0000A0130000}"/>
    <cellStyle name="40% - uthevingsfarge 1 45 3" xfId="4918" xr:uid="{00000000-0005-0000-0000-0000A1130000}"/>
    <cellStyle name="40% - uthevingsfarge 1 45 3 2" xfId="7571" xr:uid="{00000000-0005-0000-0000-0000A2130000}"/>
    <cellStyle name="40% - uthevingsfarge 1 45 4" xfId="9494" xr:uid="{00000000-0005-0000-0000-0000A3130000}"/>
    <cellStyle name="40% - uthevingsfarge 1 46" xfId="1306" xr:uid="{00000000-0005-0000-0000-0000A4130000}"/>
    <cellStyle name="40% - uthevingsfarge 1 46 2" xfId="1307" xr:uid="{00000000-0005-0000-0000-0000A5130000}"/>
    <cellStyle name="40% - uthevingsfarge 1 46 2 2" xfId="5640" xr:uid="{00000000-0005-0000-0000-0000A6130000}"/>
    <cellStyle name="40% - uthevingsfarge 1 46 2 2 2" xfId="8273" xr:uid="{00000000-0005-0000-0000-0000A7130000}"/>
    <cellStyle name="40% - uthevingsfarge 1 46 2 3" xfId="10595" xr:uid="{00000000-0005-0000-0000-0000A8130000}"/>
    <cellStyle name="40% - uthevingsfarge 1 46 3" xfId="4919" xr:uid="{00000000-0005-0000-0000-0000A9130000}"/>
    <cellStyle name="40% - uthevingsfarge 1 46 3 2" xfId="7572" xr:uid="{00000000-0005-0000-0000-0000AA130000}"/>
    <cellStyle name="40% - uthevingsfarge 1 46 4" xfId="9493" xr:uid="{00000000-0005-0000-0000-0000AB130000}"/>
    <cellStyle name="40% - uthevingsfarge 1 47" xfId="1308" xr:uid="{00000000-0005-0000-0000-0000AC130000}"/>
    <cellStyle name="40% - uthevingsfarge 1 47 2" xfId="1309" xr:uid="{00000000-0005-0000-0000-0000AD130000}"/>
    <cellStyle name="40% - uthevingsfarge 1 47 2 2" xfId="5641" xr:uid="{00000000-0005-0000-0000-0000AE130000}"/>
    <cellStyle name="40% - uthevingsfarge 1 47 2 2 2" xfId="8274" xr:uid="{00000000-0005-0000-0000-0000AF130000}"/>
    <cellStyle name="40% - uthevingsfarge 1 47 2 3" xfId="10594" xr:uid="{00000000-0005-0000-0000-0000B0130000}"/>
    <cellStyle name="40% - uthevingsfarge 1 47 3" xfId="4920" xr:uid="{00000000-0005-0000-0000-0000B1130000}"/>
    <cellStyle name="40% - uthevingsfarge 1 47 3 2" xfId="7573" xr:uid="{00000000-0005-0000-0000-0000B2130000}"/>
    <cellStyle name="40% - uthevingsfarge 1 47 4" xfId="9492" xr:uid="{00000000-0005-0000-0000-0000B3130000}"/>
    <cellStyle name="40% - uthevingsfarge 1 48" xfId="1310" xr:uid="{00000000-0005-0000-0000-0000B4130000}"/>
    <cellStyle name="40% - uthevingsfarge 1 48 2" xfId="1311" xr:uid="{00000000-0005-0000-0000-0000B5130000}"/>
    <cellStyle name="40% - uthevingsfarge 1 48 2 2" xfId="5642" xr:uid="{00000000-0005-0000-0000-0000B6130000}"/>
    <cellStyle name="40% - uthevingsfarge 1 48 2 2 2" xfId="8275" xr:uid="{00000000-0005-0000-0000-0000B7130000}"/>
    <cellStyle name="40% - uthevingsfarge 1 48 2 3" xfId="10593" xr:uid="{00000000-0005-0000-0000-0000B8130000}"/>
    <cellStyle name="40% - uthevingsfarge 1 48 3" xfId="4921" xr:uid="{00000000-0005-0000-0000-0000B9130000}"/>
    <cellStyle name="40% - uthevingsfarge 1 48 3 2" xfId="7574" xr:uid="{00000000-0005-0000-0000-0000BA130000}"/>
    <cellStyle name="40% - uthevingsfarge 1 48 4" xfId="9491" xr:uid="{00000000-0005-0000-0000-0000BB130000}"/>
    <cellStyle name="40% - uthevingsfarge 1 49" xfId="1312" xr:uid="{00000000-0005-0000-0000-0000BC130000}"/>
    <cellStyle name="40% - uthevingsfarge 1 49 2" xfId="1313" xr:uid="{00000000-0005-0000-0000-0000BD130000}"/>
    <cellStyle name="40% - uthevingsfarge 1 49 2 2" xfId="5643" xr:uid="{00000000-0005-0000-0000-0000BE130000}"/>
    <cellStyle name="40% - uthevingsfarge 1 49 2 2 2" xfId="8276" xr:uid="{00000000-0005-0000-0000-0000BF130000}"/>
    <cellStyle name="40% - uthevingsfarge 1 49 2 3" xfId="10592" xr:uid="{00000000-0005-0000-0000-0000C0130000}"/>
    <cellStyle name="40% - uthevingsfarge 1 49 3" xfId="4922" xr:uid="{00000000-0005-0000-0000-0000C1130000}"/>
    <cellStyle name="40% - uthevingsfarge 1 49 3 2" xfId="7575" xr:uid="{00000000-0005-0000-0000-0000C2130000}"/>
    <cellStyle name="40% - uthevingsfarge 1 49 4" xfId="9490" xr:uid="{00000000-0005-0000-0000-0000C3130000}"/>
    <cellStyle name="40% - uthevingsfarge 1 5" xfId="1314" xr:uid="{00000000-0005-0000-0000-0000C4130000}"/>
    <cellStyle name="40% - uthevingsfarge 1 5 2" xfId="1315" xr:uid="{00000000-0005-0000-0000-0000C5130000}"/>
    <cellStyle name="40% - uthevingsfarge 1 5 2 2" xfId="5644" xr:uid="{00000000-0005-0000-0000-0000C6130000}"/>
    <cellStyle name="40% - uthevingsfarge 1 5 2 2 2" xfId="8277" xr:uid="{00000000-0005-0000-0000-0000C7130000}"/>
    <cellStyle name="40% - uthevingsfarge 1 5 2 3" xfId="10591" xr:uid="{00000000-0005-0000-0000-0000C8130000}"/>
    <cellStyle name="40% - uthevingsfarge 1 5 3" xfId="4923" xr:uid="{00000000-0005-0000-0000-0000C9130000}"/>
    <cellStyle name="40% - uthevingsfarge 1 5 3 2" xfId="7576" xr:uid="{00000000-0005-0000-0000-0000CA130000}"/>
    <cellStyle name="40% - uthevingsfarge 1 5 4" xfId="9489" xr:uid="{00000000-0005-0000-0000-0000CB130000}"/>
    <cellStyle name="40% - uthevingsfarge 1 50" xfId="1316" xr:uid="{00000000-0005-0000-0000-0000CC130000}"/>
    <cellStyle name="40% - uthevingsfarge 1 50 2" xfId="1317" xr:uid="{00000000-0005-0000-0000-0000CD130000}"/>
    <cellStyle name="40% - uthevingsfarge 1 50 2 2" xfId="5645" xr:uid="{00000000-0005-0000-0000-0000CE130000}"/>
    <cellStyle name="40% - uthevingsfarge 1 50 2 2 2" xfId="8278" xr:uid="{00000000-0005-0000-0000-0000CF130000}"/>
    <cellStyle name="40% - uthevingsfarge 1 50 2 3" xfId="10590" xr:uid="{00000000-0005-0000-0000-0000D0130000}"/>
    <cellStyle name="40% - uthevingsfarge 1 50 3" xfId="4924" xr:uid="{00000000-0005-0000-0000-0000D1130000}"/>
    <cellStyle name="40% - uthevingsfarge 1 50 3 2" xfId="7577" xr:uid="{00000000-0005-0000-0000-0000D2130000}"/>
    <cellStyle name="40% - uthevingsfarge 1 50 4" xfId="9488" xr:uid="{00000000-0005-0000-0000-0000D3130000}"/>
    <cellStyle name="40% - uthevingsfarge 1 51" xfId="1318" xr:uid="{00000000-0005-0000-0000-0000D4130000}"/>
    <cellStyle name="40% - uthevingsfarge 1 51 2" xfId="1319" xr:uid="{00000000-0005-0000-0000-0000D5130000}"/>
    <cellStyle name="40% - uthevingsfarge 1 51 2 2" xfId="5646" xr:uid="{00000000-0005-0000-0000-0000D6130000}"/>
    <cellStyle name="40% - uthevingsfarge 1 51 2 2 2" xfId="8279" xr:uid="{00000000-0005-0000-0000-0000D7130000}"/>
    <cellStyle name="40% - uthevingsfarge 1 51 2 3" xfId="10589" xr:uid="{00000000-0005-0000-0000-0000D8130000}"/>
    <cellStyle name="40% - uthevingsfarge 1 51 3" xfId="4925" xr:uid="{00000000-0005-0000-0000-0000D9130000}"/>
    <cellStyle name="40% - uthevingsfarge 1 51 3 2" xfId="7578" xr:uid="{00000000-0005-0000-0000-0000DA130000}"/>
    <cellStyle name="40% - uthevingsfarge 1 51 4" xfId="9487" xr:uid="{00000000-0005-0000-0000-0000DB130000}"/>
    <cellStyle name="40% - uthevingsfarge 1 52" xfId="1320" xr:uid="{00000000-0005-0000-0000-0000DC130000}"/>
    <cellStyle name="40% - uthevingsfarge 1 52 2" xfId="1321" xr:uid="{00000000-0005-0000-0000-0000DD130000}"/>
    <cellStyle name="40% - uthevingsfarge 1 52 2 2" xfId="5647" xr:uid="{00000000-0005-0000-0000-0000DE130000}"/>
    <cellStyle name="40% - uthevingsfarge 1 52 2 2 2" xfId="8280" xr:uid="{00000000-0005-0000-0000-0000DF130000}"/>
    <cellStyle name="40% - uthevingsfarge 1 52 2 3" xfId="10588" xr:uid="{00000000-0005-0000-0000-0000E0130000}"/>
    <cellStyle name="40% - uthevingsfarge 1 52 3" xfId="4926" xr:uid="{00000000-0005-0000-0000-0000E1130000}"/>
    <cellStyle name="40% - uthevingsfarge 1 52 3 2" xfId="7579" xr:uid="{00000000-0005-0000-0000-0000E2130000}"/>
    <cellStyle name="40% - uthevingsfarge 1 52 4" xfId="9486" xr:uid="{00000000-0005-0000-0000-0000E3130000}"/>
    <cellStyle name="40% - uthevingsfarge 1 53" xfId="1322" xr:uid="{00000000-0005-0000-0000-0000E4130000}"/>
    <cellStyle name="40% - uthevingsfarge 1 53 2" xfId="1323" xr:uid="{00000000-0005-0000-0000-0000E5130000}"/>
    <cellStyle name="40% - uthevingsfarge 1 53 2 2" xfId="5648" xr:uid="{00000000-0005-0000-0000-0000E6130000}"/>
    <cellStyle name="40% - uthevingsfarge 1 53 2 2 2" xfId="8281" xr:uid="{00000000-0005-0000-0000-0000E7130000}"/>
    <cellStyle name="40% - uthevingsfarge 1 53 2 3" xfId="10587" xr:uid="{00000000-0005-0000-0000-0000E8130000}"/>
    <cellStyle name="40% - uthevingsfarge 1 53 3" xfId="4927" xr:uid="{00000000-0005-0000-0000-0000E9130000}"/>
    <cellStyle name="40% - uthevingsfarge 1 53 3 2" xfId="7580" xr:uid="{00000000-0005-0000-0000-0000EA130000}"/>
    <cellStyle name="40% - uthevingsfarge 1 53 4" xfId="9485" xr:uid="{00000000-0005-0000-0000-0000EB130000}"/>
    <cellStyle name="40% - uthevingsfarge 1 54" xfId="1324" xr:uid="{00000000-0005-0000-0000-0000EC130000}"/>
    <cellStyle name="40% - uthevingsfarge 1 54 2" xfId="1325" xr:uid="{00000000-0005-0000-0000-0000ED130000}"/>
    <cellStyle name="40% - uthevingsfarge 1 54 2 2" xfId="5649" xr:uid="{00000000-0005-0000-0000-0000EE130000}"/>
    <cellStyle name="40% - uthevingsfarge 1 54 2 2 2" xfId="8282" xr:uid="{00000000-0005-0000-0000-0000EF130000}"/>
    <cellStyle name="40% - uthevingsfarge 1 54 2 3" xfId="10586" xr:uid="{00000000-0005-0000-0000-0000F0130000}"/>
    <cellStyle name="40% - uthevingsfarge 1 54 3" xfId="4928" xr:uid="{00000000-0005-0000-0000-0000F1130000}"/>
    <cellStyle name="40% - uthevingsfarge 1 54 3 2" xfId="7581" xr:uid="{00000000-0005-0000-0000-0000F2130000}"/>
    <cellStyle name="40% - uthevingsfarge 1 54 4" xfId="9484" xr:uid="{00000000-0005-0000-0000-0000F3130000}"/>
    <cellStyle name="40% - uthevingsfarge 1 55" xfId="1326" xr:uid="{00000000-0005-0000-0000-0000F4130000}"/>
    <cellStyle name="40% - uthevingsfarge 1 55 2" xfId="1327" xr:uid="{00000000-0005-0000-0000-0000F5130000}"/>
    <cellStyle name="40% - uthevingsfarge 1 55 2 2" xfId="5650" xr:uid="{00000000-0005-0000-0000-0000F6130000}"/>
    <cellStyle name="40% - uthevingsfarge 1 55 2 2 2" xfId="8283" xr:uid="{00000000-0005-0000-0000-0000F7130000}"/>
    <cellStyle name="40% - uthevingsfarge 1 55 2 3" xfId="10585" xr:uid="{00000000-0005-0000-0000-0000F8130000}"/>
    <cellStyle name="40% - uthevingsfarge 1 55 3" xfId="4929" xr:uid="{00000000-0005-0000-0000-0000F9130000}"/>
    <cellStyle name="40% - uthevingsfarge 1 55 3 2" xfId="7582" xr:uid="{00000000-0005-0000-0000-0000FA130000}"/>
    <cellStyle name="40% - uthevingsfarge 1 55 4" xfId="9483" xr:uid="{00000000-0005-0000-0000-0000FB130000}"/>
    <cellStyle name="40% - uthevingsfarge 1 56" xfId="1328" xr:uid="{00000000-0005-0000-0000-0000FC130000}"/>
    <cellStyle name="40% - uthevingsfarge 1 56 2" xfId="1329" xr:uid="{00000000-0005-0000-0000-0000FD130000}"/>
    <cellStyle name="40% - uthevingsfarge 1 56 2 2" xfId="5651" xr:uid="{00000000-0005-0000-0000-0000FE130000}"/>
    <cellStyle name="40% - uthevingsfarge 1 56 2 2 2" xfId="8284" xr:uid="{00000000-0005-0000-0000-0000FF130000}"/>
    <cellStyle name="40% - uthevingsfarge 1 56 2 3" xfId="10584" xr:uid="{00000000-0005-0000-0000-000000140000}"/>
    <cellStyle name="40% - uthevingsfarge 1 56 3" xfId="4930" xr:uid="{00000000-0005-0000-0000-000001140000}"/>
    <cellStyle name="40% - uthevingsfarge 1 56 3 2" xfId="7583" xr:uid="{00000000-0005-0000-0000-000002140000}"/>
    <cellStyle name="40% - uthevingsfarge 1 56 4" xfId="9482" xr:uid="{00000000-0005-0000-0000-000003140000}"/>
    <cellStyle name="40% - uthevingsfarge 1 57" xfId="1330" xr:uid="{00000000-0005-0000-0000-000004140000}"/>
    <cellStyle name="40% - uthevingsfarge 1 57 2" xfId="1331" xr:uid="{00000000-0005-0000-0000-000005140000}"/>
    <cellStyle name="40% - uthevingsfarge 1 57 2 2" xfId="5652" xr:uid="{00000000-0005-0000-0000-000006140000}"/>
    <cellStyle name="40% - uthevingsfarge 1 57 2 2 2" xfId="8285" xr:uid="{00000000-0005-0000-0000-000007140000}"/>
    <cellStyle name="40% - uthevingsfarge 1 57 2 3" xfId="10583" xr:uid="{00000000-0005-0000-0000-000008140000}"/>
    <cellStyle name="40% - uthevingsfarge 1 57 3" xfId="4931" xr:uid="{00000000-0005-0000-0000-000009140000}"/>
    <cellStyle name="40% - uthevingsfarge 1 57 3 2" xfId="7584" xr:uid="{00000000-0005-0000-0000-00000A140000}"/>
    <cellStyle name="40% - uthevingsfarge 1 57 4" xfId="9481" xr:uid="{00000000-0005-0000-0000-00000B140000}"/>
    <cellStyle name="40% - uthevingsfarge 1 58" xfId="1332" xr:uid="{00000000-0005-0000-0000-00000C140000}"/>
    <cellStyle name="40% - uthevingsfarge 1 58 2" xfId="1333" xr:uid="{00000000-0005-0000-0000-00000D140000}"/>
    <cellStyle name="40% - uthevingsfarge 1 58 2 2" xfId="5653" xr:uid="{00000000-0005-0000-0000-00000E140000}"/>
    <cellStyle name="40% - uthevingsfarge 1 58 2 2 2" xfId="8286" xr:uid="{00000000-0005-0000-0000-00000F140000}"/>
    <cellStyle name="40% - uthevingsfarge 1 58 2 3" xfId="10582" xr:uid="{00000000-0005-0000-0000-000010140000}"/>
    <cellStyle name="40% - uthevingsfarge 1 58 3" xfId="4932" xr:uid="{00000000-0005-0000-0000-000011140000}"/>
    <cellStyle name="40% - uthevingsfarge 1 58 3 2" xfId="7585" xr:uid="{00000000-0005-0000-0000-000012140000}"/>
    <cellStyle name="40% - uthevingsfarge 1 58 4" xfId="9480" xr:uid="{00000000-0005-0000-0000-000013140000}"/>
    <cellStyle name="40% - uthevingsfarge 1 59" xfId="1334" xr:uid="{00000000-0005-0000-0000-000014140000}"/>
    <cellStyle name="40% - uthevingsfarge 1 59 2" xfId="1335" xr:uid="{00000000-0005-0000-0000-000015140000}"/>
    <cellStyle name="40% - uthevingsfarge 1 59 2 2" xfId="5654" xr:uid="{00000000-0005-0000-0000-000016140000}"/>
    <cellStyle name="40% - uthevingsfarge 1 59 2 2 2" xfId="8287" xr:uid="{00000000-0005-0000-0000-000017140000}"/>
    <cellStyle name="40% - uthevingsfarge 1 59 2 3" xfId="10581" xr:uid="{00000000-0005-0000-0000-000018140000}"/>
    <cellStyle name="40% - uthevingsfarge 1 59 3" xfId="4933" xr:uid="{00000000-0005-0000-0000-000019140000}"/>
    <cellStyle name="40% - uthevingsfarge 1 59 3 2" xfId="7586" xr:uid="{00000000-0005-0000-0000-00001A140000}"/>
    <cellStyle name="40% - uthevingsfarge 1 59 4" xfId="9479" xr:uid="{00000000-0005-0000-0000-00001B140000}"/>
    <cellStyle name="40% - uthevingsfarge 1 6" xfId="1336" xr:uid="{00000000-0005-0000-0000-00001C140000}"/>
    <cellStyle name="40% - uthevingsfarge 1 6 2" xfId="1337" xr:uid="{00000000-0005-0000-0000-00001D140000}"/>
    <cellStyle name="40% - uthevingsfarge 1 6 2 2" xfId="5655" xr:uid="{00000000-0005-0000-0000-00001E140000}"/>
    <cellStyle name="40% - uthevingsfarge 1 6 2 2 2" xfId="8288" xr:uid="{00000000-0005-0000-0000-00001F140000}"/>
    <cellStyle name="40% - uthevingsfarge 1 6 2 3" xfId="10580" xr:uid="{00000000-0005-0000-0000-000020140000}"/>
    <cellStyle name="40% - uthevingsfarge 1 6 3" xfId="4934" xr:uid="{00000000-0005-0000-0000-000021140000}"/>
    <cellStyle name="40% - uthevingsfarge 1 6 3 2" xfId="7587" xr:uid="{00000000-0005-0000-0000-000022140000}"/>
    <cellStyle name="40% - uthevingsfarge 1 6 4" xfId="9478" xr:uid="{00000000-0005-0000-0000-000023140000}"/>
    <cellStyle name="40% - uthevingsfarge 1 60" xfId="1338" xr:uid="{00000000-0005-0000-0000-000024140000}"/>
    <cellStyle name="40% - uthevingsfarge 1 60 2" xfId="1339" xr:uid="{00000000-0005-0000-0000-000025140000}"/>
    <cellStyle name="40% - uthevingsfarge 1 60 3" xfId="9477" xr:uid="{00000000-0005-0000-0000-000026140000}"/>
    <cellStyle name="40% - uthevingsfarge 1 61" xfId="1340" xr:uid="{00000000-0005-0000-0000-000027140000}"/>
    <cellStyle name="40% - uthevingsfarge 1 61 2" xfId="1341" xr:uid="{00000000-0005-0000-0000-000028140000}"/>
    <cellStyle name="40% - uthevingsfarge 1 62" xfId="1342" xr:uid="{00000000-0005-0000-0000-000029140000}"/>
    <cellStyle name="40% - uthevingsfarge 1 62 2" xfId="1343" xr:uid="{00000000-0005-0000-0000-00002A140000}"/>
    <cellStyle name="40% - uthevingsfarge 1 63" xfId="1344" xr:uid="{00000000-0005-0000-0000-00002B140000}"/>
    <cellStyle name="40% - uthevingsfarge 1 63 2" xfId="1345" xr:uid="{00000000-0005-0000-0000-00002C140000}"/>
    <cellStyle name="40% - uthevingsfarge 1 64" xfId="1346" xr:uid="{00000000-0005-0000-0000-00002D140000}"/>
    <cellStyle name="40% - uthevingsfarge 1 64 2" xfId="1347" xr:uid="{00000000-0005-0000-0000-00002E140000}"/>
    <cellStyle name="40% - uthevingsfarge 1 65" xfId="1348" xr:uid="{00000000-0005-0000-0000-00002F140000}"/>
    <cellStyle name="40% - uthevingsfarge 1 65 2" xfId="1349" xr:uid="{00000000-0005-0000-0000-000030140000}"/>
    <cellStyle name="40% - uthevingsfarge 1 66" xfId="1350" xr:uid="{00000000-0005-0000-0000-000031140000}"/>
    <cellStyle name="40% - uthevingsfarge 1 66 2" xfId="1351" xr:uid="{00000000-0005-0000-0000-000032140000}"/>
    <cellStyle name="40% - uthevingsfarge 1 67" xfId="1352" xr:uid="{00000000-0005-0000-0000-000033140000}"/>
    <cellStyle name="40% - uthevingsfarge 1 67 2" xfId="1353" xr:uid="{00000000-0005-0000-0000-000034140000}"/>
    <cellStyle name="40% - uthevingsfarge 1 68" xfId="1354" xr:uid="{00000000-0005-0000-0000-000035140000}"/>
    <cellStyle name="40% - uthevingsfarge 1 68 2" xfId="1355" xr:uid="{00000000-0005-0000-0000-000036140000}"/>
    <cellStyle name="40% - uthevingsfarge 1 69" xfId="1356" xr:uid="{00000000-0005-0000-0000-000037140000}"/>
    <cellStyle name="40% - uthevingsfarge 1 69 2" xfId="1357" xr:uid="{00000000-0005-0000-0000-000038140000}"/>
    <cellStyle name="40% - uthevingsfarge 1 7" xfId="1358" xr:uid="{00000000-0005-0000-0000-000039140000}"/>
    <cellStyle name="40% - uthevingsfarge 1 7 2" xfId="1359" xr:uid="{00000000-0005-0000-0000-00003A140000}"/>
    <cellStyle name="40% - uthevingsfarge 1 7 2 2" xfId="5656" xr:uid="{00000000-0005-0000-0000-00003B140000}"/>
    <cellStyle name="40% - uthevingsfarge 1 7 2 2 2" xfId="8289" xr:uid="{00000000-0005-0000-0000-00003C140000}"/>
    <cellStyle name="40% - uthevingsfarge 1 7 2 3" xfId="10225" xr:uid="{00000000-0005-0000-0000-00003D140000}"/>
    <cellStyle name="40% - uthevingsfarge 1 7 3" xfId="4935" xr:uid="{00000000-0005-0000-0000-00003E140000}"/>
    <cellStyle name="40% - uthevingsfarge 1 7 3 2" xfId="7588" xr:uid="{00000000-0005-0000-0000-00003F140000}"/>
    <cellStyle name="40% - uthevingsfarge 1 7 4" xfId="9476" xr:uid="{00000000-0005-0000-0000-000040140000}"/>
    <cellStyle name="40% - uthevingsfarge 1 70" xfId="1360" xr:uid="{00000000-0005-0000-0000-000041140000}"/>
    <cellStyle name="40% - uthevingsfarge 1 70 2" xfId="1361" xr:uid="{00000000-0005-0000-0000-000042140000}"/>
    <cellStyle name="40% - uthevingsfarge 1 71" xfId="1362" xr:uid="{00000000-0005-0000-0000-000043140000}"/>
    <cellStyle name="40% - uthevingsfarge 1 71 2" xfId="1363" xr:uid="{00000000-0005-0000-0000-000044140000}"/>
    <cellStyle name="40% - uthevingsfarge 1 72" xfId="1364" xr:uid="{00000000-0005-0000-0000-000045140000}"/>
    <cellStyle name="40% - uthevingsfarge 1 72 2" xfId="1365" xr:uid="{00000000-0005-0000-0000-000046140000}"/>
    <cellStyle name="40% - uthevingsfarge 1 73" xfId="1366" xr:uid="{00000000-0005-0000-0000-000047140000}"/>
    <cellStyle name="40% - uthevingsfarge 1 73 2" xfId="1367" xr:uid="{00000000-0005-0000-0000-000048140000}"/>
    <cellStyle name="40% - uthevingsfarge 1 74" xfId="1368" xr:uid="{00000000-0005-0000-0000-000049140000}"/>
    <cellStyle name="40% - uthevingsfarge 1 74 2" xfId="1369" xr:uid="{00000000-0005-0000-0000-00004A140000}"/>
    <cellStyle name="40% - uthevingsfarge 1 75" xfId="1370" xr:uid="{00000000-0005-0000-0000-00004B140000}"/>
    <cellStyle name="40% - uthevingsfarge 1 75 2" xfId="1371" xr:uid="{00000000-0005-0000-0000-00004C140000}"/>
    <cellStyle name="40% - uthevingsfarge 1 76" xfId="1372" xr:uid="{00000000-0005-0000-0000-00004D140000}"/>
    <cellStyle name="40% - uthevingsfarge 1 76 2" xfId="1373" xr:uid="{00000000-0005-0000-0000-00004E140000}"/>
    <cellStyle name="40% - uthevingsfarge 1 77" xfId="1374" xr:uid="{00000000-0005-0000-0000-00004F140000}"/>
    <cellStyle name="40% - uthevingsfarge 1 78" xfId="1375" xr:uid="{00000000-0005-0000-0000-000050140000}"/>
    <cellStyle name="40% - uthevingsfarge 1 79" xfId="1376" xr:uid="{00000000-0005-0000-0000-000051140000}"/>
    <cellStyle name="40% - uthevingsfarge 1 8" xfId="1377" xr:uid="{00000000-0005-0000-0000-000052140000}"/>
    <cellStyle name="40% - uthevingsfarge 1 8 2" xfId="1378" xr:uid="{00000000-0005-0000-0000-000053140000}"/>
    <cellStyle name="40% - uthevingsfarge 1 8 2 2" xfId="5657" xr:uid="{00000000-0005-0000-0000-000054140000}"/>
    <cellStyle name="40% - uthevingsfarge 1 8 2 2 2" xfId="8290" xr:uid="{00000000-0005-0000-0000-000055140000}"/>
    <cellStyle name="40% - uthevingsfarge 1 8 2 3" xfId="10224" xr:uid="{00000000-0005-0000-0000-000056140000}"/>
    <cellStyle name="40% - uthevingsfarge 1 8 3" xfId="4936" xr:uid="{00000000-0005-0000-0000-000057140000}"/>
    <cellStyle name="40% - uthevingsfarge 1 8 3 2" xfId="7589" xr:uid="{00000000-0005-0000-0000-000058140000}"/>
    <cellStyle name="40% - uthevingsfarge 1 8 4" xfId="9475" xr:uid="{00000000-0005-0000-0000-000059140000}"/>
    <cellStyle name="40% - uthevingsfarge 1 80" xfId="1379" xr:uid="{00000000-0005-0000-0000-00005A140000}"/>
    <cellStyle name="40% - uthevingsfarge 1 81" xfId="1380" xr:uid="{00000000-0005-0000-0000-00005B140000}"/>
    <cellStyle name="40% - uthevingsfarge 1 82" xfId="1381" xr:uid="{00000000-0005-0000-0000-00005C140000}"/>
    <cellStyle name="40% - uthevingsfarge 1 83" xfId="1382" xr:uid="{00000000-0005-0000-0000-00005D140000}"/>
    <cellStyle name="40% - uthevingsfarge 1 84" xfId="1383" xr:uid="{00000000-0005-0000-0000-00005E140000}"/>
    <cellStyle name="40% - uthevingsfarge 1 85" xfId="1384" xr:uid="{00000000-0005-0000-0000-00005F140000}"/>
    <cellStyle name="40% - uthevingsfarge 1 86" xfId="1385" xr:uid="{00000000-0005-0000-0000-000060140000}"/>
    <cellStyle name="40% - uthevingsfarge 1 87" xfId="1386" xr:uid="{00000000-0005-0000-0000-000061140000}"/>
    <cellStyle name="40% - uthevingsfarge 1 88" xfId="1387" xr:uid="{00000000-0005-0000-0000-000062140000}"/>
    <cellStyle name="40% - uthevingsfarge 1 89" xfId="1388" xr:uid="{00000000-0005-0000-0000-000063140000}"/>
    <cellStyle name="40% - uthevingsfarge 1 9" xfId="1389" xr:uid="{00000000-0005-0000-0000-000064140000}"/>
    <cellStyle name="40% - uthevingsfarge 1 9 2" xfId="1390" xr:uid="{00000000-0005-0000-0000-000065140000}"/>
    <cellStyle name="40% - uthevingsfarge 1 9 2 2" xfId="5658" xr:uid="{00000000-0005-0000-0000-000066140000}"/>
    <cellStyle name="40% - uthevingsfarge 1 9 2 2 2" xfId="8291" xr:uid="{00000000-0005-0000-0000-000067140000}"/>
    <cellStyle name="40% - uthevingsfarge 1 9 2 3" xfId="10223" xr:uid="{00000000-0005-0000-0000-000068140000}"/>
    <cellStyle name="40% - uthevingsfarge 1 9 3" xfId="4937" xr:uid="{00000000-0005-0000-0000-000069140000}"/>
    <cellStyle name="40% - uthevingsfarge 1 9 3 2" xfId="7590" xr:uid="{00000000-0005-0000-0000-00006A140000}"/>
    <cellStyle name="40% - uthevingsfarge 1 9 4" xfId="9474" xr:uid="{00000000-0005-0000-0000-00006B140000}"/>
    <cellStyle name="40% - uthevingsfarge 1 90" xfId="1391" xr:uid="{00000000-0005-0000-0000-00006C140000}"/>
    <cellStyle name="40% - uthevingsfarge 1 90 2" xfId="2859" xr:uid="{00000000-0005-0000-0000-00006D140000}"/>
    <cellStyle name="40% - uthevingsfarge 1 90 2 2" xfId="3279" xr:uid="{00000000-0005-0000-0000-00006E140000}"/>
    <cellStyle name="40% - uthevingsfarge 1 90 2 2 2" xfId="6864" xr:uid="{00000000-0005-0000-0000-00006F140000}"/>
    <cellStyle name="40% - uthevingsfarge 1 90 2 3" xfId="4115" xr:uid="{00000000-0005-0000-0000-000070140000}"/>
    <cellStyle name="40% - uthevingsfarge 1 90 2 4" xfId="6432" xr:uid="{00000000-0005-0000-0000-000071140000}"/>
    <cellStyle name="40% - uthevingsfarge 1 90 2 5" xfId="8864" xr:uid="{00000000-0005-0000-0000-000072140000}"/>
    <cellStyle name="40% - uthevingsfarge 1 90 3" xfId="3278" xr:uid="{00000000-0005-0000-0000-000073140000}"/>
    <cellStyle name="40% - uthevingsfarge 1 90 3 2" xfId="6863" xr:uid="{00000000-0005-0000-0000-000074140000}"/>
    <cellStyle name="40% - uthevingsfarge 1 90 4" xfId="4119" xr:uid="{00000000-0005-0000-0000-000075140000}"/>
    <cellStyle name="40% - uthevingsfarge 1 90 5" xfId="6147" xr:uid="{00000000-0005-0000-0000-000076140000}"/>
    <cellStyle name="40% - uthevingsfarge 1 90 6" xfId="8863" xr:uid="{00000000-0005-0000-0000-000077140000}"/>
    <cellStyle name="40% - uthevingsfarge 1 91" xfId="1392" xr:uid="{00000000-0005-0000-0000-000078140000}"/>
    <cellStyle name="40% - uthevingsfarge 1 91 2" xfId="2860" xr:uid="{00000000-0005-0000-0000-000079140000}"/>
    <cellStyle name="40% - uthevingsfarge 1 91 2 2" xfId="3281" xr:uid="{00000000-0005-0000-0000-00007A140000}"/>
    <cellStyle name="40% - uthevingsfarge 1 91 2 2 2" xfId="6866" xr:uid="{00000000-0005-0000-0000-00007B140000}"/>
    <cellStyle name="40% - uthevingsfarge 1 91 2 3" xfId="4031" xr:uid="{00000000-0005-0000-0000-00007C140000}"/>
    <cellStyle name="40% - uthevingsfarge 1 91 2 4" xfId="6433" xr:uid="{00000000-0005-0000-0000-00007D140000}"/>
    <cellStyle name="40% - uthevingsfarge 1 91 2 5" xfId="8866" xr:uid="{00000000-0005-0000-0000-00007E140000}"/>
    <cellStyle name="40% - uthevingsfarge 1 91 3" xfId="3280" xr:uid="{00000000-0005-0000-0000-00007F140000}"/>
    <cellStyle name="40% - uthevingsfarge 1 91 3 2" xfId="6865" xr:uid="{00000000-0005-0000-0000-000080140000}"/>
    <cellStyle name="40% - uthevingsfarge 1 91 4" xfId="4033" xr:uid="{00000000-0005-0000-0000-000081140000}"/>
    <cellStyle name="40% - uthevingsfarge 1 91 5" xfId="6148" xr:uid="{00000000-0005-0000-0000-000082140000}"/>
    <cellStyle name="40% - uthevingsfarge 1 91 6" xfId="8865" xr:uid="{00000000-0005-0000-0000-000083140000}"/>
    <cellStyle name="40% - uthevingsfarge 1 92" xfId="1393" xr:uid="{00000000-0005-0000-0000-000084140000}"/>
    <cellStyle name="40% - uthevingsfarge 1 92 2" xfId="2861" xr:uid="{00000000-0005-0000-0000-000085140000}"/>
    <cellStyle name="40% - uthevingsfarge 1 92 2 2" xfId="3283" xr:uid="{00000000-0005-0000-0000-000086140000}"/>
    <cellStyle name="40% - uthevingsfarge 1 92 2 2 2" xfId="6868" xr:uid="{00000000-0005-0000-0000-000087140000}"/>
    <cellStyle name="40% - uthevingsfarge 1 92 2 3" xfId="3721" xr:uid="{00000000-0005-0000-0000-000088140000}"/>
    <cellStyle name="40% - uthevingsfarge 1 92 2 4" xfId="6434" xr:uid="{00000000-0005-0000-0000-000089140000}"/>
    <cellStyle name="40% - uthevingsfarge 1 92 2 5" xfId="8868" xr:uid="{00000000-0005-0000-0000-00008A140000}"/>
    <cellStyle name="40% - uthevingsfarge 1 92 3" xfId="3282" xr:uid="{00000000-0005-0000-0000-00008B140000}"/>
    <cellStyle name="40% - uthevingsfarge 1 92 3 2" xfId="6867" xr:uid="{00000000-0005-0000-0000-00008C140000}"/>
    <cellStyle name="40% - uthevingsfarge 1 92 4" xfId="3883" xr:uid="{00000000-0005-0000-0000-00008D140000}"/>
    <cellStyle name="40% - uthevingsfarge 1 92 5" xfId="6149" xr:uid="{00000000-0005-0000-0000-00008E140000}"/>
    <cellStyle name="40% - uthevingsfarge 1 92 6" xfId="8867" xr:uid="{00000000-0005-0000-0000-00008F140000}"/>
    <cellStyle name="40% - uthevingsfarge 1 93" xfId="1394" xr:uid="{00000000-0005-0000-0000-000090140000}"/>
    <cellStyle name="40% - uthevingsfarge 1 93 2" xfId="2862" xr:uid="{00000000-0005-0000-0000-000091140000}"/>
    <cellStyle name="40% - uthevingsfarge 1 93 2 2" xfId="3285" xr:uid="{00000000-0005-0000-0000-000092140000}"/>
    <cellStyle name="40% - uthevingsfarge 1 93 2 2 2" xfId="6870" xr:uid="{00000000-0005-0000-0000-000093140000}"/>
    <cellStyle name="40% - uthevingsfarge 1 93 2 3" xfId="4161" xr:uid="{00000000-0005-0000-0000-000094140000}"/>
    <cellStyle name="40% - uthevingsfarge 1 93 2 4" xfId="6435" xr:uid="{00000000-0005-0000-0000-000095140000}"/>
    <cellStyle name="40% - uthevingsfarge 1 93 2 5" xfId="8870" xr:uid="{00000000-0005-0000-0000-000096140000}"/>
    <cellStyle name="40% - uthevingsfarge 1 93 3" xfId="3284" xr:uid="{00000000-0005-0000-0000-000097140000}"/>
    <cellStyle name="40% - uthevingsfarge 1 93 3 2" xfId="6869" xr:uid="{00000000-0005-0000-0000-000098140000}"/>
    <cellStyle name="40% - uthevingsfarge 1 93 4" xfId="4116" xr:uid="{00000000-0005-0000-0000-000099140000}"/>
    <cellStyle name="40% - uthevingsfarge 1 93 5" xfId="6150" xr:uid="{00000000-0005-0000-0000-00009A140000}"/>
    <cellStyle name="40% - uthevingsfarge 1 93 6" xfId="8869" xr:uid="{00000000-0005-0000-0000-00009B140000}"/>
    <cellStyle name="40% - uthevingsfarge 1 94" xfId="1395" xr:uid="{00000000-0005-0000-0000-00009C140000}"/>
    <cellStyle name="40% - uthevingsfarge 1 94 2" xfId="2863" xr:uid="{00000000-0005-0000-0000-00009D140000}"/>
    <cellStyle name="40% - uthevingsfarge 1 94 2 2" xfId="3287" xr:uid="{00000000-0005-0000-0000-00009E140000}"/>
    <cellStyle name="40% - uthevingsfarge 1 94 2 2 2" xfId="6872" xr:uid="{00000000-0005-0000-0000-00009F140000}"/>
    <cellStyle name="40% - uthevingsfarge 1 94 2 3" xfId="4162" xr:uid="{00000000-0005-0000-0000-0000A0140000}"/>
    <cellStyle name="40% - uthevingsfarge 1 94 2 4" xfId="6436" xr:uid="{00000000-0005-0000-0000-0000A1140000}"/>
    <cellStyle name="40% - uthevingsfarge 1 94 2 5" xfId="8872" xr:uid="{00000000-0005-0000-0000-0000A2140000}"/>
    <cellStyle name="40% - uthevingsfarge 1 94 3" xfId="3286" xr:uid="{00000000-0005-0000-0000-0000A3140000}"/>
    <cellStyle name="40% - uthevingsfarge 1 94 3 2" xfId="6871" xr:uid="{00000000-0005-0000-0000-0000A4140000}"/>
    <cellStyle name="40% - uthevingsfarge 1 94 4" xfId="4117" xr:uid="{00000000-0005-0000-0000-0000A5140000}"/>
    <cellStyle name="40% - uthevingsfarge 1 94 5" xfId="6151" xr:uid="{00000000-0005-0000-0000-0000A6140000}"/>
    <cellStyle name="40% - uthevingsfarge 1 94 6" xfId="8871" xr:uid="{00000000-0005-0000-0000-0000A7140000}"/>
    <cellStyle name="40% - uthevingsfarge 1 95" xfId="1396" xr:uid="{00000000-0005-0000-0000-0000A8140000}"/>
    <cellStyle name="40% - uthevingsfarge 1 95 2" xfId="2864" xr:uid="{00000000-0005-0000-0000-0000A9140000}"/>
    <cellStyle name="40% - uthevingsfarge 1 95 2 2" xfId="3289" xr:uid="{00000000-0005-0000-0000-0000AA140000}"/>
    <cellStyle name="40% - uthevingsfarge 1 95 2 2 2" xfId="6874" xr:uid="{00000000-0005-0000-0000-0000AB140000}"/>
    <cellStyle name="40% - uthevingsfarge 1 95 2 3" xfId="4112" xr:uid="{00000000-0005-0000-0000-0000AC140000}"/>
    <cellStyle name="40% - uthevingsfarge 1 95 2 4" xfId="6437" xr:uid="{00000000-0005-0000-0000-0000AD140000}"/>
    <cellStyle name="40% - uthevingsfarge 1 95 2 5" xfId="8874" xr:uid="{00000000-0005-0000-0000-0000AE140000}"/>
    <cellStyle name="40% - uthevingsfarge 1 95 3" xfId="3288" xr:uid="{00000000-0005-0000-0000-0000AF140000}"/>
    <cellStyle name="40% - uthevingsfarge 1 95 3 2" xfId="6873" xr:uid="{00000000-0005-0000-0000-0000B0140000}"/>
    <cellStyle name="40% - uthevingsfarge 1 95 4" xfId="4032" xr:uid="{00000000-0005-0000-0000-0000B1140000}"/>
    <cellStyle name="40% - uthevingsfarge 1 95 5" xfId="6152" xr:uid="{00000000-0005-0000-0000-0000B2140000}"/>
    <cellStyle name="40% - uthevingsfarge 1 95 6" xfId="8873" xr:uid="{00000000-0005-0000-0000-0000B3140000}"/>
    <cellStyle name="40% - uthevingsfarge 1 96" xfId="1397" xr:uid="{00000000-0005-0000-0000-0000B4140000}"/>
    <cellStyle name="40% - uthevingsfarge 1 96 2" xfId="2865" xr:uid="{00000000-0005-0000-0000-0000B5140000}"/>
    <cellStyle name="40% - uthevingsfarge 1 96 2 2" xfId="3291" xr:uid="{00000000-0005-0000-0000-0000B6140000}"/>
    <cellStyle name="40% - uthevingsfarge 1 96 2 2 2" xfId="6876" xr:uid="{00000000-0005-0000-0000-0000B7140000}"/>
    <cellStyle name="40% - uthevingsfarge 1 96 2 3" xfId="3643" xr:uid="{00000000-0005-0000-0000-0000B8140000}"/>
    <cellStyle name="40% - uthevingsfarge 1 96 2 4" xfId="6438" xr:uid="{00000000-0005-0000-0000-0000B9140000}"/>
    <cellStyle name="40% - uthevingsfarge 1 96 2 5" xfId="8876" xr:uid="{00000000-0005-0000-0000-0000BA140000}"/>
    <cellStyle name="40% - uthevingsfarge 1 96 3" xfId="3290" xr:uid="{00000000-0005-0000-0000-0000BB140000}"/>
    <cellStyle name="40% - uthevingsfarge 1 96 3 2" xfId="6875" xr:uid="{00000000-0005-0000-0000-0000BC140000}"/>
    <cellStyle name="40% - uthevingsfarge 1 96 4" xfId="3882" xr:uid="{00000000-0005-0000-0000-0000BD140000}"/>
    <cellStyle name="40% - uthevingsfarge 1 96 5" xfId="6153" xr:uid="{00000000-0005-0000-0000-0000BE140000}"/>
    <cellStyle name="40% - uthevingsfarge 1 96 6" xfId="8875" xr:uid="{00000000-0005-0000-0000-0000BF140000}"/>
    <cellStyle name="40% - uthevingsfarge 1 97" xfId="1398" xr:uid="{00000000-0005-0000-0000-0000C0140000}"/>
    <cellStyle name="40% - uthevingsfarge 1 97 2" xfId="2866" xr:uid="{00000000-0005-0000-0000-0000C1140000}"/>
    <cellStyle name="40% - uthevingsfarge 1 97 2 2" xfId="3293" xr:uid="{00000000-0005-0000-0000-0000C2140000}"/>
    <cellStyle name="40% - uthevingsfarge 1 97 2 2 2" xfId="6878" xr:uid="{00000000-0005-0000-0000-0000C3140000}"/>
    <cellStyle name="40% - uthevingsfarge 1 97 2 3" xfId="4002" xr:uid="{00000000-0005-0000-0000-0000C4140000}"/>
    <cellStyle name="40% - uthevingsfarge 1 97 2 4" xfId="6439" xr:uid="{00000000-0005-0000-0000-0000C5140000}"/>
    <cellStyle name="40% - uthevingsfarge 1 97 2 5" xfId="8878" xr:uid="{00000000-0005-0000-0000-0000C6140000}"/>
    <cellStyle name="40% - uthevingsfarge 1 97 3" xfId="3292" xr:uid="{00000000-0005-0000-0000-0000C7140000}"/>
    <cellStyle name="40% - uthevingsfarge 1 97 3 2" xfId="6877" xr:uid="{00000000-0005-0000-0000-0000C8140000}"/>
    <cellStyle name="40% - uthevingsfarge 1 97 4" xfId="3881" xr:uid="{00000000-0005-0000-0000-0000C9140000}"/>
    <cellStyle name="40% - uthevingsfarge 1 97 5" xfId="6154" xr:uid="{00000000-0005-0000-0000-0000CA140000}"/>
    <cellStyle name="40% - uthevingsfarge 1 97 6" xfId="8877" xr:uid="{00000000-0005-0000-0000-0000CB140000}"/>
    <cellStyle name="40% - uthevingsfarge 1 98" xfId="1399" xr:uid="{00000000-0005-0000-0000-0000CC140000}"/>
    <cellStyle name="40% - uthevingsfarge 1 98 2" xfId="2867" xr:uid="{00000000-0005-0000-0000-0000CD140000}"/>
    <cellStyle name="40% - uthevingsfarge 1 98 2 2" xfId="3295" xr:uid="{00000000-0005-0000-0000-0000CE140000}"/>
    <cellStyle name="40% - uthevingsfarge 1 98 2 2 2" xfId="6880" xr:uid="{00000000-0005-0000-0000-0000CF140000}"/>
    <cellStyle name="40% - uthevingsfarge 1 98 2 3" xfId="4058" xr:uid="{00000000-0005-0000-0000-0000D0140000}"/>
    <cellStyle name="40% - uthevingsfarge 1 98 2 4" xfId="6440" xr:uid="{00000000-0005-0000-0000-0000D1140000}"/>
    <cellStyle name="40% - uthevingsfarge 1 98 2 5" xfId="8880" xr:uid="{00000000-0005-0000-0000-0000D2140000}"/>
    <cellStyle name="40% - uthevingsfarge 1 98 3" xfId="3294" xr:uid="{00000000-0005-0000-0000-0000D3140000}"/>
    <cellStyle name="40% - uthevingsfarge 1 98 3 2" xfId="6879" xr:uid="{00000000-0005-0000-0000-0000D4140000}"/>
    <cellStyle name="40% - uthevingsfarge 1 98 4" xfId="3880" xr:uid="{00000000-0005-0000-0000-0000D5140000}"/>
    <cellStyle name="40% - uthevingsfarge 1 98 5" xfId="6155" xr:uid="{00000000-0005-0000-0000-0000D6140000}"/>
    <cellStyle name="40% - uthevingsfarge 1 98 6" xfId="8879" xr:uid="{00000000-0005-0000-0000-0000D7140000}"/>
    <cellStyle name="40% - uthevingsfarge 1 99" xfId="1400" xr:uid="{00000000-0005-0000-0000-0000D8140000}"/>
    <cellStyle name="40% - uthevingsfarge 1 99 2" xfId="2868" xr:uid="{00000000-0005-0000-0000-0000D9140000}"/>
    <cellStyle name="40% - uthevingsfarge 1 99 2 2" xfId="3297" xr:uid="{00000000-0005-0000-0000-0000DA140000}"/>
    <cellStyle name="40% - uthevingsfarge 1 99 2 2 2" xfId="6882" xr:uid="{00000000-0005-0000-0000-0000DB140000}"/>
    <cellStyle name="40% - uthevingsfarge 1 99 2 3" xfId="4053" xr:uid="{00000000-0005-0000-0000-0000DC140000}"/>
    <cellStyle name="40% - uthevingsfarge 1 99 2 4" xfId="6441" xr:uid="{00000000-0005-0000-0000-0000DD140000}"/>
    <cellStyle name="40% - uthevingsfarge 1 99 2 5" xfId="8882" xr:uid="{00000000-0005-0000-0000-0000DE140000}"/>
    <cellStyle name="40% - uthevingsfarge 1 99 3" xfId="3296" xr:uid="{00000000-0005-0000-0000-0000DF140000}"/>
    <cellStyle name="40% - uthevingsfarge 1 99 3 2" xfId="6881" xr:uid="{00000000-0005-0000-0000-0000E0140000}"/>
    <cellStyle name="40% - uthevingsfarge 1 99 4" xfId="3879" xr:uid="{00000000-0005-0000-0000-0000E1140000}"/>
    <cellStyle name="40% - uthevingsfarge 1 99 5" xfId="6156" xr:uid="{00000000-0005-0000-0000-0000E2140000}"/>
    <cellStyle name="40% - uthevingsfarge 1 99 6" xfId="8881" xr:uid="{00000000-0005-0000-0000-0000E3140000}"/>
    <cellStyle name="40% - uthevingsfarge 2 10" xfId="1401" xr:uid="{00000000-0005-0000-0000-0000E4140000}"/>
    <cellStyle name="40% - uthevingsfarge 2 10 2" xfId="1402" xr:uid="{00000000-0005-0000-0000-0000E5140000}"/>
    <cellStyle name="40% - uthevingsfarge 2 10 2 2" xfId="5659" xr:uid="{00000000-0005-0000-0000-0000E6140000}"/>
    <cellStyle name="40% - uthevingsfarge 2 10 2 2 2" xfId="8292" xr:uid="{00000000-0005-0000-0000-0000E7140000}"/>
    <cellStyle name="40% - uthevingsfarge 2 10 2 3" xfId="10222" xr:uid="{00000000-0005-0000-0000-0000E8140000}"/>
    <cellStyle name="40% - uthevingsfarge 2 10 3" xfId="4938" xr:uid="{00000000-0005-0000-0000-0000E9140000}"/>
    <cellStyle name="40% - uthevingsfarge 2 10 3 2" xfId="7591" xr:uid="{00000000-0005-0000-0000-0000EA140000}"/>
    <cellStyle name="40% - uthevingsfarge 2 10 4" xfId="9473" xr:uid="{00000000-0005-0000-0000-0000EB140000}"/>
    <cellStyle name="40% - uthevingsfarge 2 100" xfId="1403" xr:uid="{00000000-0005-0000-0000-0000EC140000}"/>
    <cellStyle name="40% - uthevingsfarge 2 100 2" xfId="2869" xr:uid="{00000000-0005-0000-0000-0000ED140000}"/>
    <cellStyle name="40% - uthevingsfarge 2 100 2 2" xfId="3299" xr:uid="{00000000-0005-0000-0000-0000EE140000}"/>
    <cellStyle name="40% - uthevingsfarge 2 100 2 2 2" xfId="6884" xr:uid="{00000000-0005-0000-0000-0000EF140000}"/>
    <cellStyle name="40% - uthevingsfarge 2 100 2 3" xfId="3644" xr:uid="{00000000-0005-0000-0000-0000F0140000}"/>
    <cellStyle name="40% - uthevingsfarge 2 100 2 4" xfId="6442" xr:uid="{00000000-0005-0000-0000-0000F1140000}"/>
    <cellStyle name="40% - uthevingsfarge 2 100 2 5" xfId="8884" xr:uid="{00000000-0005-0000-0000-0000F2140000}"/>
    <cellStyle name="40% - uthevingsfarge 2 100 3" xfId="3298" xr:uid="{00000000-0005-0000-0000-0000F3140000}"/>
    <cellStyle name="40% - uthevingsfarge 2 100 3 2" xfId="6883" xr:uid="{00000000-0005-0000-0000-0000F4140000}"/>
    <cellStyle name="40% - uthevingsfarge 2 100 4" xfId="3878" xr:uid="{00000000-0005-0000-0000-0000F5140000}"/>
    <cellStyle name="40% - uthevingsfarge 2 100 5" xfId="6157" xr:uid="{00000000-0005-0000-0000-0000F6140000}"/>
    <cellStyle name="40% - uthevingsfarge 2 100 6" xfId="8883" xr:uid="{00000000-0005-0000-0000-0000F7140000}"/>
    <cellStyle name="40% - uthevingsfarge 2 101" xfId="1404" xr:uid="{00000000-0005-0000-0000-0000F8140000}"/>
    <cellStyle name="40% - uthevingsfarge 2 101 2" xfId="2870" xr:uid="{00000000-0005-0000-0000-0000F9140000}"/>
    <cellStyle name="40% - uthevingsfarge 2 101 2 2" xfId="3301" xr:uid="{00000000-0005-0000-0000-0000FA140000}"/>
    <cellStyle name="40% - uthevingsfarge 2 101 2 2 2" xfId="6886" xr:uid="{00000000-0005-0000-0000-0000FB140000}"/>
    <cellStyle name="40% - uthevingsfarge 2 101 2 3" xfId="3606" xr:uid="{00000000-0005-0000-0000-0000FC140000}"/>
    <cellStyle name="40% - uthevingsfarge 2 101 2 4" xfId="6443" xr:uid="{00000000-0005-0000-0000-0000FD140000}"/>
    <cellStyle name="40% - uthevingsfarge 2 101 2 5" xfId="8886" xr:uid="{00000000-0005-0000-0000-0000FE140000}"/>
    <cellStyle name="40% - uthevingsfarge 2 101 3" xfId="3300" xr:uid="{00000000-0005-0000-0000-0000FF140000}"/>
    <cellStyle name="40% - uthevingsfarge 2 101 3 2" xfId="6885" xr:uid="{00000000-0005-0000-0000-000000150000}"/>
    <cellStyle name="40% - uthevingsfarge 2 101 4" xfId="3877" xr:uid="{00000000-0005-0000-0000-000001150000}"/>
    <cellStyle name="40% - uthevingsfarge 2 101 5" xfId="6158" xr:uid="{00000000-0005-0000-0000-000002150000}"/>
    <cellStyle name="40% - uthevingsfarge 2 101 6" xfId="8885" xr:uid="{00000000-0005-0000-0000-000003150000}"/>
    <cellStyle name="40% - uthevingsfarge 2 102" xfId="1405" xr:uid="{00000000-0005-0000-0000-000004150000}"/>
    <cellStyle name="40% - uthevingsfarge 2 102 2" xfId="2871" xr:uid="{00000000-0005-0000-0000-000005150000}"/>
    <cellStyle name="40% - uthevingsfarge 2 102 2 2" xfId="3303" xr:uid="{00000000-0005-0000-0000-000006150000}"/>
    <cellStyle name="40% - uthevingsfarge 2 102 2 2 2" xfId="6888" xr:uid="{00000000-0005-0000-0000-000007150000}"/>
    <cellStyle name="40% - uthevingsfarge 2 102 2 3" xfId="4057" xr:uid="{00000000-0005-0000-0000-000008150000}"/>
    <cellStyle name="40% - uthevingsfarge 2 102 2 4" xfId="6444" xr:uid="{00000000-0005-0000-0000-000009150000}"/>
    <cellStyle name="40% - uthevingsfarge 2 102 2 5" xfId="8888" xr:uid="{00000000-0005-0000-0000-00000A150000}"/>
    <cellStyle name="40% - uthevingsfarge 2 102 3" xfId="3302" xr:uid="{00000000-0005-0000-0000-00000B150000}"/>
    <cellStyle name="40% - uthevingsfarge 2 102 3 2" xfId="6887" xr:uid="{00000000-0005-0000-0000-00000C150000}"/>
    <cellStyle name="40% - uthevingsfarge 2 102 4" xfId="3876" xr:uid="{00000000-0005-0000-0000-00000D150000}"/>
    <cellStyle name="40% - uthevingsfarge 2 102 5" xfId="6159" xr:uid="{00000000-0005-0000-0000-00000E150000}"/>
    <cellStyle name="40% - uthevingsfarge 2 102 6" xfId="8887" xr:uid="{00000000-0005-0000-0000-00000F150000}"/>
    <cellStyle name="40% - uthevingsfarge 2 103" xfId="1406" xr:uid="{00000000-0005-0000-0000-000010150000}"/>
    <cellStyle name="40% - uthevingsfarge 2 103 2" xfId="2872" xr:uid="{00000000-0005-0000-0000-000011150000}"/>
    <cellStyle name="40% - uthevingsfarge 2 103 2 2" xfId="3305" xr:uid="{00000000-0005-0000-0000-000012150000}"/>
    <cellStyle name="40% - uthevingsfarge 2 103 2 2 2" xfId="6890" xr:uid="{00000000-0005-0000-0000-000013150000}"/>
    <cellStyle name="40% - uthevingsfarge 2 103 2 3" xfId="4113" xr:uid="{00000000-0005-0000-0000-000014150000}"/>
    <cellStyle name="40% - uthevingsfarge 2 103 2 4" xfId="6445" xr:uid="{00000000-0005-0000-0000-000015150000}"/>
    <cellStyle name="40% - uthevingsfarge 2 103 2 5" xfId="8890" xr:uid="{00000000-0005-0000-0000-000016150000}"/>
    <cellStyle name="40% - uthevingsfarge 2 103 3" xfId="3304" xr:uid="{00000000-0005-0000-0000-000017150000}"/>
    <cellStyle name="40% - uthevingsfarge 2 103 3 2" xfId="6889" xr:uid="{00000000-0005-0000-0000-000018150000}"/>
    <cellStyle name="40% - uthevingsfarge 2 103 4" xfId="3875" xr:uid="{00000000-0005-0000-0000-000019150000}"/>
    <cellStyle name="40% - uthevingsfarge 2 103 5" xfId="6160" xr:uid="{00000000-0005-0000-0000-00001A150000}"/>
    <cellStyle name="40% - uthevingsfarge 2 103 6" xfId="8889" xr:uid="{00000000-0005-0000-0000-00001B150000}"/>
    <cellStyle name="40% - uthevingsfarge 2 104" xfId="1407" xr:uid="{00000000-0005-0000-0000-00001C150000}"/>
    <cellStyle name="40% - uthevingsfarge 2 104 2" xfId="2873" xr:uid="{00000000-0005-0000-0000-00001D150000}"/>
    <cellStyle name="40% - uthevingsfarge 2 104 2 2" xfId="3307" xr:uid="{00000000-0005-0000-0000-00001E150000}"/>
    <cellStyle name="40% - uthevingsfarge 2 104 2 2 2" xfId="6892" xr:uid="{00000000-0005-0000-0000-00001F150000}"/>
    <cellStyle name="40% - uthevingsfarge 2 104 2 3" xfId="4030" xr:uid="{00000000-0005-0000-0000-000020150000}"/>
    <cellStyle name="40% - uthevingsfarge 2 104 2 4" xfId="6446" xr:uid="{00000000-0005-0000-0000-000021150000}"/>
    <cellStyle name="40% - uthevingsfarge 2 104 2 5" xfId="8892" xr:uid="{00000000-0005-0000-0000-000022150000}"/>
    <cellStyle name="40% - uthevingsfarge 2 104 3" xfId="3306" xr:uid="{00000000-0005-0000-0000-000023150000}"/>
    <cellStyle name="40% - uthevingsfarge 2 104 3 2" xfId="6891" xr:uid="{00000000-0005-0000-0000-000024150000}"/>
    <cellStyle name="40% - uthevingsfarge 2 104 4" xfId="3874" xr:uid="{00000000-0005-0000-0000-000025150000}"/>
    <cellStyle name="40% - uthevingsfarge 2 104 5" xfId="6161" xr:uid="{00000000-0005-0000-0000-000026150000}"/>
    <cellStyle name="40% - uthevingsfarge 2 104 6" xfId="8891" xr:uid="{00000000-0005-0000-0000-000027150000}"/>
    <cellStyle name="40% - uthevingsfarge 2 105" xfId="1408" xr:uid="{00000000-0005-0000-0000-000028150000}"/>
    <cellStyle name="40% - uthevingsfarge 2 105 2" xfId="2874" xr:uid="{00000000-0005-0000-0000-000029150000}"/>
    <cellStyle name="40% - uthevingsfarge 2 105 2 2" xfId="3309" xr:uid="{00000000-0005-0000-0000-00002A150000}"/>
    <cellStyle name="40% - uthevingsfarge 2 105 2 2 2" xfId="6894" xr:uid="{00000000-0005-0000-0000-00002B150000}"/>
    <cellStyle name="40% - uthevingsfarge 2 105 2 3" xfId="3720" xr:uid="{00000000-0005-0000-0000-00002C150000}"/>
    <cellStyle name="40% - uthevingsfarge 2 105 2 4" xfId="6447" xr:uid="{00000000-0005-0000-0000-00002D150000}"/>
    <cellStyle name="40% - uthevingsfarge 2 105 2 5" xfId="8894" xr:uid="{00000000-0005-0000-0000-00002E150000}"/>
    <cellStyle name="40% - uthevingsfarge 2 105 3" xfId="3308" xr:uid="{00000000-0005-0000-0000-00002F150000}"/>
    <cellStyle name="40% - uthevingsfarge 2 105 3 2" xfId="6893" xr:uid="{00000000-0005-0000-0000-000030150000}"/>
    <cellStyle name="40% - uthevingsfarge 2 105 4" xfId="3873" xr:uid="{00000000-0005-0000-0000-000031150000}"/>
    <cellStyle name="40% - uthevingsfarge 2 105 5" xfId="6162" xr:uid="{00000000-0005-0000-0000-000032150000}"/>
    <cellStyle name="40% - uthevingsfarge 2 105 6" xfId="8893" xr:uid="{00000000-0005-0000-0000-000033150000}"/>
    <cellStyle name="40% - uthevingsfarge 2 106" xfId="1409" xr:uid="{00000000-0005-0000-0000-000034150000}"/>
    <cellStyle name="40% - uthevingsfarge 2 106 2" xfId="2875" xr:uid="{00000000-0005-0000-0000-000035150000}"/>
    <cellStyle name="40% - uthevingsfarge 2 106 2 2" xfId="3311" xr:uid="{00000000-0005-0000-0000-000036150000}"/>
    <cellStyle name="40% - uthevingsfarge 2 106 2 2 2" xfId="6896" xr:uid="{00000000-0005-0000-0000-000037150000}"/>
    <cellStyle name="40% - uthevingsfarge 2 106 2 3" xfId="4110" xr:uid="{00000000-0005-0000-0000-000038150000}"/>
    <cellStyle name="40% - uthevingsfarge 2 106 2 4" xfId="6448" xr:uid="{00000000-0005-0000-0000-000039150000}"/>
    <cellStyle name="40% - uthevingsfarge 2 106 2 5" xfId="8896" xr:uid="{00000000-0005-0000-0000-00003A150000}"/>
    <cellStyle name="40% - uthevingsfarge 2 106 3" xfId="3310" xr:uid="{00000000-0005-0000-0000-00003B150000}"/>
    <cellStyle name="40% - uthevingsfarge 2 106 3 2" xfId="6895" xr:uid="{00000000-0005-0000-0000-00003C150000}"/>
    <cellStyle name="40% - uthevingsfarge 2 106 4" xfId="3872" xr:uid="{00000000-0005-0000-0000-00003D150000}"/>
    <cellStyle name="40% - uthevingsfarge 2 106 5" xfId="6163" xr:uid="{00000000-0005-0000-0000-00003E150000}"/>
    <cellStyle name="40% - uthevingsfarge 2 106 6" xfId="8895" xr:uid="{00000000-0005-0000-0000-00003F150000}"/>
    <cellStyle name="40% - uthevingsfarge 2 107" xfId="1410" xr:uid="{00000000-0005-0000-0000-000040150000}"/>
    <cellStyle name="40% - uthevingsfarge 2 107 2" xfId="2876" xr:uid="{00000000-0005-0000-0000-000041150000}"/>
    <cellStyle name="40% - uthevingsfarge 2 107 2 2" xfId="3313" xr:uid="{00000000-0005-0000-0000-000042150000}"/>
    <cellStyle name="40% - uthevingsfarge 2 107 2 2 2" xfId="6898" xr:uid="{00000000-0005-0000-0000-000043150000}"/>
    <cellStyle name="40% - uthevingsfarge 2 107 2 3" xfId="4111" xr:uid="{00000000-0005-0000-0000-000044150000}"/>
    <cellStyle name="40% - uthevingsfarge 2 107 2 4" xfId="6449" xr:uid="{00000000-0005-0000-0000-000045150000}"/>
    <cellStyle name="40% - uthevingsfarge 2 107 2 5" xfId="8898" xr:uid="{00000000-0005-0000-0000-000046150000}"/>
    <cellStyle name="40% - uthevingsfarge 2 107 3" xfId="3312" xr:uid="{00000000-0005-0000-0000-000047150000}"/>
    <cellStyle name="40% - uthevingsfarge 2 107 3 2" xfId="6897" xr:uid="{00000000-0005-0000-0000-000048150000}"/>
    <cellStyle name="40% - uthevingsfarge 2 107 4" xfId="3871" xr:uid="{00000000-0005-0000-0000-000049150000}"/>
    <cellStyle name="40% - uthevingsfarge 2 107 5" xfId="6164" xr:uid="{00000000-0005-0000-0000-00004A150000}"/>
    <cellStyle name="40% - uthevingsfarge 2 107 6" xfId="8897" xr:uid="{00000000-0005-0000-0000-00004B150000}"/>
    <cellStyle name="40% - uthevingsfarge 2 108" xfId="1411" xr:uid="{00000000-0005-0000-0000-00004C150000}"/>
    <cellStyle name="40% - uthevingsfarge 2 108 2" xfId="2877" xr:uid="{00000000-0005-0000-0000-00004D150000}"/>
    <cellStyle name="40% - uthevingsfarge 2 108 2 2" xfId="3315" xr:uid="{00000000-0005-0000-0000-00004E150000}"/>
    <cellStyle name="40% - uthevingsfarge 2 108 2 2 2" xfId="6900" xr:uid="{00000000-0005-0000-0000-00004F150000}"/>
    <cellStyle name="40% - uthevingsfarge 2 108 2 3" xfId="4029" xr:uid="{00000000-0005-0000-0000-000050150000}"/>
    <cellStyle name="40% - uthevingsfarge 2 108 2 4" xfId="6450" xr:uid="{00000000-0005-0000-0000-000051150000}"/>
    <cellStyle name="40% - uthevingsfarge 2 108 2 5" xfId="8900" xr:uid="{00000000-0005-0000-0000-000052150000}"/>
    <cellStyle name="40% - uthevingsfarge 2 108 3" xfId="3314" xr:uid="{00000000-0005-0000-0000-000053150000}"/>
    <cellStyle name="40% - uthevingsfarge 2 108 3 2" xfId="6899" xr:uid="{00000000-0005-0000-0000-000054150000}"/>
    <cellStyle name="40% - uthevingsfarge 2 108 4" xfId="3870" xr:uid="{00000000-0005-0000-0000-000055150000}"/>
    <cellStyle name="40% - uthevingsfarge 2 108 5" xfId="6165" xr:uid="{00000000-0005-0000-0000-000056150000}"/>
    <cellStyle name="40% - uthevingsfarge 2 108 6" xfId="8899" xr:uid="{00000000-0005-0000-0000-000057150000}"/>
    <cellStyle name="40% - uthevingsfarge 2 109" xfId="1412" xr:uid="{00000000-0005-0000-0000-000058150000}"/>
    <cellStyle name="40% - uthevingsfarge 2 109 2" xfId="2878" xr:uid="{00000000-0005-0000-0000-000059150000}"/>
    <cellStyle name="40% - uthevingsfarge 2 109 2 2" xfId="3317" xr:uid="{00000000-0005-0000-0000-00005A150000}"/>
    <cellStyle name="40% - uthevingsfarge 2 109 2 2 2" xfId="6902" xr:uid="{00000000-0005-0000-0000-00005B150000}"/>
    <cellStyle name="40% - uthevingsfarge 2 109 2 3" xfId="3719" xr:uid="{00000000-0005-0000-0000-00005C150000}"/>
    <cellStyle name="40% - uthevingsfarge 2 109 2 4" xfId="6451" xr:uid="{00000000-0005-0000-0000-00005D150000}"/>
    <cellStyle name="40% - uthevingsfarge 2 109 2 5" xfId="8902" xr:uid="{00000000-0005-0000-0000-00005E150000}"/>
    <cellStyle name="40% - uthevingsfarge 2 109 3" xfId="3316" xr:uid="{00000000-0005-0000-0000-00005F150000}"/>
    <cellStyle name="40% - uthevingsfarge 2 109 3 2" xfId="6901" xr:uid="{00000000-0005-0000-0000-000060150000}"/>
    <cellStyle name="40% - uthevingsfarge 2 109 4" xfId="3869" xr:uid="{00000000-0005-0000-0000-000061150000}"/>
    <cellStyle name="40% - uthevingsfarge 2 109 5" xfId="6166" xr:uid="{00000000-0005-0000-0000-000062150000}"/>
    <cellStyle name="40% - uthevingsfarge 2 109 6" xfId="8901" xr:uid="{00000000-0005-0000-0000-000063150000}"/>
    <cellStyle name="40% - uthevingsfarge 2 11" xfId="1413" xr:uid="{00000000-0005-0000-0000-000064150000}"/>
    <cellStyle name="40% - uthevingsfarge 2 11 2" xfId="1414" xr:uid="{00000000-0005-0000-0000-000065150000}"/>
    <cellStyle name="40% - uthevingsfarge 2 11 2 2" xfId="5660" xr:uid="{00000000-0005-0000-0000-000066150000}"/>
    <cellStyle name="40% - uthevingsfarge 2 11 2 2 2" xfId="8293" xr:uid="{00000000-0005-0000-0000-000067150000}"/>
    <cellStyle name="40% - uthevingsfarge 2 11 2 3" xfId="10221" xr:uid="{00000000-0005-0000-0000-000068150000}"/>
    <cellStyle name="40% - uthevingsfarge 2 11 3" xfId="4939" xr:uid="{00000000-0005-0000-0000-000069150000}"/>
    <cellStyle name="40% - uthevingsfarge 2 11 3 2" xfId="7592" xr:uid="{00000000-0005-0000-0000-00006A150000}"/>
    <cellStyle name="40% - uthevingsfarge 2 11 4" xfId="9472" xr:uid="{00000000-0005-0000-0000-00006B150000}"/>
    <cellStyle name="40% - uthevingsfarge 2 110" xfId="6590" xr:uid="{00000000-0005-0000-0000-00006C150000}"/>
    <cellStyle name="40% - uthevingsfarge 2 111" xfId="8593" xr:uid="{00000000-0005-0000-0000-00006D150000}"/>
    <cellStyle name="40% - uthevingsfarge 2 12" xfId="1415" xr:uid="{00000000-0005-0000-0000-00006E150000}"/>
    <cellStyle name="40% - uthevingsfarge 2 12 2" xfId="1416" xr:uid="{00000000-0005-0000-0000-00006F150000}"/>
    <cellStyle name="40% - uthevingsfarge 2 12 2 2" xfId="5661" xr:uid="{00000000-0005-0000-0000-000070150000}"/>
    <cellStyle name="40% - uthevingsfarge 2 12 2 2 2" xfId="8294" xr:uid="{00000000-0005-0000-0000-000071150000}"/>
    <cellStyle name="40% - uthevingsfarge 2 12 2 3" xfId="10220" xr:uid="{00000000-0005-0000-0000-000072150000}"/>
    <cellStyle name="40% - uthevingsfarge 2 12 3" xfId="4940" xr:uid="{00000000-0005-0000-0000-000073150000}"/>
    <cellStyle name="40% - uthevingsfarge 2 12 3 2" xfId="7593" xr:uid="{00000000-0005-0000-0000-000074150000}"/>
    <cellStyle name="40% - uthevingsfarge 2 12 4" xfId="9471" xr:uid="{00000000-0005-0000-0000-000075150000}"/>
    <cellStyle name="40% - uthevingsfarge 2 13" xfId="1417" xr:uid="{00000000-0005-0000-0000-000076150000}"/>
    <cellStyle name="40% - uthevingsfarge 2 13 2" xfId="1418" xr:uid="{00000000-0005-0000-0000-000077150000}"/>
    <cellStyle name="40% - uthevingsfarge 2 13 2 2" xfId="5662" xr:uid="{00000000-0005-0000-0000-000078150000}"/>
    <cellStyle name="40% - uthevingsfarge 2 13 2 2 2" xfId="8295" xr:uid="{00000000-0005-0000-0000-000079150000}"/>
    <cellStyle name="40% - uthevingsfarge 2 13 2 3" xfId="10219" xr:uid="{00000000-0005-0000-0000-00007A150000}"/>
    <cellStyle name="40% - uthevingsfarge 2 13 3" xfId="4941" xr:uid="{00000000-0005-0000-0000-00007B150000}"/>
    <cellStyle name="40% - uthevingsfarge 2 13 3 2" xfId="7594" xr:uid="{00000000-0005-0000-0000-00007C150000}"/>
    <cellStyle name="40% - uthevingsfarge 2 13 4" xfId="9470" xr:uid="{00000000-0005-0000-0000-00007D150000}"/>
    <cellStyle name="40% - uthevingsfarge 2 14" xfId="1419" xr:uid="{00000000-0005-0000-0000-00007E150000}"/>
    <cellStyle name="40% - uthevingsfarge 2 14 2" xfId="1420" xr:uid="{00000000-0005-0000-0000-00007F150000}"/>
    <cellStyle name="40% - uthevingsfarge 2 14 2 2" xfId="5663" xr:uid="{00000000-0005-0000-0000-000080150000}"/>
    <cellStyle name="40% - uthevingsfarge 2 14 2 2 2" xfId="8296" xr:uid="{00000000-0005-0000-0000-000081150000}"/>
    <cellStyle name="40% - uthevingsfarge 2 14 2 3" xfId="10218" xr:uid="{00000000-0005-0000-0000-000082150000}"/>
    <cellStyle name="40% - uthevingsfarge 2 14 3" xfId="4942" xr:uid="{00000000-0005-0000-0000-000083150000}"/>
    <cellStyle name="40% - uthevingsfarge 2 14 3 2" xfId="7595" xr:uid="{00000000-0005-0000-0000-000084150000}"/>
    <cellStyle name="40% - uthevingsfarge 2 14 4" xfId="9469" xr:uid="{00000000-0005-0000-0000-000085150000}"/>
    <cellStyle name="40% - uthevingsfarge 2 15" xfId="1421" xr:uid="{00000000-0005-0000-0000-000086150000}"/>
    <cellStyle name="40% - uthevingsfarge 2 15 2" xfId="1422" xr:uid="{00000000-0005-0000-0000-000087150000}"/>
    <cellStyle name="40% - uthevingsfarge 2 15 2 2" xfId="5664" xr:uid="{00000000-0005-0000-0000-000088150000}"/>
    <cellStyle name="40% - uthevingsfarge 2 15 2 2 2" xfId="8297" xr:uid="{00000000-0005-0000-0000-000089150000}"/>
    <cellStyle name="40% - uthevingsfarge 2 15 2 3" xfId="10217" xr:uid="{00000000-0005-0000-0000-00008A150000}"/>
    <cellStyle name="40% - uthevingsfarge 2 15 3" xfId="4943" xr:uid="{00000000-0005-0000-0000-00008B150000}"/>
    <cellStyle name="40% - uthevingsfarge 2 15 3 2" xfId="7596" xr:uid="{00000000-0005-0000-0000-00008C150000}"/>
    <cellStyle name="40% - uthevingsfarge 2 15 4" xfId="9468" xr:uid="{00000000-0005-0000-0000-00008D150000}"/>
    <cellStyle name="40% - uthevingsfarge 2 16" xfId="1423" xr:uid="{00000000-0005-0000-0000-00008E150000}"/>
    <cellStyle name="40% - uthevingsfarge 2 16 2" xfId="1424" xr:uid="{00000000-0005-0000-0000-00008F150000}"/>
    <cellStyle name="40% - uthevingsfarge 2 16 2 2" xfId="5665" xr:uid="{00000000-0005-0000-0000-000090150000}"/>
    <cellStyle name="40% - uthevingsfarge 2 16 2 2 2" xfId="8298" xr:uid="{00000000-0005-0000-0000-000091150000}"/>
    <cellStyle name="40% - uthevingsfarge 2 16 2 3" xfId="10216" xr:uid="{00000000-0005-0000-0000-000092150000}"/>
    <cellStyle name="40% - uthevingsfarge 2 16 3" xfId="4944" xr:uid="{00000000-0005-0000-0000-000093150000}"/>
    <cellStyle name="40% - uthevingsfarge 2 16 3 2" xfId="7597" xr:uid="{00000000-0005-0000-0000-000094150000}"/>
    <cellStyle name="40% - uthevingsfarge 2 16 4" xfId="9467" xr:uid="{00000000-0005-0000-0000-000095150000}"/>
    <cellStyle name="40% - uthevingsfarge 2 17" xfId="1425" xr:uid="{00000000-0005-0000-0000-000096150000}"/>
    <cellStyle name="40% - uthevingsfarge 2 17 2" xfId="1426" xr:uid="{00000000-0005-0000-0000-000097150000}"/>
    <cellStyle name="40% - uthevingsfarge 2 17 2 2" xfId="5666" xr:uid="{00000000-0005-0000-0000-000098150000}"/>
    <cellStyle name="40% - uthevingsfarge 2 17 2 2 2" xfId="8299" xr:uid="{00000000-0005-0000-0000-000099150000}"/>
    <cellStyle name="40% - uthevingsfarge 2 17 2 3" xfId="10215" xr:uid="{00000000-0005-0000-0000-00009A150000}"/>
    <cellStyle name="40% - uthevingsfarge 2 17 3" xfId="4945" xr:uid="{00000000-0005-0000-0000-00009B150000}"/>
    <cellStyle name="40% - uthevingsfarge 2 17 3 2" xfId="7598" xr:uid="{00000000-0005-0000-0000-00009C150000}"/>
    <cellStyle name="40% - uthevingsfarge 2 17 4" xfId="9466" xr:uid="{00000000-0005-0000-0000-00009D150000}"/>
    <cellStyle name="40% - uthevingsfarge 2 18" xfId="1427" xr:uid="{00000000-0005-0000-0000-00009E150000}"/>
    <cellStyle name="40% - uthevingsfarge 2 18 2" xfId="1428" xr:uid="{00000000-0005-0000-0000-00009F150000}"/>
    <cellStyle name="40% - uthevingsfarge 2 18 2 2" xfId="5667" xr:uid="{00000000-0005-0000-0000-0000A0150000}"/>
    <cellStyle name="40% - uthevingsfarge 2 18 2 2 2" xfId="8300" xr:uid="{00000000-0005-0000-0000-0000A1150000}"/>
    <cellStyle name="40% - uthevingsfarge 2 18 2 3" xfId="10214" xr:uid="{00000000-0005-0000-0000-0000A2150000}"/>
    <cellStyle name="40% - uthevingsfarge 2 18 3" xfId="4946" xr:uid="{00000000-0005-0000-0000-0000A3150000}"/>
    <cellStyle name="40% - uthevingsfarge 2 18 3 2" xfId="7599" xr:uid="{00000000-0005-0000-0000-0000A4150000}"/>
    <cellStyle name="40% - uthevingsfarge 2 18 4" xfId="9465" xr:uid="{00000000-0005-0000-0000-0000A5150000}"/>
    <cellStyle name="40% - uthevingsfarge 2 19" xfId="1429" xr:uid="{00000000-0005-0000-0000-0000A6150000}"/>
    <cellStyle name="40% - uthevingsfarge 2 19 2" xfId="1430" xr:uid="{00000000-0005-0000-0000-0000A7150000}"/>
    <cellStyle name="40% - uthevingsfarge 2 19 2 2" xfId="5668" xr:uid="{00000000-0005-0000-0000-0000A8150000}"/>
    <cellStyle name="40% - uthevingsfarge 2 19 2 2 2" xfId="8301" xr:uid="{00000000-0005-0000-0000-0000A9150000}"/>
    <cellStyle name="40% - uthevingsfarge 2 19 2 3" xfId="10213" xr:uid="{00000000-0005-0000-0000-0000AA150000}"/>
    <cellStyle name="40% - uthevingsfarge 2 19 3" xfId="4947" xr:uid="{00000000-0005-0000-0000-0000AB150000}"/>
    <cellStyle name="40% - uthevingsfarge 2 19 3 2" xfId="7600" xr:uid="{00000000-0005-0000-0000-0000AC150000}"/>
    <cellStyle name="40% - uthevingsfarge 2 19 4" xfId="9464" xr:uid="{00000000-0005-0000-0000-0000AD150000}"/>
    <cellStyle name="40% - uthevingsfarge 2 2" xfId="68" xr:uid="{00000000-0005-0000-0000-0000AE150000}"/>
    <cellStyle name="40% - uthevingsfarge 2 2 2" xfId="1431" xr:uid="{00000000-0005-0000-0000-0000AF150000}"/>
    <cellStyle name="40% - uthevingsfarge 2 2 2 2" xfId="5669" xr:uid="{00000000-0005-0000-0000-0000B0150000}"/>
    <cellStyle name="40% - uthevingsfarge 2 2 2 2 2" xfId="8302" xr:uid="{00000000-0005-0000-0000-0000B1150000}"/>
    <cellStyle name="40% - uthevingsfarge 2 2 2 3" xfId="10212" xr:uid="{00000000-0005-0000-0000-0000B2150000}"/>
    <cellStyle name="40% - uthevingsfarge 2 2 3" xfId="4948" xr:uid="{00000000-0005-0000-0000-0000B3150000}"/>
    <cellStyle name="40% - uthevingsfarge 2 2 3 2" xfId="7601" xr:uid="{00000000-0005-0000-0000-0000B4150000}"/>
    <cellStyle name="40% - uthevingsfarge 2 2 4" xfId="9463" xr:uid="{00000000-0005-0000-0000-0000B5150000}"/>
    <cellStyle name="40% - uthevingsfarge 2 20" xfId="1432" xr:uid="{00000000-0005-0000-0000-0000B6150000}"/>
    <cellStyle name="40% - uthevingsfarge 2 20 2" xfId="1433" xr:uid="{00000000-0005-0000-0000-0000B7150000}"/>
    <cellStyle name="40% - uthevingsfarge 2 20 2 2" xfId="5670" xr:uid="{00000000-0005-0000-0000-0000B8150000}"/>
    <cellStyle name="40% - uthevingsfarge 2 20 2 2 2" xfId="8303" xr:uid="{00000000-0005-0000-0000-0000B9150000}"/>
    <cellStyle name="40% - uthevingsfarge 2 20 2 3" xfId="10211" xr:uid="{00000000-0005-0000-0000-0000BA150000}"/>
    <cellStyle name="40% - uthevingsfarge 2 20 3" xfId="4949" xr:uid="{00000000-0005-0000-0000-0000BB150000}"/>
    <cellStyle name="40% - uthevingsfarge 2 20 3 2" xfId="7602" xr:uid="{00000000-0005-0000-0000-0000BC150000}"/>
    <cellStyle name="40% - uthevingsfarge 2 20 4" xfId="9462" xr:uid="{00000000-0005-0000-0000-0000BD150000}"/>
    <cellStyle name="40% - uthevingsfarge 2 21" xfId="1434" xr:uid="{00000000-0005-0000-0000-0000BE150000}"/>
    <cellStyle name="40% - uthevingsfarge 2 21 2" xfId="1435" xr:uid="{00000000-0005-0000-0000-0000BF150000}"/>
    <cellStyle name="40% - uthevingsfarge 2 21 2 2" xfId="5671" xr:uid="{00000000-0005-0000-0000-0000C0150000}"/>
    <cellStyle name="40% - uthevingsfarge 2 21 2 2 2" xfId="8304" xr:uid="{00000000-0005-0000-0000-0000C1150000}"/>
    <cellStyle name="40% - uthevingsfarge 2 21 2 3" xfId="10210" xr:uid="{00000000-0005-0000-0000-0000C2150000}"/>
    <cellStyle name="40% - uthevingsfarge 2 21 3" xfId="4950" xr:uid="{00000000-0005-0000-0000-0000C3150000}"/>
    <cellStyle name="40% - uthevingsfarge 2 21 3 2" xfId="7603" xr:uid="{00000000-0005-0000-0000-0000C4150000}"/>
    <cellStyle name="40% - uthevingsfarge 2 21 4" xfId="9461" xr:uid="{00000000-0005-0000-0000-0000C5150000}"/>
    <cellStyle name="40% - uthevingsfarge 2 22" xfId="1436" xr:uid="{00000000-0005-0000-0000-0000C6150000}"/>
    <cellStyle name="40% - uthevingsfarge 2 22 2" xfId="1437" xr:uid="{00000000-0005-0000-0000-0000C7150000}"/>
    <cellStyle name="40% - uthevingsfarge 2 22 2 2" xfId="5672" xr:uid="{00000000-0005-0000-0000-0000C8150000}"/>
    <cellStyle name="40% - uthevingsfarge 2 22 2 2 2" xfId="8305" xr:uid="{00000000-0005-0000-0000-0000C9150000}"/>
    <cellStyle name="40% - uthevingsfarge 2 22 2 3" xfId="10209" xr:uid="{00000000-0005-0000-0000-0000CA150000}"/>
    <cellStyle name="40% - uthevingsfarge 2 22 3" xfId="4951" xr:uid="{00000000-0005-0000-0000-0000CB150000}"/>
    <cellStyle name="40% - uthevingsfarge 2 22 3 2" xfId="7604" xr:uid="{00000000-0005-0000-0000-0000CC150000}"/>
    <cellStyle name="40% - uthevingsfarge 2 22 4" xfId="9460" xr:uid="{00000000-0005-0000-0000-0000CD150000}"/>
    <cellStyle name="40% - uthevingsfarge 2 23" xfId="1438" xr:uid="{00000000-0005-0000-0000-0000CE150000}"/>
    <cellStyle name="40% - uthevingsfarge 2 23 2" xfId="1439" xr:uid="{00000000-0005-0000-0000-0000CF150000}"/>
    <cellStyle name="40% - uthevingsfarge 2 23 2 2" xfId="5673" xr:uid="{00000000-0005-0000-0000-0000D0150000}"/>
    <cellStyle name="40% - uthevingsfarge 2 23 2 2 2" xfId="8306" xr:uid="{00000000-0005-0000-0000-0000D1150000}"/>
    <cellStyle name="40% - uthevingsfarge 2 23 2 3" xfId="10208" xr:uid="{00000000-0005-0000-0000-0000D2150000}"/>
    <cellStyle name="40% - uthevingsfarge 2 23 3" xfId="4952" xr:uid="{00000000-0005-0000-0000-0000D3150000}"/>
    <cellStyle name="40% - uthevingsfarge 2 23 3 2" xfId="7605" xr:uid="{00000000-0005-0000-0000-0000D4150000}"/>
    <cellStyle name="40% - uthevingsfarge 2 23 4" xfId="9459" xr:uid="{00000000-0005-0000-0000-0000D5150000}"/>
    <cellStyle name="40% - uthevingsfarge 2 24" xfId="1440" xr:uid="{00000000-0005-0000-0000-0000D6150000}"/>
    <cellStyle name="40% - uthevingsfarge 2 24 2" xfId="1441" xr:uid="{00000000-0005-0000-0000-0000D7150000}"/>
    <cellStyle name="40% - uthevingsfarge 2 24 2 2" xfId="5674" xr:uid="{00000000-0005-0000-0000-0000D8150000}"/>
    <cellStyle name="40% - uthevingsfarge 2 24 2 2 2" xfId="8307" xr:uid="{00000000-0005-0000-0000-0000D9150000}"/>
    <cellStyle name="40% - uthevingsfarge 2 24 2 3" xfId="10207" xr:uid="{00000000-0005-0000-0000-0000DA150000}"/>
    <cellStyle name="40% - uthevingsfarge 2 24 3" xfId="4953" xr:uid="{00000000-0005-0000-0000-0000DB150000}"/>
    <cellStyle name="40% - uthevingsfarge 2 24 3 2" xfId="7606" xr:uid="{00000000-0005-0000-0000-0000DC150000}"/>
    <cellStyle name="40% - uthevingsfarge 2 24 4" xfId="9458" xr:uid="{00000000-0005-0000-0000-0000DD150000}"/>
    <cellStyle name="40% - uthevingsfarge 2 25" xfId="1442" xr:uid="{00000000-0005-0000-0000-0000DE150000}"/>
    <cellStyle name="40% - uthevingsfarge 2 25 2" xfId="1443" xr:uid="{00000000-0005-0000-0000-0000DF150000}"/>
    <cellStyle name="40% - uthevingsfarge 2 25 2 2" xfId="5675" xr:uid="{00000000-0005-0000-0000-0000E0150000}"/>
    <cellStyle name="40% - uthevingsfarge 2 25 2 2 2" xfId="8308" xr:uid="{00000000-0005-0000-0000-0000E1150000}"/>
    <cellStyle name="40% - uthevingsfarge 2 25 2 3" xfId="10206" xr:uid="{00000000-0005-0000-0000-0000E2150000}"/>
    <cellStyle name="40% - uthevingsfarge 2 25 3" xfId="4954" xr:uid="{00000000-0005-0000-0000-0000E3150000}"/>
    <cellStyle name="40% - uthevingsfarge 2 25 3 2" xfId="7607" xr:uid="{00000000-0005-0000-0000-0000E4150000}"/>
    <cellStyle name="40% - uthevingsfarge 2 25 4" xfId="9457" xr:uid="{00000000-0005-0000-0000-0000E5150000}"/>
    <cellStyle name="40% - uthevingsfarge 2 26" xfId="1444" xr:uid="{00000000-0005-0000-0000-0000E6150000}"/>
    <cellStyle name="40% - uthevingsfarge 2 26 2" xfId="1445" xr:uid="{00000000-0005-0000-0000-0000E7150000}"/>
    <cellStyle name="40% - uthevingsfarge 2 26 2 2" xfId="5676" xr:uid="{00000000-0005-0000-0000-0000E8150000}"/>
    <cellStyle name="40% - uthevingsfarge 2 26 2 2 2" xfId="8309" xr:uid="{00000000-0005-0000-0000-0000E9150000}"/>
    <cellStyle name="40% - uthevingsfarge 2 26 2 3" xfId="10205" xr:uid="{00000000-0005-0000-0000-0000EA150000}"/>
    <cellStyle name="40% - uthevingsfarge 2 26 3" xfId="4955" xr:uid="{00000000-0005-0000-0000-0000EB150000}"/>
    <cellStyle name="40% - uthevingsfarge 2 26 3 2" xfId="7608" xr:uid="{00000000-0005-0000-0000-0000EC150000}"/>
    <cellStyle name="40% - uthevingsfarge 2 26 4" xfId="9456" xr:uid="{00000000-0005-0000-0000-0000ED150000}"/>
    <cellStyle name="40% - uthevingsfarge 2 27" xfId="1446" xr:uid="{00000000-0005-0000-0000-0000EE150000}"/>
    <cellStyle name="40% - uthevingsfarge 2 27 2" xfId="1447" xr:uid="{00000000-0005-0000-0000-0000EF150000}"/>
    <cellStyle name="40% - uthevingsfarge 2 27 2 2" xfId="5677" xr:uid="{00000000-0005-0000-0000-0000F0150000}"/>
    <cellStyle name="40% - uthevingsfarge 2 27 2 2 2" xfId="8310" xr:uid="{00000000-0005-0000-0000-0000F1150000}"/>
    <cellStyle name="40% - uthevingsfarge 2 27 2 3" xfId="10204" xr:uid="{00000000-0005-0000-0000-0000F2150000}"/>
    <cellStyle name="40% - uthevingsfarge 2 27 3" xfId="4956" xr:uid="{00000000-0005-0000-0000-0000F3150000}"/>
    <cellStyle name="40% - uthevingsfarge 2 27 3 2" xfId="7609" xr:uid="{00000000-0005-0000-0000-0000F4150000}"/>
    <cellStyle name="40% - uthevingsfarge 2 27 4" xfId="9455" xr:uid="{00000000-0005-0000-0000-0000F5150000}"/>
    <cellStyle name="40% - uthevingsfarge 2 28" xfId="1448" xr:uid="{00000000-0005-0000-0000-0000F6150000}"/>
    <cellStyle name="40% - uthevingsfarge 2 28 2" xfId="1449" xr:uid="{00000000-0005-0000-0000-0000F7150000}"/>
    <cellStyle name="40% - uthevingsfarge 2 28 2 2" xfId="5678" xr:uid="{00000000-0005-0000-0000-0000F8150000}"/>
    <cellStyle name="40% - uthevingsfarge 2 28 2 2 2" xfId="8311" xr:uid="{00000000-0005-0000-0000-0000F9150000}"/>
    <cellStyle name="40% - uthevingsfarge 2 28 2 3" xfId="10203" xr:uid="{00000000-0005-0000-0000-0000FA150000}"/>
    <cellStyle name="40% - uthevingsfarge 2 28 3" xfId="4957" xr:uid="{00000000-0005-0000-0000-0000FB150000}"/>
    <cellStyle name="40% - uthevingsfarge 2 28 3 2" xfId="7610" xr:uid="{00000000-0005-0000-0000-0000FC150000}"/>
    <cellStyle name="40% - uthevingsfarge 2 28 4" xfId="9454" xr:uid="{00000000-0005-0000-0000-0000FD150000}"/>
    <cellStyle name="40% - uthevingsfarge 2 29" xfId="1450" xr:uid="{00000000-0005-0000-0000-0000FE150000}"/>
    <cellStyle name="40% - uthevingsfarge 2 29 2" xfId="1451" xr:uid="{00000000-0005-0000-0000-0000FF150000}"/>
    <cellStyle name="40% - uthevingsfarge 2 29 2 2" xfId="5679" xr:uid="{00000000-0005-0000-0000-000000160000}"/>
    <cellStyle name="40% - uthevingsfarge 2 29 2 2 2" xfId="8312" xr:uid="{00000000-0005-0000-0000-000001160000}"/>
    <cellStyle name="40% - uthevingsfarge 2 29 2 3" xfId="10202" xr:uid="{00000000-0005-0000-0000-000002160000}"/>
    <cellStyle name="40% - uthevingsfarge 2 29 3" xfId="4958" xr:uid="{00000000-0005-0000-0000-000003160000}"/>
    <cellStyle name="40% - uthevingsfarge 2 29 3 2" xfId="7611" xr:uid="{00000000-0005-0000-0000-000004160000}"/>
    <cellStyle name="40% - uthevingsfarge 2 29 4" xfId="9204" xr:uid="{00000000-0005-0000-0000-000005160000}"/>
    <cellStyle name="40% - uthevingsfarge 2 3" xfId="1452" xr:uid="{00000000-0005-0000-0000-000006160000}"/>
    <cellStyle name="40% - uthevingsfarge 2 3 2" xfId="1453" xr:uid="{00000000-0005-0000-0000-000007160000}"/>
    <cellStyle name="40% - uthevingsfarge 2 3 2 2" xfId="5680" xr:uid="{00000000-0005-0000-0000-000008160000}"/>
    <cellStyle name="40% - uthevingsfarge 2 3 2 2 2" xfId="8313" xr:uid="{00000000-0005-0000-0000-000009160000}"/>
    <cellStyle name="40% - uthevingsfarge 2 3 2 3" xfId="10201" xr:uid="{00000000-0005-0000-0000-00000A160000}"/>
    <cellStyle name="40% - uthevingsfarge 2 3 3" xfId="4959" xr:uid="{00000000-0005-0000-0000-00000B160000}"/>
    <cellStyle name="40% - uthevingsfarge 2 3 3 2" xfId="7612" xr:uid="{00000000-0005-0000-0000-00000C160000}"/>
    <cellStyle name="40% - uthevingsfarge 2 3 4" xfId="9453" xr:uid="{00000000-0005-0000-0000-00000D160000}"/>
    <cellStyle name="40% - uthevingsfarge 2 30" xfId="1454" xr:uid="{00000000-0005-0000-0000-00000E160000}"/>
    <cellStyle name="40% - uthevingsfarge 2 30 2" xfId="1455" xr:uid="{00000000-0005-0000-0000-00000F160000}"/>
    <cellStyle name="40% - uthevingsfarge 2 30 2 2" xfId="5681" xr:uid="{00000000-0005-0000-0000-000010160000}"/>
    <cellStyle name="40% - uthevingsfarge 2 30 2 2 2" xfId="8314" xr:uid="{00000000-0005-0000-0000-000011160000}"/>
    <cellStyle name="40% - uthevingsfarge 2 30 2 3" xfId="10200" xr:uid="{00000000-0005-0000-0000-000012160000}"/>
    <cellStyle name="40% - uthevingsfarge 2 30 3" xfId="4960" xr:uid="{00000000-0005-0000-0000-000013160000}"/>
    <cellStyle name="40% - uthevingsfarge 2 30 3 2" xfId="7613" xr:uid="{00000000-0005-0000-0000-000014160000}"/>
    <cellStyle name="40% - uthevingsfarge 2 30 4" xfId="9452" xr:uid="{00000000-0005-0000-0000-000015160000}"/>
    <cellStyle name="40% - uthevingsfarge 2 31" xfId="1456" xr:uid="{00000000-0005-0000-0000-000016160000}"/>
    <cellStyle name="40% - uthevingsfarge 2 31 2" xfId="1457" xr:uid="{00000000-0005-0000-0000-000017160000}"/>
    <cellStyle name="40% - uthevingsfarge 2 31 2 2" xfId="5682" xr:uid="{00000000-0005-0000-0000-000018160000}"/>
    <cellStyle name="40% - uthevingsfarge 2 31 2 2 2" xfId="8315" xr:uid="{00000000-0005-0000-0000-000019160000}"/>
    <cellStyle name="40% - uthevingsfarge 2 31 2 3" xfId="10199" xr:uid="{00000000-0005-0000-0000-00001A160000}"/>
    <cellStyle name="40% - uthevingsfarge 2 31 3" xfId="4961" xr:uid="{00000000-0005-0000-0000-00001B160000}"/>
    <cellStyle name="40% - uthevingsfarge 2 31 3 2" xfId="7614" xr:uid="{00000000-0005-0000-0000-00001C160000}"/>
    <cellStyle name="40% - uthevingsfarge 2 31 4" xfId="9451" xr:uid="{00000000-0005-0000-0000-00001D160000}"/>
    <cellStyle name="40% - uthevingsfarge 2 32" xfId="1458" xr:uid="{00000000-0005-0000-0000-00001E160000}"/>
    <cellStyle name="40% - uthevingsfarge 2 32 2" xfId="1459" xr:uid="{00000000-0005-0000-0000-00001F160000}"/>
    <cellStyle name="40% - uthevingsfarge 2 32 2 2" xfId="5683" xr:uid="{00000000-0005-0000-0000-000020160000}"/>
    <cellStyle name="40% - uthevingsfarge 2 32 2 2 2" xfId="8316" xr:uid="{00000000-0005-0000-0000-000021160000}"/>
    <cellStyle name="40% - uthevingsfarge 2 32 2 3" xfId="10198" xr:uid="{00000000-0005-0000-0000-000022160000}"/>
    <cellStyle name="40% - uthevingsfarge 2 32 3" xfId="4962" xr:uid="{00000000-0005-0000-0000-000023160000}"/>
    <cellStyle name="40% - uthevingsfarge 2 32 3 2" xfId="7615" xr:uid="{00000000-0005-0000-0000-000024160000}"/>
    <cellStyle name="40% - uthevingsfarge 2 32 4" xfId="9450" xr:uid="{00000000-0005-0000-0000-000025160000}"/>
    <cellStyle name="40% - uthevingsfarge 2 33" xfId="1460" xr:uid="{00000000-0005-0000-0000-000026160000}"/>
    <cellStyle name="40% - uthevingsfarge 2 33 2" xfId="1461" xr:uid="{00000000-0005-0000-0000-000027160000}"/>
    <cellStyle name="40% - uthevingsfarge 2 33 2 2" xfId="5684" xr:uid="{00000000-0005-0000-0000-000028160000}"/>
    <cellStyle name="40% - uthevingsfarge 2 33 2 2 2" xfId="8317" xr:uid="{00000000-0005-0000-0000-000029160000}"/>
    <cellStyle name="40% - uthevingsfarge 2 33 2 3" xfId="10197" xr:uid="{00000000-0005-0000-0000-00002A160000}"/>
    <cellStyle name="40% - uthevingsfarge 2 33 3" xfId="4963" xr:uid="{00000000-0005-0000-0000-00002B160000}"/>
    <cellStyle name="40% - uthevingsfarge 2 33 3 2" xfId="7616" xr:uid="{00000000-0005-0000-0000-00002C160000}"/>
    <cellStyle name="40% - uthevingsfarge 2 33 4" xfId="9449" xr:uid="{00000000-0005-0000-0000-00002D160000}"/>
    <cellStyle name="40% - uthevingsfarge 2 34" xfId="1462" xr:uid="{00000000-0005-0000-0000-00002E160000}"/>
    <cellStyle name="40% - uthevingsfarge 2 34 2" xfId="1463" xr:uid="{00000000-0005-0000-0000-00002F160000}"/>
    <cellStyle name="40% - uthevingsfarge 2 34 2 2" xfId="5685" xr:uid="{00000000-0005-0000-0000-000030160000}"/>
    <cellStyle name="40% - uthevingsfarge 2 34 2 2 2" xfId="8318" xr:uid="{00000000-0005-0000-0000-000031160000}"/>
    <cellStyle name="40% - uthevingsfarge 2 34 2 3" xfId="10196" xr:uid="{00000000-0005-0000-0000-000032160000}"/>
    <cellStyle name="40% - uthevingsfarge 2 34 3" xfId="4964" xr:uid="{00000000-0005-0000-0000-000033160000}"/>
    <cellStyle name="40% - uthevingsfarge 2 34 3 2" xfId="7617" xr:uid="{00000000-0005-0000-0000-000034160000}"/>
    <cellStyle name="40% - uthevingsfarge 2 34 4" xfId="9448" xr:uid="{00000000-0005-0000-0000-000035160000}"/>
    <cellStyle name="40% - uthevingsfarge 2 35" xfId="1464" xr:uid="{00000000-0005-0000-0000-000036160000}"/>
    <cellStyle name="40% - uthevingsfarge 2 35 2" xfId="1465" xr:uid="{00000000-0005-0000-0000-000037160000}"/>
    <cellStyle name="40% - uthevingsfarge 2 35 2 2" xfId="5686" xr:uid="{00000000-0005-0000-0000-000038160000}"/>
    <cellStyle name="40% - uthevingsfarge 2 35 2 2 2" xfId="8319" xr:uid="{00000000-0005-0000-0000-000039160000}"/>
    <cellStyle name="40% - uthevingsfarge 2 35 2 3" xfId="10195" xr:uid="{00000000-0005-0000-0000-00003A160000}"/>
    <cellStyle name="40% - uthevingsfarge 2 35 3" xfId="4965" xr:uid="{00000000-0005-0000-0000-00003B160000}"/>
    <cellStyle name="40% - uthevingsfarge 2 35 3 2" xfId="7618" xr:uid="{00000000-0005-0000-0000-00003C160000}"/>
    <cellStyle name="40% - uthevingsfarge 2 35 4" xfId="9447" xr:uid="{00000000-0005-0000-0000-00003D160000}"/>
    <cellStyle name="40% - uthevingsfarge 2 36" xfId="1466" xr:uid="{00000000-0005-0000-0000-00003E160000}"/>
    <cellStyle name="40% - uthevingsfarge 2 36 2" xfId="1467" xr:uid="{00000000-0005-0000-0000-00003F160000}"/>
    <cellStyle name="40% - uthevingsfarge 2 36 2 2" xfId="5687" xr:uid="{00000000-0005-0000-0000-000040160000}"/>
    <cellStyle name="40% - uthevingsfarge 2 36 2 2 2" xfId="8320" xr:uid="{00000000-0005-0000-0000-000041160000}"/>
    <cellStyle name="40% - uthevingsfarge 2 36 2 3" xfId="10194" xr:uid="{00000000-0005-0000-0000-000042160000}"/>
    <cellStyle name="40% - uthevingsfarge 2 36 3" xfId="4966" xr:uid="{00000000-0005-0000-0000-000043160000}"/>
    <cellStyle name="40% - uthevingsfarge 2 36 3 2" xfId="7619" xr:uid="{00000000-0005-0000-0000-000044160000}"/>
    <cellStyle name="40% - uthevingsfarge 2 36 4" xfId="9446" xr:uid="{00000000-0005-0000-0000-000045160000}"/>
    <cellStyle name="40% - uthevingsfarge 2 37" xfId="1468" xr:uid="{00000000-0005-0000-0000-000046160000}"/>
    <cellStyle name="40% - uthevingsfarge 2 37 2" xfId="1469" xr:uid="{00000000-0005-0000-0000-000047160000}"/>
    <cellStyle name="40% - uthevingsfarge 2 37 2 2" xfId="5688" xr:uid="{00000000-0005-0000-0000-000048160000}"/>
    <cellStyle name="40% - uthevingsfarge 2 37 2 2 2" xfId="8321" xr:uid="{00000000-0005-0000-0000-000049160000}"/>
    <cellStyle name="40% - uthevingsfarge 2 37 2 3" xfId="10116" xr:uid="{00000000-0005-0000-0000-00004A160000}"/>
    <cellStyle name="40% - uthevingsfarge 2 37 3" xfId="4967" xr:uid="{00000000-0005-0000-0000-00004B160000}"/>
    <cellStyle name="40% - uthevingsfarge 2 37 3 2" xfId="7620" xr:uid="{00000000-0005-0000-0000-00004C160000}"/>
    <cellStyle name="40% - uthevingsfarge 2 37 4" xfId="10193" xr:uid="{00000000-0005-0000-0000-00004D160000}"/>
    <cellStyle name="40% - uthevingsfarge 2 38" xfId="1470" xr:uid="{00000000-0005-0000-0000-00004E160000}"/>
    <cellStyle name="40% - uthevingsfarge 2 38 2" xfId="1471" xr:uid="{00000000-0005-0000-0000-00004F160000}"/>
    <cellStyle name="40% - uthevingsfarge 2 38 2 2" xfId="5689" xr:uid="{00000000-0005-0000-0000-000050160000}"/>
    <cellStyle name="40% - uthevingsfarge 2 38 2 2 2" xfId="8322" xr:uid="{00000000-0005-0000-0000-000051160000}"/>
    <cellStyle name="40% - uthevingsfarge 2 38 2 3" xfId="10273" xr:uid="{00000000-0005-0000-0000-000052160000}"/>
    <cellStyle name="40% - uthevingsfarge 2 38 3" xfId="4968" xr:uid="{00000000-0005-0000-0000-000053160000}"/>
    <cellStyle name="40% - uthevingsfarge 2 38 3 2" xfId="7621" xr:uid="{00000000-0005-0000-0000-000054160000}"/>
    <cellStyle name="40% - uthevingsfarge 2 38 4" xfId="10390" xr:uid="{00000000-0005-0000-0000-000055160000}"/>
    <cellStyle name="40% - uthevingsfarge 2 39" xfId="1472" xr:uid="{00000000-0005-0000-0000-000056160000}"/>
    <cellStyle name="40% - uthevingsfarge 2 39 2" xfId="1473" xr:uid="{00000000-0005-0000-0000-000057160000}"/>
    <cellStyle name="40% - uthevingsfarge 2 39 2 2" xfId="5690" xr:uid="{00000000-0005-0000-0000-000058160000}"/>
    <cellStyle name="40% - uthevingsfarge 2 39 2 2 2" xfId="8323" xr:uid="{00000000-0005-0000-0000-000059160000}"/>
    <cellStyle name="40% - uthevingsfarge 2 39 2 3" xfId="9937" xr:uid="{00000000-0005-0000-0000-00005A160000}"/>
    <cellStyle name="40% - uthevingsfarge 2 39 3" xfId="4969" xr:uid="{00000000-0005-0000-0000-00005B160000}"/>
    <cellStyle name="40% - uthevingsfarge 2 39 3 2" xfId="7622" xr:uid="{00000000-0005-0000-0000-00005C160000}"/>
    <cellStyle name="40% - uthevingsfarge 2 39 4" xfId="9814" xr:uid="{00000000-0005-0000-0000-00005D160000}"/>
    <cellStyle name="40% - uthevingsfarge 2 4" xfId="1474" xr:uid="{00000000-0005-0000-0000-00005E160000}"/>
    <cellStyle name="40% - uthevingsfarge 2 4 2" xfId="1475" xr:uid="{00000000-0005-0000-0000-00005F160000}"/>
    <cellStyle name="40% - uthevingsfarge 2 4 2 2" xfId="5691" xr:uid="{00000000-0005-0000-0000-000060160000}"/>
    <cellStyle name="40% - uthevingsfarge 2 4 2 2 2" xfId="8324" xr:uid="{00000000-0005-0000-0000-000061160000}"/>
    <cellStyle name="40% - uthevingsfarge 2 4 2 3" xfId="10272" xr:uid="{00000000-0005-0000-0000-000062160000}"/>
    <cellStyle name="40% - uthevingsfarge 2 4 3" xfId="4970" xr:uid="{00000000-0005-0000-0000-000063160000}"/>
    <cellStyle name="40% - uthevingsfarge 2 4 3 2" xfId="7623" xr:uid="{00000000-0005-0000-0000-000064160000}"/>
    <cellStyle name="40% - uthevingsfarge 2 4 4" xfId="10389" xr:uid="{00000000-0005-0000-0000-000065160000}"/>
    <cellStyle name="40% - uthevingsfarge 2 40" xfId="1476" xr:uid="{00000000-0005-0000-0000-000066160000}"/>
    <cellStyle name="40% - uthevingsfarge 2 40 2" xfId="1477" xr:uid="{00000000-0005-0000-0000-000067160000}"/>
    <cellStyle name="40% - uthevingsfarge 2 40 2 2" xfId="5692" xr:uid="{00000000-0005-0000-0000-000068160000}"/>
    <cellStyle name="40% - uthevingsfarge 2 40 2 2 2" xfId="8325" xr:uid="{00000000-0005-0000-0000-000069160000}"/>
    <cellStyle name="40% - uthevingsfarge 2 40 2 3" xfId="9947" xr:uid="{00000000-0005-0000-0000-00006A160000}"/>
    <cellStyle name="40% - uthevingsfarge 2 40 3" xfId="4971" xr:uid="{00000000-0005-0000-0000-00006B160000}"/>
    <cellStyle name="40% - uthevingsfarge 2 40 3 2" xfId="7624" xr:uid="{00000000-0005-0000-0000-00006C160000}"/>
    <cellStyle name="40% - uthevingsfarge 2 40 4" xfId="9813" xr:uid="{00000000-0005-0000-0000-00006D160000}"/>
    <cellStyle name="40% - uthevingsfarge 2 41" xfId="1478" xr:uid="{00000000-0005-0000-0000-00006E160000}"/>
    <cellStyle name="40% - uthevingsfarge 2 41 2" xfId="1479" xr:uid="{00000000-0005-0000-0000-00006F160000}"/>
    <cellStyle name="40% - uthevingsfarge 2 41 2 2" xfId="5693" xr:uid="{00000000-0005-0000-0000-000070160000}"/>
    <cellStyle name="40% - uthevingsfarge 2 41 2 2 2" xfId="8326" xr:uid="{00000000-0005-0000-0000-000071160000}"/>
    <cellStyle name="40% - uthevingsfarge 2 41 2 3" xfId="10271" xr:uid="{00000000-0005-0000-0000-000072160000}"/>
    <cellStyle name="40% - uthevingsfarge 2 41 3" xfId="4972" xr:uid="{00000000-0005-0000-0000-000073160000}"/>
    <cellStyle name="40% - uthevingsfarge 2 41 3 2" xfId="7625" xr:uid="{00000000-0005-0000-0000-000074160000}"/>
    <cellStyle name="40% - uthevingsfarge 2 41 4" xfId="10388" xr:uid="{00000000-0005-0000-0000-000075160000}"/>
    <cellStyle name="40% - uthevingsfarge 2 42" xfId="1480" xr:uid="{00000000-0005-0000-0000-000076160000}"/>
    <cellStyle name="40% - uthevingsfarge 2 42 2" xfId="1481" xr:uid="{00000000-0005-0000-0000-000077160000}"/>
    <cellStyle name="40% - uthevingsfarge 2 42 2 2" xfId="5694" xr:uid="{00000000-0005-0000-0000-000078160000}"/>
    <cellStyle name="40% - uthevingsfarge 2 42 2 2 2" xfId="8327" xr:uid="{00000000-0005-0000-0000-000079160000}"/>
    <cellStyle name="40% - uthevingsfarge 2 42 2 3" xfId="9946" xr:uid="{00000000-0005-0000-0000-00007A160000}"/>
    <cellStyle name="40% - uthevingsfarge 2 42 3" xfId="4973" xr:uid="{00000000-0005-0000-0000-00007B160000}"/>
    <cellStyle name="40% - uthevingsfarge 2 42 3 2" xfId="7626" xr:uid="{00000000-0005-0000-0000-00007C160000}"/>
    <cellStyle name="40% - uthevingsfarge 2 42 4" xfId="9812" xr:uid="{00000000-0005-0000-0000-00007D160000}"/>
    <cellStyle name="40% - uthevingsfarge 2 43" xfId="1482" xr:uid="{00000000-0005-0000-0000-00007E160000}"/>
    <cellStyle name="40% - uthevingsfarge 2 43 2" xfId="1483" xr:uid="{00000000-0005-0000-0000-00007F160000}"/>
    <cellStyle name="40% - uthevingsfarge 2 43 2 2" xfId="5695" xr:uid="{00000000-0005-0000-0000-000080160000}"/>
    <cellStyle name="40% - uthevingsfarge 2 43 2 2 2" xfId="8328" xr:uid="{00000000-0005-0000-0000-000081160000}"/>
    <cellStyle name="40% - uthevingsfarge 2 43 2 3" xfId="10270" xr:uid="{00000000-0005-0000-0000-000082160000}"/>
    <cellStyle name="40% - uthevingsfarge 2 43 3" xfId="4974" xr:uid="{00000000-0005-0000-0000-000083160000}"/>
    <cellStyle name="40% - uthevingsfarge 2 43 3 2" xfId="7627" xr:uid="{00000000-0005-0000-0000-000084160000}"/>
    <cellStyle name="40% - uthevingsfarge 2 43 4" xfId="10387" xr:uid="{00000000-0005-0000-0000-000085160000}"/>
    <cellStyle name="40% - uthevingsfarge 2 44" xfId="1484" xr:uid="{00000000-0005-0000-0000-000086160000}"/>
    <cellStyle name="40% - uthevingsfarge 2 44 2" xfId="1485" xr:uid="{00000000-0005-0000-0000-000087160000}"/>
    <cellStyle name="40% - uthevingsfarge 2 44 2 2" xfId="5696" xr:uid="{00000000-0005-0000-0000-000088160000}"/>
    <cellStyle name="40% - uthevingsfarge 2 44 2 2 2" xfId="8329" xr:uid="{00000000-0005-0000-0000-000089160000}"/>
    <cellStyle name="40% - uthevingsfarge 2 44 2 3" xfId="9882" xr:uid="{00000000-0005-0000-0000-00008A160000}"/>
    <cellStyle name="40% - uthevingsfarge 2 44 3" xfId="4975" xr:uid="{00000000-0005-0000-0000-00008B160000}"/>
    <cellStyle name="40% - uthevingsfarge 2 44 3 2" xfId="7628" xr:uid="{00000000-0005-0000-0000-00008C160000}"/>
    <cellStyle name="40% - uthevingsfarge 2 44 4" xfId="9811" xr:uid="{00000000-0005-0000-0000-00008D160000}"/>
    <cellStyle name="40% - uthevingsfarge 2 45" xfId="1486" xr:uid="{00000000-0005-0000-0000-00008E160000}"/>
    <cellStyle name="40% - uthevingsfarge 2 45 2" xfId="1487" xr:uid="{00000000-0005-0000-0000-00008F160000}"/>
    <cellStyle name="40% - uthevingsfarge 2 45 2 2" xfId="5697" xr:uid="{00000000-0005-0000-0000-000090160000}"/>
    <cellStyle name="40% - uthevingsfarge 2 45 2 2 2" xfId="8330" xr:uid="{00000000-0005-0000-0000-000091160000}"/>
    <cellStyle name="40% - uthevingsfarge 2 45 2 3" xfId="10269" xr:uid="{00000000-0005-0000-0000-000092160000}"/>
    <cellStyle name="40% - uthevingsfarge 2 45 3" xfId="4976" xr:uid="{00000000-0005-0000-0000-000093160000}"/>
    <cellStyle name="40% - uthevingsfarge 2 45 3 2" xfId="7629" xr:uid="{00000000-0005-0000-0000-000094160000}"/>
    <cellStyle name="40% - uthevingsfarge 2 45 4" xfId="10386" xr:uid="{00000000-0005-0000-0000-000095160000}"/>
    <cellStyle name="40% - uthevingsfarge 2 46" xfId="1488" xr:uid="{00000000-0005-0000-0000-000096160000}"/>
    <cellStyle name="40% - uthevingsfarge 2 46 2" xfId="1489" xr:uid="{00000000-0005-0000-0000-000097160000}"/>
    <cellStyle name="40% - uthevingsfarge 2 46 2 2" xfId="5698" xr:uid="{00000000-0005-0000-0000-000098160000}"/>
    <cellStyle name="40% - uthevingsfarge 2 46 2 2 2" xfId="8331" xr:uid="{00000000-0005-0000-0000-000099160000}"/>
    <cellStyle name="40% - uthevingsfarge 2 46 2 3" xfId="9938" xr:uid="{00000000-0005-0000-0000-00009A160000}"/>
    <cellStyle name="40% - uthevingsfarge 2 46 3" xfId="4977" xr:uid="{00000000-0005-0000-0000-00009B160000}"/>
    <cellStyle name="40% - uthevingsfarge 2 46 3 2" xfId="7630" xr:uid="{00000000-0005-0000-0000-00009C160000}"/>
    <cellStyle name="40% - uthevingsfarge 2 46 4" xfId="9810" xr:uid="{00000000-0005-0000-0000-00009D160000}"/>
    <cellStyle name="40% - uthevingsfarge 2 47" xfId="1490" xr:uid="{00000000-0005-0000-0000-00009E160000}"/>
    <cellStyle name="40% - uthevingsfarge 2 47 2" xfId="1491" xr:uid="{00000000-0005-0000-0000-00009F160000}"/>
    <cellStyle name="40% - uthevingsfarge 2 47 2 2" xfId="5699" xr:uid="{00000000-0005-0000-0000-0000A0160000}"/>
    <cellStyle name="40% - uthevingsfarge 2 47 2 2 2" xfId="8332" xr:uid="{00000000-0005-0000-0000-0000A1160000}"/>
    <cellStyle name="40% - uthevingsfarge 2 47 2 3" xfId="10268" xr:uid="{00000000-0005-0000-0000-0000A2160000}"/>
    <cellStyle name="40% - uthevingsfarge 2 47 3" xfId="4978" xr:uid="{00000000-0005-0000-0000-0000A3160000}"/>
    <cellStyle name="40% - uthevingsfarge 2 47 3 2" xfId="7631" xr:uid="{00000000-0005-0000-0000-0000A4160000}"/>
    <cellStyle name="40% - uthevingsfarge 2 47 4" xfId="10385" xr:uid="{00000000-0005-0000-0000-0000A5160000}"/>
    <cellStyle name="40% - uthevingsfarge 2 48" xfId="1492" xr:uid="{00000000-0005-0000-0000-0000A6160000}"/>
    <cellStyle name="40% - uthevingsfarge 2 48 2" xfId="1493" xr:uid="{00000000-0005-0000-0000-0000A7160000}"/>
    <cellStyle name="40% - uthevingsfarge 2 48 2 2" xfId="5700" xr:uid="{00000000-0005-0000-0000-0000A8160000}"/>
    <cellStyle name="40% - uthevingsfarge 2 48 2 2 2" xfId="8333" xr:uid="{00000000-0005-0000-0000-0000A9160000}"/>
    <cellStyle name="40% - uthevingsfarge 2 48 2 3" xfId="9949" xr:uid="{00000000-0005-0000-0000-0000AA160000}"/>
    <cellStyle name="40% - uthevingsfarge 2 48 3" xfId="4979" xr:uid="{00000000-0005-0000-0000-0000AB160000}"/>
    <cellStyle name="40% - uthevingsfarge 2 48 3 2" xfId="7632" xr:uid="{00000000-0005-0000-0000-0000AC160000}"/>
    <cellStyle name="40% - uthevingsfarge 2 48 4" xfId="9809" xr:uid="{00000000-0005-0000-0000-0000AD160000}"/>
    <cellStyle name="40% - uthevingsfarge 2 49" xfId="1494" xr:uid="{00000000-0005-0000-0000-0000AE160000}"/>
    <cellStyle name="40% - uthevingsfarge 2 49 2" xfId="1495" xr:uid="{00000000-0005-0000-0000-0000AF160000}"/>
    <cellStyle name="40% - uthevingsfarge 2 49 2 2" xfId="5701" xr:uid="{00000000-0005-0000-0000-0000B0160000}"/>
    <cellStyle name="40% - uthevingsfarge 2 49 2 2 2" xfId="8334" xr:uid="{00000000-0005-0000-0000-0000B1160000}"/>
    <cellStyle name="40% - uthevingsfarge 2 49 2 3" xfId="10267" xr:uid="{00000000-0005-0000-0000-0000B2160000}"/>
    <cellStyle name="40% - uthevingsfarge 2 49 3" xfId="4980" xr:uid="{00000000-0005-0000-0000-0000B3160000}"/>
    <cellStyle name="40% - uthevingsfarge 2 49 3 2" xfId="7633" xr:uid="{00000000-0005-0000-0000-0000B4160000}"/>
    <cellStyle name="40% - uthevingsfarge 2 49 4" xfId="10384" xr:uid="{00000000-0005-0000-0000-0000B5160000}"/>
    <cellStyle name="40% - uthevingsfarge 2 5" xfId="1496" xr:uid="{00000000-0005-0000-0000-0000B6160000}"/>
    <cellStyle name="40% - uthevingsfarge 2 5 2" xfId="1497" xr:uid="{00000000-0005-0000-0000-0000B7160000}"/>
    <cellStyle name="40% - uthevingsfarge 2 5 2 2" xfId="5702" xr:uid="{00000000-0005-0000-0000-0000B8160000}"/>
    <cellStyle name="40% - uthevingsfarge 2 5 2 2 2" xfId="8335" xr:uid="{00000000-0005-0000-0000-0000B9160000}"/>
    <cellStyle name="40% - uthevingsfarge 2 5 2 3" xfId="9948" xr:uid="{00000000-0005-0000-0000-0000BA160000}"/>
    <cellStyle name="40% - uthevingsfarge 2 5 3" xfId="4981" xr:uid="{00000000-0005-0000-0000-0000BB160000}"/>
    <cellStyle name="40% - uthevingsfarge 2 5 3 2" xfId="7634" xr:uid="{00000000-0005-0000-0000-0000BC160000}"/>
    <cellStyle name="40% - uthevingsfarge 2 5 4" xfId="9808" xr:uid="{00000000-0005-0000-0000-0000BD160000}"/>
    <cellStyle name="40% - uthevingsfarge 2 50" xfId="1498" xr:uid="{00000000-0005-0000-0000-0000BE160000}"/>
    <cellStyle name="40% - uthevingsfarge 2 50 2" xfId="1499" xr:uid="{00000000-0005-0000-0000-0000BF160000}"/>
    <cellStyle name="40% - uthevingsfarge 2 50 2 2" xfId="5703" xr:uid="{00000000-0005-0000-0000-0000C0160000}"/>
    <cellStyle name="40% - uthevingsfarge 2 50 2 2 2" xfId="8336" xr:uid="{00000000-0005-0000-0000-0000C1160000}"/>
    <cellStyle name="40% - uthevingsfarge 2 50 2 3" xfId="10266" xr:uid="{00000000-0005-0000-0000-0000C2160000}"/>
    <cellStyle name="40% - uthevingsfarge 2 50 3" xfId="4982" xr:uid="{00000000-0005-0000-0000-0000C3160000}"/>
    <cellStyle name="40% - uthevingsfarge 2 50 3 2" xfId="7635" xr:uid="{00000000-0005-0000-0000-0000C4160000}"/>
    <cellStyle name="40% - uthevingsfarge 2 50 4" xfId="10383" xr:uid="{00000000-0005-0000-0000-0000C5160000}"/>
    <cellStyle name="40% - uthevingsfarge 2 51" xfId="1500" xr:uid="{00000000-0005-0000-0000-0000C6160000}"/>
    <cellStyle name="40% - uthevingsfarge 2 51 2" xfId="1501" xr:uid="{00000000-0005-0000-0000-0000C7160000}"/>
    <cellStyle name="40% - uthevingsfarge 2 51 2 2" xfId="5704" xr:uid="{00000000-0005-0000-0000-0000C8160000}"/>
    <cellStyle name="40% - uthevingsfarge 2 51 2 2 2" xfId="8337" xr:uid="{00000000-0005-0000-0000-0000C9160000}"/>
    <cellStyle name="40% - uthevingsfarge 2 51 2 3" xfId="9883" xr:uid="{00000000-0005-0000-0000-0000CA160000}"/>
    <cellStyle name="40% - uthevingsfarge 2 51 3" xfId="4983" xr:uid="{00000000-0005-0000-0000-0000CB160000}"/>
    <cellStyle name="40% - uthevingsfarge 2 51 3 2" xfId="7636" xr:uid="{00000000-0005-0000-0000-0000CC160000}"/>
    <cellStyle name="40% - uthevingsfarge 2 51 4" xfId="9807" xr:uid="{00000000-0005-0000-0000-0000CD160000}"/>
    <cellStyle name="40% - uthevingsfarge 2 52" xfId="1502" xr:uid="{00000000-0005-0000-0000-0000CE160000}"/>
    <cellStyle name="40% - uthevingsfarge 2 52 2" xfId="1503" xr:uid="{00000000-0005-0000-0000-0000CF160000}"/>
    <cellStyle name="40% - uthevingsfarge 2 52 2 2" xfId="5705" xr:uid="{00000000-0005-0000-0000-0000D0160000}"/>
    <cellStyle name="40% - uthevingsfarge 2 52 2 2 2" xfId="8338" xr:uid="{00000000-0005-0000-0000-0000D1160000}"/>
    <cellStyle name="40% - uthevingsfarge 2 52 2 3" xfId="10265" xr:uid="{00000000-0005-0000-0000-0000D2160000}"/>
    <cellStyle name="40% - uthevingsfarge 2 52 3" xfId="4984" xr:uid="{00000000-0005-0000-0000-0000D3160000}"/>
    <cellStyle name="40% - uthevingsfarge 2 52 3 2" xfId="7637" xr:uid="{00000000-0005-0000-0000-0000D4160000}"/>
    <cellStyle name="40% - uthevingsfarge 2 52 4" xfId="10382" xr:uid="{00000000-0005-0000-0000-0000D5160000}"/>
    <cellStyle name="40% - uthevingsfarge 2 53" xfId="1504" xr:uid="{00000000-0005-0000-0000-0000D6160000}"/>
    <cellStyle name="40% - uthevingsfarge 2 53 2" xfId="1505" xr:uid="{00000000-0005-0000-0000-0000D7160000}"/>
    <cellStyle name="40% - uthevingsfarge 2 53 2 2" xfId="5706" xr:uid="{00000000-0005-0000-0000-0000D8160000}"/>
    <cellStyle name="40% - uthevingsfarge 2 53 2 2 2" xfId="8339" xr:uid="{00000000-0005-0000-0000-0000D9160000}"/>
    <cellStyle name="40% - uthevingsfarge 2 53 2 3" xfId="9939" xr:uid="{00000000-0005-0000-0000-0000DA160000}"/>
    <cellStyle name="40% - uthevingsfarge 2 53 3" xfId="4985" xr:uid="{00000000-0005-0000-0000-0000DB160000}"/>
    <cellStyle name="40% - uthevingsfarge 2 53 3 2" xfId="7638" xr:uid="{00000000-0005-0000-0000-0000DC160000}"/>
    <cellStyle name="40% - uthevingsfarge 2 53 4" xfId="9806" xr:uid="{00000000-0005-0000-0000-0000DD160000}"/>
    <cellStyle name="40% - uthevingsfarge 2 54" xfId="1506" xr:uid="{00000000-0005-0000-0000-0000DE160000}"/>
    <cellStyle name="40% - uthevingsfarge 2 54 2" xfId="1507" xr:uid="{00000000-0005-0000-0000-0000DF160000}"/>
    <cellStyle name="40% - uthevingsfarge 2 54 2 2" xfId="5707" xr:uid="{00000000-0005-0000-0000-0000E0160000}"/>
    <cellStyle name="40% - uthevingsfarge 2 54 2 2 2" xfId="8340" xr:uid="{00000000-0005-0000-0000-0000E1160000}"/>
    <cellStyle name="40% - uthevingsfarge 2 54 2 3" xfId="10264" xr:uid="{00000000-0005-0000-0000-0000E2160000}"/>
    <cellStyle name="40% - uthevingsfarge 2 54 3" xfId="4986" xr:uid="{00000000-0005-0000-0000-0000E3160000}"/>
    <cellStyle name="40% - uthevingsfarge 2 54 3 2" xfId="7639" xr:uid="{00000000-0005-0000-0000-0000E4160000}"/>
    <cellStyle name="40% - uthevingsfarge 2 54 4" xfId="10381" xr:uid="{00000000-0005-0000-0000-0000E5160000}"/>
    <cellStyle name="40% - uthevingsfarge 2 55" xfId="1508" xr:uid="{00000000-0005-0000-0000-0000E6160000}"/>
    <cellStyle name="40% - uthevingsfarge 2 55 2" xfId="1509" xr:uid="{00000000-0005-0000-0000-0000E7160000}"/>
    <cellStyle name="40% - uthevingsfarge 2 55 2 2" xfId="5708" xr:uid="{00000000-0005-0000-0000-0000E8160000}"/>
    <cellStyle name="40% - uthevingsfarge 2 55 2 2 2" xfId="8341" xr:uid="{00000000-0005-0000-0000-0000E9160000}"/>
    <cellStyle name="40% - uthevingsfarge 2 55 2 3" xfId="9951" xr:uid="{00000000-0005-0000-0000-0000EA160000}"/>
    <cellStyle name="40% - uthevingsfarge 2 55 3" xfId="4987" xr:uid="{00000000-0005-0000-0000-0000EB160000}"/>
    <cellStyle name="40% - uthevingsfarge 2 55 3 2" xfId="7640" xr:uid="{00000000-0005-0000-0000-0000EC160000}"/>
    <cellStyle name="40% - uthevingsfarge 2 55 4" xfId="9805" xr:uid="{00000000-0005-0000-0000-0000ED160000}"/>
    <cellStyle name="40% - uthevingsfarge 2 56" xfId="1510" xr:uid="{00000000-0005-0000-0000-0000EE160000}"/>
    <cellStyle name="40% - uthevingsfarge 2 56 2" xfId="1511" xr:uid="{00000000-0005-0000-0000-0000EF160000}"/>
    <cellStyle name="40% - uthevingsfarge 2 56 2 2" xfId="5709" xr:uid="{00000000-0005-0000-0000-0000F0160000}"/>
    <cellStyle name="40% - uthevingsfarge 2 56 2 2 2" xfId="8342" xr:uid="{00000000-0005-0000-0000-0000F1160000}"/>
    <cellStyle name="40% - uthevingsfarge 2 56 2 3" xfId="10115" xr:uid="{00000000-0005-0000-0000-0000F2160000}"/>
    <cellStyle name="40% - uthevingsfarge 2 56 3" xfId="4988" xr:uid="{00000000-0005-0000-0000-0000F3160000}"/>
    <cellStyle name="40% - uthevingsfarge 2 56 3 2" xfId="7641" xr:uid="{00000000-0005-0000-0000-0000F4160000}"/>
    <cellStyle name="40% - uthevingsfarge 2 56 4" xfId="10192" xr:uid="{00000000-0005-0000-0000-0000F5160000}"/>
    <cellStyle name="40% - uthevingsfarge 2 57" xfId="1512" xr:uid="{00000000-0005-0000-0000-0000F6160000}"/>
    <cellStyle name="40% - uthevingsfarge 2 57 2" xfId="1513" xr:uid="{00000000-0005-0000-0000-0000F7160000}"/>
    <cellStyle name="40% - uthevingsfarge 2 57 2 2" xfId="5710" xr:uid="{00000000-0005-0000-0000-0000F8160000}"/>
    <cellStyle name="40% - uthevingsfarge 2 57 2 2 2" xfId="8343" xr:uid="{00000000-0005-0000-0000-0000F9160000}"/>
    <cellStyle name="40% - uthevingsfarge 2 57 2 3" xfId="10263" xr:uid="{00000000-0005-0000-0000-0000FA160000}"/>
    <cellStyle name="40% - uthevingsfarge 2 57 3" xfId="4989" xr:uid="{00000000-0005-0000-0000-0000FB160000}"/>
    <cellStyle name="40% - uthevingsfarge 2 57 3 2" xfId="7642" xr:uid="{00000000-0005-0000-0000-0000FC160000}"/>
    <cellStyle name="40% - uthevingsfarge 2 57 4" xfId="10380" xr:uid="{00000000-0005-0000-0000-0000FD160000}"/>
    <cellStyle name="40% - uthevingsfarge 2 58" xfId="1514" xr:uid="{00000000-0005-0000-0000-0000FE160000}"/>
    <cellStyle name="40% - uthevingsfarge 2 58 2" xfId="1515" xr:uid="{00000000-0005-0000-0000-0000FF160000}"/>
    <cellStyle name="40% - uthevingsfarge 2 58 2 2" xfId="5711" xr:uid="{00000000-0005-0000-0000-000000170000}"/>
    <cellStyle name="40% - uthevingsfarge 2 58 2 2 2" xfId="8344" xr:uid="{00000000-0005-0000-0000-000001170000}"/>
    <cellStyle name="40% - uthevingsfarge 2 58 2 3" xfId="9950" xr:uid="{00000000-0005-0000-0000-000002170000}"/>
    <cellStyle name="40% - uthevingsfarge 2 58 3" xfId="4990" xr:uid="{00000000-0005-0000-0000-000003170000}"/>
    <cellStyle name="40% - uthevingsfarge 2 58 3 2" xfId="7643" xr:uid="{00000000-0005-0000-0000-000004170000}"/>
    <cellStyle name="40% - uthevingsfarge 2 58 4" xfId="9804" xr:uid="{00000000-0005-0000-0000-000005170000}"/>
    <cellStyle name="40% - uthevingsfarge 2 59" xfId="1516" xr:uid="{00000000-0005-0000-0000-000006170000}"/>
    <cellStyle name="40% - uthevingsfarge 2 59 2" xfId="1517" xr:uid="{00000000-0005-0000-0000-000007170000}"/>
    <cellStyle name="40% - uthevingsfarge 2 59 2 2" xfId="5712" xr:uid="{00000000-0005-0000-0000-000008170000}"/>
    <cellStyle name="40% - uthevingsfarge 2 59 2 2 2" xfId="8345" xr:uid="{00000000-0005-0000-0000-000009170000}"/>
    <cellStyle name="40% - uthevingsfarge 2 59 2 3" xfId="10262" xr:uid="{00000000-0005-0000-0000-00000A170000}"/>
    <cellStyle name="40% - uthevingsfarge 2 59 3" xfId="4991" xr:uid="{00000000-0005-0000-0000-00000B170000}"/>
    <cellStyle name="40% - uthevingsfarge 2 59 3 2" xfId="7644" xr:uid="{00000000-0005-0000-0000-00000C170000}"/>
    <cellStyle name="40% - uthevingsfarge 2 59 4" xfId="10379" xr:uid="{00000000-0005-0000-0000-00000D170000}"/>
    <cellStyle name="40% - uthevingsfarge 2 6" xfId="1518" xr:uid="{00000000-0005-0000-0000-00000E170000}"/>
    <cellStyle name="40% - uthevingsfarge 2 6 2" xfId="1519" xr:uid="{00000000-0005-0000-0000-00000F170000}"/>
    <cellStyle name="40% - uthevingsfarge 2 6 2 2" xfId="5713" xr:uid="{00000000-0005-0000-0000-000010170000}"/>
    <cellStyle name="40% - uthevingsfarge 2 6 2 2 2" xfId="8346" xr:uid="{00000000-0005-0000-0000-000011170000}"/>
    <cellStyle name="40% - uthevingsfarge 2 6 2 3" xfId="9884" xr:uid="{00000000-0005-0000-0000-000012170000}"/>
    <cellStyle name="40% - uthevingsfarge 2 6 3" xfId="4992" xr:uid="{00000000-0005-0000-0000-000013170000}"/>
    <cellStyle name="40% - uthevingsfarge 2 6 3 2" xfId="7645" xr:uid="{00000000-0005-0000-0000-000014170000}"/>
    <cellStyle name="40% - uthevingsfarge 2 6 4" xfId="9803" xr:uid="{00000000-0005-0000-0000-000015170000}"/>
    <cellStyle name="40% - uthevingsfarge 2 60" xfId="1520" xr:uid="{00000000-0005-0000-0000-000016170000}"/>
    <cellStyle name="40% - uthevingsfarge 2 60 2" xfId="1521" xr:uid="{00000000-0005-0000-0000-000017170000}"/>
    <cellStyle name="40% - uthevingsfarge 2 60 3" xfId="9751" xr:uid="{00000000-0005-0000-0000-000018170000}"/>
    <cellStyle name="40% - uthevingsfarge 2 61" xfId="1522" xr:uid="{00000000-0005-0000-0000-000019170000}"/>
    <cellStyle name="40% - uthevingsfarge 2 61 2" xfId="1523" xr:uid="{00000000-0005-0000-0000-00001A170000}"/>
    <cellStyle name="40% - uthevingsfarge 2 62" xfId="1524" xr:uid="{00000000-0005-0000-0000-00001B170000}"/>
    <cellStyle name="40% - uthevingsfarge 2 62 2" xfId="1525" xr:uid="{00000000-0005-0000-0000-00001C170000}"/>
    <cellStyle name="40% - uthevingsfarge 2 63" xfId="1526" xr:uid="{00000000-0005-0000-0000-00001D170000}"/>
    <cellStyle name="40% - uthevingsfarge 2 63 2" xfId="1527" xr:uid="{00000000-0005-0000-0000-00001E170000}"/>
    <cellStyle name="40% - uthevingsfarge 2 64" xfId="1528" xr:uid="{00000000-0005-0000-0000-00001F170000}"/>
    <cellStyle name="40% - uthevingsfarge 2 64 2" xfId="1529" xr:uid="{00000000-0005-0000-0000-000020170000}"/>
    <cellStyle name="40% - uthevingsfarge 2 65" xfId="1530" xr:uid="{00000000-0005-0000-0000-000021170000}"/>
    <cellStyle name="40% - uthevingsfarge 2 65 2" xfId="1531" xr:uid="{00000000-0005-0000-0000-000022170000}"/>
    <cellStyle name="40% - uthevingsfarge 2 66" xfId="1532" xr:uid="{00000000-0005-0000-0000-000023170000}"/>
    <cellStyle name="40% - uthevingsfarge 2 66 2" xfId="1533" xr:uid="{00000000-0005-0000-0000-000024170000}"/>
    <cellStyle name="40% - uthevingsfarge 2 67" xfId="1534" xr:uid="{00000000-0005-0000-0000-000025170000}"/>
    <cellStyle name="40% - uthevingsfarge 2 67 2" xfId="1535" xr:uid="{00000000-0005-0000-0000-000026170000}"/>
    <cellStyle name="40% - uthevingsfarge 2 68" xfId="1536" xr:uid="{00000000-0005-0000-0000-000027170000}"/>
    <cellStyle name="40% - uthevingsfarge 2 68 2" xfId="1537" xr:uid="{00000000-0005-0000-0000-000028170000}"/>
    <cellStyle name="40% - uthevingsfarge 2 69" xfId="1538" xr:uid="{00000000-0005-0000-0000-000029170000}"/>
    <cellStyle name="40% - uthevingsfarge 2 69 2" xfId="1539" xr:uid="{00000000-0005-0000-0000-00002A170000}"/>
    <cellStyle name="40% - uthevingsfarge 2 7" xfId="1540" xr:uid="{00000000-0005-0000-0000-00002B170000}"/>
    <cellStyle name="40% - uthevingsfarge 2 7 2" xfId="1541" xr:uid="{00000000-0005-0000-0000-00002C170000}"/>
    <cellStyle name="40% - uthevingsfarge 2 7 2 2" xfId="5714" xr:uid="{00000000-0005-0000-0000-00002D170000}"/>
    <cellStyle name="40% - uthevingsfarge 2 7 2 2 2" xfId="8347" xr:uid="{00000000-0005-0000-0000-00002E170000}"/>
    <cellStyle name="40% - uthevingsfarge 2 7 2 3" xfId="9902" xr:uid="{00000000-0005-0000-0000-00002F170000}"/>
    <cellStyle name="40% - uthevingsfarge 2 7 3" xfId="4993" xr:uid="{00000000-0005-0000-0000-000030170000}"/>
    <cellStyle name="40% - uthevingsfarge 2 7 3 2" xfId="7646" xr:uid="{00000000-0005-0000-0000-000031170000}"/>
    <cellStyle name="40% - uthevingsfarge 2 7 4" xfId="9802" xr:uid="{00000000-0005-0000-0000-000032170000}"/>
    <cellStyle name="40% - uthevingsfarge 2 70" xfId="1542" xr:uid="{00000000-0005-0000-0000-000033170000}"/>
    <cellStyle name="40% - uthevingsfarge 2 70 2" xfId="1543" xr:uid="{00000000-0005-0000-0000-000034170000}"/>
    <cellStyle name="40% - uthevingsfarge 2 71" xfId="1544" xr:uid="{00000000-0005-0000-0000-000035170000}"/>
    <cellStyle name="40% - uthevingsfarge 2 71 2" xfId="1545" xr:uid="{00000000-0005-0000-0000-000036170000}"/>
    <cellStyle name="40% - uthevingsfarge 2 72" xfId="1546" xr:uid="{00000000-0005-0000-0000-000037170000}"/>
    <cellStyle name="40% - uthevingsfarge 2 72 2" xfId="1547" xr:uid="{00000000-0005-0000-0000-000038170000}"/>
    <cellStyle name="40% - uthevingsfarge 2 73" xfId="1548" xr:uid="{00000000-0005-0000-0000-000039170000}"/>
    <cellStyle name="40% - uthevingsfarge 2 73 2" xfId="1549" xr:uid="{00000000-0005-0000-0000-00003A170000}"/>
    <cellStyle name="40% - uthevingsfarge 2 74" xfId="1550" xr:uid="{00000000-0005-0000-0000-00003B170000}"/>
    <cellStyle name="40% - uthevingsfarge 2 74 2" xfId="1551" xr:uid="{00000000-0005-0000-0000-00003C170000}"/>
    <cellStyle name="40% - uthevingsfarge 2 75" xfId="1552" xr:uid="{00000000-0005-0000-0000-00003D170000}"/>
    <cellStyle name="40% - uthevingsfarge 2 75 2" xfId="1553" xr:uid="{00000000-0005-0000-0000-00003E170000}"/>
    <cellStyle name="40% - uthevingsfarge 2 76" xfId="1554" xr:uid="{00000000-0005-0000-0000-00003F170000}"/>
    <cellStyle name="40% - uthevingsfarge 2 76 2" xfId="1555" xr:uid="{00000000-0005-0000-0000-000040170000}"/>
    <cellStyle name="40% - uthevingsfarge 2 77" xfId="1556" xr:uid="{00000000-0005-0000-0000-000041170000}"/>
    <cellStyle name="40% - uthevingsfarge 2 78" xfId="1557" xr:uid="{00000000-0005-0000-0000-000042170000}"/>
    <cellStyle name="40% - uthevingsfarge 2 79" xfId="1558" xr:uid="{00000000-0005-0000-0000-000043170000}"/>
    <cellStyle name="40% - uthevingsfarge 2 8" xfId="1559" xr:uid="{00000000-0005-0000-0000-000044170000}"/>
    <cellStyle name="40% - uthevingsfarge 2 8 2" xfId="1560" xr:uid="{00000000-0005-0000-0000-000045170000}"/>
    <cellStyle name="40% - uthevingsfarge 2 8 2 2" xfId="5715" xr:uid="{00000000-0005-0000-0000-000046170000}"/>
    <cellStyle name="40% - uthevingsfarge 2 8 2 2 2" xfId="8348" xr:uid="{00000000-0005-0000-0000-000047170000}"/>
    <cellStyle name="40% - uthevingsfarge 2 8 2 3" xfId="10378" xr:uid="{00000000-0005-0000-0000-000048170000}"/>
    <cellStyle name="40% - uthevingsfarge 2 8 3" xfId="4994" xr:uid="{00000000-0005-0000-0000-000049170000}"/>
    <cellStyle name="40% - uthevingsfarge 2 8 3 2" xfId="7647" xr:uid="{00000000-0005-0000-0000-00004A170000}"/>
    <cellStyle name="40% - uthevingsfarge 2 8 4" xfId="9750" xr:uid="{00000000-0005-0000-0000-00004B170000}"/>
    <cellStyle name="40% - uthevingsfarge 2 80" xfId="1561" xr:uid="{00000000-0005-0000-0000-00004C170000}"/>
    <cellStyle name="40% - uthevingsfarge 2 81" xfId="1562" xr:uid="{00000000-0005-0000-0000-00004D170000}"/>
    <cellStyle name="40% - uthevingsfarge 2 82" xfId="1563" xr:uid="{00000000-0005-0000-0000-00004E170000}"/>
    <cellStyle name="40% - uthevingsfarge 2 83" xfId="1564" xr:uid="{00000000-0005-0000-0000-00004F170000}"/>
    <cellStyle name="40% - uthevingsfarge 2 84" xfId="1565" xr:uid="{00000000-0005-0000-0000-000050170000}"/>
    <cellStyle name="40% - uthevingsfarge 2 85" xfId="1566" xr:uid="{00000000-0005-0000-0000-000051170000}"/>
    <cellStyle name="40% - uthevingsfarge 2 86" xfId="1567" xr:uid="{00000000-0005-0000-0000-000052170000}"/>
    <cellStyle name="40% - uthevingsfarge 2 87" xfId="1568" xr:uid="{00000000-0005-0000-0000-000053170000}"/>
    <cellStyle name="40% - uthevingsfarge 2 88" xfId="1569" xr:uid="{00000000-0005-0000-0000-000054170000}"/>
    <cellStyle name="40% - uthevingsfarge 2 89" xfId="1570" xr:uid="{00000000-0005-0000-0000-000055170000}"/>
    <cellStyle name="40% - uthevingsfarge 2 9" xfId="1571" xr:uid="{00000000-0005-0000-0000-000056170000}"/>
    <cellStyle name="40% - uthevingsfarge 2 9 2" xfId="1572" xr:uid="{00000000-0005-0000-0000-000057170000}"/>
    <cellStyle name="40% - uthevingsfarge 2 9 2 2" xfId="5716" xr:uid="{00000000-0005-0000-0000-000058170000}"/>
    <cellStyle name="40% - uthevingsfarge 2 9 2 2 2" xfId="8349" xr:uid="{00000000-0005-0000-0000-000059170000}"/>
    <cellStyle name="40% - uthevingsfarge 2 9 2 3" xfId="9903" xr:uid="{00000000-0005-0000-0000-00005A170000}"/>
    <cellStyle name="40% - uthevingsfarge 2 9 3" xfId="4995" xr:uid="{00000000-0005-0000-0000-00005B170000}"/>
    <cellStyle name="40% - uthevingsfarge 2 9 3 2" xfId="7648" xr:uid="{00000000-0005-0000-0000-00005C170000}"/>
    <cellStyle name="40% - uthevingsfarge 2 9 4" xfId="9801" xr:uid="{00000000-0005-0000-0000-00005D170000}"/>
    <cellStyle name="40% - uthevingsfarge 2 90" xfId="1573" xr:uid="{00000000-0005-0000-0000-00005E170000}"/>
    <cellStyle name="40% - uthevingsfarge 2 90 2" xfId="2879" xr:uid="{00000000-0005-0000-0000-00005F170000}"/>
    <cellStyle name="40% - uthevingsfarge 2 90 2 2" xfId="3319" xr:uid="{00000000-0005-0000-0000-000060170000}"/>
    <cellStyle name="40% - uthevingsfarge 2 90 2 2 2" xfId="6904" xr:uid="{00000000-0005-0000-0000-000061170000}"/>
    <cellStyle name="40% - uthevingsfarge 2 90 2 3" xfId="4108" xr:uid="{00000000-0005-0000-0000-000062170000}"/>
    <cellStyle name="40% - uthevingsfarge 2 90 2 4" xfId="6452" xr:uid="{00000000-0005-0000-0000-000063170000}"/>
    <cellStyle name="40% - uthevingsfarge 2 90 2 5" xfId="8904" xr:uid="{00000000-0005-0000-0000-000064170000}"/>
    <cellStyle name="40% - uthevingsfarge 2 90 3" xfId="3318" xr:uid="{00000000-0005-0000-0000-000065170000}"/>
    <cellStyle name="40% - uthevingsfarge 2 90 3 2" xfId="6903" xr:uid="{00000000-0005-0000-0000-000066170000}"/>
    <cellStyle name="40% - uthevingsfarge 2 90 4" xfId="3868" xr:uid="{00000000-0005-0000-0000-000067170000}"/>
    <cellStyle name="40% - uthevingsfarge 2 90 5" xfId="6167" xr:uid="{00000000-0005-0000-0000-000068170000}"/>
    <cellStyle name="40% - uthevingsfarge 2 90 6" xfId="8903" xr:uid="{00000000-0005-0000-0000-000069170000}"/>
    <cellStyle name="40% - uthevingsfarge 2 91" xfId="1574" xr:uid="{00000000-0005-0000-0000-00006A170000}"/>
    <cellStyle name="40% - uthevingsfarge 2 91 2" xfId="2880" xr:uid="{00000000-0005-0000-0000-00006B170000}"/>
    <cellStyle name="40% - uthevingsfarge 2 91 2 2" xfId="3321" xr:uid="{00000000-0005-0000-0000-00006C170000}"/>
    <cellStyle name="40% - uthevingsfarge 2 91 2 2 2" xfId="6906" xr:uid="{00000000-0005-0000-0000-00006D170000}"/>
    <cellStyle name="40% - uthevingsfarge 2 91 2 3" xfId="4109" xr:uid="{00000000-0005-0000-0000-00006E170000}"/>
    <cellStyle name="40% - uthevingsfarge 2 91 2 4" xfId="6453" xr:uid="{00000000-0005-0000-0000-00006F170000}"/>
    <cellStyle name="40% - uthevingsfarge 2 91 2 5" xfId="8906" xr:uid="{00000000-0005-0000-0000-000070170000}"/>
    <cellStyle name="40% - uthevingsfarge 2 91 3" xfId="3320" xr:uid="{00000000-0005-0000-0000-000071170000}"/>
    <cellStyle name="40% - uthevingsfarge 2 91 3 2" xfId="6905" xr:uid="{00000000-0005-0000-0000-000072170000}"/>
    <cellStyle name="40% - uthevingsfarge 2 91 4" xfId="3867" xr:uid="{00000000-0005-0000-0000-000073170000}"/>
    <cellStyle name="40% - uthevingsfarge 2 91 5" xfId="6168" xr:uid="{00000000-0005-0000-0000-000074170000}"/>
    <cellStyle name="40% - uthevingsfarge 2 91 6" xfId="8905" xr:uid="{00000000-0005-0000-0000-000075170000}"/>
    <cellStyle name="40% - uthevingsfarge 2 92" xfId="1575" xr:uid="{00000000-0005-0000-0000-000076170000}"/>
    <cellStyle name="40% - uthevingsfarge 2 92 2" xfId="2881" xr:uid="{00000000-0005-0000-0000-000077170000}"/>
    <cellStyle name="40% - uthevingsfarge 2 92 2 2" xfId="3323" xr:uid="{00000000-0005-0000-0000-000078170000}"/>
    <cellStyle name="40% - uthevingsfarge 2 92 2 2 2" xfId="6908" xr:uid="{00000000-0005-0000-0000-000079170000}"/>
    <cellStyle name="40% - uthevingsfarge 2 92 2 3" xfId="4028" xr:uid="{00000000-0005-0000-0000-00007A170000}"/>
    <cellStyle name="40% - uthevingsfarge 2 92 2 4" xfId="6454" xr:uid="{00000000-0005-0000-0000-00007B170000}"/>
    <cellStyle name="40% - uthevingsfarge 2 92 2 5" xfId="8908" xr:uid="{00000000-0005-0000-0000-00007C170000}"/>
    <cellStyle name="40% - uthevingsfarge 2 92 3" xfId="3322" xr:uid="{00000000-0005-0000-0000-00007D170000}"/>
    <cellStyle name="40% - uthevingsfarge 2 92 3 2" xfId="6907" xr:uid="{00000000-0005-0000-0000-00007E170000}"/>
    <cellStyle name="40% - uthevingsfarge 2 92 4" xfId="3866" xr:uid="{00000000-0005-0000-0000-00007F170000}"/>
    <cellStyle name="40% - uthevingsfarge 2 92 5" xfId="6169" xr:uid="{00000000-0005-0000-0000-000080170000}"/>
    <cellStyle name="40% - uthevingsfarge 2 92 6" xfId="8907" xr:uid="{00000000-0005-0000-0000-000081170000}"/>
    <cellStyle name="40% - uthevingsfarge 2 93" xfId="1576" xr:uid="{00000000-0005-0000-0000-000082170000}"/>
    <cellStyle name="40% - uthevingsfarge 2 93 2" xfId="2882" xr:uid="{00000000-0005-0000-0000-000083170000}"/>
    <cellStyle name="40% - uthevingsfarge 2 93 2 2" xfId="3325" xr:uid="{00000000-0005-0000-0000-000084170000}"/>
    <cellStyle name="40% - uthevingsfarge 2 93 2 2 2" xfId="6910" xr:uid="{00000000-0005-0000-0000-000085170000}"/>
    <cellStyle name="40% - uthevingsfarge 2 93 2 3" xfId="3718" xr:uid="{00000000-0005-0000-0000-000086170000}"/>
    <cellStyle name="40% - uthevingsfarge 2 93 2 4" xfId="6455" xr:uid="{00000000-0005-0000-0000-000087170000}"/>
    <cellStyle name="40% - uthevingsfarge 2 93 2 5" xfId="8910" xr:uid="{00000000-0005-0000-0000-000088170000}"/>
    <cellStyle name="40% - uthevingsfarge 2 93 3" xfId="3324" xr:uid="{00000000-0005-0000-0000-000089170000}"/>
    <cellStyle name="40% - uthevingsfarge 2 93 3 2" xfId="6909" xr:uid="{00000000-0005-0000-0000-00008A170000}"/>
    <cellStyle name="40% - uthevingsfarge 2 93 4" xfId="3865" xr:uid="{00000000-0005-0000-0000-00008B170000}"/>
    <cellStyle name="40% - uthevingsfarge 2 93 5" xfId="6170" xr:uid="{00000000-0005-0000-0000-00008C170000}"/>
    <cellStyle name="40% - uthevingsfarge 2 93 6" xfId="8909" xr:uid="{00000000-0005-0000-0000-00008D170000}"/>
    <cellStyle name="40% - uthevingsfarge 2 94" xfId="1577" xr:uid="{00000000-0005-0000-0000-00008E170000}"/>
    <cellStyle name="40% - uthevingsfarge 2 94 2" xfId="2883" xr:uid="{00000000-0005-0000-0000-00008F170000}"/>
    <cellStyle name="40% - uthevingsfarge 2 94 2 2" xfId="3327" xr:uid="{00000000-0005-0000-0000-000090170000}"/>
    <cellStyle name="40% - uthevingsfarge 2 94 2 2 2" xfId="6912" xr:uid="{00000000-0005-0000-0000-000091170000}"/>
    <cellStyle name="40% - uthevingsfarge 2 94 2 3" xfId="4106" xr:uid="{00000000-0005-0000-0000-000092170000}"/>
    <cellStyle name="40% - uthevingsfarge 2 94 2 4" xfId="6456" xr:uid="{00000000-0005-0000-0000-000093170000}"/>
    <cellStyle name="40% - uthevingsfarge 2 94 2 5" xfId="8912" xr:uid="{00000000-0005-0000-0000-000094170000}"/>
    <cellStyle name="40% - uthevingsfarge 2 94 3" xfId="3326" xr:uid="{00000000-0005-0000-0000-000095170000}"/>
    <cellStyle name="40% - uthevingsfarge 2 94 3 2" xfId="6911" xr:uid="{00000000-0005-0000-0000-000096170000}"/>
    <cellStyle name="40% - uthevingsfarge 2 94 4" xfId="3864" xr:uid="{00000000-0005-0000-0000-000097170000}"/>
    <cellStyle name="40% - uthevingsfarge 2 94 5" xfId="6171" xr:uid="{00000000-0005-0000-0000-000098170000}"/>
    <cellStyle name="40% - uthevingsfarge 2 94 6" xfId="8911" xr:uid="{00000000-0005-0000-0000-000099170000}"/>
    <cellStyle name="40% - uthevingsfarge 2 95" xfId="1578" xr:uid="{00000000-0005-0000-0000-00009A170000}"/>
    <cellStyle name="40% - uthevingsfarge 2 95 2" xfId="2884" xr:uid="{00000000-0005-0000-0000-00009B170000}"/>
    <cellStyle name="40% - uthevingsfarge 2 95 2 2" xfId="3329" xr:uid="{00000000-0005-0000-0000-00009C170000}"/>
    <cellStyle name="40% - uthevingsfarge 2 95 2 2 2" xfId="6914" xr:uid="{00000000-0005-0000-0000-00009D170000}"/>
    <cellStyle name="40% - uthevingsfarge 2 95 2 3" xfId="4107" xr:uid="{00000000-0005-0000-0000-00009E170000}"/>
    <cellStyle name="40% - uthevingsfarge 2 95 2 4" xfId="6457" xr:uid="{00000000-0005-0000-0000-00009F170000}"/>
    <cellStyle name="40% - uthevingsfarge 2 95 2 5" xfId="8914" xr:uid="{00000000-0005-0000-0000-0000A0170000}"/>
    <cellStyle name="40% - uthevingsfarge 2 95 3" xfId="3328" xr:uid="{00000000-0005-0000-0000-0000A1170000}"/>
    <cellStyle name="40% - uthevingsfarge 2 95 3 2" xfId="6913" xr:uid="{00000000-0005-0000-0000-0000A2170000}"/>
    <cellStyle name="40% - uthevingsfarge 2 95 4" xfId="3863" xr:uid="{00000000-0005-0000-0000-0000A3170000}"/>
    <cellStyle name="40% - uthevingsfarge 2 95 5" xfId="6172" xr:uid="{00000000-0005-0000-0000-0000A4170000}"/>
    <cellStyle name="40% - uthevingsfarge 2 95 6" xfId="8913" xr:uid="{00000000-0005-0000-0000-0000A5170000}"/>
    <cellStyle name="40% - uthevingsfarge 2 96" xfId="1579" xr:uid="{00000000-0005-0000-0000-0000A6170000}"/>
    <cellStyle name="40% - uthevingsfarge 2 96 2" xfId="2885" xr:uid="{00000000-0005-0000-0000-0000A7170000}"/>
    <cellStyle name="40% - uthevingsfarge 2 96 2 2" xfId="3331" xr:uid="{00000000-0005-0000-0000-0000A8170000}"/>
    <cellStyle name="40% - uthevingsfarge 2 96 2 2 2" xfId="6916" xr:uid="{00000000-0005-0000-0000-0000A9170000}"/>
    <cellStyle name="40% - uthevingsfarge 2 96 2 3" xfId="4027" xr:uid="{00000000-0005-0000-0000-0000AA170000}"/>
    <cellStyle name="40% - uthevingsfarge 2 96 2 4" xfId="6458" xr:uid="{00000000-0005-0000-0000-0000AB170000}"/>
    <cellStyle name="40% - uthevingsfarge 2 96 2 5" xfId="8916" xr:uid="{00000000-0005-0000-0000-0000AC170000}"/>
    <cellStyle name="40% - uthevingsfarge 2 96 3" xfId="3330" xr:uid="{00000000-0005-0000-0000-0000AD170000}"/>
    <cellStyle name="40% - uthevingsfarge 2 96 3 2" xfId="6915" xr:uid="{00000000-0005-0000-0000-0000AE170000}"/>
    <cellStyle name="40% - uthevingsfarge 2 96 4" xfId="3862" xr:uid="{00000000-0005-0000-0000-0000AF170000}"/>
    <cellStyle name="40% - uthevingsfarge 2 96 5" xfId="6173" xr:uid="{00000000-0005-0000-0000-0000B0170000}"/>
    <cellStyle name="40% - uthevingsfarge 2 96 6" xfId="8915" xr:uid="{00000000-0005-0000-0000-0000B1170000}"/>
    <cellStyle name="40% - uthevingsfarge 2 97" xfId="1580" xr:uid="{00000000-0005-0000-0000-0000B2170000}"/>
    <cellStyle name="40% - uthevingsfarge 2 97 2" xfId="2886" xr:uid="{00000000-0005-0000-0000-0000B3170000}"/>
    <cellStyle name="40% - uthevingsfarge 2 97 2 2" xfId="3333" xr:uid="{00000000-0005-0000-0000-0000B4170000}"/>
    <cellStyle name="40% - uthevingsfarge 2 97 2 2 2" xfId="6918" xr:uid="{00000000-0005-0000-0000-0000B5170000}"/>
    <cellStyle name="40% - uthevingsfarge 2 97 2 3" xfId="3717" xr:uid="{00000000-0005-0000-0000-0000B6170000}"/>
    <cellStyle name="40% - uthevingsfarge 2 97 2 4" xfId="6459" xr:uid="{00000000-0005-0000-0000-0000B7170000}"/>
    <cellStyle name="40% - uthevingsfarge 2 97 2 5" xfId="8918" xr:uid="{00000000-0005-0000-0000-0000B8170000}"/>
    <cellStyle name="40% - uthevingsfarge 2 97 3" xfId="3332" xr:uid="{00000000-0005-0000-0000-0000B9170000}"/>
    <cellStyle name="40% - uthevingsfarge 2 97 3 2" xfId="6917" xr:uid="{00000000-0005-0000-0000-0000BA170000}"/>
    <cellStyle name="40% - uthevingsfarge 2 97 4" xfId="3861" xr:uid="{00000000-0005-0000-0000-0000BB170000}"/>
    <cellStyle name="40% - uthevingsfarge 2 97 5" xfId="6174" xr:uid="{00000000-0005-0000-0000-0000BC170000}"/>
    <cellStyle name="40% - uthevingsfarge 2 97 6" xfId="8917" xr:uid="{00000000-0005-0000-0000-0000BD170000}"/>
    <cellStyle name="40% - uthevingsfarge 2 98" xfId="1581" xr:uid="{00000000-0005-0000-0000-0000BE170000}"/>
    <cellStyle name="40% - uthevingsfarge 2 98 2" xfId="2887" xr:uid="{00000000-0005-0000-0000-0000BF170000}"/>
    <cellStyle name="40% - uthevingsfarge 2 98 2 2" xfId="3335" xr:uid="{00000000-0005-0000-0000-0000C0170000}"/>
    <cellStyle name="40% - uthevingsfarge 2 98 2 2 2" xfId="6920" xr:uid="{00000000-0005-0000-0000-0000C1170000}"/>
    <cellStyle name="40% - uthevingsfarge 2 98 2 3" xfId="4104" xr:uid="{00000000-0005-0000-0000-0000C2170000}"/>
    <cellStyle name="40% - uthevingsfarge 2 98 2 4" xfId="6460" xr:uid="{00000000-0005-0000-0000-0000C3170000}"/>
    <cellStyle name="40% - uthevingsfarge 2 98 2 5" xfId="8920" xr:uid="{00000000-0005-0000-0000-0000C4170000}"/>
    <cellStyle name="40% - uthevingsfarge 2 98 3" xfId="3334" xr:uid="{00000000-0005-0000-0000-0000C5170000}"/>
    <cellStyle name="40% - uthevingsfarge 2 98 3 2" xfId="6919" xr:uid="{00000000-0005-0000-0000-0000C6170000}"/>
    <cellStyle name="40% - uthevingsfarge 2 98 4" xfId="3860" xr:uid="{00000000-0005-0000-0000-0000C7170000}"/>
    <cellStyle name="40% - uthevingsfarge 2 98 5" xfId="6175" xr:uid="{00000000-0005-0000-0000-0000C8170000}"/>
    <cellStyle name="40% - uthevingsfarge 2 98 6" xfId="8919" xr:uid="{00000000-0005-0000-0000-0000C9170000}"/>
    <cellStyle name="40% - uthevingsfarge 2 99" xfId="1582" xr:uid="{00000000-0005-0000-0000-0000CA170000}"/>
    <cellStyle name="40% - uthevingsfarge 2 99 2" xfId="2888" xr:uid="{00000000-0005-0000-0000-0000CB170000}"/>
    <cellStyle name="40% - uthevingsfarge 2 99 2 2" xfId="3337" xr:uid="{00000000-0005-0000-0000-0000CC170000}"/>
    <cellStyle name="40% - uthevingsfarge 2 99 2 2 2" xfId="6922" xr:uid="{00000000-0005-0000-0000-0000CD170000}"/>
    <cellStyle name="40% - uthevingsfarge 2 99 2 3" xfId="4105" xr:uid="{00000000-0005-0000-0000-0000CE170000}"/>
    <cellStyle name="40% - uthevingsfarge 2 99 2 4" xfId="6461" xr:uid="{00000000-0005-0000-0000-0000CF170000}"/>
    <cellStyle name="40% - uthevingsfarge 2 99 2 5" xfId="8922" xr:uid="{00000000-0005-0000-0000-0000D0170000}"/>
    <cellStyle name="40% - uthevingsfarge 2 99 3" xfId="3336" xr:uid="{00000000-0005-0000-0000-0000D1170000}"/>
    <cellStyle name="40% - uthevingsfarge 2 99 3 2" xfId="6921" xr:uid="{00000000-0005-0000-0000-0000D2170000}"/>
    <cellStyle name="40% - uthevingsfarge 2 99 4" xfId="3859" xr:uid="{00000000-0005-0000-0000-0000D3170000}"/>
    <cellStyle name="40% - uthevingsfarge 2 99 5" xfId="6176" xr:uid="{00000000-0005-0000-0000-0000D4170000}"/>
    <cellStyle name="40% - uthevingsfarge 2 99 6" xfId="8921" xr:uid="{00000000-0005-0000-0000-0000D5170000}"/>
    <cellStyle name="40% - uthevingsfarge 3 10" xfId="1583" xr:uid="{00000000-0005-0000-0000-0000D6170000}"/>
    <cellStyle name="40% - uthevingsfarge 3 10 2" xfId="1584" xr:uid="{00000000-0005-0000-0000-0000D7170000}"/>
    <cellStyle name="40% - uthevingsfarge 3 10 2 2" xfId="5717" xr:uid="{00000000-0005-0000-0000-0000D8170000}"/>
    <cellStyle name="40% - uthevingsfarge 3 10 2 2 2" xfId="8350" xr:uid="{00000000-0005-0000-0000-0000D9170000}"/>
    <cellStyle name="40% - uthevingsfarge 3 10 2 3" xfId="10377" xr:uid="{00000000-0005-0000-0000-0000DA170000}"/>
    <cellStyle name="40% - uthevingsfarge 3 10 3" xfId="4996" xr:uid="{00000000-0005-0000-0000-0000DB170000}"/>
    <cellStyle name="40% - uthevingsfarge 3 10 3 2" xfId="7649" xr:uid="{00000000-0005-0000-0000-0000DC170000}"/>
    <cellStyle name="40% - uthevingsfarge 3 10 4" xfId="9749" xr:uid="{00000000-0005-0000-0000-0000DD170000}"/>
    <cellStyle name="40% - uthevingsfarge 3 100" xfId="1585" xr:uid="{00000000-0005-0000-0000-0000DE170000}"/>
    <cellStyle name="40% - uthevingsfarge 3 100 2" xfId="2889" xr:uid="{00000000-0005-0000-0000-0000DF170000}"/>
    <cellStyle name="40% - uthevingsfarge 3 100 2 2" xfId="3339" xr:uid="{00000000-0005-0000-0000-0000E0170000}"/>
    <cellStyle name="40% - uthevingsfarge 3 100 2 2 2" xfId="6924" xr:uid="{00000000-0005-0000-0000-0000E1170000}"/>
    <cellStyle name="40% - uthevingsfarge 3 100 2 3" xfId="4026" xr:uid="{00000000-0005-0000-0000-0000E2170000}"/>
    <cellStyle name="40% - uthevingsfarge 3 100 2 4" xfId="6462" xr:uid="{00000000-0005-0000-0000-0000E3170000}"/>
    <cellStyle name="40% - uthevingsfarge 3 100 2 5" xfId="8924" xr:uid="{00000000-0005-0000-0000-0000E4170000}"/>
    <cellStyle name="40% - uthevingsfarge 3 100 3" xfId="3338" xr:uid="{00000000-0005-0000-0000-0000E5170000}"/>
    <cellStyle name="40% - uthevingsfarge 3 100 3 2" xfId="6923" xr:uid="{00000000-0005-0000-0000-0000E6170000}"/>
    <cellStyle name="40% - uthevingsfarge 3 100 4" xfId="3858" xr:uid="{00000000-0005-0000-0000-0000E7170000}"/>
    <cellStyle name="40% - uthevingsfarge 3 100 5" xfId="6177" xr:uid="{00000000-0005-0000-0000-0000E8170000}"/>
    <cellStyle name="40% - uthevingsfarge 3 100 6" xfId="8923" xr:uid="{00000000-0005-0000-0000-0000E9170000}"/>
    <cellStyle name="40% - uthevingsfarge 3 101" xfId="1586" xr:uid="{00000000-0005-0000-0000-0000EA170000}"/>
    <cellStyle name="40% - uthevingsfarge 3 101 2" xfId="2890" xr:uid="{00000000-0005-0000-0000-0000EB170000}"/>
    <cellStyle name="40% - uthevingsfarge 3 101 2 2" xfId="3341" xr:uid="{00000000-0005-0000-0000-0000EC170000}"/>
    <cellStyle name="40% - uthevingsfarge 3 101 2 2 2" xfId="6926" xr:uid="{00000000-0005-0000-0000-0000ED170000}"/>
    <cellStyle name="40% - uthevingsfarge 3 101 2 3" xfId="3716" xr:uid="{00000000-0005-0000-0000-0000EE170000}"/>
    <cellStyle name="40% - uthevingsfarge 3 101 2 4" xfId="6463" xr:uid="{00000000-0005-0000-0000-0000EF170000}"/>
    <cellStyle name="40% - uthevingsfarge 3 101 2 5" xfId="8926" xr:uid="{00000000-0005-0000-0000-0000F0170000}"/>
    <cellStyle name="40% - uthevingsfarge 3 101 3" xfId="3340" xr:uid="{00000000-0005-0000-0000-0000F1170000}"/>
    <cellStyle name="40% - uthevingsfarge 3 101 3 2" xfId="6925" xr:uid="{00000000-0005-0000-0000-0000F2170000}"/>
    <cellStyle name="40% - uthevingsfarge 3 101 4" xfId="3857" xr:uid="{00000000-0005-0000-0000-0000F3170000}"/>
    <cellStyle name="40% - uthevingsfarge 3 101 5" xfId="6178" xr:uid="{00000000-0005-0000-0000-0000F4170000}"/>
    <cellStyle name="40% - uthevingsfarge 3 101 6" xfId="8925" xr:uid="{00000000-0005-0000-0000-0000F5170000}"/>
    <cellStyle name="40% - uthevingsfarge 3 102" xfId="1587" xr:uid="{00000000-0005-0000-0000-0000F6170000}"/>
    <cellStyle name="40% - uthevingsfarge 3 102 2" xfId="2891" xr:uid="{00000000-0005-0000-0000-0000F7170000}"/>
    <cellStyle name="40% - uthevingsfarge 3 102 2 2" xfId="3343" xr:uid="{00000000-0005-0000-0000-0000F8170000}"/>
    <cellStyle name="40% - uthevingsfarge 3 102 2 2 2" xfId="6928" xr:uid="{00000000-0005-0000-0000-0000F9170000}"/>
    <cellStyle name="40% - uthevingsfarge 3 102 2 3" xfId="4102" xr:uid="{00000000-0005-0000-0000-0000FA170000}"/>
    <cellStyle name="40% - uthevingsfarge 3 102 2 4" xfId="6464" xr:uid="{00000000-0005-0000-0000-0000FB170000}"/>
    <cellStyle name="40% - uthevingsfarge 3 102 2 5" xfId="8928" xr:uid="{00000000-0005-0000-0000-0000FC170000}"/>
    <cellStyle name="40% - uthevingsfarge 3 102 3" xfId="3342" xr:uid="{00000000-0005-0000-0000-0000FD170000}"/>
    <cellStyle name="40% - uthevingsfarge 3 102 3 2" xfId="6927" xr:uid="{00000000-0005-0000-0000-0000FE170000}"/>
    <cellStyle name="40% - uthevingsfarge 3 102 4" xfId="3856" xr:uid="{00000000-0005-0000-0000-0000FF170000}"/>
    <cellStyle name="40% - uthevingsfarge 3 102 5" xfId="6179" xr:uid="{00000000-0005-0000-0000-000000180000}"/>
    <cellStyle name="40% - uthevingsfarge 3 102 6" xfId="8927" xr:uid="{00000000-0005-0000-0000-000001180000}"/>
    <cellStyle name="40% - uthevingsfarge 3 103" xfId="1588" xr:uid="{00000000-0005-0000-0000-000002180000}"/>
    <cellStyle name="40% - uthevingsfarge 3 103 2" xfId="2892" xr:uid="{00000000-0005-0000-0000-000003180000}"/>
    <cellStyle name="40% - uthevingsfarge 3 103 2 2" xfId="3345" xr:uid="{00000000-0005-0000-0000-000004180000}"/>
    <cellStyle name="40% - uthevingsfarge 3 103 2 2 2" xfId="6930" xr:uid="{00000000-0005-0000-0000-000005180000}"/>
    <cellStyle name="40% - uthevingsfarge 3 103 2 3" xfId="3996" xr:uid="{00000000-0005-0000-0000-000006180000}"/>
    <cellStyle name="40% - uthevingsfarge 3 103 2 4" xfId="6465" xr:uid="{00000000-0005-0000-0000-000007180000}"/>
    <cellStyle name="40% - uthevingsfarge 3 103 2 5" xfId="8930" xr:uid="{00000000-0005-0000-0000-000008180000}"/>
    <cellStyle name="40% - uthevingsfarge 3 103 3" xfId="3344" xr:uid="{00000000-0005-0000-0000-000009180000}"/>
    <cellStyle name="40% - uthevingsfarge 3 103 3 2" xfId="6929" xr:uid="{00000000-0005-0000-0000-00000A180000}"/>
    <cellStyle name="40% - uthevingsfarge 3 103 4" xfId="3855" xr:uid="{00000000-0005-0000-0000-00000B180000}"/>
    <cellStyle name="40% - uthevingsfarge 3 103 5" xfId="6180" xr:uid="{00000000-0005-0000-0000-00000C180000}"/>
    <cellStyle name="40% - uthevingsfarge 3 103 6" xfId="8929" xr:uid="{00000000-0005-0000-0000-00000D180000}"/>
    <cellStyle name="40% - uthevingsfarge 3 104" xfId="1589" xr:uid="{00000000-0005-0000-0000-00000E180000}"/>
    <cellStyle name="40% - uthevingsfarge 3 104 2" xfId="2893" xr:uid="{00000000-0005-0000-0000-00000F180000}"/>
    <cellStyle name="40% - uthevingsfarge 3 104 2 2" xfId="3347" xr:uid="{00000000-0005-0000-0000-000010180000}"/>
    <cellStyle name="40% - uthevingsfarge 3 104 2 2 2" xfId="6932" xr:uid="{00000000-0005-0000-0000-000011180000}"/>
    <cellStyle name="40% - uthevingsfarge 3 104 2 3" xfId="4103" xr:uid="{00000000-0005-0000-0000-000012180000}"/>
    <cellStyle name="40% - uthevingsfarge 3 104 2 4" xfId="6466" xr:uid="{00000000-0005-0000-0000-000013180000}"/>
    <cellStyle name="40% - uthevingsfarge 3 104 2 5" xfId="8932" xr:uid="{00000000-0005-0000-0000-000014180000}"/>
    <cellStyle name="40% - uthevingsfarge 3 104 3" xfId="3346" xr:uid="{00000000-0005-0000-0000-000015180000}"/>
    <cellStyle name="40% - uthevingsfarge 3 104 3 2" xfId="6931" xr:uid="{00000000-0005-0000-0000-000016180000}"/>
    <cellStyle name="40% - uthevingsfarge 3 104 4" xfId="3854" xr:uid="{00000000-0005-0000-0000-000017180000}"/>
    <cellStyle name="40% - uthevingsfarge 3 104 5" xfId="6181" xr:uid="{00000000-0005-0000-0000-000018180000}"/>
    <cellStyle name="40% - uthevingsfarge 3 104 6" xfId="8931" xr:uid="{00000000-0005-0000-0000-000019180000}"/>
    <cellStyle name="40% - uthevingsfarge 3 105" xfId="1590" xr:uid="{00000000-0005-0000-0000-00001A180000}"/>
    <cellStyle name="40% - uthevingsfarge 3 105 2" xfId="2894" xr:uid="{00000000-0005-0000-0000-00001B180000}"/>
    <cellStyle name="40% - uthevingsfarge 3 105 2 2" xfId="3349" xr:uid="{00000000-0005-0000-0000-00001C180000}"/>
    <cellStyle name="40% - uthevingsfarge 3 105 2 2 2" xfId="6934" xr:uid="{00000000-0005-0000-0000-00001D180000}"/>
    <cellStyle name="40% - uthevingsfarge 3 105 2 3" xfId="3642" xr:uid="{00000000-0005-0000-0000-00001E180000}"/>
    <cellStyle name="40% - uthevingsfarge 3 105 2 4" xfId="6467" xr:uid="{00000000-0005-0000-0000-00001F180000}"/>
    <cellStyle name="40% - uthevingsfarge 3 105 2 5" xfId="8934" xr:uid="{00000000-0005-0000-0000-000020180000}"/>
    <cellStyle name="40% - uthevingsfarge 3 105 3" xfId="3348" xr:uid="{00000000-0005-0000-0000-000021180000}"/>
    <cellStyle name="40% - uthevingsfarge 3 105 3 2" xfId="6933" xr:uid="{00000000-0005-0000-0000-000022180000}"/>
    <cellStyle name="40% - uthevingsfarge 3 105 4" xfId="3853" xr:uid="{00000000-0005-0000-0000-000023180000}"/>
    <cellStyle name="40% - uthevingsfarge 3 105 5" xfId="6182" xr:uid="{00000000-0005-0000-0000-000024180000}"/>
    <cellStyle name="40% - uthevingsfarge 3 105 6" xfId="8933" xr:uid="{00000000-0005-0000-0000-000025180000}"/>
    <cellStyle name="40% - uthevingsfarge 3 106" xfId="1591" xr:uid="{00000000-0005-0000-0000-000026180000}"/>
    <cellStyle name="40% - uthevingsfarge 3 106 2" xfId="2895" xr:uid="{00000000-0005-0000-0000-000027180000}"/>
    <cellStyle name="40% - uthevingsfarge 3 106 2 2" xfId="3351" xr:uid="{00000000-0005-0000-0000-000028180000}"/>
    <cellStyle name="40% - uthevingsfarge 3 106 2 2 2" xfId="6936" xr:uid="{00000000-0005-0000-0000-000029180000}"/>
    <cellStyle name="40% - uthevingsfarge 3 106 2 3" xfId="4056" xr:uid="{00000000-0005-0000-0000-00002A180000}"/>
    <cellStyle name="40% - uthevingsfarge 3 106 2 4" xfId="6468" xr:uid="{00000000-0005-0000-0000-00002B180000}"/>
    <cellStyle name="40% - uthevingsfarge 3 106 2 5" xfId="8936" xr:uid="{00000000-0005-0000-0000-00002C180000}"/>
    <cellStyle name="40% - uthevingsfarge 3 106 3" xfId="3350" xr:uid="{00000000-0005-0000-0000-00002D180000}"/>
    <cellStyle name="40% - uthevingsfarge 3 106 3 2" xfId="6935" xr:uid="{00000000-0005-0000-0000-00002E180000}"/>
    <cellStyle name="40% - uthevingsfarge 3 106 4" xfId="3852" xr:uid="{00000000-0005-0000-0000-00002F180000}"/>
    <cellStyle name="40% - uthevingsfarge 3 106 5" xfId="6183" xr:uid="{00000000-0005-0000-0000-000030180000}"/>
    <cellStyle name="40% - uthevingsfarge 3 106 6" xfId="8935" xr:uid="{00000000-0005-0000-0000-000031180000}"/>
    <cellStyle name="40% - uthevingsfarge 3 107" xfId="1592" xr:uid="{00000000-0005-0000-0000-000032180000}"/>
    <cellStyle name="40% - uthevingsfarge 3 107 2" xfId="2896" xr:uid="{00000000-0005-0000-0000-000033180000}"/>
    <cellStyle name="40% - uthevingsfarge 3 107 2 2" xfId="3353" xr:uid="{00000000-0005-0000-0000-000034180000}"/>
    <cellStyle name="40% - uthevingsfarge 3 107 2 2 2" xfId="6938" xr:uid="{00000000-0005-0000-0000-000035180000}"/>
    <cellStyle name="40% - uthevingsfarge 3 107 2 3" xfId="4055" xr:uid="{00000000-0005-0000-0000-000036180000}"/>
    <cellStyle name="40% - uthevingsfarge 3 107 2 4" xfId="6469" xr:uid="{00000000-0005-0000-0000-000037180000}"/>
    <cellStyle name="40% - uthevingsfarge 3 107 2 5" xfId="8938" xr:uid="{00000000-0005-0000-0000-000038180000}"/>
    <cellStyle name="40% - uthevingsfarge 3 107 3" xfId="3352" xr:uid="{00000000-0005-0000-0000-000039180000}"/>
    <cellStyle name="40% - uthevingsfarge 3 107 3 2" xfId="6937" xr:uid="{00000000-0005-0000-0000-00003A180000}"/>
    <cellStyle name="40% - uthevingsfarge 3 107 4" xfId="3851" xr:uid="{00000000-0005-0000-0000-00003B180000}"/>
    <cellStyle name="40% - uthevingsfarge 3 107 5" xfId="6184" xr:uid="{00000000-0005-0000-0000-00003C180000}"/>
    <cellStyle name="40% - uthevingsfarge 3 107 6" xfId="8937" xr:uid="{00000000-0005-0000-0000-00003D180000}"/>
    <cellStyle name="40% - uthevingsfarge 3 108" xfId="1593" xr:uid="{00000000-0005-0000-0000-00003E180000}"/>
    <cellStyle name="40% - uthevingsfarge 3 108 2" xfId="2897" xr:uid="{00000000-0005-0000-0000-00003F180000}"/>
    <cellStyle name="40% - uthevingsfarge 3 108 2 2" xfId="3355" xr:uid="{00000000-0005-0000-0000-000040180000}"/>
    <cellStyle name="40% - uthevingsfarge 3 108 2 2 2" xfId="6940" xr:uid="{00000000-0005-0000-0000-000041180000}"/>
    <cellStyle name="40% - uthevingsfarge 3 108 2 3" xfId="4025" xr:uid="{00000000-0005-0000-0000-000042180000}"/>
    <cellStyle name="40% - uthevingsfarge 3 108 2 4" xfId="6470" xr:uid="{00000000-0005-0000-0000-000043180000}"/>
    <cellStyle name="40% - uthevingsfarge 3 108 2 5" xfId="8940" xr:uid="{00000000-0005-0000-0000-000044180000}"/>
    <cellStyle name="40% - uthevingsfarge 3 108 3" xfId="3354" xr:uid="{00000000-0005-0000-0000-000045180000}"/>
    <cellStyle name="40% - uthevingsfarge 3 108 3 2" xfId="6939" xr:uid="{00000000-0005-0000-0000-000046180000}"/>
    <cellStyle name="40% - uthevingsfarge 3 108 4" xfId="3850" xr:uid="{00000000-0005-0000-0000-000047180000}"/>
    <cellStyle name="40% - uthevingsfarge 3 108 5" xfId="6185" xr:uid="{00000000-0005-0000-0000-000048180000}"/>
    <cellStyle name="40% - uthevingsfarge 3 108 6" xfId="8939" xr:uid="{00000000-0005-0000-0000-000049180000}"/>
    <cellStyle name="40% - uthevingsfarge 3 109" xfId="1594" xr:uid="{00000000-0005-0000-0000-00004A180000}"/>
    <cellStyle name="40% - uthevingsfarge 3 109 2" xfId="2898" xr:uid="{00000000-0005-0000-0000-00004B180000}"/>
    <cellStyle name="40% - uthevingsfarge 3 109 2 2" xfId="3357" xr:uid="{00000000-0005-0000-0000-00004C180000}"/>
    <cellStyle name="40% - uthevingsfarge 3 109 2 2 2" xfId="6942" xr:uid="{00000000-0005-0000-0000-00004D180000}"/>
    <cellStyle name="40% - uthevingsfarge 3 109 2 3" xfId="3715" xr:uid="{00000000-0005-0000-0000-00004E180000}"/>
    <cellStyle name="40% - uthevingsfarge 3 109 2 4" xfId="6471" xr:uid="{00000000-0005-0000-0000-00004F180000}"/>
    <cellStyle name="40% - uthevingsfarge 3 109 2 5" xfId="8942" xr:uid="{00000000-0005-0000-0000-000050180000}"/>
    <cellStyle name="40% - uthevingsfarge 3 109 3" xfId="3356" xr:uid="{00000000-0005-0000-0000-000051180000}"/>
    <cellStyle name="40% - uthevingsfarge 3 109 3 2" xfId="6941" xr:uid="{00000000-0005-0000-0000-000052180000}"/>
    <cellStyle name="40% - uthevingsfarge 3 109 4" xfId="3849" xr:uid="{00000000-0005-0000-0000-000053180000}"/>
    <cellStyle name="40% - uthevingsfarge 3 109 5" xfId="6186" xr:uid="{00000000-0005-0000-0000-000054180000}"/>
    <cellStyle name="40% - uthevingsfarge 3 109 6" xfId="8941" xr:uid="{00000000-0005-0000-0000-000055180000}"/>
    <cellStyle name="40% - uthevingsfarge 3 11" xfId="1595" xr:uid="{00000000-0005-0000-0000-000056180000}"/>
    <cellStyle name="40% - uthevingsfarge 3 11 2" xfId="1596" xr:uid="{00000000-0005-0000-0000-000057180000}"/>
    <cellStyle name="40% - uthevingsfarge 3 11 2 2" xfId="5718" xr:uid="{00000000-0005-0000-0000-000058180000}"/>
    <cellStyle name="40% - uthevingsfarge 3 11 2 2 2" xfId="8351" xr:uid="{00000000-0005-0000-0000-000059180000}"/>
    <cellStyle name="40% - uthevingsfarge 3 11 2 3" xfId="9904" xr:uid="{00000000-0005-0000-0000-00005A180000}"/>
    <cellStyle name="40% - uthevingsfarge 3 11 3" xfId="4997" xr:uid="{00000000-0005-0000-0000-00005B180000}"/>
    <cellStyle name="40% - uthevingsfarge 3 11 3 2" xfId="7650" xr:uid="{00000000-0005-0000-0000-00005C180000}"/>
    <cellStyle name="40% - uthevingsfarge 3 11 4" xfId="9800" xr:uid="{00000000-0005-0000-0000-00005D180000}"/>
    <cellStyle name="40% - uthevingsfarge 3 110" xfId="6592" xr:uid="{00000000-0005-0000-0000-00005E180000}"/>
    <cellStyle name="40% - uthevingsfarge 3 111" xfId="8595" xr:uid="{00000000-0005-0000-0000-00005F180000}"/>
    <cellStyle name="40% - uthevingsfarge 3 12" xfId="1597" xr:uid="{00000000-0005-0000-0000-000060180000}"/>
    <cellStyle name="40% - uthevingsfarge 3 12 2" xfId="1598" xr:uid="{00000000-0005-0000-0000-000061180000}"/>
    <cellStyle name="40% - uthevingsfarge 3 12 2 2" xfId="5719" xr:uid="{00000000-0005-0000-0000-000062180000}"/>
    <cellStyle name="40% - uthevingsfarge 3 12 2 2 2" xfId="8352" xr:uid="{00000000-0005-0000-0000-000063180000}"/>
    <cellStyle name="40% - uthevingsfarge 3 12 2 3" xfId="10376" xr:uid="{00000000-0005-0000-0000-000064180000}"/>
    <cellStyle name="40% - uthevingsfarge 3 12 3" xfId="4998" xr:uid="{00000000-0005-0000-0000-000065180000}"/>
    <cellStyle name="40% - uthevingsfarge 3 12 3 2" xfId="7651" xr:uid="{00000000-0005-0000-0000-000066180000}"/>
    <cellStyle name="40% - uthevingsfarge 3 12 4" xfId="9748" xr:uid="{00000000-0005-0000-0000-000067180000}"/>
    <cellStyle name="40% - uthevingsfarge 3 13" xfId="1599" xr:uid="{00000000-0005-0000-0000-000068180000}"/>
    <cellStyle name="40% - uthevingsfarge 3 13 2" xfId="1600" xr:uid="{00000000-0005-0000-0000-000069180000}"/>
    <cellStyle name="40% - uthevingsfarge 3 13 2 2" xfId="5720" xr:uid="{00000000-0005-0000-0000-00006A180000}"/>
    <cellStyle name="40% - uthevingsfarge 3 13 2 2 2" xfId="8353" xr:uid="{00000000-0005-0000-0000-00006B180000}"/>
    <cellStyle name="40% - uthevingsfarge 3 13 2 3" xfId="9905" xr:uid="{00000000-0005-0000-0000-00006C180000}"/>
    <cellStyle name="40% - uthevingsfarge 3 13 3" xfId="4999" xr:uid="{00000000-0005-0000-0000-00006D180000}"/>
    <cellStyle name="40% - uthevingsfarge 3 13 3 2" xfId="7652" xr:uid="{00000000-0005-0000-0000-00006E180000}"/>
    <cellStyle name="40% - uthevingsfarge 3 13 4" xfId="9799" xr:uid="{00000000-0005-0000-0000-00006F180000}"/>
    <cellStyle name="40% - uthevingsfarge 3 14" xfId="1601" xr:uid="{00000000-0005-0000-0000-000070180000}"/>
    <cellStyle name="40% - uthevingsfarge 3 14 2" xfId="1602" xr:uid="{00000000-0005-0000-0000-000071180000}"/>
    <cellStyle name="40% - uthevingsfarge 3 14 2 2" xfId="5721" xr:uid="{00000000-0005-0000-0000-000072180000}"/>
    <cellStyle name="40% - uthevingsfarge 3 14 2 2 2" xfId="8354" xr:uid="{00000000-0005-0000-0000-000073180000}"/>
    <cellStyle name="40% - uthevingsfarge 3 14 2 3" xfId="10375" xr:uid="{00000000-0005-0000-0000-000074180000}"/>
    <cellStyle name="40% - uthevingsfarge 3 14 3" xfId="5000" xr:uid="{00000000-0005-0000-0000-000075180000}"/>
    <cellStyle name="40% - uthevingsfarge 3 14 3 2" xfId="7653" xr:uid="{00000000-0005-0000-0000-000076180000}"/>
    <cellStyle name="40% - uthevingsfarge 3 14 4" xfId="9747" xr:uid="{00000000-0005-0000-0000-000077180000}"/>
    <cellStyle name="40% - uthevingsfarge 3 15" xfId="1603" xr:uid="{00000000-0005-0000-0000-000078180000}"/>
    <cellStyle name="40% - uthevingsfarge 3 15 2" xfId="1604" xr:uid="{00000000-0005-0000-0000-000079180000}"/>
    <cellStyle name="40% - uthevingsfarge 3 15 2 2" xfId="5722" xr:uid="{00000000-0005-0000-0000-00007A180000}"/>
    <cellStyle name="40% - uthevingsfarge 3 15 2 2 2" xfId="8355" xr:uid="{00000000-0005-0000-0000-00007B180000}"/>
    <cellStyle name="40% - uthevingsfarge 3 15 2 3" xfId="9906" xr:uid="{00000000-0005-0000-0000-00007C180000}"/>
    <cellStyle name="40% - uthevingsfarge 3 15 3" xfId="5001" xr:uid="{00000000-0005-0000-0000-00007D180000}"/>
    <cellStyle name="40% - uthevingsfarge 3 15 3 2" xfId="7654" xr:uid="{00000000-0005-0000-0000-00007E180000}"/>
    <cellStyle name="40% - uthevingsfarge 3 15 4" xfId="9798" xr:uid="{00000000-0005-0000-0000-00007F180000}"/>
    <cellStyle name="40% - uthevingsfarge 3 16" xfId="1605" xr:uid="{00000000-0005-0000-0000-000080180000}"/>
    <cellStyle name="40% - uthevingsfarge 3 16 2" xfId="1606" xr:uid="{00000000-0005-0000-0000-000081180000}"/>
    <cellStyle name="40% - uthevingsfarge 3 16 2 2" xfId="5723" xr:uid="{00000000-0005-0000-0000-000082180000}"/>
    <cellStyle name="40% - uthevingsfarge 3 16 2 2 2" xfId="8356" xr:uid="{00000000-0005-0000-0000-000083180000}"/>
    <cellStyle name="40% - uthevingsfarge 3 16 2 3" xfId="10374" xr:uid="{00000000-0005-0000-0000-000084180000}"/>
    <cellStyle name="40% - uthevingsfarge 3 16 3" xfId="5002" xr:uid="{00000000-0005-0000-0000-000085180000}"/>
    <cellStyle name="40% - uthevingsfarge 3 16 3 2" xfId="7655" xr:uid="{00000000-0005-0000-0000-000086180000}"/>
    <cellStyle name="40% - uthevingsfarge 3 16 4" xfId="9746" xr:uid="{00000000-0005-0000-0000-000087180000}"/>
    <cellStyle name="40% - uthevingsfarge 3 17" xfId="1607" xr:uid="{00000000-0005-0000-0000-000088180000}"/>
    <cellStyle name="40% - uthevingsfarge 3 17 2" xfId="1608" xr:uid="{00000000-0005-0000-0000-000089180000}"/>
    <cellStyle name="40% - uthevingsfarge 3 17 2 2" xfId="5724" xr:uid="{00000000-0005-0000-0000-00008A180000}"/>
    <cellStyle name="40% - uthevingsfarge 3 17 2 2 2" xfId="8357" xr:uid="{00000000-0005-0000-0000-00008B180000}"/>
    <cellStyle name="40% - uthevingsfarge 3 17 2 3" xfId="9907" xr:uid="{00000000-0005-0000-0000-00008C180000}"/>
    <cellStyle name="40% - uthevingsfarge 3 17 3" xfId="5003" xr:uid="{00000000-0005-0000-0000-00008D180000}"/>
    <cellStyle name="40% - uthevingsfarge 3 17 3 2" xfId="7656" xr:uid="{00000000-0005-0000-0000-00008E180000}"/>
    <cellStyle name="40% - uthevingsfarge 3 17 4" xfId="9797" xr:uid="{00000000-0005-0000-0000-00008F180000}"/>
    <cellStyle name="40% - uthevingsfarge 3 18" xfId="1609" xr:uid="{00000000-0005-0000-0000-000090180000}"/>
    <cellStyle name="40% - uthevingsfarge 3 18 2" xfId="1610" xr:uid="{00000000-0005-0000-0000-000091180000}"/>
    <cellStyle name="40% - uthevingsfarge 3 18 2 2" xfId="5725" xr:uid="{00000000-0005-0000-0000-000092180000}"/>
    <cellStyle name="40% - uthevingsfarge 3 18 2 2 2" xfId="8358" xr:uid="{00000000-0005-0000-0000-000093180000}"/>
    <cellStyle name="40% - uthevingsfarge 3 18 2 3" xfId="10373" xr:uid="{00000000-0005-0000-0000-000094180000}"/>
    <cellStyle name="40% - uthevingsfarge 3 18 3" xfId="5004" xr:uid="{00000000-0005-0000-0000-000095180000}"/>
    <cellStyle name="40% - uthevingsfarge 3 18 3 2" xfId="7657" xr:uid="{00000000-0005-0000-0000-000096180000}"/>
    <cellStyle name="40% - uthevingsfarge 3 18 4" xfId="9745" xr:uid="{00000000-0005-0000-0000-000097180000}"/>
    <cellStyle name="40% - uthevingsfarge 3 19" xfId="1611" xr:uid="{00000000-0005-0000-0000-000098180000}"/>
    <cellStyle name="40% - uthevingsfarge 3 19 2" xfId="1612" xr:uid="{00000000-0005-0000-0000-000099180000}"/>
    <cellStyle name="40% - uthevingsfarge 3 19 2 2" xfId="5726" xr:uid="{00000000-0005-0000-0000-00009A180000}"/>
    <cellStyle name="40% - uthevingsfarge 3 19 2 2 2" xfId="8359" xr:uid="{00000000-0005-0000-0000-00009B180000}"/>
    <cellStyle name="40% - uthevingsfarge 3 19 2 3" xfId="9908" xr:uid="{00000000-0005-0000-0000-00009C180000}"/>
    <cellStyle name="40% - uthevingsfarge 3 19 3" xfId="5005" xr:uid="{00000000-0005-0000-0000-00009D180000}"/>
    <cellStyle name="40% - uthevingsfarge 3 19 3 2" xfId="7658" xr:uid="{00000000-0005-0000-0000-00009E180000}"/>
    <cellStyle name="40% - uthevingsfarge 3 19 4" xfId="9796" xr:uid="{00000000-0005-0000-0000-00009F180000}"/>
    <cellStyle name="40% - uthevingsfarge 3 2" xfId="69" xr:uid="{00000000-0005-0000-0000-0000A0180000}"/>
    <cellStyle name="40% - uthevingsfarge 3 2 2" xfId="1613" xr:uid="{00000000-0005-0000-0000-0000A1180000}"/>
    <cellStyle name="40% - uthevingsfarge 3 2 2 2" xfId="5727" xr:uid="{00000000-0005-0000-0000-0000A2180000}"/>
    <cellStyle name="40% - uthevingsfarge 3 2 2 2 2" xfId="8360" xr:uid="{00000000-0005-0000-0000-0000A3180000}"/>
    <cellStyle name="40% - uthevingsfarge 3 2 2 3" xfId="10372" xr:uid="{00000000-0005-0000-0000-0000A4180000}"/>
    <cellStyle name="40% - uthevingsfarge 3 2 3" xfId="5006" xr:uid="{00000000-0005-0000-0000-0000A5180000}"/>
    <cellStyle name="40% - uthevingsfarge 3 2 3 2" xfId="7659" xr:uid="{00000000-0005-0000-0000-0000A6180000}"/>
    <cellStyle name="40% - uthevingsfarge 3 2 4" xfId="9744" xr:uid="{00000000-0005-0000-0000-0000A7180000}"/>
    <cellStyle name="40% - uthevingsfarge 3 20" xfId="1614" xr:uid="{00000000-0005-0000-0000-0000A8180000}"/>
    <cellStyle name="40% - uthevingsfarge 3 20 2" xfId="1615" xr:uid="{00000000-0005-0000-0000-0000A9180000}"/>
    <cellStyle name="40% - uthevingsfarge 3 20 2 2" xfId="5728" xr:uid="{00000000-0005-0000-0000-0000AA180000}"/>
    <cellStyle name="40% - uthevingsfarge 3 20 2 2 2" xfId="8361" xr:uid="{00000000-0005-0000-0000-0000AB180000}"/>
    <cellStyle name="40% - uthevingsfarge 3 20 2 3" xfId="9909" xr:uid="{00000000-0005-0000-0000-0000AC180000}"/>
    <cellStyle name="40% - uthevingsfarge 3 20 3" xfId="5007" xr:uid="{00000000-0005-0000-0000-0000AD180000}"/>
    <cellStyle name="40% - uthevingsfarge 3 20 3 2" xfId="7660" xr:uid="{00000000-0005-0000-0000-0000AE180000}"/>
    <cellStyle name="40% - uthevingsfarge 3 20 4" xfId="9795" xr:uid="{00000000-0005-0000-0000-0000AF180000}"/>
    <cellStyle name="40% - uthevingsfarge 3 21" xfId="1616" xr:uid="{00000000-0005-0000-0000-0000B0180000}"/>
    <cellStyle name="40% - uthevingsfarge 3 21 2" xfId="1617" xr:uid="{00000000-0005-0000-0000-0000B1180000}"/>
    <cellStyle name="40% - uthevingsfarge 3 21 2 2" xfId="5729" xr:uid="{00000000-0005-0000-0000-0000B2180000}"/>
    <cellStyle name="40% - uthevingsfarge 3 21 2 2 2" xfId="8362" xr:uid="{00000000-0005-0000-0000-0000B3180000}"/>
    <cellStyle name="40% - uthevingsfarge 3 21 2 3" xfId="10371" xr:uid="{00000000-0005-0000-0000-0000B4180000}"/>
    <cellStyle name="40% - uthevingsfarge 3 21 3" xfId="5008" xr:uid="{00000000-0005-0000-0000-0000B5180000}"/>
    <cellStyle name="40% - uthevingsfarge 3 21 3 2" xfId="7661" xr:uid="{00000000-0005-0000-0000-0000B6180000}"/>
    <cellStyle name="40% - uthevingsfarge 3 21 4" xfId="9743" xr:uid="{00000000-0005-0000-0000-0000B7180000}"/>
    <cellStyle name="40% - uthevingsfarge 3 22" xfId="1618" xr:uid="{00000000-0005-0000-0000-0000B8180000}"/>
    <cellStyle name="40% - uthevingsfarge 3 22 2" xfId="1619" xr:uid="{00000000-0005-0000-0000-0000B9180000}"/>
    <cellStyle name="40% - uthevingsfarge 3 22 2 2" xfId="5730" xr:uid="{00000000-0005-0000-0000-0000BA180000}"/>
    <cellStyle name="40% - uthevingsfarge 3 22 2 2 2" xfId="8363" xr:uid="{00000000-0005-0000-0000-0000BB180000}"/>
    <cellStyle name="40% - uthevingsfarge 3 22 2 3" xfId="10579" xr:uid="{00000000-0005-0000-0000-0000BC180000}"/>
    <cellStyle name="40% - uthevingsfarge 3 22 3" xfId="5009" xr:uid="{00000000-0005-0000-0000-0000BD180000}"/>
    <cellStyle name="40% - uthevingsfarge 3 22 3 2" xfId="7662" xr:uid="{00000000-0005-0000-0000-0000BE180000}"/>
    <cellStyle name="40% - uthevingsfarge 3 22 4" xfId="9445" xr:uid="{00000000-0005-0000-0000-0000BF180000}"/>
    <cellStyle name="40% - uthevingsfarge 3 23" xfId="1620" xr:uid="{00000000-0005-0000-0000-0000C0180000}"/>
    <cellStyle name="40% - uthevingsfarge 3 23 2" xfId="1621" xr:uid="{00000000-0005-0000-0000-0000C1180000}"/>
    <cellStyle name="40% - uthevingsfarge 3 23 2 2" xfId="5731" xr:uid="{00000000-0005-0000-0000-0000C2180000}"/>
    <cellStyle name="40% - uthevingsfarge 3 23 2 2 2" xfId="8364" xr:uid="{00000000-0005-0000-0000-0000C3180000}"/>
    <cellStyle name="40% - uthevingsfarge 3 23 2 3" xfId="9444" xr:uid="{00000000-0005-0000-0000-0000C4180000}"/>
    <cellStyle name="40% - uthevingsfarge 3 23 3" xfId="5010" xr:uid="{00000000-0005-0000-0000-0000C5180000}"/>
    <cellStyle name="40% - uthevingsfarge 3 23 3 2" xfId="7663" xr:uid="{00000000-0005-0000-0000-0000C6180000}"/>
    <cellStyle name="40% - uthevingsfarge 3 23 4" xfId="9443" xr:uid="{00000000-0005-0000-0000-0000C7180000}"/>
    <cellStyle name="40% - uthevingsfarge 3 24" xfId="1622" xr:uid="{00000000-0005-0000-0000-0000C8180000}"/>
    <cellStyle name="40% - uthevingsfarge 3 24 2" xfId="1623" xr:uid="{00000000-0005-0000-0000-0000C9180000}"/>
    <cellStyle name="40% - uthevingsfarge 3 24 2 2" xfId="5732" xr:uid="{00000000-0005-0000-0000-0000CA180000}"/>
    <cellStyle name="40% - uthevingsfarge 3 24 2 2 2" xfId="8365" xr:uid="{00000000-0005-0000-0000-0000CB180000}"/>
    <cellStyle name="40% - uthevingsfarge 3 24 2 3" xfId="9442" xr:uid="{00000000-0005-0000-0000-0000CC180000}"/>
    <cellStyle name="40% - uthevingsfarge 3 24 3" xfId="5011" xr:uid="{00000000-0005-0000-0000-0000CD180000}"/>
    <cellStyle name="40% - uthevingsfarge 3 24 3 2" xfId="7664" xr:uid="{00000000-0005-0000-0000-0000CE180000}"/>
    <cellStyle name="40% - uthevingsfarge 3 24 4" xfId="10548" xr:uid="{00000000-0005-0000-0000-0000CF180000}"/>
    <cellStyle name="40% - uthevingsfarge 3 25" xfId="1624" xr:uid="{00000000-0005-0000-0000-0000D0180000}"/>
    <cellStyle name="40% - uthevingsfarge 3 25 2" xfId="1625" xr:uid="{00000000-0005-0000-0000-0000D1180000}"/>
    <cellStyle name="40% - uthevingsfarge 3 25 2 2" xfId="5733" xr:uid="{00000000-0005-0000-0000-0000D2180000}"/>
    <cellStyle name="40% - uthevingsfarge 3 25 2 2 2" xfId="8366" xr:uid="{00000000-0005-0000-0000-0000D3180000}"/>
    <cellStyle name="40% - uthevingsfarge 3 25 2 3" xfId="9441" xr:uid="{00000000-0005-0000-0000-0000D4180000}"/>
    <cellStyle name="40% - uthevingsfarge 3 25 3" xfId="5012" xr:uid="{00000000-0005-0000-0000-0000D5180000}"/>
    <cellStyle name="40% - uthevingsfarge 3 25 3 2" xfId="7665" xr:uid="{00000000-0005-0000-0000-0000D6180000}"/>
    <cellStyle name="40% - uthevingsfarge 3 25 4" xfId="9440" xr:uid="{00000000-0005-0000-0000-0000D7180000}"/>
    <cellStyle name="40% - uthevingsfarge 3 26" xfId="1626" xr:uid="{00000000-0005-0000-0000-0000D8180000}"/>
    <cellStyle name="40% - uthevingsfarge 3 26 2" xfId="1627" xr:uid="{00000000-0005-0000-0000-0000D9180000}"/>
    <cellStyle name="40% - uthevingsfarge 3 26 2 2" xfId="5734" xr:uid="{00000000-0005-0000-0000-0000DA180000}"/>
    <cellStyle name="40% - uthevingsfarge 3 26 2 2 2" xfId="8367" xr:uid="{00000000-0005-0000-0000-0000DB180000}"/>
    <cellStyle name="40% - uthevingsfarge 3 26 2 3" xfId="9439" xr:uid="{00000000-0005-0000-0000-0000DC180000}"/>
    <cellStyle name="40% - uthevingsfarge 3 26 3" xfId="5013" xr:uid="{00000000-0005-0000-0000-0000DD180000}"/>
    <cellStyle name="40% - uthevingsfarge 3 26 3 2" xfId="7666" xr:uid="{00000000-0005-0000-0000-0000DE180000}"/>
    <cellStyle name="40% - uthevingsfarge 3 26 4" xfId="9438" xr:uid="{00000000-0005-0000-0000-0000DF180000}"/>
    <cellStyle name="40% - uthevingsfarge 3 27" xfId="1628" xr:uid="{00000000-0005-0000-0000-0000E0180000}"/>
    <cellStyle name="40% - uthevingsfarge 3 27 2" xfId="1629" xr:uid="{00000000-0005-0000-0000-0000E1180000}"/>
    <cellStyle name="40% - uthevingsfarge 3 27 2 2" xfId="5735" xr:uid="{00000000-0005-0000-0000-0000E2180000}"/>
    <cellStyle name="40% - uthevingsfarge 3 27 2 2 2" xfId="8368" xr:uid="{00000000-0005-0000-0000-0000E3180000}"/>
    <cellStyle name="40% - uthevingsfarge 3 27 2 3" xfId="9437" xr:uid="{00000000-0005-0000-0000-0000E4180000}"/>
    <cellStyle name="40% - uthevingsfarge 3 27 3" xfId="5014" xr:uid="{00000000-0005-0000-0000-0000E5180000}"/>
    <cellStyle name="40% - uthevingsfarge 3 27 3 2" xfId="7667" xr:uid="{00000000-0005-0000-0000-0000E6180000}"/>
    <cellStyle name="40% - uthevingsfarge 3 27 4" xfId="9436" xr:uid="{00000000-0005-0000-0000-0000E7180000}"/>
    <cellStyle name="40% - uthevingsfarge 3 28" xfId="1630" xr:uid="{00000000-0005-0000-0000-0000E8180000}"/>
    <cellStyle name="40% - uthevingsfarge 3 28 2" xfId="1631" xr:uid="{00000000-0005-0000-0000-0000E9180000}"/>
    <cellStyle name="40% - uthevingsfarge 3 28 2 2" xfId="5736" xr:uid="{00000000-0005-0000-0000-0000EA180000}"/>
    <cellStyle name="40% - uthevingsfarge 3 28 2 2 2" xfId="8369" xr:uid="{00000000-0005-0000-0000-0000EB180000}"/>
    <cellStyle name="40% - uthevingsfarge 3 28 2 3" xfId="9435" xr:uid="{00000000-0005-0000-0000-0000EC180000}"/>
    <cellStyle name="40% - uthevingsfarge 3 28 3" xfId="5015" xr:uid="{00000000-0005-0000-0000-0000ED180000}"/>
    <cellStyle name="40% - uthevingsfarge 3 28 3 2" xfId="7668" xr:uid="{00000000-0005-0000-0000-0000EE180000}"/>
    <cellStyle name="40% - uthevingsfarge 3 28 4" xfId="10114" xr:uid="{00000000-0005-0000-0000-0000EF180000}"/>
    <cellStyle name="40% - uthevingsfarge 3 29" xfId="1632" xr:uid="{00000000-0005-0000-0000-0000F0180000}"/>
    <cellStyle name="40% - uthevingsfarge 3 29 2" xfId="1633" xr:uid="{00000000-0005-0000-0000-0000F1180000}"/>
    <cellStyle name="40% - uthevingsfarge 3 29 2 2" xfId="5737" xr:uid="{00000000-0005-0000-0000-0000F2180000}"/>
    <cellStyle name="40% - uthevingsfarge 3 29 2 2 2" xfId="8370" xr:uid="{00000000-0005-0000-0000-0000F3180000}"/>
    <cellStyle name="40% - uthevingsfarge 3 29 2 3" xfId="9434" xr:uid="{00000000-0005-0000-0000-0000F4180000}"/>
    <cellStyle name="40% - uthevingsfarge 3 29 3" xfId="5016" xr:uid="{00000000-0005-0000-0000-0000F5180000}"/>
    <cellStyle name="40% - uthevingsfarge 3 29 3 2" xfId="7669" xr:uid="{00000000-0005-0000-0000-0000F6180000}"/>
    <cellStyle name="40% - uthevingsfarge 3 29 4" xfId="9433" xr:uid="{00000000-0005-0000-0000-0000F7180000}"/>
    <cellStyle name="40% - uthevingsfarge 3 3" xfId="1634" xr:uid="{00000000-0005-0000-0000-0000F8180000}"/>
    <cellStyle name="40% - uthevingsfarge 3 3 2" xfId="1635" xr:uid="{00000000-0005-0000-0000-0000F9180000}"/>
    <cellStyle name="40% - uthevingsfarge 3 3 2 2" xfId="5738" xr:uid="{00000000-0005-0000-0000-0000FA180000}"/>
    <cellStyle name="40% - uthevingsfarge 3 3 2 2 2" xfId="8371" xr:uid="{00000000-0005-0000-0000-0000FB180000}"/>
    <cellStyle name="40% - uthevingsfarge 3 3 2 3" xfId="9432" xr:uid="{00000000-0005-0000-0000-0000FC180000}"/>
    <cellStyle name="40% - uthevingsfarge 3 3 3" xfId="5017" xr:uid="{00000000-0005-0000-0000-0000FD180000}"/>
    <cellStyle name="40% - uthevingsfarge 3 3 3 2" xfId="7670" xr:uid="{00000000-0005-0000-0000-0000FE180000}"/>
    <cellStyle name="40% - uthevingsfarge 3 3 4" xfId="9431" xr:uid="{00000000-0005-0000-0000-0000FF180000}"/>
    <cellStyle name="40% - uthevingsfarge 3 30" xfId="1636" xr:uid="{00000000-0005-0000-0000-000000190000}"/>
    <cellStyle name="40% - uthevingsfarge 3 30 2" xfId="1637" xr:uid="{00000000-0005-0000-0000-000001190000}"/>
    <cellStyle name="40% - uthevingsfarge 3 30 2 2" xfId="5739" xr:uid="{00000000-0005-0000-0000-000002190000}"/>
    <cellStyle name="40% - uthevingsfarge 3 30 2 2 2" xfId="8372" xr:uid="{00000000-0005-0000-0000-000003190000}"/>
    <cellStyle name="40% - uthevingsfarge 3 30 2 3" xfId="9430" xr:uid="{00000000-0005-0000-0000-000004190000}"/>
    <cellStyle name="40% - uthevingsfarge 3 30 3" xfId="5018" xr:uid="{00000000-0005-0000-0000-000005190000}"/>
    <cellStyle name="40% - uthevingsfarge 3 30 3 2" xfId="7671" xr:uid="{00000000-0005-0000-0000-000006190000}"/>
    <cellStyle name="40% - uthevingsfarge 3 30 4" xfId="9429" xr:uid="{00000000-0005-0000-0000-000007190000}"/>
    <cellStyle name="40% - uthevingsfarge 3 31" xfId="1638" xr:uid="{00000000-0005-0000-0000-000008190000}"/>
    <cellStyle name="40% - uthevingsfarge 3 31 2" xfId="1639" xr:uid="{00000000-0005-0000-0000-000009190000}"/>
    <cellStyle name="40% - uthevingsfarge 3 31 2 2" xfId="5740" xr:uid="{00000000-0005-0000-0000-00000A190000}"/>
    <cellStyle name="40% - uthevingsfarge 3 31 2 2 2" xfId="8373" xr:uid="{00000000-0005-0000-0000-00000B190000}"/>
    <cellStyle name="40% - uthevingsfarge 3 31 2 3" xfId="9428" xr:uid="{00000000-0005-0000-0000-00000C190000}"/>
    <cellStyle name="40% - uthevingsfarge 3 31 3" xfId="5019" xr:uid="{00000000-0005-0000-0000-00000D190000}"/>
    <cellStyle name="40% - uthevingsfarge 3 31 3 2" xfId="7672" xr:uid="{00000000-0005-0000-0000-00000E190000}"/>
    <cellStyle name="40% - uthevingsfarge 3 31 4" xfId="9427" xr:uid="{00000000-0005-0000-0000-00000F190000}"/>
    <cellStyle name="40% - uthevingsfarge 3 32" xfId="1640" xr:uid="{00000000-0005-0000-0000-000010190000}"/>
    <cellStyle name="40% - uthevingsfarge 3 32 2" xfId="1641" xr:uid="{00000000-0005-0000-0000-000011190000}"/>
    <cellStyle name="40% - uthevingsfarge 3 32 2 2" xfId="5741" xr:uid="{00000000-0005-0000-0000-000012190000}"/>
    <cellStyle name="40% - uthevingsfarge 3 32 2 2 2" xfId="8374" xr:uid="{00000000-0005-0000-0000-000013190000}"/>
    <cellStyle name="40% - uthevingsfarge 3 32 2 3" xfId="10191" xr:uid="{00000000-0005-0000-0000-000014190000}"/>
    <cellStyle name="40% - uthevingsfarge 3 32 3" xfId="5020" xr:uid="{00000000-0005-0000-0000-000015190000}"/>
    <cellStyle name="40% - uthevingsfarge 3 32 3 2" xfId="7673" xr:uid="{00000000-0005-0000-0000-000016190000}"/>
    <cellStyle name="40% - uthevingsfarge 3 32 4" xfId="9426" xr:uid="{00000000-0005-0000-0000-000017190000}"/>
    <cellStyle name="40% - uthevingsfarge 3 33" xfId="1642" xr:uid="{00000000-0005-0000-0000-000018190000}"/>
    <cellStyle name="40% - uthevingsfarge 3 33 2" xfId="1643" xr:uid="{00000000-0005-0000-0000-000019190000}"/>
    <cellStyle name="40% - uthevingsfarge 3 33 2 2" xfId="5742" xr:uid="{00000000-0005-0000-0000-00001A190000}"/>
    <cellStyle name="40% - uthevingsfarge 3 33 2 2 2" xfId="8375" xr:uid="{00000000-0005-0000-0000-00001B190000}"/>
    <cellStyle name="40% - uthevingsfarge 3 33 2 3" xfId="10190" xr:uid="{00000000-0005-0000-0000-00001C190000}"/>
    <cellStyle name="40% - uthevingsfarge 3 33 3" xfId="5021" xr:uid="{00000000-0005-0000-0000-00001D190000}"/>
    <cellStyle name="40% - uthevingsfarge 3 33 3 2" xfId="7674" xr:uid="{00000000-0005-0000-0000-00001E190000}"/>
    <cellStyle name="40% - uthevingsfarge 3 33 4" xfId="9425" xr:uid="{00000000-0005-0000-0000-00001F190000}"/>
    <cellStyle name="40% - uthevingsfarge 3 34" xfId="1644" xr:uid="{00000000-0005-0000-0000-000020190000}"/>
    <cellStyle name="40% - uthevingsfarge 3 34 2" xfId="1645" xr:uid="{00000000-0005-0000-0000-000021190000}"/>
    <cellStyle name="40% - uthevingsfarge 3 34 2 2" xfId="5743" xr:uid="{00000000-0005-0000-0000-000022190000}"/>
    <cellStyle name="40% - uthevingsfarge 3 34 2 2 2" xfId="8376" xr:uid="{00000000-0005-0000-0000-000023190000}"/>
    <cellStyle name="40% - uthevingsfarge 3 34 2 3" xfId="10189" xr:uid="{00000000-0005-0000-0000-000024190000}"/>
    <cellStyle name="40% - uthevingsfarge 3 34 3" xfId="5022" xr:uid="{00000000-0005-0000-0000-000025190000}"/>
    <cellStyle name="40% - uthevingsfarge 3 34 3 2" xfId="7675" xr:uid="{00000000-0005-0000-0000-000026190000}"/>
    <cellStyle name="40% - uthevingsfarge 3 34 4" xfId="9424" xr:uid="{00000000-0005-0000-0000-000027190000}"/>
    <cellStyle name="40% - uthevingsfarge 3 35" xfId="1646" xr:uid="{00000000-0005-0000-0000-000028190000}"/>
    <cellStyle name="40% - uthevingsfarge 3 35 2" xfId="1647" xr:uid="{00000000-0005-0000-0000-000029190000}"/>
    <cellStyle name="40% - uthevingsfarge 3 35 2 2" xfId="5744" xr:uid="{00000000-0005-0000-0000-00002A190000}"/>
    <cellStyle name="40% - uthevingsfarge 3 35 2 2 2" xfId="8377" xr:uid="{00000000-0005-0000-0000-00002B190000}"/>
    <cellStyle name="40% - uthevingsfarge 3 35 2 3" xfId="10188" xr:uid="{00000000-0005-0000-0000-00002C190000}"/>
    <cellStyle name="40% - uthevingsfarge 3 35 3" xfId="5023" xr:uid="{00000000-0005-0000-0000-00002D190000}"/>
    <cellStyle name="40% - uthevingsfarge 3 35 3 2" xfId="7676" xr:uid="{00000000-0005-0000-0000-00002E190000}"/>
    <cellStyle name="40% - uthevingsfarge 3 35 4" xfId="9423" xr:uid="{00000000-0005-0000-0000-00002F190000}"/>
    <cellStyle name="40% - uthevingsfarge 3 36" xfId="1648" xr:uid="{00000000-0005-0000-0000-000030190000}"/>
    <cellStyle name="40% - uthevingsfarge 3 36 2" xfId="1649" xr:uid="{00000000-0005-0000-0000-000031190000}"/>
    <cellStyle name="40% - uthevingsfarge 3 36 2 2" xfId="5745" xr:uid="{00000000-0005-0000-0000-000032190000}"/>
    <cellStyle name="40% - uthevingsfarge 3 36 2 2 2" xfId="8378" xr:uid="{00000000-0005-0000-0000-000033190000}"/>
    <cellStyle name="40% - uthevingsfarge 3 36 2 3" xfId="10187" xr:uid="{00000000-0005-0000-0000-000034190000}"/>
    <cellStyle name="40% - uthevingsfarge 3 36 3" xfId="5024" xr:uid="{00000000-0005-0000-0000-000035190000}"/>
    <cellStyle name="40% - uthevingsfarge 3 36 3 2" xfId="7677" xr:uid="{00000000-0005-0000-0000-000036190000}"/>
    <cellStyle name="40% - uthevingsfarge 3 36 4" xfId="9422" xr:uid="{00000000-0005-0000-0000-000037190000}"/>
    <cellStyle name="40% - uthevingsfarge 3 37" xfId="1650" xr:uid="{00000000-0005-0000-0000-000038190000}"/>
    <cellStyle name="40% - uthevingsfarge 3 37 2" xfId="1651" xr:uid="{00000000-0005-0000-0000-000039190000}"/>
    <cellStyle name="40% - uthevingsfarge 3 37 2 2" xfId="5746" xr:uid="{00000000-0005-0000-0000-00003A190000}"/>
    <cellStyle name="40% - uthevingsfarge 3 37 2 2 2" xfId="8379" xr:uid="{00000000-0005-0000-0000-00003B190000}"/>
    <cellStyle name="40% - uthevingsfarge 3 37 2 3" xfId="10186" xr:uid="{00000000-0005-0000-0000-00003C190000}"/>
    <cellStyle name="40% - uthevingsfarge 3 37 3" xfId="5025" xr:uid="{00000000-0005-0000-0000-00003D190000}"/>
    <cellStyle name="40% - uthevingsfarge 3 37 3 2" xfId="7678" xr:uid="{00000000-0005-0000-0000-00003E190000}"/>
    <cellStyle name="40% - uthevingsfarge 3 37 4" xfId="9421" xr:uid="{00000000-0005-0000-0000-00003F190000}"/>
    <cellStyle name="40% - uthevingsfarge 3 38" xfId="1652" xr:uid="{00000000-0005-0000-0000-000040190000}"/>
    <cellStyle name="40% - uthevingsfarge 3 38 2" xfId="1653" xr:uid="{00000000-0005-0000-0000-000041190000}"/>
    <cellStyle name="40% - uthevingsfarge 3 38 2 2" xfId="5747" xr:uid="{00000000-0005-0000-0000-000042190000}"/>
    <cellStyle name="40% - uthevingsfarge 3 38 2 2 2" xfId="8380" xr:uid="{00000000-0005-0000-0000-000043190000}"/>
    <cellStyle name="40% - uthevingsfarge 3 38 2 3" xfId="10185" xr:uid="{00000000-0005-0000-0000-000044190000}"/>
    <cellStyle name="40% - uthevingsfarge 3 38 3" xfId="5026" xr:uid="{00000000-0005-0000-0000-000045190000}"/>
    <cellStyle name="40% - uthevingsfarge 3 38 3 2" xfId="7679" xr:uid="{00000000-0005-0000-0000-000046190000}"/>
    <cellStyle name="40% - uthevingsfarge 3 38 4" xfId="9420" xr:uid="{00000000-0005-0000-0000-000047190000}"/>
    <cellStyle name="40% - uthevingsfarge 3 39" xfId="1654" xr:uid="{00000000-0005-0000-0000-000048190000}"/>
    <cellStyle name="40% - uthevingsfarge 3 39 2" xfId="1655" xr:uid="{00000000-0005-0000-0000-000049190000}"/>
    <cellStyle name="40% - uthevingsfarge 3 39 2 2" xfId="5748" xr:uid="{00000000-0005-0000-0000-00004A190000}"/>
    <cellStyle name="40% - uthevingsfarge 3 39 2 2 2" xfId="8381" xr:uid="{00000000-0005-0000-0000-00004B190000}"/>
    <cellStyle name="40% - uthevingsfarge 3 39 2 3" xfId="10184" xr:uid="{00000000-0005-0000-0000-00004C190000}"/>
    <cellStyle name="40% - uthevingsfarge 3 39 3" xfId="5027" xr:uid="{00000000-0005-0000-0000-00004D190000}"/>
    <cellStyle name="40% - uthevingsfarge 3 39 3 2" xfId="7680" xr:uid="{00000000-0005-0000-0000-00004E190000}"/>
    <cellStyle name="40% - uthevingsfarge 3 39 4" xfId="9419" xr:uid="{00000000-0005-0000-0000-00004F190000}"/>
    <cellStyle name="40% - uthevingsfarge 3 4" xfId="1656" xr:uid="{00000000-0005-0000-0000-000050190000}"/>
    <cellStyle name="40% - uthevingsfarge 3 4 2" xfId="1657" xr:uid="{00000000-0005-0000-0000-000051190000}"/>
    <cellStyle name="40% - uthevingsfarge 3 4 2 2" xfId="5749" xr:uid="{00000000-0005-0000-0000-000052190000}"/>
    <cellStyle name="40% - uthevingsfarge 3 4 2 2 2" xfId="8382" xr:uid="{00000000-0005-0000-0000-000053190000}"/>
    <cellStyle name="40% - uthevingsfarge 3 4 2 3" xfId="10183" xr:uid="{00000000-0005-0000-0000-000054190000}"/>
    <cellStyle name="40% - uthevingsfarge 3 4 3" xfId="5028" xr:uid="{00000000-0005-0000-0000-000055190000}"/>
    <cellStyle name="40% - uthevingsfarge 3 4 3 2" xfId="7681" xr:uid="{00000000-0005-0000-0000-000056190000}"/>
    <cellStyle name="40% - uthevingsfarge 3 4 4" xfId="9418" xr:uid="{00000000-0005-0000-0000-000057190000}"/>
    <cellStyle name="40% - uthevingsfarge 3 40" xfId="1658" xr:uid="{00000000-0005-0000-0000-000058190000}"/>
    <cellStyle name="40% - uthevingsfarge 3 40 2" xfId="1659" xr:uid="{00000000-0005-0000-0000-000059190000}"/>
    <cellStyle name="40% - uthevingsfarge 3 40 2 2" xfId="5750" xr:uid="{00000000-0005-0000-0000-00005A190000}"/>
    <cellStyle name="40% - uthevingsfarge 3 40 2 2 2" xfId="8383" xr:uid="{00000000-0005-0000-0000-00005B190000}"/>
    <cellStyle name="40% - uthevingsfarge 3 40 2 3" xfId="10182" xr:uid="{00000000-0005-0000-0000-00005C190000}"/>
    <cellStyle name="40% - uthevingsfarge 3 40 3" xfId="5029" xr:uid="{00000000-0005-0000-0000-00005D190000}"/>
    <cellStyle name="40% - uthevingsfarge 3 40 3 2" xfId="7682" xr:uid="{00000000-0005-0000-0000-00005E190000}"/>
    <cellStyle name="40% - uthevingsfarge 3 40 4" xfId="9417" xr:uid="{00000000-0005-0000-0000-00005F190000}"/>
    <cellStyle name="40% - uthevingsfarge 3 41" xfId="1660" xr:uid="{00000000-0005-0000-0000-000060190000}"/>
    <cellStyle name="40% - uthevingsfarge 3 41 2" xfId="1661" xr:uid="{00000000-0005-0000-0000-000061190000}"/>
    <cellStyle name="40% - uthevingsfarge 3 41 2 2" xfId="5751" xr:uid="{00000000-0005-0000-0000-000062190000}"/>
    <cellStyle name="40% - uthevingsfarge 3 41 2 2 2" xfId="8384" xr:uid="{00000000-0005-0000-0000-000063190000}"/>
    <cellStyle name="40% - uthevingsfarge 3 41 2 3" xfId="10181" xr:uid="{00000000-0005-0000-0000-000064190000}"/>
    <cellStyle name="40% - uthevingsfarge 3 41 3" xfId="5030" xr:uid="{00000000-0005-0000-0000-000065190000}"/>
    <cellStyle name="40% - uthevingsfarge 3 41 3 2" xfId="7683" xr:uid="{00000000-0005-0000-0000-000066190000}"/>
    <cellStyle name="40% - uthevingsfarge 3 41 4" xfId="9416" xr:uid="{00000000-0005-0000-0000-000067190000}"/>
    <cellStyle name="40% - uthevingsfarge 3 42" xfId="1662" xr:uid="{00000000-0005-0000-0000-000068190000}"/>
    <cellStyle name="40% - uthevingsfarge 3 42 2" xfId="1663" xr:uid="{00000000-0005-0000-0000-000069190000}"/>
    <cellStyle name="40% - uthevingsfarge 3 42 2 2" xfId="5752" xr:uid="{00000000-0005-0000-0000-00006A190000}"/>
    <cellStyle name="40% - uthevingsfarge 3 42 2 2 2" xfId="8385" xr:uid="{00000000-0005-0000-0000-00006B190000}"/>
    <cellStyle name="40% - uthevingsfarge 3 42 2 3" xfId="10180" xr:uid="{00000000-0005-0000-0000-00006C190000}"/>
    <cellStyle name="40% - uthevingsfarge 3 42 3" xfId="5031" xr:uid="{00000000-0005-0000-0000-00006D190000}"/>
    <cellStyle name="40% - uthevingsfarge 3 42 3 2" xfId="7684" xr:uid="{00000000-0005-0000-0000-00006E190000}"/>
    <cellStyle name="40% - uthevingsfarge 3 42 4" xfId="9415" xr:uid="{00000000-0005-0000-0000-00006F190000}"/>
    <cellStyle name="40% - uthevingsfarge 3 43" xfId="1664" xr:uid="{00000000-0005-0000-0000-000070190000}"/>
    <cellStyle name="40% - uthevingsfarge 3 43 2" xfId="1665" xr:uid="{00000000-0005-0000-0000-000071190000}"/>
    <cellStyle name="40% - uthevingsfarge 3 43 2 2" xfId="5753" xr:uid="{00000000-0005-0000-0000-000072190000}"/>
    <cellStyle name="40% - uthevingsfarge 3 43 2 2 2" xfId="8386" xr:uid="{00000000-0005-0000-0000-000073190000}"/>
    <cellStyle name="40% - uthevingsfarge 3 43 2 3" xfId="10179" xr:uid="{00000000-0005-0000-0000-000074190000}"/>
    <cellStyle name="40% - uthevingsfarge 3 43 3" xfId="5032" xr:uid="{00000000-0005-0000-0000-000075190000}"/>
    <cellStyle name="40% - uthevingsfarge 3 43 3 2" xfId="7685" xr:uid="{00000000-0005-0000-0000-000076190000}"/>
    <cellStyle name="40% - uthevingsfarge 3 43 4" xfId="9414" xr:uid="{00000000-0005-0000-0000-000077190000}"/>
    <cellStyle name="40% - uthevingsfarge 3 44" xfId="1666" xr:uid="{00000000-0005-0000-0000-000078190000}"/>
    <cellStyle name="40% - uthevingsfarge 3 44 2" xfId="1667" xr:uid="{00000000-0005-0000-0000-000079190000}"/>
    <cellStyle name="40% - uthevingsfarge 3 44 2 2" xfId="5754" xr:uid="{00000000-0005-0000-0000-00007A190000}"/>
    <cellStyle name="40% - uthevingsfarge 3 44 2 2 2" xfId="8387" xr:uid="{00000000-0005-0000-0000-00007B190000}"/>
    <cellStyle name="40% - uthevingsfarge 3 44 2 3" xfId="10178" xr:uid="{00000000-0005-0000-0000-00007C190000}"/>
    <cellStyle name="40% - uthevingsfarge 3 44 3" xfId="5033" xr:uid="{00000000-0005-0000-0000-00007D190000}"/>
    <cellStyle name="40% - uthevingsfarge 3 44 3 2" xfId="7686" xr:uid="{00000000-0005-0000-0000-00007E190000}"/>
    <cellStyle name="40% - uthevingsfarge 3 44 4" xfId="9413" xr:uid="{00000000-0005-0000-0000-00007F190000}"/>
    <cellStyle name="40% - uthevingsfarge 3 45" xfId="1668" xr:uid="{00000000-0005-0000-0000-000080190000}"/>
    <cellStyle name="40% - uthevingsfarge 3 45 2" xfId="1669" xr:uid="{00000000-0005-0000-0000-000081190000}"/>
    <cellStyle name="40% - uthevingsfarge 3 45 2 2" xfId="5755" xr:uid="{00000000-0005-0000-0000-000082190000}"/>
    <cellStyle name="40% - uthevingsfarge 3 45 2 2 2" xfId="8388" xr:uid="{00000000-0005-0000-0000-000083190000}"/>
    <cellStyle name="40% - uthevingsfarge 3 45 2 3" xfId="10177" xr:uid="{00000000-0005-0000-0000-000084190000}"/>
    <cellStyle name="40% - uthevingsfarge 3 45 3" xfId="5034" xr:uid="{00000000-0005-0000-0000-000085190000}"/>
    <cellStyle name="40% - uthevingsfarge 3 45 3 2" xfId="7687" xr:uid="{00000000-0005-0000-0000-000086190000}"/>
    <cellStyle name="40% - uthevingsfarge 3 45 4" xfId="9412" xr:uid="{00000000-0005-0000-0000-000087190000}"/>
    <cellStyle name="40% - uthevingsfarge 3 46" xfId="1670" xr:uid="{00000000-0005-0000-0000-000088190000}"/>
    <cellStyle name="40% - uthevingsfarge 3 46 2" xfId="1671" xr:uid="{00000000-0005-0000-0000-000089190000}"/>
    <cellStyle name="40% - uthevingsfarge 3 46 2 2" xfId="5756" xr:uid="{00000000-0005-0000-0000-00008A190000}"/>
    <cellStyle name="40% - uthevingsfarge 3 46 2 2 2" xfId="8389" xr:uid="{00000000-0005-0000-0000-00008B190000}"/>
    <cellStyle name="40% - uthevingsfarge 3 46 2 3" xfId="10176" xr:uid="{00000000-0005-0000-0000-00008C190000}"/>
    <cellStyle name="40% - uthevingsfarge 3 46 3" xfId="5035" xr:uid="{00000000-0005-0000-0000-00008D190000}"/>
    <cellStyle name="40% - uthevingsfarge 3 46 3 2" xfId="7688" xr:uid="{00000000-0005-0000-0000-00008E190000}"/>
    <cellStyle name="40% - uthevingsfarge 3 46 4" xfId="9411" xr:uid="{00000000-0005-0000-0000-00008F190000}"/>
    <cellStyle name="40% - uthevingsfarge 3 47" xfId="1672" xr:uid="{00000000-0005-0000-0000-000090190000}"/>
    <cellStyle name="40% - uthevingsfarge 3 47 2" xfId="1673" xr:uid="{00000000-0005-0000-0000-000091190000}"/>
    <cellStyle name="40% - uthevingsfarge 3 47 2 2" xfId="5757" xr:uid="{00000000-0005-0000-0000-000092190000}"/>
    <cellStyle name="40% - uthevingsfarge 3 47 2 2 2" xfId="8390" xr:uid="{00000000-0005-0000-0000-000093190000}"/>
    <cellStyle name="40% - uthevingsfarge 3 47 2 3" xfId="10175" xr:uid="{00000000-0005-0000-0000-000094190000}"/>
    <cellStyle name="40% - uthevingsfarge 3 47 3" xfId="5036" xr:uid="{00000000-0005-0000-0000-000095190000}"/>
    <cellStyle name="40% - uthevingsfarge 3 47 3 2" xfId="7689" xr:uid="{00000000-0005-0000-0000-000096190000}"/>
    <cellStyle name="40% - uthevingsfarge 3 47 4" xfId="9410" xr:uid="{00000000-0005-0000-0000-000097190000}"/>
    <cellStyle name="40% - uthevingsfarge 3 48" xfId="1674" xr:uid="{00000000-0005-0000-0000-000098190000}"/>
    <cellStyle name="40% - uthevingsfarge 3 48 2" xfId="1675" xr:uid="{00000000-0005-0000-0000-000099190000}"/>
    <cellStyle name="40% - uthevingsfarge 3 48 2 2" xfId="5758" xr:uid="{00000000-0005-0000-0000-00009A190000}"/>
    <cellStyle name="40% - uthevingsfarge 3 48 2 2 2" xfId="8391" xr:uid="{00000000-0005-0000-0000-00009B190000}"/>
    <cellStyle name="40% - uthevingsfarge 3 48 2 3" xfId="10174" xr:uid="{00000000-0005-0000-0000-00009C190000}"/>
    <cellStyle name="40% - uthevingsfarge 3 48 3" xfId="5037" xr:uid="{00000000-0005-0000-0000-00009D190000}"/>
    <cellStyle name="40% - uthevingsfarge 3 48 3 2" xfId="7690" xr:uid="{00000000-0005-0000-0000-00009E190000}"/>
    <cellStyle name="40% - uthevingsfarge 3 48 4" xfId="9409" xr:uid="{00000000-0005-0000-0000-00009F190000}"/>
    <cellStyle name="40% - uthevingsfarge 3 49" xfId="1676" xr:uid="{00000000-0005-0000-0000-0000A0190000}"/>
    <cellStyle name="40% - uthevingsfarge 3 49 2" xfId="1677" xr:uid="{00000000-0005-0000-0000-0000A1190000}"/>
    <cellStyle name="40% - uthevingsfarge 3 49 2 2" xfId="5759" xr:uid="{00000000-0005-0000-0000-0000A2190000}"/>
    <cellStyle name="40% - uthevingsfarge 3 49 2 2 2" xfId="8392" xr:uid="{00000000-0005-0000-0000-0000A3190000}"/>
    <cellStyle name="40% - uthevingsfarge 3 49 2 3" xfId="10173" xr:uid="{00000000-0005-0000-0000-0000A4190000}"/>
    <cellStyle name="40% - uthevingsfarge 3 49 3" xfId="5038" xr:uid="{00000000-0005-0000-0000-0000A5190000}"/>
    <cellStyle name="40% - uthevingsfarge 3 49 3 2" xfId="7691" xr:uid="{00000000-0005-0000-0000-0000A6190000}"/>
    <cellStyle name="40% - uthevingsfarge 3 49 4" xfId="9408" xr:uid="{00000000-0005-0000-0000-0000A7190000}"/>
    <cellStyle name="40% - uthevingsfarge 3 5" xfId="1678" xr:uid="{00000000-0005-0000-0000-0000A8190000}"/>
    <cellStyle name="40% - uthevingsfarge 3 5 2" xfId="1679" xr:uid="{00000000-0005-0000-0000-0000A9190000}"/>
    <cellStyle name="40% - uthevingsfarge 3 5 2 2" xfId="5760" xr:uid="{00000000-0005-0000-0000-0000AA190000}"/>
    <cellStyle name="40% - uthevingsfarge 3 5 2 2 2" xfId="8393" xr:uid="{00000000-0005-0000-0000-0000AB190000}"/>
    <cellStyle name="40% - uthevingsfarge 3 5 2 3" xfId="10172" xr:uid="{00000000-0005-0000-0000-0000AC190000}"/>
    <cellStyle name="40% - uthevingsfarge 3 5 3" xfId="5039" xr:uid="{00000000-0005-0000-0000-0000AD190000}"/>
    <cellStyle name="40% - uthevingsfarge 3 5 3 2" xfId="7692" xr:uid="{00000000-0005-0000-0000-0000AE190000}"/>
    <cellStyle name="40% - uthevingsfarge 3 5 4" xfId="9407" xr:uid="{00000000-0005-0000-0000-0000AF190000}"/>
    <cellStyle name="40% - uthevingsfarge 3 50" xfId="1680" xr:uid="{00000000-0005-0000-0000-0000B0190000}"/>
    <cellStyle name="40% - uthevingsfarge 3 50 2" xfId="1681" xr:uid="{00000000-0005-0000-0000-0000B1190000}"/>
    <cellStyle name="40% - uthevingsfarge 3 50 2 2" xfId="5761" xr:uid="{00000000-0005-0000-0000-0000B2190000}"/>
    <cellStyle name="40% - uthevingsfarge 3 50 2 2 2" xfId="8394" xr:uid="{00000000-0005-0000-0000-0000B3190000}"/>
    <cellStyle name="40% - uthevingsfarge 3 50 2 3" xfId="10171" xr:uid="{00000000-0005-0000-0000-0000B4190000}"/>
    <cellStyle name="40% - uthevingsfarge 3 50 3" xfId="5040" xr:uid="{00000000-0005-0000-0000-0000B5190000}"/>
    <cellStyle name="40% - uthevingsfarge 3 50 3 2" xfId="7693" xr:uid="{00000000-0005-0000-0000-0000B6190000}"/>
    <cellStyle name="40% - uthevingsfarge 3 50 4" xfId="9406" xr:uid="{00000000-0005-0000-0000-0000B7190000}"/>
    <cellStyle name="40% - uthevingsfarge 3 51" xfId="1682" xr:uid="{00000000-0005-0000-0000-0000B8190000}"/>
    <cellStyle name="40% - uthevingsfarge 3 51 2" xfId="1683" xr:uid="{00000000-0005-0000-0000-0000B9190000}"/>
    <cellStyle name="40% - uthevingsfarge 3 51 2 2" xfId="5762" xr:uid="{00000000-0005-0000-0000-0000BA190000}"/>
    <cellStyle name="40% - uthevingsfarge 3 51 2 2 2" xfId="8395" xr:uid="{00000000-0005-0000-0000-0000BB190000}"/>
    <cellStyle name="40% - uthevingsfarge 3 51 2 3" xfId="10170" xr:uid="{00000000-0005-0000-0000-0000BC190000}"/>
    <cellStyle name="40% - uthevingsfarge 3 51 3" xfId="5041" xr:uid="{00000000-0005-0000-0000-0000BD190000}"/>
    <cellStyle name="40% - uthevingsfarge 3 51 3 2" xfId="7694" xr:uid="{00000000-0005-0000-0000-0000BE190000}"/>
    <cellStyle name="40% - uthevingsfarge 3 51 4" xfId="9405" xr:uid="{00000000-0005-0000-0000-0000BF190000}"/>
    <cellStyle name="40% - uthevingsfarge 3 52" xfId="1684" xr:uid="{00000000-0005-0000-0000-0000C0190000}"/>
    <cellStyle name="40% - uthevingsfarge 3 52 2" xfId="1685" xr:uid="{00000000-0005-0000-0000-0000C1190000}"/>
    <cellStyle name="40% - uthevingsfarge 3 52 2 2" xfId="5763" xr:uid="{00000000-0005-0000-0000-0000C2190000}"/>
    <cellStyle name="40% - uthevingsfarge 3 52 2 2 2" xfId="8396" xr:uid="{00000000-0005-0000-0000-0000C3190000}"/>
    <cellStyle name="40% - uthevingsfarge 3 52 2 3" xfId="10169" xr:uid="{00000000-0005-0000-0000-0000C4190000}"/>
    <cellStyle name="40% - uthevingsfarge 3 52 3" xfId="5042" xr:uid="{00000000-0005-0000-0000-0000C5190000}"/>
    <cellStyle name="40% - uthevingsfarge 3 52 3 2" xfId="7695" xr:uid="{00000000-0005-0000-0000-0000C6190000}"/>
    <cellStyle name="40% - uthevingsfarge 3 52 4" xfId="9404" xr:uid="{00000000-0005-0000-0000-0000C7190000}"/>
    <cellStyle name="40% - uthevingsfarge 3 53" xfId="1686" xr:uid="{00000000-0005-0000-0000-0000C8190000}"/>
    <cellStyle name="40% - uthevingsfarge 3 53 2" xfId="1687" xr:uid="{00000000-0005-0000-0000-0000C9190000}"/>
    <cellStyle name="40% - uthevingsfarge 3 53 2 2" xfId="5764" xr:uid="{00000000-0005-0000-0000-0000CA190000}"/>
    <cellStyle name="40% - uthevingsfarge 3 53 2 2 2" xfId="8397" xr:uid="{00000000-0005-0000-0000-0000CB190000}"/>
    <cellStyle name="40% - uthevingsfarge 3 53 2 3" xfId="10168" xr:uid="{00000000-0005-0000-0000-0000CC190000}"/>
    <cellStyle name="40% - uthevingsfarge 3 53 3" xfId="5043" xr:uid="{00000000-0005-0000-0000-0000CD190000}"/>
    <cellStyle name="40% - uthevingsfarge 3 53 3 2" xfId="7696" xr:uid="{00000000-0005-0000-0000-0000CE190000}"/>
    <cellStyle name="40% - uthevingsfarge 3 53 4" xfId="9403" xr:uid="{00000000-0005-0000-0000-0000CF190000}"/>
    <cellStyle name="40% - uthevingsfarge 3 54" xfId="1688" xr:uid="{00000000-0005-0000-0000-0000D0190000}"/>
    <cellStyle name="40% - uthevingsfarge 3 54 2" xfId="1689" xr:uid="{00000000-0005-0000-0000-0000D1190000}"/>
    <cellStyle name="40% - uthevingsfarge 3 54 2 2" xfId="5765" xr:uid="{00000000-0005-0000-0000-0000D2190000}"/>
    <cellStyle name="40% - uthevingsfarge 3 54 2 2 2" xfId="8398" xr:uid="{00000000-0005-0000-0000-0000D3190000}"/>
    <cellStyle name="40% - uthevingsfarge 3 54 2 3" xfId="10167" xr:uid="{00000000-0005-0000-0000-0000D4190000}"/>
    <cellStyle name="40% - uthevingsfarge 3 54 3" xfId="5044" xr:uid="{00000000-0005-0000-0000-0000D5190000}"/>
    <cellStyle name="40% - uthevingsfarge 3 54 3 2" xfId="7697" xr:uid="{00000000-0005-0000-0000-0000D6190000}"/>
    <cellStyle name="40% - uthevingsfarge 3 54 4" xfId="9402" xr:uid="{00000000-0005-0000-0000-0000D7190000}"/>
    <cellStyle name="40% - uthevingsfarge 3 55" xfId="1690" xr:uid="{00000000-0005-0000-0000-0000D8190000}"/>
    <cellStyle name="40% - uthevingsfarge 3 55 2" xfId="1691" xr:uid="{00000000-0005-0000-0000-0000D9190000}"/>
    <cellStyle name="40% - uthevingsfarge 3 55 2 2" xfId="5766" xr:uid="{00000000-0005-0000-0000-0000DA190000}"/>
    <cellStyle name="40% - uthevingsfarge 3 55 2 2 2" xfId="8399" xr:uid="{00000000-0005-0000-0000-0000DB190000}"/>
    <cellStyle name="40% - uthevingsfarge 3 55 2 3" xfId="10166" xr:uid="{00000000-0005-0000-0000-0000DC190000}"/>
    <cellStyle name="40% - uthevingsfarge 3 55 3" xfId="5045" xr:uid="{00000000-0005-0000-0000-0000DD190000}"/>
    <cellStyle name="40% - uthevingsfarge 3 55 3 2" xfId="7698" xr:uid="{00000000-0005-0000-0000-0000DE190000}"/>
    <cellStyle name="40% - uthevingsfarge 3 55 4" xfId="9401" xr:uid="{00000000-0005-0000-0000-0000DF190000}"/>
    <cellStyle name="40% - uthevingsfarge 3 56" xfId="1692" xr:uid="{00000000-0005-0000-0000-0000E0190000}"/>
    <cellStyle name="40% - uthevingsfarge 3 56 2" xfId="1693" xr:uid="{00000000-0005-0000-0000-0000E1190000}"/>
    <cellStyle name="40% - uthevingsfarge 3 56 2 2" xfId="5767" xr:uid="{00000000-0005-0000-0000-0000E2190000}"/>
    <cellStyle name="40% - uthevingsfarge 3 56 2 2 2" xfId="8400" xr:uid="{00000000-0005-0000-0000-0000E3190000}"/>
    <cellStyle name="40% - uthevingsfarge 3 56 2 3" xfId="10165" xr:uid="{00000000-0005-0000-0000-0000E4190000}"/>
    <cellStyle name="40% - uthevingsfarge 3 56 3" xfId="5046" xr:uid="{00000000-0005-0000-0000-0000E5190000}"/>
    <cellStyle name="40% - uthevingsfarge 3 56 3 2" xfId="7699" xr:uid="{00000000-0005-0000-0000-0000E6190000}"/>
    <cellStyle name="40% - uthevingsfarge 3 56 4" xfId="9400" xr:uid="{00000000-0005-0000-0000-0000E7190000}"/>
    <cellStyle name="40% - uthevingsfarge 3 57" xfId="1694" xr:uid="{00000000-0005-0000-0000-0000E8190000}"/>
    <cellStyle name="40% - uthevingsfarge 3 57 2" xfId="1695" xr:uid="{00000000-0005-0000-0000-0000E9190000}"/>
    <cellStyle name="40% - uthevingsfarge 3 57 2 2" xfId="5768" xr:uid="{00000000-0005-0000-0000-0000EA190000}"/>
    <cellStyle name="40% - uthevingsfarge 3 57 2 2 2" xfId="8401" xr:uid="{00000000-0005-0000-0000-0000EB190000}"/>
    <cellStyle name="40% - uthevingsfarge 3 57 2 3" xfId="10164" xr:uid="{00000000-0005-0000-0000-0000EC190000}"/>
    <cellStyle name="40% - uthevingsfarge 3 57 3" xfId="5047" xr:uid="{00000000-0005-0000-0000-0000ED190000}"/>
    <cellStyle name="40% - uthevingsfarge 3 57 3 2" xfId="7700" xr:uid="{00000000-0005-0000-0000-0000EE190000}"/>
    <cellStyle name="40% - uthevingsfarge 3 57 4" xfId="9399" xr:uid="{00000000-0005-0000-0000-0000EF190000}"/>
    <cellStyle name="40% - uthevingsfarge 3 58" xfId="1696" xr:uid="{00000000-0005-0000-0000-0000F0190000}"/>
    <cellStyle name="40% - uthevingsfarge 3 58 2" xfId="1697" xr:uid="{00000000-0005-0000-0000-0000F1190000}"/>
    <cellStyle name="40% - uthevingsfarge 3 58 2 2" xfId="5769" xr:uid="{00000000-0005-0000-0000-0000F2190000}"/>
    <cellStyle name="40% - uthevingsfarge 3 58 2 2 2" xfId="8402" xr:uid="{00000000-0005-0000-0000-0000F3190000}"/>
    <cellStyle name="40% - uthevingsfarge 3 58 2 3" xfId="10163" xr:uid="{00000000-0005-0000-0000-0000F4190000}"/>
    <cellStyle name="40% - uthevingsfarge 3 58 3" xfId="5048" xr:uid="{00000000-0005-0000-0000-0000F5190000}"/>
    <cellStyle name="40% - uthevingsfarge 3 58 3 2" xfId="7701" xr:uid="{00000000-0005-0000-0000-0000F6190000}"/>
    <cellStyle name="40% - uthevingsfarge 3 58 4" xfId="9398" xr:uid="{00000000-0005-0000-0000-0000F7190000}"/>
    <cellStyle name="40% - uthevingsfarge 3 59" xfId="1698" xr:uid="{00000000-0005-0000-0000-0000F8190000}"/>
    <cellStyle name="40% - uthevingsfarge 3 59 2" xfId="1699" xr:uid="{00000000-0005-0000-0000-0000F9190000}"/>
    <cellStyle name="40% - uthevingsfarge 3 59 2 2" xfId="5770" xr:uid="{00000000-0005-0000-0000-0000FA190000}"/>
    <cellStyle name="40% - uthevingsfarge 3 59 2 2 2" xfId="8403" xr:uid="{00000000-0005-0000-0000-0000FB190000}"/>
    <cellStyle name="40% - uthevingsfarge 3 59 2 3" xfId="10162" xr:uid="{00000000-0005-0000-0000-0000FC190000}"/>
    <cellStyle name="40% - uthevingsfarge 3 59 3" xfId="5049" xr:uid="{00000000-0005-0000-0000-0000FD190000}"/>
    <cellStyle name="40% - uthevingsfarge 3 59 3 2" xfId="7702" xr:uid="{00000000-0005-0000-0000-0000FE190000}"/>
    <cellStyle name="40% - uthevingsfarge 3 59 4" xfId="9397" xr:uid="{00000000-0005-0000-0000-0000FF190000}"/>
    <cellStyle name="40% - uthevingsfarge 3 6" xfId="1700" xr:uid="{00000000-0005-0000-0000-0000001A0000}"/>
    <cellStyle name="40% - uthevingsfarge 3 6 2" xfId="1701" xr:uid="{00000000-0005-0000-0000-0000011A0000}"/>
    <cellStyle name="40% - uthevingsfarge 3 6 2 2" xfId="5771" xr:uid="{00000000-0005-0000-0000-0000021A0000}"/>
    <cellStyle name="40% - uthevingsfarge 3 6 2 2 2" xfId="8404" xr:uid="{00000000-0005-0000-0000-0000031A0000}"/>
    <cellStyle name="40% - uthevingsfarge 3 6 2 3" xfId="10161" xr:uid="{00000000-0005-0000-0000-0000041A0000}"/>
    <cellStyle name="40% - uthevingsfarge 3 6 3" xfId="5050" xr:uid="{00000000-0005-0000-0000-0000051A0000}"/>
    <cellStyle name="40% - uthevingsfarge 3 6 3 2" xfId="7703" xr:uid="{00000000-0005-0000-0000-0000061A0000}"/>
    <cellStyle name="40% - uthevingsfarge 3 6 4" xfId="9396" xr:uid="{00000000-0005-0000-0000-0000071A0000}"/>
    <cellStyle name="40% - uthevingsfarge 3 60" xfId="1702" xr:uid="{00000000-0005-0000-0000-0000081A0000}"/>
    <cellStyle name="40% - uthevingsfarge 3 60 2" xfId="1703" xr:uid="{00000000-0005-0000-0000-0000091A0000}"/>
    <cellStyle name="40% - uthevingsfarge 3 60 3" xfId="10547" xr:uid="{00000000-0005-0000-0000-00000A1A0000}"/>
    <cellStyle name="40% - uthevingsfarge 3 61" xfId="1704" xr:uid="{00000000-0005-0000-0000-00000B1A0000}"/>
    <cellStyle name="40% - uthevingsfarge 3 61 2" xfId="1705" xr:uid="{00000000-0005-0000-0000-00000C1A0000}"/>
    <cellStyle name="40% - uthevingsfarge 3 62" xfId="1706" xr:uid="{00000000-0005-0000-0000-00000D1A0000}"/>
    <cellStyle name="40% - uthevingsfarge 3 62 2" xfId="1707" xr:uid="{00000000-0005-0000-0000-00000E1A0000}"/>
    <cellStyle name="40% - uthevingsfarge 3 63" xfId="1708" xr:uid="{00000000-0005-0000-0000-00000F1A0000}"/>
    <cellStyle name="40% - uthevingsfarge 3 63 2" xfId="1709" xr:uid="{00000000-0005-0000-0000-0000101A0000}"/>
    <cellStyle name="40% - uthevingsfarge 3 64" xfId="1710" xr:uid="{00000000-0005-0000-0000-0000111A0000}"/>
    <cellStyle name="40% - uthevingsfarge 3 64 2" xfId="1711" xr:uid="{00000000-0005-0000-0000-0000121A0000}"/>
    <cellStyle name="40% - uthevingsfarge 3 65" xfId="1712" xr:uid="{00000000-0005-0000-0000-0000131A0000}"/>
    <cellStyle name="40% - uthevingsfarge 3 65 2" xfId="1713" xr:uid="{00000000-0005-0000-0000-0000141A0000}"/>
    <cellStyle name="40% - uthevingsfarge 3 66" xfId="1714" xr:uid="{00000000-0005-0000-0000-0000151A0000}"/>
    <cellStyle name="40% - uthevingsfarge 3 66 2" xfId="1715" xr:uid="{00000000-0005-0000-0000-0000161A0000}"/>
    <cellStyle name="40% - uthevingsfarge 3 67" xfId="1716" xr:uid="{00000000-0005-0000-0000-0000171A0000}"/>
    <cellStyle name="40% - uthevingsfarge 3 67 2" xfId="1717" xr:uid="{00000000-0005-0000-0000-0000181A0000}"/>
    <cellStyle name="40% - uthevingsfarge 3 68" xfId="1718" xr:uid="{00000000-0005-0000-0000-0000191A0000}"/>
    <cellStyle name="40% - uthevingsfarge 3 68 2" xfId="1719" xr:uid="{00000000-0005-0000-0000-00001A1A0000}"/>
    <cellStyle name="40% - uthevingsfarge 3 69" xfId="1720" xr:uid="{00000000-0005-0000-0000-00001B1A0000}"/>
    <cellStyle name="40% - uthevingsfarge 3 69 2" xfId="1721" xr:uid="{00000000-0005-0000-0000-00001C1A0000}"/>
    <cellStyle name="40% - uthevingsfarge 3 7" xfId="1722" xr:uid="{00000000-0005-0000-0000-00001D1A0000}"/>
    <cellStyle name="40% - uthevingsfarge 3 7 2" xfId="1723" xr:uid="{00000000-0005-0000-0000-00001E1A0000}"/>
    <cellStyle name="40% - uthevingsfarge 3 7 2 2" xfId="5772" xr:uid="{00000000-0005-0000-0000-00001F1A0000}"/>
    <cellStyle name="40% - uthevingsfarge 3 7 2 2 2" xfId="8405" xr:uid="{00000000-0005-0000-0000-0000201A0000}"/>
    <cellStyle name="40% - uthevingsfarge 3 7 2 3" xfId="9395" xr:uid="{00000000-0005-0000-0000-0000211A0000}"/>
    <cellStyle name="40% - uthevingsfarge 3 7 3" xfId="5051" xr:uid="{00000000-0005-0000-0000-0000221A0000}"/>
    <cellStyle name="40% - uthevingsfarge 3 7 3 2" xfId="7704" xr:uid="{00000000-0005-0000-0000-0000231A0000}"/>
    <cellStyle name="40% - uthevingsfarge 3 7 4" xfId="10546" xr:uid="{00000000-0005-0000-0000-0000241A0000}"/>
    <cellStyle name="40% - uthevingsfarge 3 70" xfId="1724" xr:uid="{00000000-0005-0000-0000-0000251A0000}"/>
    <cellStyle name="40% - uthevingsfarge 3 70 2" xfId="1725" xr:uid="{00000000-0005-0000-0000-0000261A0000}"/>
    <cellStyle name="40% - uthevingsfarge 3 71" xfId="1726" xr:uid="{00000000-0005-0000-0000-0000271A0000}"/>
    <cellStyle name="40% - uthevingsfarge 3 71 2" xfId="1727" xr:uid="{00000000-0005-0000-0000-0000281A0000}"/>
    <cellStyle name="40% - uthevingsfarge 3 72" xfId="1728" xr:uid="{00000000-0005-0000-0000-0000291A0000}"/>
    <cellStyle name="40% - uthevingsfarge 3 72 2" xfId="1729" xr:uid="{00000000-0005-0000-0000-00002A1A0000}"/>
    <cellStyle name="40% - uthevingsfarge 3 73" xfId="1730" xr:uid="{00000000-0005-0000-0000-00002B1A0000}"/>
    <cellStyle name="40% - uthevingsfarge 3 73 2" xfId="1731" xr:uid="{00000000-0005-0000-0000-00002C1A0000}"/>
    <cellStyle name="40% - uthevingsfarge 3 74" xfId="1732" xr:uid="{00000000-0005-0000-0000-00002D1A0000}"/>
    <cellStyle name="40% - uthevingsfarge 3 74 2" xfId="1733" xr:uid="{00000000-0005-0000-0000-00002E1A0000}"/>
    <cellStyle name="40% - uthevingsfarge 3 75" xfId="1734" xr:uid="{00000000-0005-0000-0000-00002F1A0000}"/>
    <cellStyle name="40% - uthevingsfarge 3 75 2" xfId="1735" xr:uid="{00000000-0005-0000-0000-0000301A0000}"/>
    <cellStyle name="40% - uthevingsfarge 3 76" xfId="1736" xr:uid="{00000000-0005-0000-0000-0000311A0000}"/>
    <cellStyle name="40% - uthevingsfarge 3 76 2" xfId="1737" xr:uid="{00000000-0005-0000-0000-0000321A0000}"/>
    <cellStyle name="40% - uthevingsfarge 3 77" xfId="1738" xr:uid="{00000000-0005-0000-0000-0000331A0000}"/>
    <cellStyle name="40% - uthevingsfarge 3 78" xfId="1739" xr:uid="{00000000-0005-0000-0000-0000341A0000}"/>
    <cellStyle name="40% - uthevingsfarge 3 79" xfId="1740" xr:uid="{00000000-0005-0000-0000-0000351A0000}"/>
    <cellStyle name="40% - uthevingsfarge 3 8" xfId="1741" xr:uid="{00000000-0005-0000-0000-0000361A0000}"/>
    <cellStyle name="40% - uthevingsfarge 3 8 2" xfId="1742" xr:uid="{00000000-0005-0000-0000-0000371A0000}"/>
    <cellStyle name="40% - uthevingsfarge 3 8 2 2" xfId="5773" xr:uid="{00000000-0005-0000-0000-0000381A0000}"/>
    <cellStyle name="40% - uthevingsfarge 3 8 2 2 2" xfId="8406" xr:uid="{00000000-0005-0000-0000-0000391A0000}"/>
    <cellStyle name="40% - uthevingsfarge 3 8 2 3" xfId="9394" xr:uid="{00000000-0005-0000-0000-00003A1A0000}"/>
    <cellStyle name="40% - uthevingsfarge 3 8 3" xfId="5052" xr:uid="{00000000-0005-0000-0000-00003B1A0000}"/>
    <cellStyle name="40% - uthevingsfarge 3 8 3 2" xfId="7705" xr:uid="{00000000-0005-0000-0000-00003C1A0000}"/>
    <cellStyle name="40% - uthevingsfarge 3 8 4" xfId="10545" xr:uid="{00000000-0005-0000-0000-00003D1A0000}"/>
    <cellStyle name="40% - uthevingsfarge 3 80" xfId="1743" xr:uid="{00000000-0005-0000-0000-00003E1A0000}"/>
    <cellStyle name="40% - uthevingsfarge 3 81" xfId="1744" xr:uid="{00000000-0005-0000-0000-00003F1A0000}"/>
    <cellStyle name="40% - uthevingsfarge 3 82" xfId="1745" xr:uid="{00000000-0005-0000-0000-0000401A0000}"/>
    <cellStyle name="40% - uthevingsfarge 3 83" xfId="1746" xr:uid="{00000000-0005-0000-0000-0000411A0000}"/>
    <cellStyle name="40% - uthevingsfarge 3 84" xfId="1747" xr:uid="{00000000-0005-0000-0000-0000421A0000}"/>
    <cellStyle name="40% - uthevingsfarge 3 85" xfId="1748" xr:uid="{00000000-0005-0000-0000-0000431A0000}"/>
    <cellStyle name="40% - uthevingsfarge 3 86" xfId="1749" xr:uid="{00000000-0005-0000-0000-0000441A0000}"/>
    <cellStyle name="40% - uthevingsfarge 3 87" xfId="1750" xr:uid="{00000000-0005-0000-0000-0000451A0000}"/>
    <cellStyle name="40% - uthevingsfarge 3 88" xfId="1751" xr:uid="{00000000-0005-0000-0000-0000461A0000}"/>
    <cellStyle name="40% - uthevingsfarge 3 89" xfId="1752" xr:uid="{00000000-0005-0000-0000-0000471A0000}"/>
    <cellStyle name="40% - uthevingsfarge 3 9" xfId="1753" xr:uid="{00000000-0005-0000-0000-0000481A0000}"/>
    <cellStyle name="40% - uthevingsfarge 3 9 2" xfId="1754" xr:uid="{00000000-0005-0000-0000-0000491A0000}"/>
    <cellStyle name="40% - uthevingsfarge 3 9 2 2" xfId="5774" xr:uid="{00000000-0005-0000-0000-00004A1A0000}"/>
    <cellStyle name="40% - uthevingsfarge 3 9 2 2 2" xfId="8407" xr:uid="{00000000-0005-0000-0000-00004B1A0000}"/>
    <cellStyle name="40% - uthevingsfarge 3 9 2 3" xfId="9393" xr:uid="{00000000-0005-0000-0000-00004C1A0000}"/>
    <cellStyle name="40% - uthevingsfarge 3 9 3" xfId="5053" xr:uid="{00000000-0005-0000-0000-00004D1A0000}"/>
    <cellStyle name="40% - uthevingsfarge 3 9 3 2" xfId="7706" xr:uid="{00000000-0005-0000-0000-00004E1A0000}"/>
    <cellStyle name="40% - uthevingsfarge 3 9 4" xfId="10544" xr:uid="{00000000-0005-0000-0000-00004F1A0000}"/>
    <cellStyle name="40% - uthevingsfarge 3 90" xfId="1755" xr:uid="{00000000-0005-0000-0000-0000501A0000}"/>
    <cellStyle name="40% - uthevingsfarge 3 90 2" xfId="2899" xr:uid="{00000000-0005-0000-0000-0000511A0000}"/>
    <cellStyle name="40% - uthevingsfarge 3 90 2 2" xfId="3359" xr:uid="{00000000-0005-0000-0000-0000521A0000}"/>
    <cellStyle name="40% - uthevingsfarge 3 90 2 2 2" xfId="6944" xr:uid="{00000000-0005-0000-0000-0000531A0000}"/>
    <cellStyle name="40% - uthevingsfarge 3 90 2 3" xfId="4100" xr:uid="{00000000-0005-0000-0000-0000541A0000}"/>
    <cellStyle name="40% - uthevingsfarge 3 90 2 4" xfId="6472" xr:uid="{00000000-0005-0000-0000-0000551A0000}"/>
    <cellStyle name="40% - uthevingsfarge 3 90 2 5" xfId="8944" xr:uid="{00000000-0005-0000-0000-0000561A0000}"/>
    <cellStyle name="40% - uthevingsfarge 3 90 3" xfId="3358" xr:uid="{00000000-0005-0000-0000-0000571A0000}"/>
    <cellStyle name="40% - uthevingsfarge 3 90 3 2" xfId="6943" xr:uid="{00000000-0005-0000-0000-0000581A0000}"/>
    <cellStyle name="40% - uthevingsfarge 3 90 4" xfId="3848" xr:uid="{00000000-0005-0000-0000-0000591A0000}"/>
    <cellStyle name="40% - uthevingsfarge 3 90 5" xfId="6187" xr:uid="{00000000-0005-0000-0000-00005A1A0000}"/>
    <cellStyle name="40% - uthevingsfarge 3 90 6" xfId="8943" xr:uid="{00000000-0005-0000-0000-00005B1A0000}"/>
    <cellStyle name="40% - uthevingsfarge 3 91" xfId="1756" xr:uid="{00000000-0005-0000-0000-00005C1A0000}"/>
    <cellStyle name="40% - uthevingsfarge 3 91 2" xfId="2900" xr:uid="{00000000-0005-0000-0000-00005D1A0000}"/>
    <cellStyle name="40% - uthevingsfarge 3 91 2 2" xfId="3361" xr:uid="{00000000-0005-0000-0000-00005E1A0000}"/>
    <cellStyle name="40% - uthevingsfarge 3 91 2 2 2" xfId="6946" xr:uid="{00000000-0005-0000-0000-00005F1A0000}"/>
    <cellStyle name="40% - uthevingsfarge 3 91 2 3" xfId="4101" xr:uid="{00000000-0005-0000-0000-0000601A0000}"/>
    <cellStyle name="40% - uthevingsfarge 3 91 2 4" xfId="6473" xr:uid="{00000000-0005-0000-0000-0000611A0000}"/>
    <cellStyle name="40% - uthevingsfarge 3 91 2 5" xfId="8946" xr:uid="{00000000-0005-0000-0000-0000621A0000}"/>
    <cellStyle name="40% - uthevingsfarge 3 91 3" xfId="3360" xr:uid="{00000000-0005-0000-0000-0000631A0000}"/>
    <cellStyle name="40% - uthevingsfarge 3 91 3 2" xfId="6945" xr:uid="{00000000-0005-0000-0000-0000641A0000}"/>
    <cellStyle name="40% - uthevingsfarge 3 91 4" xfId="3847" xr:uid="{00000000-0005-0000-0000-0000651A0000}"/>
    <cellStyle name="40% - uthevingsfarge 3 91 5" xfId="6188" xr:uid="{00000000-0005-0000-0000-0000661A0000}"/>
    <cellStyle name="40% - uthevingsfarge 3 91 6" xfId="8945" xr:uid="{00000000-0005-0000-0000-0000671A0000}"/>
    <cellStyle name="40% - uthevingsfarge 3 92" xfId="1757" xr:uid="{00000000-0005-0000-0000-0000681A0000}"/>
    <cellStyle name="40% - uthevingsfarge 3 92 2" xfId="2901" xr:uid="{00000000-0005-0000-0000-0000691A0000}"/>
    <cellStyle name="40% - uthevingsfarge 3 92 2 2" xfId="3363" xr:uid="{00000000-0005-0000-0000-00006A1A0000}"/>
    <cellStyle name="40% - uthevingsfarge 3 92 2 2 2" xfId="6948" xr:uid="{00000000-0005-0000-0000-00006B1A0000}"/>
    <cellStyle name="40% - uthevingsfarge 3 92 2 3" xfId="4024" xr:uid="{00000000-0005-0000-0000-00006C1A0000}"/>
    <cellStyle name="40% - uthevingsfarge 3 92 2 4" xfId="6474" xr:uid="{00000000-0005-0000-0000-00006D1A0000}"/>
    <cellStyle name="40% - uthevingsfarge 3 92 2 5" xfId="8948" xr:uid="{00000000-0005-0000-0000-00006E1A0000}"/>
    <cellStyle name="40% - uthevingsfarge 3 92 3" xfId="3362" xr:uid="{00000000-0005-0000-0000-00006F1A0000}"/>
    <cellStyle name="40% - uthevingsfarge 3 92 3 2" xfId="6947" xr:uid="{00000000-0005-0000-0000-0000701A0000}"/>
    <cellStyle name="40% - uthevingsfarge 3 92 4" xfId="3846" xr:uid="{00000000-0005-0000-0000-0000711A0000}"/>
    <cellStyle name="40% - uthevingsfarge 3 92 5" xfId="6189" xr:uid="{00000000-0005-0000-0000-0000721A0000}"/>
    <cellStyle name="40% - uthevingsfarge 3 92 6" xfId="8947" xr:uid="{00000000-0005-0000-0000-0000731A0000}"/>
    <cellStyle name="40% - uthevingsfarge 3 93" xfId="1758" xr:uid="{00000000-0005-0000-0000-0000741A0000}"/>
    <cellStyle name="40% - uthevingsfarge 3 93 2" xfId="2902" xr:uid="{00000000-0005-0000-0000-0000751A0000}"/>
    <cellStyle name="40% - uthevingsfarge 3 93 2 2" xfId="3365" xr:uid="{00000000-0005-0000-0000-0000761A0000}"/>
    <cellStyle name="40% - uthevingsfarge 3 93 2 2 2" xfId="6950" xr:uid="{00000000-0005-0000-0000-0000771A0000}"/>
    <cellStyle name="40% - uthevingsfarge 3 93 2 3" xfId="3714" xr:uid="{00000000-0005-0000-0000-0000781A0000}"/>
    <cellStyle name="40% - uthevingsfarge 3 93 2 4" xfId="6475" xr:uid="{00000000-0005-0000-0000-0000791A0000}"/>
    <cellStyle name="40% - uthevingsfarge 3 93 2 5" xfId="8950" xr:uid="{00000000-0005-0000-0000-00007A1A0000}"/>
    <cellStyle name="40% - uthevingsfarge 3 93 3" xfId="3364" xr:uid="{00000000-0005-0000-0000-00007B1A0000}"/>
    <cellStyle name="40% - uthevingsfarge 3 93 3 2" xfId="6949" xr:uid="{00000000-0005-0000-0000-00007C1A0000}"/>
    <cellStyle name="40% - uthevingsfarge 3 93 4" xfId="3845" xr:uid="{00000000-0005-0000-0000-00007D1A0000}"/>
    <cellStyle name="40% - uthevingsfarge 3 93 5" xfId="6190" xr:uid="{00000000-0005-0000-0000-00007E1A0000}"/>
    <cellStyle name="40% - uthevingsfarge 3 93 6" xfId="8949" xr:uid="{00000000-0005-0000-0000-00007F1A0000}"/>
    <cellStyle name="40% - uthevingsfarge 3 94" xfId="1759" xr:uid="{00000000-0005-0000-0000-0000801A0000}"/>
    <cellStyle name="40% - uthevingsfarge 3 94 2" xfId="2903" xr:uid="{00000000-0005-0000-0000-0000811A0000}"/>
    <cellStyle name="40% - uthevingsfarge 3 94 2 2" xfId="3367" xr:uid="{00000000-0005-0000-0000-0000821A0000}"/>
    <cellStyle name="40% - uthevingsfarge 3 94 2 2 2" xfId="6952" xr:uid="{00000000-0005-0000-0000-0000831A0000}"/>
    <cellStyle name="40% - uthevingsfarge 3 94 2 3" xfId="4098" xr:uid="{00000000-0005-0000-0000-0000841A0000}"/>
    <cellStyle name="40% - uthevingsfarge 3 94 2 4" xfId="6476" xr:uid="{00000000-0005-0000-0000-0000851A0000}"/>
    <cellStyle name="40% - uthevingsfarge 3 94 2 5" xfId="8952" xr:uid="{00000000-0005-0000-0000-0000861A0000}"/>
    <cellStyle name="40% - uthevingsfarge 3 94 3" xfId="3366" xr:uid="{00000000-0005-0000-0000-0000871A0000}"/>
    <cellStyle name="40% - uthevingsfarge 3 94 3 2" xfId="6951" xr:uid="{00000000-0005-0000-0000-0000881A0000}"/>
    <cellStyle name="40% - uthevingsfarge 3 94 4" xfId="3844" xr:uid="{00000000-0005-0000-0000-0000891A0000}"/>
    <cellStyle name="40% - uthevingsfarge 3 94 5" xfId="6191" xr:uid="{00000000-0005-0000-0000-00008A1A0000}"/>
    <cellStyle name="40% - uthevingsfarge 3 94 6" xfId="8951" xr:uid="{00000000-0005-0000-0000-00008B1A0000}"/>
    <cellStyle name="40% - uthevingsfarge 3 95" xfId="1760" xr:uid="{00000000-0005-0000-0000-00008C1A0000}"/>
    <cellStyle name="40% - uthevingsfarge 3 95 2" xfId="2904" xr:uid="{00000000-0005-0000-0000-00008D1A0000}"/>
    <cellStyle name="40% - uthevingsfarge 3 95 2 2" xfId="3369" xr:uid="{00000000-0005-0000-0000-00008E1A0000}"/>
    <cellStyle name="40% - uthevingsfarge 3 95 2 2 2" xfId="6954" xr:uid="{00000000-0005-0000-0000-00008F1A0000}"/>
    <cellStyle name="40% - uthevingsfarge 3 95 2 3" xfId="4099" xr:uid="{00000000-0005-0000-0000-0000901A0000}"/>
    <cellStyle name="40% - uthevingsfarge 3 95 2 4" xfId="6477" xr:uid="{00000000-0005-0000-0000-0000911A0000}"/>
    <cellStyle name="40% - uthevingsfarge 3 95 2 5" xfId="8954" xr:uid="{00000000-0005-0000-0000-0000921A0000}"/>
    <cellStyle name="40% - uthevingsfarge 3 95 3" xfId="3368" xr:uid="{00000000-0005-0000-0000-0000931A0000}"/>
    <cellStyle name="40% - uthevingsfarge 3 95 3 2" xfId="6953" xr:uid="{00000000-0005-0000-0000-0000941A0000}"/>
    <cellStyle name="40% - uthevingsfarge 3 95 4" xfId="3843" xr:uid="{00000000-0005-0000-0000-0000951A0000}"/>
    <cellStyle name="40% - uthevingsfarge 3 95 5" xfId="6192" xr:uid="{00000000-0005-0000-0000-0000961A0000}"/>
    <cellStyle name="40% - uthevingsfarge 3 95 6" xfId="8953" xr:uid="{00000000-0005-0000-0000-0000971A0000}"/>
    <cellStyle name="40% - uthevingsfarge 3 96" xfId="1761" xr:uid="{00000000-0005-0000-0000-0000981A0000}"/>
    <cellStyle name="40% - uthevingsfarge 3 96 2" xfId="2905" xr:uid="{00000000-0005-0000-0000-0000991A0000}"/>
    <cellStyle name="40% - uthevingsfarge 3 96 2 2" xfId="3371" xr:uid="{00000000-0005-0000-0000-00009A1A0000}"/>
    <cellStyle name="40% - uthevingsfarge 3 96 2 2 2" xfId="6956" xr:uid="{00000000-0005-0000-0000-00009B1A0000}"/>
    <cellStyle name="40% - uthevingsfarge 3 96 2 3" xfId="4023" xr:uid="{00000000-0005-0000-0000-00009C1A0000}"/>
    <cellStyle name="40% - uthevingsfarge 3 96 2 4" xfId="6478" xr:uid="{00000000-0005-0000-0000-00009D1A0000}"/>
    <cellStyle name="40% - uthevingsfarge 3 96 2 5" xfId="8956" xr:uid="{00000000-0005-0000-0000-00009E1A0000}"/>
    <cellStyle name="40% - uthevingsfarge 3 96 3" xfId="3370" xr:uid="{00000000-0005-0000-0000-00009F1A0000}"/>
    <cellStyle name="40% - uthevingsfarge 3 96 3 2" xfId="6955" xr:uid="{00000000-0005-0000-0000-0000A01A0000}"/>
    <cellStyle name="40% - uthevingsfarge 3 96 4" xfId="3842" xr:uid="{00000000-0005-0000-0000-0000A11A0000}"/>
    <cellStyle name="40% - uthevingsfarge 3 96 5" xfId="6193" xr:uid="{00000000-0005-0000-0000-0000A21A0000}"/>
    <cellStyle name="40% - uthevingsfarge 3 96 6" xfId="8955" xr:uid="{00000000-0005-0000-0000-0000A31A0000}"/>
    <cellStyle name="40% - uthevingsfarge 3 97" xfId="1762" xr:uid="{00000000-0005-0000-0000-0000A41A0000}"/>
    <cellStyle name="40% - uthevingsfarge 3 97 2" xfId="2906" xr:uid="{00000000-0005-0000-0000-0000A51A0000}"/>
    <cellStyle name="40% - uthevingsfarge 3 97 2 2" xfId="3373" xr:uid="{00000000-0005-0000-0000-0000A61A0000}"/>
    <cellStyle name="40% - uthevingsfarge 3 97 2 2 2" xfId="6958" xr:uid="{00000000-0005-0000-0000-0000A71A0000}"/>
    <cellStyle name="40% - uthevingsfarge 3 97 2 3" xfId="3713" xr:uid="{00000000-0005-0000-0000-0000A81A0000}"/>
    <cellStyle name="40% - uthevingsfarge 3 97 2 4" xfId="6479" xr:uid="{00000000-0005-0000-0000-0000A91A0000}"/>
    <cellStyle name="40% - uthevingsfarge 3 97 2 5" xfId="8958" xr:uid="{00000000-0005-0000-0000-0000AA1A0000}"/>
    <cellStyle name="40% - uthevingsfarge 3 97 3" xfId="3372" xr:uid="{00000000-0005-0000-0000-0000AB1A0000}"/>
    <cellStyle name="40% - uthevingsfarge 3 97 3 2" xfId="6957" xr:uid="{00000000-0005-0000-0000-0000AC1A0000}"/>
    <cellStyle name="40% - uthevingsfarge 3 97 4" xfId="3841" xr:uid="{00000000-0005-0000-0000-0000AD1A0000}"/>
    <cellStyle name="40% - uthevingsfarge 3 97 5" xfId="6194" xr:uid="{00000000-0005-0000-0000-0000AE1A0000}"/>
    <cellStyle name="40% - uthevingsfarge 3 97 6" xfId="8957" xr:uid="{00000000-0005-0000-0000-0000AF1A0000}"/>
    <cellStyle name="40% - uthevingsfarge 3 98" xfId="1763" xr:uid="{00000000-0005-0000-0000-0000B01A0000}"/>
    <cellStyle name="40% - uthevingsfarge 3 98 2" xfId="2907" xr:uid="{00000000-0005-0000-0000-0000B11A0000}"/>
    <cellStyle name="40% - uthevingsfarge 3 98 2 2" xfId="3375" xr:uid="{00000000-0005-0000-0000-0000B21A0000}"/>
    <cellStyle name="40% - uthevingsfarge 3 98 2 2 2" xfId="6960" xr:uid="{00000000-0005-0000-0000-0000B31A0000}"/>
    <cellStyle name="40% - uthevingsfarge 3 98 2 3" xfId="4096" xr:uid="{00000000-0005-0000-0000-0000B41A0000}"/>
    <cellStyle name="40% - uthevingsfarge 3 98 2 4" xfId="6480" xr:uid="{00000000-0005-0000-0000-0000B51A0000}"/>
    <cellStyle name="40% - uthevingsfarge 3 98 2 5" xfId="8960" xr:uid="{00000000-0005-0000-0000-0000B61A0000}"/>
    <cellStyle name="40% - uthevingsfarge 3 98 3" xfId="3374" xr:uid="{00000000-0005-0000-0000-0000B71A0000}"/>
    <cellStyle name="40% - uthevingsfarge 3 98 3 2" xfId="6959" xr:uid="{00000000-0005-0000-0000-0000B81A0000}"/>
    <cellStyle name="40% - uthevingsfarge 3 98 4" xfId="3840" xr:uid="{00000000-0005-0000-0000-0000B91A0000}"/>
    <cellStyle name="40% - uthevingsfarge 3 98 5" xfId="6195" xr:uid="{00000000-0005-0000-0000-0000BA1A0000}"/>
    <cellStyle name="40% - uthevingsfarge 3 98 6" xfId="8959" xr:uid="{00000000-0005-0000-0000-0000BB1A0000}"/>
    <cellStyle name="40% - uthevingsfarge 3 99" xfId="1764" xr:uid="{00000000-0005-0000-0000-0000BC1A0000}"/>
    <cellStyle name="40% - uthevingsfarge 3 99 2" xfId="2908" xr:uid="{00000000-0005-0000-0000-0000BD1A0000}"/>
    <cellStyle name="40% - uthevingsfarge 3 99 2 2" xfId="3377" xr:uid="{00000000-0005-0000-0000-0000BE1A0000}"/>
    <cellStyle name="40% - uthevingsfarge 3 99 2 2 2" xfId="6962" xr:uid="{00000000-0005-0000-0000-0000BF1A0000}"/>
    <cellStyle name="40% - uthevingsfarge 3 99 2 3" xfId="4097" xr:uid="{00000000-0005-0000-0000-0000C01A0000}"/>
    <cellStyle name="40% - uthevingsfarge 3 99 2 4" xfId="6481" xr:uid="{00000000-0005-0000-0000-0000C11A0000}"/>
    <cellStyle name="40% - uthevingsfarge 3 99 2 5" xfId="8962" xr:uid="{00000000-0005-0000-0000-0000C21A0000}"/>
    <cellStyle name="40% - uthevingsfarge 3 99 3" xfId="3376" xr:uid="{00000000-0005-0000-0000-0000C31A0000}"/>
    <cellStyle name="40% - uthevingsfarge 3 99 3 2" xfId="6961" xr:uid="{00000000-0005-0000-0000-0000C41A0000}"/>
    <cellStyle name="40% - uthevingsfarge 3 99 4" xfId="3839" xr:uid="{00000000-0005-0000-0000-0000C51A0000}"/>
    <cellStyle name="40% - uthevingsfarge 3 99 5" xfId="6196" xr:uid="{00000000-0005-0000-0000-0000C61A0000}"/>
    <cellStyle name="40% - uthevingsfarge 3 99 6" xfId="8961" xr:uid="{00000000-0005-0000-0000-0000C71A0000}"/>
    <cellStyle name="40% - uthevingsfarge 4 10" xfId="1765" xr:uid="{00000000-0005-0000-0000-0000C81A0000}"/>
    <cellStyle name="40% - uthevingsfarge 4 10 2" xfId="1766" xr:uid="{00000000-0005-0000-0000-0000C91A0000}"/>
    <cellStyle name="40% - uthevingsfarge 4 10 2 2" xfId="5775" xr:uid="{00000000-0005-0000-0000-0000CA1A0000}"/>
    <cellStyle name="40% - uthevingsfarge 4 10 2 2 2" xfId="8408" xr:uid="{00000000-0005-0000-0000-0000CB1A0000}"/>
    <cellStyle name="40% - uthevingsfarge 4 10 2 3" xfId="9392" xr:uid="{00000000-0005-0000-0000-0000CC1A0000}"/>
    <cellStyle name="40% - uthevingsfarge 4 10 3" xfId="5054" xr:uid="{00000000-0005-0000-0000-0000CD1A0000}"/>
    <cellStyle name="40% - uthevingsfarge 4 10 3 2" xfId="7707" xr:uid="{00000000-0005-0000-0000-0000CE1A0000}"/>
    <cellStyle name="40% - uthevingsfarge 4 10 4" xfId="10543" xr:uid="{00000000-0005-0000-0000-0000CF1A0000}"/>
    <cellStyle name="40% - uthevingsfarge 4 100" xfId="1767" xr:uid="{00000000-0005-0000-0000-0000D01A0000}"/>
    <cellStyle name="40% - uthevingsfarge 4 100 2" xfId="2909" xr:uid="{00000000-0005-0000-0000-0000D11A0000}"/>
    <cellStyle name="40% - uthevingsfarge 4 100 2 2" xfId="3379" xr:uid="{00000000-0005-0000-0000-0000D21A0000}"/>
    <cellStyle name="40% - uthevingsfarge 4 100 2 2 2" xfId="6964" xr:uid="{00000000-0005-0000-0000-0000D31A0000}"/>
    <cellStyle name="40% - uthevingsfarge 4 100 2 3" xfId="4022" xr:uid="{00000000-0005-0000-0000-0000D41A0000}"/>
    <cellStyle name="40% - uthevingsfarge 4 100 2 4" xfId="6482" xr:uid="{00000000-0005-0000-0000-0000D51A0000}"/>
    <cellStyle name="40% - uthevingsfarge 4 100 2 5" xfId="8964" xr:uid="{00000000-0005-0000-0000-0000D61A0000}"/>
    <cellStyle name="40% - uthevingsfarge 4 100 3" xfId="3378" xr:uid="{00000000-0005-0000-0000-0000D71A0000}"/>
    <cellStyle name="40% - uthevingsfarge 4 100 3 2" xfId="6963" xr:uid="{00000000-0005-0000-0000-0000D81A0000}"/>
    <cellStyle name="40% - uthevingsfarge 4 100 4" xfId="3838" xr:uid="{00000000-0005-0000-0000-0000D91A0000}"/>
    <cellStyle name="40% - uthevingsfarge 4 100 5" xfId="6197" xr:uid="{00000000-0005-0000-0000-0000DA1A0000}"/>
    <cellStyle name="40% - uthevingsfarge 4 100 6" xfId="8963" xr:uid="{00000000-0005-0000-0000-0000DB1A0000}"/>
    <cellStyle name="40% - uthevingsfarge 4 101" xfId="1768" xr:uid="{00000000-0005-0000-0000-0000DC1A0000}"/>
    <cellStyle name="40% - uthevingsfarge 4 101 2" xfId="2910" xr:uid="{00000000-0005-0000-0000-0000DD1A0000}"/>
    <cellStyle name="40% - uthevingsfarge 4 101 2 2" xfId="3381" xr:uid="{00000000-0005-0000-0000-0000DE1A0000}"/>
    <cellStyle name="40% - uthevingsfarge 4 101 2 2 2" xfId="6966" xr:uid="{00000000-0005-0000-0000-0000DF1A0000}"/>
    <cellStyle name="40% - uthevingsfarge 4 101 2 3" xfId="3712" xr:uid="{00000000-0005-0000-0000-0000E01A0000}"/>
    <cellStyle name="40% - uthevingsfarge 4 101 2 4" xfId="6483" xr:uid="{00000000-0005-0000-0000-0000E11A0000}"/>
    <cellStyle name="40% - uthevingsfarge 4 101 2 5" xfId="8966" xr:uid="{00000000-0005-0000-0000-0000E21A0000}"/>
    <cellStyle name="40% - uthevingsfarge 4 101 3" xfId="3380" xr:uid="{00000000-0005-0000-0000-0000E31A0000}"/>
    <cellStyle name="40% - uthevingsfarge 4 101 3 2" xfId="6965" xr:uid="{00000000-0005-0000-0000-0000E41A0000}"/>
    <cellStyle name="40% - uthevingsfarge 4 101 4" xfId="3837" xr:uid="{00000000-0005-0000-0000-0000E51A0000}"/>
    <cellStyle name="40% - uthevingsfarge 4 101 5" xfId="6198" xr:uid="{00000000-0005-0000-0000-0000E61A0000}"/>
    <cellStyle name="40% - uthevingsfarge 4 101 6" xfId="8965" xr:uid="{00000000-0005-0000-0000-0000E71A0000}"/>
    <cellStyle name="40% - uthevingsfarge 4 102" xfId="1769" xr:uid="{00000000-0005-0000-0000-0000E81A0000}"/>
    <cellStyle name="40% - uthevingsfarge 4 102 2" xfId="2911" xr:uid="{00000000-0005-0000-0000-0000E91A0000}"/>
    <cellStyle name="40% - uthevingsfarge 4 102 2 2" xfId="3383" xr:uid="{00000000-0005-0000-0000-0000EA1A0000}"/>
    <cellStyle name="40% - uthevingsfarge 4 102 2 2 2" xfId="6968" xr:uid="{00000000-0005-0000-0000-0000EB1A0000}"/>
    <cellStyle name="40% - uthevingsfarge 4 102 2 3" xfId="3711" xr:uid="{00000000-0005-0000-0000-0000EC1A0000}"/>
    <cellStyle name="40% - uthevingsfarge 4 102 2 4" xfId="6484" xr:uid="{00000000-0005-0000-0000-0000ED1A0000}"/>
    <cellStyle name="40% - uthevingsfarge 4 102 2 5" xfId="8968" xr:uid="{00000000-0005-0000-0000-0000EE1A0000}"/>
    <cellStyle name="40% - uthevingsfarge 4 102 3" xfId="3382" xr:uid="{00000000-0005-0000-0000-0000EF1A0000}"/>
    <cellStyle name="40% - uthevingsfarge 4 102 3 2" xfId="6967" xr:uid="{00000000-0005-0000-0000-0000F01A0000}"/>
    <cellStyle name="40% - uthevingsfarge 4 102 4" xfId="3836" xr:uid="{00000000-0005-0000-0000-0000F11A0000}"/>
    <cellStyle name="40% - uthevingsfarge 4 102 5" xfId="6199" xr:uid="{00000000-0005-0000-0000-0000F21A0000}"/>
    <cellStyle name="40% - uthevingsfarge 4 102 6" xfId="8967" xr:uid="{00000000-0005-0000-0000-0000F31A0000}"/>
    <cellStyle name="40% - uthevingsfarge 4 103" xfId="1770" xr:uid="{00000000-0005-0000-0000-0000F41A0000}"/>
    <cellStyle name="40% - uthevingsfarge 4 103 2" xfId="2912" xr:uid="{00000000-0005-0000-0000-0000F51A0000}"/>
    <cellStyle name="40% - uthevingsfarge 4 103 2 2" xfId="3385" xr:uid="{00000000-0005-0000-0000-0000F61A0000}"/>
    <cellStyle name="40% - uthevingsfarge 4 103 2 2 2" xfId="6970" xr:uid="{00000000-0005-0000-0000-0000F71A0000}"/>
    <cellStyle name="40% - uthevingsfarge 4 103 2 3" xfId="3710" xr:uid="{00000000-0005-0000-0000-0000F81A0000}"/>
    <cellStyle name="40% - uthevingsfarge 4 103 2 4" xfId="6485" xr:uid="{00000000-0005-0000-0000-0000F91A0000}"/>
    <cellStyle name="40% - uthevingsfarge 4 103 2 5" xfId="8970" xr:uid="{00000000-0005-0000-0000-0000FA1A0000}"/>
    <cellStyle name="40% - uthevingsfarge 4 103 3" xfId="3384" xr:uid="{00000000-0005-0000-0000-0000FB1A0000}"/>
    <cellStyle name="40% - uthevingsfarge 4 103 3 2" xfId="6969" xr:uid="{00000000-0005-0000-0000-0000FC1A0000}"/>
    <cellStyle name="40% - uthevingsfarge 4 103 4" xfId="3835" xr:uid="{00000000-0005-0000-0000-0000FD1A0000}"/>
    <cellStyle name="40% - uthevingsfarge 4 103 5" xfId="6200" xr:uid="{00000000-0005-0000-0000-0000FE1A0000}"/>
    <cellStyle name="40% - uthevingsfarge 4 103 6" xfId="8969" xr:uid="{00000000-0005-0000-0000-0000FF1A0000}"/>
    <cellStyle name="40% - uthevingsfarge 4 104" xfId="1771" xr:uid="{00000000-0005-0000-0000-0000001B0000}"/>
    <cellStyle name="40% - uthevingsfarge 4 104 2" xfId="2913" xr:uid="{00000000-0005-0000-0000-0000011B0000}"/>
    <cellStyle name="40% - uthevingsfarge 4 104 2 2" xfId="3387" xr:uid="{00000000-0005-0000-0000-0000021B0000}"/>
    <cellStyle name="40% - uthevingsfarge 4 104 2 2 2" xfId="6972" xr:uid="{00000000-0005-0000-0000-0000031B0000}"/>
    <cellStyle name="40% - uthevingsfarge 4 104 2 3" xfId="3596" xr:uid="{00000000-0005-0000-0000-0000041B0000}"/>
    <cellStyle name="40% - uthevingsfarge 4 104 2 4" xfId="6486" xr:uid="{00000000-0005-0000-0000-0000051B0000}"/>
    <cellStyle name="40% - uthevingsfarge 4 104 2 5" xfId="8972" xr:uid="{00000000-0005-0000-0000-0000061B0000}"/>
    <cellStyle name="40% - uthevingsfarge 4 104 3" xfId="3386" xr:uid="{00000000-0005-0000-0000-0000071B0000}"/>
    <cellStyle name="40% - uthevingsfarge 4 104 3 2" xfId="6971" xr:uid="{00000000-0005-0000-0000-0000081B0000}"/>
    <cellStyle name="40% - uthevingsfarge 4 104 4" xfId="3834" xr:uid="{00000000-0005-0000-0000-0000091B0000}"/>
    <cellStyle name="40% - uthevingsfarge 4 104 5" xfId="6201" xr:uid="{00000000-0005-0000-0000-00000A1B0000}"/>
    <cellStyle name="40% - uthevingsfarge 4 104 6" xfId="8971" xr:uid="{00000000-0005-0000-0000-00000B1B0000}"/>
    <cellStyle name="40% - uthevingsfarge 4 105" xfId="1772" xr:uid="{00000000-0005-0000-0000-00000C1B0000}"/>
    <cellStyle name="40% - uthevingsfarge 4 105 2" xfId="2914" xr:uid="{00000000-0005-0000-0000-00000D1B0000}"/>
    <cellStyle name="40% - uthevingsfarge 4 105 2 2" xfId="3389" xr:uid="{00000000-0005-0000-0000-00000E1B0000}"/>
    <cellStyle name="40% - uthevingsfarge 4 105 2 2 2" xfId="6974" xr:uid="{00000000-0005-0000-0000-00000F1B0000}"/>
    <cellStyle name="40% - uthevingsfarge 4 105 2 3" xfId="4094" xr:uid="{00000000-0005-0000-0000-0000101B0000}"/>
    <cellStyle name="40% - uthevingsfarge 4 105 2 4" xfId="6487" xr:uid="{00000000-0005-0000-0000-0000111B0000}"/>
    <cellStyle name="40% - uthevingsfarge 4 105 2 5" xfId="8974" xr:uid="{00000000-0005-0000-0000-0000121B0000}"/>
    <cellStyle name="40% - uthevingsfarge 4 105 3" xfId="3388" xr:uid="{00000000-0005-0000-0000-0000131B0000}"/>
    <cellStyle name="40% - uthevingsfarge 4 105 3 2" xfId="6973" xr:uid="{00000000-0005-0000-0000-0000141B0000}"/>
    <cellStyle name="40% - uthevingsfarge 4 105 4" xfId="3833" xr:uid="{00000000-0005-0000-0000-0000151B0000}"/>
    <cellStyle name="40% - uthevingsfarge 4 105 5" xfId="6202" xr:uid="{00000000-0005-0000-0000-0000161B0000}"/>
    <cellStyle name="40% - uthevingsfarge 4 105 6" xfId="8973" xr:uid="{00000000-0005-0000-0000-0000171B0000}"/>
    <cellStyle name="40% - uthevingsfarge 4 106" xfId="1773" xr:uid="{00000000-0005-0000-0000-0000181B0000}"/>
    <cellStyle name="40% - uthevingsfarge 4 106 2" xfId="2915" xr:uid="{00000000-0005-0000-0000-0000191B0000}"/>
    <cellStyle name="40% - uthevingsfarge 4 106 2 2" xfId="3391" xr:uid="{00000000-0005-0000-0000-00001A1B0000}"/>
    <cellStyle name="40% - uthevingsfarge 4 106 2 2 2" xfId="6976" xr:uid="{00000000-0005-0000-0000-00001B1B0000}"/>
    <cellStyle name="40% - uthevingsfarge 4 106 2 3" xfId="4095" xr:uid="{00000000-0005-0000-0000-00001C1B0000}"/>
    <cellStyle name="40% - uthevingsfarge 4 106 2 4" xfId="6488" xr:uid="{00000000-0005-0000-0000-00001D1B0000}"/>
    <cellStyle name="40% - uthevingsfarge 4 106 2 5" xfId="8976" xr:uid="{00000000-0005-0000-0000-00001E1B0000}"/>
    <cellStyle name="40% - uthevingsfarge 4 106 3" xfId="3390" xr:uid="{00000000-0005-0000-0000-00001F1B0000}"/>
    <cellStyle name="40% - uthevingsfarge 4 106 3 2" xfId="6975" xr:uid="{00000000-0005-0000-0000-0000201B0000}"/>
    <cellStyle name="40% - uthevingsfarge 4 106 4" xfId="3832" xr:uid="{00000000-0005-0000-0000-0000211B0000}"/>
    <cellStyle name="40% - uthevingsfarge 4 106 5" xfId="6203" xr:uid="{00000000-0005-0000-0000-0000221B0000}"/>
    <cellStyle name="40% - uthevingsfarge 4 106 6" xfId="8975" xr:uid="{00000000-0005-0000-0000-0000231B0000}"/>
    <cellStyle name="40% - uthevingsfarge 4 107" xfId="1774" xr:uid="{00000000-0005-0000-0000-0000241B0000}"/>
    <cellStyle name="40% - uthevingsfarge 4 107 2" xfId="2916" xr:uid="{00000000-0005-0000-0000-0000251B0000}"/>
    <cellStyle name="40% - uthevingsfarge 4 107 2 2" xfId="3393" xr:uid="{00000000-0005-0000-0000-0000261B0000}"/>
    <cellStyle name="40% - uthevingsfarge 4 107 2 2 2" xfId="6978" xr:uid="{00000000-0005-0000-0000-0000271B0000}"/>
    <cellStyle name="40% - uthevingsfarge 4 107 2 3" xfId="4021" xr:uid="{00000000-0005-0000-0000-0000281B0000}"/>
    <cellStyle name="40% - uthevingsfarge 4 107 2 4" xfId="6489" xr:uid="{00000000-0005-0000-0000-0000291B0000}"/>
    <cellStyle name="40% - uthevingsfarge 4 107 2 5" xfId="8978" xr:uid="{00000000-0005-0000-0000-00002A1B0000}"/>
    <cellStyle name="40% - uthevingsfarge 4 107 3" xfId="3392" xr:uid="{00000000-0005-0000-0000-00002B1B0000}"/>
    <cellStyle name="40% - uthevingsfarge 4 107 3 2" xfId="6977" xr:uid="{00000000-0005-0000-0000-00002C1B0000}"/>
    <cellStyle name="40% - uthevingsfarge 4 107 4" xfId="3831" xr:uid="{00000000-0005-0000-0000-00002D1B0000}"/>
    <cellStyle name="40% - uthevingsfarge 4 107 5" xfId="6204" xr:uid="{00000000-0005-0000-0000-00002E1B0000}"/>
    <cellStyle name="40% - uthevingsfarge 4 107 6" xfId="8977" xr:uid="{00000000-0005-0000-0000-00002F1B0000}"/>
    <cellStyle name="40% - uthevingsfarge 4 108" xfId="1775" xr:uid="{00000000-0005-0000-0000-0000301B0000}"/>
    <cellStyle name="40% - uthevingsfarge 4 108 2" xfId="2917" xr:uid="{00000000-0005-0000-0000-0000311B0000}"/>
    <cellStyle name="40% - uthevingsfarge 4 108 2 2" xfId="3395" xr:uid="{00000000-0005-0000-0000-0000321B0000}"/>
    <cellStyle name="40% - uthevingsfarge 4 108 2 2 2" xfId="6980" xr:uid="{00000000-0005-0000-0000-0000331B0000}"/>
    <cellStyle name="40% - uthevingsfarge 4 108 2 3" xfId="3993" xr:uid="{00000000-0005-0000-0000-0000341B0000}"/>
    <cellStyle name="40% - uthevingsfarge 4 108 2 4" xfId="6490" xr:uid="{00000000-0005-0000-0000-0000351B0000}"/>
    <cellStyle name="40% - uthevingsfarge 4 108 2 5" xfId="8980" xr:uid="{00000000-0005-0000-0000-0000361B0000}"/>
    <cellStyle name="40% - uthevingsfarge 4 108 3" xfId="3394" xr:uid="{00000000-0005-0000-0000-0000371B0000}"/>
    <cellStyle name="40% - uthevingsfarge 4 108 3 2" xfId="6979" xr:uid="{00000000-0005-0000-0000-0000381B0000}"/>
    <cellStyle name="40% - uthevingsfarge 4 108 4" xfId="3830" xr:uid="{00000000-0005-0000-0000-0000391B0000}"/>
    <cellStyle name="40% - uthevingsfarge 4 108 5" xfId="6205" xr:uid="{00000000-0005-0000-0000-00003A1B0000}"/>
    <cellStyle name="40% - uthevingsfarge 4 108 6" xfId="8979" xr:uid="{00000000-0005-0000-0000-00003B1B0000}"/>
    <cellStyle name="40% - uthevingsfarge 4 109" xfId="1776" xr:uid="{00000000-0005-0000-0000-00003C1B0000}"/>
    <cellStyle name="40% - uthevingsfarge 4 109 2" xfId="2918" xr:uid="{00000000-0005-0000-0000-00003D1B0000}"/>
    <cellStyle name="40% - uthevingsfarge 4 109 2 2" xfId="3397" xr:uid="{00000000-0005-0000-0000-00003E1B0000}"/>
    <cellStyle name="40% - uthevingsfarge 4 109 2 2 2" xfId="6982" xr:uid="{00000000-0005-0000-0000-00003F1B0000}"/>
    <cellStyle name="40% - uthevingsfarge 4 109 2 3" xfId="4092" xr:uid="{00000000-0005-0000-0000-0000401B0000}"/>
    <cellStyle name="40% - uthevingsfarge 4 109 2 4" xfId="6491" xr:uid="{00000000-0005-0000-0000-0000411B0000}"/>
    <cellStyle name="40% - uthevingsfarge 4 109 2 5" xfId="8982" xr:uid="{00000000-0005-0000-0000-0000421B0000}"/>
    <cellStyle name="40% - uthevingsfarge 4 109 3" xfId="3396" xr:uid="{00000000-0005-0000-0000-0000431B0000}"/>
    <cellStyle name="40% - uthevingsfarge 4 109 3 2" xfId="6981" xr:uid="{00000000-0005-0000-0000-0000441B0000}"/>
    <cellStyle name="40% - uthevingsfarge 4 109 4" xfId="3829" xr:uid="{00000000-0005-0000-0000-0000451B0000}"/>
    <cellStyle name="40% - uthevingsfarge 4 109 5" xfId="6206" xr:uid="{00000000-0005-0000-0000-0000461B0000}"/>
    <cellStyle name="40% - uthevingsfarge 4 109 6" xfId="8981" xr:uid="{00000000-0005-0000-0000-0000471B0000}"/>
    <cellStyle name="40% - uthevingsfarge 4 11" xfId="1777" xr:uid="{00000000-0005-0000-0000-0000481B0000}"/>
    <cellStyle name="40% - uthevingsfarge 4 11 2" xfId="1778" xr:uid="{00000000-0005-0000-0000-0000491B0000}"/>
    <cellStyle name="40% - uthevingsfarge 4 11 2 2" xfId="5776" xr:uid="{00000000-0005-0000-0000-00004A1B0000}"/>
    <cellStyle name="40% - uthevingsfarge 4 11 2 2 2" xfId="8409" xr:uid="{00000000-0005-0000-0000-00004B1B0000}"/>
    <cellStyle name="40% - uthevingsfarge 4 11 2 3" xfId="9391" xr:uid="{00000000-0005-0000-0000-00004C1B0000}"/>
    <cellStyle name="40% - uthevingsfarge 4 11 3" xfId="5055" xr:uid="{00000000-0005-0000-0000-00004D1B0000}"/>
    <cellStyle name="40% - uthevingsfarge 4 11 3 2" xfId="7708" xr:uid="{00000000-0005-0000-0000-00004E1B0000}"/>
    <cellStyle name="40% - uthevingsfarge 4 11 4" xfId="10542" xr:uid="{00000000-0005-0000-0000-00004F1B0000}"/>
    <cellStyle name="40% - uthevingsfarge 4 110" xfId="6594" xr:uid="{00000000-0005-0000-0000-0000501B0000}"/>
    <cellStyle name="40% - uthevingsfarge 4 111" xfId="8597" xr:uid="{00000000-0005-0000-0000-0000511B0000}"/>
    <cellStyle name="40% - uthevingsfarge 4 12" xfId="1779" xr:uid="{00000000-0005-0000-0000-0000521B0000}"/>
    <cellStyle name="40% - uthevingsfarge 4 12 2" xfId="1780" xr:uid="{00000000-0005-0000-0000-0000531B0000}"/>
    <cellStyle name="40% - uthevingsfarge 4 12 2 2" xfId="5777" xr:uid="{00000000-0005-0000-0000-0000541B0000}"/>
    <cellStyle name="40% - uthevingsfarge 4 12 2 2 2" xfId="8410" xr:uid="{00000000-0005-0000-0000-0000551B0000}"/>
    <cellStyle name="40% - uthevingsfarge 4 12 2 3" xfId="9390" xr:uid="{00000000-0005-0000-0000-0000561B0000}"/>
    <cellStyle name="40% - uthevingsfarge 4 12 3" xfId="5056" xr:uid="{00000000-0005-0000-0000-0000571B0000}"/>
    <cellStyle name="40% - uthevingsfarge 4 12 3 2" xfId="7709" xr:uid="{00000000-0005-0000-0000-0000581B0000}"/>
    <cellStyle name="40% - uthevingsfarge 4 12 4" xfId="10541" xr:uid="{00000000-0005-0000-0000-0000591B0000}"/>
    <cellStyle name="40% - uthevingsfarge 4 13" xfId="1781" xr:uid="{00000000-0005-0000-0000-00005A1B0000}"/>
    <cellStyle name="40% - uthevingsfarge 4 13 2" xfId="1782" xr:uid="{00000000-0005-0000-0000-00005B1B0000}"/>
    <cellStyle name="40% - uthevingsfarge 4 13 2 2" xfId="5778" xr:uid="{00000000-0005-0000-0000-00005C1B0000}"/>
    <cellStyle name="40% - uthevingsfarge 4 13 2 2 2" xfId="8411" xr:uid="{00000000-0005-0000-0000-00005D1B0000}"/>
    <cellStyle name="40% - uthevingsfarge 4 13 2 3" xfId="9389" xr:uid="{00000000-0005-0000-0000-00005E1B0000}"/>
    <cellStyle name="40% - uthevingsfarge 4 13 3" xfId="5057" xr:uid="{00000000-0005-0000-0000-00005F1B0000}"/>
    <cellStyle name="40% - uthevingsfarge 4 13 3 2" xfId="7710" xr:uid="{00000000-0005-0000-0000-0000601B0000}"/>
    <cellStyle name="40% - uthevingsfarge 4 13 4" xfId="10540" xr:uid="{00000000-0005-0000-0000-0000611B0000}"/>
    <cellStyle name="40% - uthevingsfarge 4 14" xfId="1783" xr:uid="{00000000-0005-0000-0000-0000621B0000}"/>
    <cellStyle name="40% - uthevingsfarge 4 14 2" xfId="1784" xr:uid="{00000000-0005-0000-0000-0000631B0000}"/>
    <cellStyle name="40% - uthevingsfarge 4 14 2 2" xfId="5779" xr:uid="{00000000-0005-0000-0000-0000641B0000}"/>
    <cellStyle name="40% - uthevingsfarge 4 14 2 2 2" xfId="8412" xr:uid="{00000000-0005-0000-0000-0000651B0000}"/>
    <cellStyle name="40% - uthevingsfarge 4 14 2 3" xfId="9388" xr:uid="{00000000-0005-0000-0000-0000661B0000}"/>
    <cellStyle name="40% - uthevingsfarge 4 14 3" xfId="5058" xr:uid="{00000000-0005-0000-0000-0000671B0000}"/>
    <cellStyle name="40% - uthevingsfarge 4 14 3 2" xfId="7711" xr:uid="{00000000-0005-0000-0000-0000681B0000}"/>
    <cellStyle name="40% - uthevingsfarge 4 14 4" xfId="10539" xr:uid="{00000000-0005-0000-0000-0000691B0000}"/>
    <cellStyle name="40% - uthevingsfarge 4 15" xfId="1785" xr:uid="{00000000-0005-0000-0000-00006A1B0000}"/>
    <cellStyle name="40% - uthevingsfarge 4 15 2" xfId="1786" xr:uid="{00000000-0005-0000-0000-00006B1B0000}"/>
    <cellStyle name="40% - uthevingsfarge 4 15 2 2" xfId="5780" xr:uid="{00000000-0005-0000-0000-00006C1B0000}"/>
    <cellStyle name="40% - uthevingsfarge 4 15 2 2 2" xfId="8413" xr:uid="{00000000-0005-0000-0000-00006D1B0000}"/>
    <cellStyle name="40% - uthevingsfarge 4 15 2 3" xfId="9387" xr:uid="{00000000-0005-0000-0000-00006E1B0000}"/>
    <cellStyle name="40% - uthevingsfarge 4 15 3" xfId="5059" xr:uid="{00000000-0005-0000-0000-00006F1B0000}"/>
    <cellStyle name="40% - uthevingsfarge 4 15 3 2" xfId="7712" xr:uid="{00000000-0005-0000-0000-0000701B0000}"/>
    <cellStyle name="40% - uthevingsfarge 4 15 4" xfId="10538" xr:uid="{00000000-0005-0000-0000-0000711B0000}"/>
    <cellStyle name="40% - uthevingsfarge 4 16" xfId="1787" xr:uid="{00000000-0005-0000-0000-0000721B0000}"/>
    <cellStyle name="40% - uthevingsfarge 4 16 2" xfId="1788" xr:uid="{00000000-0005-0000-0000-0000731B0000}"/>
    <cellStyle name="40% - uthevingsfarge 4 16 2 2" xfId="5781" xr:uid="{00000000-0005-0000-0000-0000741B0000}"/>
    <cellStyle name="40% - uthevingsfarge 4 16 2 2 2" xfId="8414" xr:uid="{00000000-0005-0000-0000-0000751B0000}"/>
    <cellStyle name="40% - uthevingsfarge 4 16 2 3" xfId="9386" xr:uid="{00000000-0005-0000-0000-0000761B0000}"/>
    <cellStyle name="40% - uthevingsfarge 4 16 3" xfId="5060" xr:uid="{00000000-0005-0000-0000-0000771B0000}"/>
    <cellStyle name="40% - uthevingsfarge 4 16 3 2" xfId="7713" xr:uid="{00000000-0005-0000-0000-0000781B0000}"/>
    <cellStyle name="40% - uthevingsfarge 4 16 4" xfId="10537" xr:uid="{00000000-0005-0000-0000-0000791B0000}"/>
    <cellStyle name="40% - uthevingsfarge 4 17" xfId="1789" xr:uid="{00000000-0005-0000-0000-00007A1B0000}"/>
    <cellStyle name="40% - uthevingsfarge 4 17 2" xfId="1790" xr:uid="{00000000-0005-0000-0000-00007B1B0000}"/>
    <cellStyle name="40% - uthevingsfarge 4 17 2 2" xfId="5782" xr:uid="{00000000-0005-0000-0000-00007C1B0000}"/>
    <cellStyle name="40% - uthevingsfarge 4 17 2 2 2" xfId="8415" xr:uid="{00000000-0005-0000-0000-00007D1B0000}"/>
    <cellStyle name="40% - uthevingsfarge 4 17 2 3" xfId="9385" xr:uid="{00000000-0005-0000-0000-00007E1B0000}"/>
    <cellStyle name="40% - uthevingsfarge 4 17 3" xfId="5061" xr:uid="{00000000-0005-0000-0000-00007F1B0000}"/>
    <cellStyle name="40% - uthevingsfarge 4 17 3 2" xfId="7714" xr:uid="{00000000-0005-0000-0000-0000801B0000}"/>
    <cellStyle name="40% - uthevingsfarge 4 17 4" xfId="10536" xr:uid="{00000000-0005-0000-0000-0000811B0000}"/>
    <cellStyle name="40% - uthevingsfarge 4 18" xfId="1791" xr:uid="{00000000-0005-0000-0000-0000821B0000}"/>
    <cellStyle name="40% - uthevingsfarge 4 18 2" xfId="1792" xr:uid="{00000000-0005-0000-0000-0000831B0000}"/>
    <cellStyle name="40% - uthevingsfarge 4 18 2 2" xfId="5783" xr:uid="{00000000-0005-0000-0000-0000841B0000}"/>
    <cellStyle name="40% - uthevingsfarge 4 18 2 2 2" xfId="8416" xr:uid="{00000000-0005-0000-0000-0000851B0000}"/>
    <cellStyle name="40% - uthevingsfarge 4 18 2 3" xfId="9384" xr:uid="{00000000-0005-0000-0000-0000861B0000}"/>
    <cellStyle name="40% - uthevingsfarge 4 18 3" xfId="5062" xr:uid="{00000000-0005-0000-0000-0000871B0000}"/>
    <cellStyle name="40% - uthevingsfarge 4 18 3 2" xfId="7715" xr:uid="{00000000-0005-0000-0000-0000881B0000}"/>
    <cellStyle name="40% - uthevingsfarge 4 18 4" xfId="10535" xr:uid="{00000000-0005-0000-0000-0000891B0000}"/>
    <cellStyle name="40% - uthevingsfarge 4 19" xfId="1793" xr:uid="{00000000-0005-0000-0000-00008A1B0000}"/>
    <cellStyle name="40% - uthevingsfarge 4 19 2" xfId="1794" xr:uid="{00000000-0005-0000-0000-00008B1B0000}"/>
    <cellStyle name="40% - uthevingsfarge 4 19 2 2" xfId="5784" xr:uid="{00000000-0005-0000-0000-00008C1B0000}"/>
    <cellStyle name="40% - uthevingsfarge 4 19 2 2 2" xfId="8417" xr:uid="{00000000-0005-0000-0000-00008D1B0000}"/>
    <cellStyle name="40% - uthevingsfarge 4 19 2 3" xfId="9383" xr:uid="{00000000-0005-0000-0000-00008E1B0000}"/>
    <cellStyle name="40% - uthevingsfarge 4 19 3" xfId="5063" xr:uid="{00000000-0005-0000-0000-00008F1B0000}"/>
    <cellStyle name="40% - uthevingsfarge 4 19 3 2" xfId="7716" xr:uid="{00000000-0005-0000-0000-0000901B0000}"/>
    <cellStyle name="40% - uthevingsfarge 4 19 4" xfId="10534" xr:uid="{00000000-0005-0000-0000-0000911B0000}"/>
    <cellStyle name="40% - uthevingsfarge 4 2" xfId="70" xr:uid="{00000000-0005-0000-0000-0000921B0000}"/>
    <cellStyle name="40% - uthevingsfarge 4 2 2" xfId="1795" xr:uid="{00000000-0005-0000-0000-0000931B0000}"/>
    <cellStyle name="40% - uthevingsfarge 4 2 2 2" xfId="5785" xr:uid="{00000000-0005-0000-0000-0000941B0000}"/>
    <cellStyle name="40% - uthevingsfarge 4 2 2 2 2" xfId="8418" xr:uid="{00000000-0005-0000-0000-0000951B0000}"/>
    <cellStyle name="40% - uthevingsfarge 4 2 2 3" xfId="9382" xr:uid="{00000000-0005-0000-0000-0000961B0000}"/>
    <cellStyle name="40% - uthevingsfarge 4 2 3" xfId="5064" xr:uid="{00000000-0005-0000-0000-0000971B0000}"/>
    <cellStyle name="40% - uthevingsfarge 4 2 3 2" xfId="7717" xr:uid="{00000000-0005-0000-0000-0000981B0000}"/>
    <cellStyle name="40% - uthevingsfarge 4 2 4" xfId="10533" xr:uid="{00000000-0005-0000-0000-0000991B0000}"/>
    <cellStyle name="40% - uthevingsfarge 4 20" xfId="1796" xr:uid="{00000000-0005-0000-0000-00009A1B0000}"/>
    <cellStyle name="40% - uthevingsfarge 4 20 2" xfId="1797" xr:uid="{00000000-0005-0000-0000-00009B1B0000}"/>
    <cellStyle name="40% - uthevingsfarge 4 20 2 2" xfId="5786" xr:uid="{00000000-0005-0000-0000-00009C1B0000}"/>
    <cellStyle name="40% - uthevingsfarge 4 20 2 2 2" xfId="8419" xr:uid="{00000000-0005-0000-0000-00009D1B0000}"/>
    <cellStyle name="40% - uthevingsfarge 4 20 2 3" xfId="9381" xr:uid="{00000000-0005-0000-0000-00009E1B0000}"/>
    <cellStyle name="40% - uthevingsfarge 4 20 3" xfId="5065" xr:uid="{00000000-0005-0000-0000-00009F1B0000}"/>
    <cellStyle name="40% - uthevingsfarge 4 20 3 2" xfId="7718" xr:uid="{00000000-0005-0000-0000-0000A01B0000}"/>
    <cellStyle name="40% - uthevingsfarge 4 20 4" xfId="10532" xr:uid="{00000000-0005-0000-0000-0000A11B0000}"/>
    <cellStyle name="40% - uthevingsfarge 4 21" xfId="1798" xr:uid="{00000000-0005-0000-0000-0000A21B0000}"/>
    <cellStyle name="40% - uthevingsfarge 4 21 2" xfId="1799" xr:uid="{00000000-0005-0000-0000-0000A31B0000}"/>
    <cellStyle name="40% - uthevingsfarge 4 21 2 2" xfId="5787" xr:uid="{00000000-0005-0000-0000-0000A41B0000}"/>
    <cellStyle name="40% - uthevingsfarge 4 21 2 2 2" xfId="8420" xr:uid="{00000000-0005-0000-0000-0000A51B0000}"/>
    <cellStyle name="40% - uthevingsfarge 4 21 2 3" xfId="9380" xr:uid="{00000000-0005-0000-0000-0000A61B0000}"/>
    <cellStyle name="40% - uthevingsfarge 4 21 3" xfId="5066" xr:uid="{00000000-0005-0000-0000-0000A71B0000}"/>
    <cellStyle name="40% - uthevingsfarge 4 21 3 2" xfId="7719" xr:uid="{00000000-0005-0000-0000-0000A81B0000}"/>
    <cellStyle name="40% - uthevingsfarge 4 21 4" xfId="10531" xr:uid="{00000000-0005-0000-0000-0000A91B0000}"/>
    <cellStyle name="40% - uthevingsfarge 4 22" xfId="1800" xr:uid="{00000000-0005-0000-0000-0000AA1B0000}"/>
    <cellStyle name="40% - uthevingsfarge 4 22 2" xfId="1801" xr:uid="{00000000-0005-0000-0000-0000AB1B0000}"/>
    <cellStyle name="40% - uthevingsfarge 4 22 2 2" xfId="5788" xr:uid="{00000000-0005-0000-0000-0000AC1B0000}"/>
    <cellStyle name="40% - uthevingsfarge 4 22 2 2 2" xfId="8421" xr:uid="{00000000-0005-0000-0000-0000AD1B0000}"/>
    <cellStyle name="40% - uthevingsfarge 4 22 2 3" xfId="9379" xr:uid="{00000000-0005-0000-0000-0000AE1B0000}"/>
    <cellStyle name="40% - uthevingsfarge 4 22 3" xfId="5067" xr:uid="{00000000-0005-0000-0000-0000AF1B0000}"/>
    <cellStyle name="40% - uthevingsfarge 4 22 3 2" xfId="7720" xr:uid="{00000000-0005-0000-0000-0000B01B0000}"/>
    <cellStyle name="40% - uthevingsfarge 4 22 4" xfId="10530" xr:uid="{00000000-0005-0000-0000-0000B11B0000}"/>
    <cellStyle name="40% - uthevingsfarge 4 23" xfId="1802" xr:uid="{00000000-0005-0000-0000-0000B21B0000}"/>
    <cellStyle name="40% - uthevingsfarge 4 23 2" xfId="1803" xr:uid="{00000000-0005-0000-0000-0000B31B0000}"/>
    <cellStyle name="40% - uthevingsfarge 4 23 2 2" xfId="5789" xr:uid="{00000000-0005-0000-0000-0000B41B0000}"/>
    <cellStyle name="40% - uthevingsfarge 4 23 2 2 2" xfId="8422" xr:uid="{00000000-0005-0000-0000-0000B51B0000}"/>
    <cellStyle name="40% - uthevingsfarge 4 23 2 3" xfId="9378" xr:uid="{00000000-0005-0000-0000-0000B61B0000}"/>
    <cellStyle name="40% - uthevingsfarge 4 23 3" xfId="5068" xr:uid="{00000000-0005-0000-0000-0000B71B0000}"/>
    <cellStyle name="40% - uthevingsfarge 4 23 3 2" xfId="7721" xr:uid="{00000000-0005-0000-0000-0000B81B0000}"/>
    <cellStyle name="40% - uthevingsfarge 4 23 4" xfId="10529" xr:uid="{00000000-0005-0000-0000-0000B91B0000}"/>
    <cellStyle name="40% - uthevingsfarge 4 24" xfId="1804" xr:uid="{00000000-0005-0000-0000-0000BA1B0000}"/>
    <cellStyle name="40% - uthevingsfarge 4 24 2" xfId="1805" xr:uid="{00000000-0005-0000-0000-0000BB1B0000}"/>
    <cellStyle name="40% - uthevingsfarge 4 24 2 2" xfId="5790" xr:uid="{00000000-0005-0000-0000-0000BC1B0000}"/>
    <cellStyle name="40% - uthevingsfarge 4 24 2 2 2" xfId="8423" xr:uid="{00000000-0005-0000-0000-0000BD1B0000}"/>
    <cellStyle name="40% - uthevingsfarge 4 24 2 3" xfId="9377" xr:uid="{00000000-0005-0000-0000-0000BE1B0000}"/>
    <cellStyle name="40% - uthevingsfarge 4 24 3" xfId="5069" xr:uid="{00000000-0005-0000-0000-0000BF1B0000}"/>
    <cellStyle name="40% - uthevingsfarge 4 24 3 2" xfId="7722" xr:uid="{00000000-0005-0000-0000-0000C01B0000}"/>
    <cellStyle name="40% - uthevingsfarge 4 24 4" xfId="10528" xr:uid="{00000000-0005-0000-0000-0000C11B0000}"/>
    <cellStyle name="40% - uthevingsfarge 4 25" xfId="1806" xr:uid="{00000000-0005-0000-0000-0000C21B0000}"/>
    <cellStyle name="40% - uthevingsfarge 4 25 2" xfId="1807" xr:uid="{00000000-0005-0000-0000-0000C31B0000}"/>
    <cellStyle name="40% - uthevingsfarge 4 25 2 2" xfId="5791" xr:uid="{00000000-0005-0000-0000-0000C41B0000}"/>
    <cellStyle name="40% - uthevingsfarge 4 25 2 2 2" xfId="8424" xr:uid="{00000000-0005-0000-0000-0000C51B0000}"/>
    <cellStyle name="40% - uthevingsfarge 4 25 2 3" xfId="9376" xr:uid="{00000000-0005-0000-0000-0000C61B0000}"/>
    <cellStyle name="40% - uthevingsfarge 4 25 3" xfId="5070" xr:uid="{00000000-0005-0000-0000-0000C71B0000}"/>
    <cellStyle name="40% - uthevingsfarge 4 25 3 2" xfId="7723" xr:uid="{00000000-0005-0000-0000-0000C81B0000}"/>
    <cellStyle name="40% - uthevingsfarge 4 25 4" xfId="10527" xr:uid="{00000000-0005-0000-0000-0000C91B0000}"/>
    <cellStyle name="40% - uthevingsfarge 4 26" xfId="1808" xr:uid="{00000000-0005-0000-0000-0000CA1B0000}"/>
    <cellStyle name="40% - uthevingsfarge 4 26 2" xfId="1809" xr:uid="{00000000-0005-0000-0000-0000CB1B0000}"/>
    <cellStyle name="40% - uthevingsfarge 4 26 2 2" xfId="5792" xr:uid="{00000000-0005-0000-0000-0000CC1B0000}"/>
    <cellStyle name="40% - uthevingsfarge 4 26 2 2 2" xfId="8425" xr:uid="{00000000-0005-0000-0000-0000CD1B0000}"/>
    <cellStyle name="40% - uthevingsfarge 4 26 2 3" xfId="9375" xr:uid="{00000000-0005-0000-0000-0000CE1B0000}"/>
    <cellStyle name="40% - uthevingsfarge 4 26 3" xfId="5071" xr:uid="{00000000-0005-0000-0000-0000CF1B0000}"/>
    <cellStyle name="40% - uthevingsfarge 4 26 3 2" xfId="7724" xr:uid="{00000000-0005-0000-0000-0000D01B0000}"/>
    <cellStyle name="40% - uthevingsfarge 4 26 4" xfId="10526" xr:uid="{00000000-0005-0000-0000-0000D11B0000}"/>
    <cellStyle name="40% - uthevingsfarge 4 27" xfId="1810" xr:uid="{00000000-0005-0000-0000-0000D21B0000}"/>
    <cellStyle name="40% - uthevingsfarge 4 27 2" xfId="1811" xr:uid="{00000000-0005-0000-0000-0000D31B0000}"/>
    <cellStyle name="40% - uthevingsfarge 4 27 2 2" xfId="5793" xr:uid="{00000000-0005-0000-0000-0000D41B0000}"/>
    <cellStyle name="40% - uthevingsfarge 4 27 2 2 2" xfId="8426" xr:uid="{00000000-0005-0000-0000-0000D51B0000}"/>
    <cellStyle name="40% - uthevingsfarge 4 27 2 3" xfId="9374" xr:uid="{00000000-0005-0000-0000-0000D61B0000}"/>
    <cellStyle name="40% - uthevingsfarge 4 27 3" xfId="5072" xr:uid="{00000000-0005-0000-0000-0000D71B0000}"/>
    <cellStyle name="40% - uthevingsfarge 4 27 3 2" xfId="7725" xr:uid="{00000000-0005-0000-0000-0000D81B0000}"/>
    <cellStyle name="40% - uthevingsfarge 4 27 4" xfId="10650" xr:uid="{00000000-0005-0000-0000-0000D91B0000}"/>
    <cellStyle name="40% - uthevingsfarge 4 28" xfId="1812" xr:uid="{00000000-0005-0000-0000-0000DA1B0000}"/>
    <cellStyle name="40% - uthevingsfarge 4 28 2" xfId="1813" xr:uid="{00000000-0005-0000-0000-0000DB1B0000}"/>
    <cellStyle name="40% - uthevingsfarge 4 28 2 2" xfId="5794" xr:uid="{00000000-0005-0000-0000-0000DC1B0000}"/>
    <cellStyle name="40% - uthevingsfarge 4 28 2 2 2" xfId="8427" xr:uid="{00000000-0005-0000-0000-0000DD1B0000}"/>
    <cellStyle name="40% - uthevingsfarge 4 28 2 3" xfId="10578" xr:uid="{00000000-0005-0000-0000-0000DE1B0000}"/>
    <cellStyle name="40% - uthevingsfarge 4 28 3" xfId="5073" xr:uid="{00000000-0005-0000-0000-0000DF1B0000}"/>
    <cellStyle name="40% - uthevingsfarge 4 28 3 2" xfId="7726" xr:uid="{00000000-0005-0000-0000-0000E01B0000}"/>
    <cellStyle name="40% - uthevingsfarge 4 28 4" xfId="9373" xr:uid="{00000000-0005-0000-0000-0000E11B0000}"/>
    <cellStyle name="40% - uthevingsfarge 4 29" xfId="1814" xr:uid="{00000000-0005-0000-0000-0000E21B0000}"/>
    <cellStyle name="40% - uthevingsfarge 4 29 2" xfId="1815" xr:uid="{00000000-0005-0000-0000-0000E31B0000}"/>
    <cellStyle name="40% - uthevingsfarge 4 29 2 2" xfId="5795" xr:uid="{00000000-0005-0000-0000-0000E41B0000}"/>
    <cellStyle name="40% - uthevingsfarge 4 29 2 2 2" xfId="8428" xr:uid="{00000000-0005-0000-0000-0000E51B0000}"/>
    <cellStyle name="40% - uthevingsfarge 4 29 2 3" xfId="9910" xr:uid="{00000000-0005-0000-0000-0000E61B0000}"/>
    <cellStyle name="40% - uthevingsfarge 4 29 3" xfId="5074" xr:uid="{00000000-0005-0000-0000-0000E71B0000}"/>
    <cellStyle name="40% - uthevingsfarge 4 29 3 2" xfId="7727" xr:uid="{00000000-0005-0000-0000-0000E81B0000}"/>
    <cellStyle name="40% - uthevingsfarge 4 29 4" xfId="9794" xr:uid="{00000000-0005-0000-0000-0000E91B0000}"/>
    <cellStyle name="40% - uthevingsfarge 4 3" xfId="1816" xr:uid="{00000000-0005-0000-0000-0000EA1B0000}"/>
    <cellStyle name="40% - uthevingsfarge 4 3 2" xfId="1817" xr:uid="{00000000-0005-0000-0000-0000EB1B0000}"/>
    <cellStyle name="40% - uthevingsfarge 4 3 2 2" xfId="5796" xr:uid="{00000000-0005-0000-0000-0000EC1B0000}"/>
    <cellStyle name="40% - uthevingsfarge 4 3 2 2 2" xfId="8429" xr:uid="{00000000-0005-0000-0000-0000ED1B0000}"/>
    <cellStyle name="40% - uthevingsfarge 4 3 2 3" xfId="10370" xr:uid="{00000000-0005-0000-0000-0000EE1B0000}"/>
    <cellStyle name="40% - uthevingsfarge 4 3 3" xfId="5075" xr:uid="{00000000-0005-0000-0000-0000EF1B0000}"/>
    <cellStyle name="40% - uthevingsfarge 4 3 3 2" xfId="7728" xr:uid="{00000000-0005-0000-0000-0000F01B0000}"/>
    <cellStyle name="40% - uthevingsfarge 4 3 4" xfId="9742" xr:uid="{00000000-0005-0000-0000-0000F11B0000}"/>
    <cellStyle name="40% - uthevingsfarge 4 30" xfId="1818" xr:uid="{00000000-0005-0000-0000-0000F21B0000}"/>
    <cellStyle name="40% - uthevingsfarge 4 30 2" xfId="1819" xr:uid="{00000000-0005-0000-0000-0000F31B0000}"/>
    <cellStyle name="40% - uthevingsfarge 4 30 2 2" xfId="5797" xr:uid="{00000000-0005-0000-0000-0000F41B0000}"/>
    <cellStyle name="40% - uthevingsfarge 4 30 2 2 2" xfId="8430" xr:uid="{00000000-0005-0000-0000-0000F51B0000}"/>
    <cellStyle name="40% - uthevingsfarge 4 30 2 3" xfId="9911" xr:uid="{00000000-0005-0000-0000-0000F61B0000}"/>
    <cellStyle name="40% - uthevingsfarge 4 30 3" xfId="5076" xr:uid="{00000000-0005-0000-0000-0000F71B0000}"/>
    <cellStyle name="40% - uthevingsfarge 4 30 3 2" xfId="7729" xr:uid="{00000000-0005-0000-0000-0000F81B0000}"/>
    <cellStyle name="40% - uthevingsfarge 4 30 4" xfId="9793" xr:uid="{00000000-0005-0000-0000-0000F91B0000}"/>
    <cellStyle name="40% - uthevingsfarge 4 31" xfId="1820" xr:uid="{00000000-0005-0000-0000-0000FA1B0000}"/>
    <cellStyle name="40% - uthevingsfarge 4 31 2" xfId="1821" xr:uid="{00000000-0005-0000-0000-0000FB1B0000}"/>
    <cellStyle name="40% - uthevingsfarge 4 31 2 2" xfId="5798" xr:uid="{00000000-0005-0000-0000-0000FC1B0000}"/>
    <cellStyle name="40% - uthevingsfarge 4 31 2 2 2" xfId="8431" xr:uid="{00000000-0005-0000-0000-0000FD1B0000}"/>
    <cellStyle name="40% - uthevingsfarge 4 31 2 3" xfId="10369" xr:uid="{00000000-0005-0000-0000-0000FE1B0000}"/>
    <cellStyle name="40% - uthevingsfarge 4 31 3" xfId="5077" xr:uid="{00000000-0005-0000-0000-0000FF1B0000}"/>
    <cellStyle name="40% - uthevingsfarge 4 31 3 2" xfId="7730" xr:uid="{00000000-0005-0000-0000-0000001C0000}"/>
    <cellStyle name="40% - uthevingsfarge 4 31 4" xfId="9741" xr:uid="{00000000-0005-0000-0000-0000011C0000}"/>
    <cellStyle name="40% - uthevingsfarge 4 32" xfId="1822" xr:uid="{00000000-0005-0000-0000-0000021C0000}"/>
    <cellStyle name="40% - uthevingsfarge 4 32 2" xfId="1823" xr:uid="{00000000-0005-0000-0000-0000031C0000}"/>
    <cellStyle name="40% - uthevingsfarge 4 32 2 2" xfId="5799" xr:uid="{00000000-0005-0000-0000-0000041C0000}"/>
    <cellStyle name="40% - uthevingsfarge 4 32 2 2 2" xfId="8432" xr:uid="{00000000-0005-0000-0000-0000051C0000}"/>
    <cellStyle name="40% - uthevingsfarge 4 32 2 3" xfId="9912" xr:uid="{00000000-0005-0000-0000-0000061C0000}"/>
    <cellStyle name="40% - uthevingsfarge 4 32 3" xfId="5078" xr:uid="{00000000-0005-0000-0000-0000071C0000}"/>
    <cellStyle name="40% - uthevingsfarge 4 32 3 2" xfId="7731" xr:uid="{00000000-0005-0000-0000-0000081C0000}"/>
    <cellStyle name="40% - uthevingsfarge 4 32 4" xfId="9792" xr:uid="{00000000-0005-0000-0000-0000091C0000}"/>
    <cellStyle name="40% - uthevingsfarge 4 33" xfId="1824" xr:uid="{00000000-0005-0000-0000-00000A1C0000}"/>
    <cellStyle name="40% - uthevingsfarge 4 33 2" xfId="1825" xr:uid="{00000000-0005-0000-0000-00000B1C0000}"/>
    <cellStyle name="40% - uthevingsfarge 4 33 2 2" xfId="5800" xr:uid="{00000000-0005-0000-0000-00000C1C0000}"/>
    <cellStyle name="40% - uthevingsfarge 4 33 2 2 2" xfId="8433" xr:uid="{00000000-0005-0000-0000-00000D1C0000}"/>
    <cellStyle name="40% - uthevingsfarge 4 33 2 3" xfId="10368" xr:uid="{00000000-0005-0000-0000-00000E1C0000}"/>
    <cellStyle name="40% - uthevingsfarge 4 33 3" xfId="5079" xr:uid="{00000000-0005-0000-0000-00000F1C0000}"/>
    <cellStyle name="40% - uthevingsfarge 4 33 3 2" xfId="7732" xr:uid="{00000000-0005-0000-0000-0000101C0000}"/>
    <cellStyle name="40% - uthevingsfarge 4 33 4" xfId="9740" xr:uid="{00000000-0005-0000-0000-0000111C0000}"/>
    <cellStyle name="40% - uthevingsfarge 4 34" xfId="1826" xr:uid="{00000000-0005-0000-0000-0000121C0000}"/>
    <cellStyle name="40% - uthevingsfarge 4 34 2" xfId="1827" xr:uid="{00000000-0005-0000-0000-0000131C0000}"/>
    <cellStyle name="40% - uthevingsfarge 4 34 2 2" xfId="5801" xr:uid="{00000000-0005-0000-0000-0000141C0000}"/>
    <cellStyle name="40% - uthevingsfarge 4 34 2 2 2" xfId="8434" xr:uid="{00000000-0005-0000-0000-0000151C0000}"/>
    <cellStyle name="40% - uthevingsfarge 4 34 2 3" xfId="9913" xr:uid="{00000000-0005-0000-0000-0000161C0000}"/>
    <cellStyle name="40% - uthevingsfarge 4 34 3" xfId="5080" xr:uid="{00000000-0005-0000-0000-0000171C0000}"/>
    <cellStyle name="40% - uthevingsfarge 4 34 3 2" xfId="7733" xr:uid="{00000000-0005-0000-0000-0000181C0000}"/>
    <cellStyle name="40% - uthevingsfarge 4 34 4" xfId="9791" xr:uid="{00000000-0005-0000-0000-0000191C0000}"/>
    <cellStyle name="40% - uthevingsfarge 4 35" xfId="1828" xr:uid="{00000000-0005-0000-0000-00001A1C0000}"/>
    <cellStyle name="40% - uthevingsfarge 4 35 2" xfId="1829" xr:uid="{00000000-0005-0000-0000-00001B1C0000}"/>
    <cellStyle name="40% - uthevingsfarge 4 35 2 2" xfId="5802" xr:uid="{00000000-0005-0000-0000-00001C1C0000}"/>
    <cellStyle name="40% - uthevingsfarge 4 35 2 2 2" xfId="8435" xr:uid="{00000000-0005-0000-0000-00001D1C0000}"/>
    <cellStyle name="40% - uthevingsfarge 4 35 2 3" xfId="10367" xr:uid="{00000000-0005-0000-0000-00001E1C0000}"/>
    <cellStyle name="40% - uthevingsfarge 4 35 3" xfId="5081" xr:uid="{00000000-0005-0000-0000-00001F1C0000}"/>
    <cellStyle name="40% - uthevingsfarge 4 35 3 2" xfId="7734" xr:uid="{00000000-0005-0000-0000-0000201C0000}"/>
    <cellStyle name="40% - uthevingsfarge 4 35 4" xfId="9739" xr:uid="{00000000-0005-0000-0000-0000211C0000}"/>
    <cellStyle name="40% - uthevingsfarge 4 36" xfId="1830" xr:uid="{00000000-0005-0000-0000-0000221C0000}"/>
    <cellStyle name="40% - uthevingsfarge 4 36 2" xfId="1831" xr:uid="{00000000-0005-0000-0000-0000231C0000}"/>
    <cellStyle name="40% - uthevingsfarge 4 36 2 2" xfId="5803" xr:uid="{00000000-0005-0000-0000-0000241C0000}"/>
    <cellStyle name="40% - uthevingsfarge 4 36 2 2 2" xfId="8436" xr:uid="{00000000-0005-0000-0000-0000251C0000}"/>
    <cellStyle name="40% - uthevingsfarge 4 36 2 3" xfId="9914" xr:uid="{00000000-0005-0000-0000-0000261C0000}"/>
    <cellStyle name="40% - uthevingsfarge 4 36 3" xfId="5082" xr:uid="{00000000-0005-0000-0000-0000271C0000}"/>
    <cellStyle name="40% - uthevingsfarge 4 36 3 2" xfId="7735" xr:uid="{00000000-0005-0000-0000-0000281C0000}"/>
    <cellStyle name="40% - uthevingsfarge 4 36 4" xfId="9790" xr:uid="{00000000-0005-0000-0000-0000291C0000}"/>
    <cellStyle name="40% - uthevingsfarge 4 37" xfId="1832" xr:uid="{00000000-0005-0000-0000-00002A1C0000}"/>
    <cellStyle name="40% - uthevingsfarge 4 37 2" xfId="1833" xr:uid="{00000000-0005-0000-0000-00002B1C0000}"/>
    <cellStyle name="40% - uthevingsfarge 4 37 2 2" xfId="5804" xr:uid="{00000000-0005-0000-0000-00002C1C0000}"/>
    <cellStyle name="40% - uthevingsfarge 4 37 2 2 2" xfId="8437" xr:uid="{00000000-0005-0000-0000-00002D1C0000}"/>
    <cellStyle name="40% - uthevingsfarge 4 37 2 3" xfId="10366" xr:uid="{00000000-0005-0000-0000-00002E1C0000}"/>
    <cellStyle name="40% - uthevingsfarge 4 37 3" xfId="5083" xr:uid="{00000000-0005-0000-0000-00002F1C0000}"/>
    <cellStyle name="40% - uthevingsfarge 4 37 3 2" xfId="7736" xr:uid="{00000000-0005-0000-0000-0000301C0000}"/>
    <cellStyle name="40% - uthevingsfarge 4 37 4" xfId="9738" xr:uid="{00000000-0005-0000-0000-0000311C0000}"/>
    <cellStyle name="40% - uthevingsfarge 4 38" xfId="1834" xr:uid="{00000000-0005-0000-0000-0000321C0000}"/>
    <cellStyle name="40% - uthevingsfarge 4 38 2" xfId="1835" xr:uid="{00000000-0005-0000-0000-0000331C0000}"/>
    <cellStyle name="40% - uthevingsfarge 4 38 2 2" xfId="5805" xr:uid="{00000000-0005-0000-0000-0000341C0000}"/>
    <cellStyle name="40% - uthevingsfarge 4 38 2 2 2" xfId="8438" xr:uid="{00000000-0005-0000-0000-0000351C0000}"/>
    <cellStyle name="40% - uthevingsfarge 4 38 2 3" xfId="9915" xr:uid="{00000000-0005-0000-0000-0000361C0000}"/>
    <cellStyle name="40% - uthevingsfarge 4 38 3" xfId="5084" xr:uid="{00000000-0005-0000-0000-0000371C0000}"/>
    <cellStyle name="40% - uthevingsfarge 4 38 3 2" xfId="7737" xr:uid="{00000000-0005-0000-0000-0000381C0000}"/>
    <cellStyle name="40% - uthevingsfarge 4 38 4" xfId="9789" xr:uid="{00000000-0005-0000-0000-0000391C0000}"/>
    <cellStyle name="40% - uthevingsfarge 4 39" xfId="1836" xr:uid="{00000000-0005-0000-0000-00003A1C0000}"/>
    <cellStyle name="40% - uthevingsfarge 4 39 2" xfId="1837" xr:uid="{00000000-0005-0000-0000-00003B1C0000}"/>
    <cellStyle name="40% - uthevingsfarge 4 39 2 2" xfId="5806" xr:uid="{00000000-0005-0000-0000-00003C1C0000}"/>
    <cellStyle name="40% - uthevingsfarge 4 39 2 2 2" xfId="8439" xr:uid="{00000000-0005-0000-0000-00003D1C0000}"/>
    <cellStyle name="40% - uthevingsfarge 4 39 2 3" xfId="10365" xr:uid="{00000000-0005-0000-0000-00003E1C0000}"/>
    <cellStyle name="40% - uthevingsfarge 4 39 3" xfId="5085" xr:uid="{00000000-0005-0000-0000-00003F1C0000}"/>
    <cellStyle name="40% - uthevingsfarge 4 39 3 2" xfId="7738" xr:uid="{00000000-0005-0000-0000-0000401C0000}"/>
    <cellStyle name="40% - uthevingsfarge 4 39 4" xfId="9737" xr:uid="{00000000-0005-0000-0000-0000411C0000}"/>
    <cellStyle name="40% - uthevingsfarge 4 4" xfId="1838" xr:uid="{00000000-0005-0000-0000-0000421C0000}"/>
    <cellStyle name="40% - uthevingsfarge 4 4 2" xfId="1839" xr:uid="{00000000-0005-0000-0000-0000431C0000}"/>
    <cellStyle name="40% - uthevingsfarge 4 4 2 2" xfId="5807" xr:uid="{00000000-0005-0000-0000-0000441C0000}"/>
    <cellStyle name="40% - uthevingsfarge 4 4 2 2 2" xfId="8440" xr:uid="{00000000-0005-0000-0000-0000451C0000}"/>
    <cellStyle name="40% - uthevingsfarge 4 4 2 3" xfId="9916" xr:uid="{00000000-0005-0000-0000-0000461C0000}"/>
    <cellStyle name="40% - uthevingsfarge 4 4 3" xfId="5086" xr:uid="{00000000-0005-0000-0000-0000471C0000}"/>
    <cellStyle name="40% - uthevingsfarge 4 4 3 2" xfId="7739" xr:uid="{00000000-0005-0000-0000-0000481C0000}"/>
    <cellStyle name="40% - uthevingsfarge 4 4 4" xfId="9788" xr:uid="{00000000-0005-0000-0000-0000491C0000}"/>
    <cellStyle name="40% - uthevingsfarge 4 40" xfId="1840" xr:uid="{00000000-0005-0000-0000-00004A1C0000}"/>
    <cellStyle name="40% - uthevingsfarge 4 40 2" xfId="1841" xr:uid="{00000000-0005-0000-0000-00004B1C0000}"/>
    <cellStyle name="40% - uthevingsfarge 4 40 2 2" xfId="5808" xr:uid="{00000000-0005-0000-0000-00004C1C0000}"/>
    <cellStyle name="40% - uthevingsfarge 4 40 2 2 2" xfId="8441" xr:uid="{00000000-0005-0000-0000-00004D1C0000}"/>
    <cellStyle name="40% - uthevingsfarge 4 40 2 3" xfId="10364" xr:uid="{00000000-0005-0000-0000-00004E1C0000}"/>
    <cellStyle name="40% - uthevingsfarge 4 40 3" xfId="5087" xr:uid="{00000000-0005-0000-0000-00004F1C0000}"/>
    <cellStyle name="40% - uthevingsfarge 4 40 3 2" xfId="7740" xr:uid="{00000000-0005-0000-0000-0000501C0000}"/>
    <cellStyle name="40% - uthevingsfarge 4 40 4" xfId="9736" xr:uid="{00000000-0005-0000-0000-0000511C0000}"/>
    <cellStyle name="40% - uthevingsfarge 4 41" xfId="1842" xr:uid="{00000000-0005-0000-0000-0000521C0000}"/>
    <cellStyle name="40% - uthevingsfarge 4 41 2" xfId="1843" xr:uid="{00000000-0005-0000-0000-0000531C0000}"/>
    <cellStyle name="40% - uthevingsfarge 4 41 2 2" xfId="5809" xr:uid="{00000000-0005-0000-0000-0000541C0000}"/>
    <cellStyle name="40% - uthevingsfarge 4 41 2 2 2" xfId="8442" xr:uid="{00000000-0005-0000-0000-0000551C0000}"/>
    <cellStyle name="40% - uthevingsfarge 4 41 2 3" xfId="9917" xr:uid="{00000000-0005-0000-0000-0000561C0000}"/>
    <cellStyle name="40% - uthevingsfarge 4 41 3" xfId="5088" xr:uid="{00000000-0005-0000-0000-0000571C0000}"/>
    <cellStyle name="40% - uthevingsfarge 4 41 3 2" xfId="7741" xr:uid="{00000000-0005-0000-0000-0000581C0000}"/>
    <cellStyle name="40% - uthevingsfarge 4 41 4" xfId="9787" xr:uid="{00000000-0005-0000-0000-0000591C0000}"/>
    <cellStyle name="40% - uthevingsfarge 4 42" xfId="1844" xr:uid="{00000000-0005-0000-0000-00005A1C0000}"/>
    <cellStyle name="40% - uthevingsfarge 4 42 2" xfId="1845" xr:uid="{00000000-0005-0000-0000-00005B1C0000}"/>
    <cellStyle name="40% - uthevingsfarge 4 42 2 2" xfId="5810" xr:uid="{00000000-0005-0000-0000-00005C1C0000}"/>
    <cellStyle name="40% - uthevingsfarge 4 42 2 2 2" xfId="8443" xr:uid="{00000000-0005-0000-0000-00005D1C0000}"/>
    <cellStyle name="40% - uthevingsfarge 4 42 2 3" xfId="10363" xr:uid="{00000000-0005-0000-0000-00005E1C0000}"/>
    <cellStyle name="40% - uthevingsfarge 4 42 3" xfId="5089" xr:uid="{00000000-0005-0000-0000-00005F1C0000}"/>
    <cellStyle name="40% - uthevingsfarge 4 42 3 2" xfId="7742" xr:uid="{00000000-0005-0000-0000-0000601C0000}"/>
    <cellStyle name="40% - uthevingsfarge 4 42 4" xfId="9735" xr:uid="{00000000-0005-0000-0000-0000611C0000}"/>
    <cellStyle name="40% - uthevingsfarge 4 43" xfId="1846" xr:uid="{00000000-0005-0000-0000-0000621C0000}"/>
    <cellStyle name="40% - uthevingsfarge 4 43 2" xfId="1847" xr:uid="{00000000-0005-0000-0000-0000631C0000}"/>
    <cellStyle name="40% - uthevingsfarge 4 43 2 2" xfId="5811" xr:uid="{00000000-0005-0000-0000-0000641C0000}"/>
    <cellStyle name="40% - uthevingsfarge 4 43 2 2 2" xfId="8444" xr:uid="{00000000-0005-0000-0000-0000651C0000}"/>
    <cellStyle name="40% - uthevingsfarge 4 43 2 3" xfId="9918" xr:uid="{00000000-0005-0000-0000-0000661C0000}"/>
    <cellStyle name="40% - uthevingsfarge 4 43 3" xfId="5090" xr:uid="{00000000-0005-0000-0000-0000671C0000}"/>
    <cellStyle name="40% - uthevingsfarge 4 43 3 2" xfId="7743" xr:uid="{00000000-0005-0000-0000-0000681C0000}"/>
    <cellStyle name="40% - uthevingsfarge 4 43 4" xfId="9786" xr:uid="{00000000-0005-0000-0000-0000691C0000}"/>
    <cellStyle name="40% - uthevingsfarge 4 44" xfId="1848" xr:uid="{00000000-0005-0000-0000-00006A1C0000}"/>
    <cellStyle name="40% - uthevingsfarge 4 44 2" xfId="1849" xr:uid="{00000000-0005-0000-0000-00006B1C0000}"/>
    <cellStyle name="40% - uthevingsfarge 4 44 2 2" xfId="5812" xr:uid="{00000000-0005-0000-0000-00006C1C0000}"/>
    <cellStyle name="40% - uthevingsfarge 4 44 2 2 2" xfId="8445" xr:uid="{00000000-0005-0000-0000-00006D1C0000}"/>
    <cellStyle name="40% - uthevingsfarge 4 44 2 3" xfId="10362" xr:uid="{00000000-0005-0000-0000-00006E1C0000}"/>
    <cellStyle name="40% - uthevingsfarge 4 44 3" xfId="5091" xr:uid="{00000000-0005-0000-0000-00006F1C0000}"/>
    <cellStyle name="40% - uthevingsfarge 4 44 3 2" xfId="7744" xr:uid="{00000000-0005-0000-0000-0000701C0000}"/>
    <cellStyle name="40% - uthevingsfarge 4 44 4" xfId="9734" xr:uid="{00000000-0005-0000-0000-0000711C0000}"/>
    <cellStyle name="40% - uthevingsfarge 4 45" xfId="1850" xr:uid="{00000000-0005-0000-0000-0000721C0000}"/>
    <cellStyle name="40% - uthevingsfarge 4 45 2" xfId="1851" xr:uid="{00000000-0005-0000-0000-0000731C0000}"/>
    <cellStyle name="40% - uthevingsfarge 4 45 2 2" xfId="5813" xr:uid="{00000000-0005-0000-0000-0000741C0000}"/>
    <cellStyle name="40% - uthevingsfarge 4 45 2 2 2" xfId="8446" xr:uid="{00000000-0005-0000-0000-0000751C0000}"/>
    <cellStyle name="40% - uthevingsfarge 4 45 2 3" xfId="9919" xr:uid="{00000000-0005-0000-0000-0000761C0000}"/>
    <cellStyle name="40% - uthevingsfarge 4 45 3" xfId="5092" xr:uid="{00000000-0005-0000-0000-0000771C0000}"/>
    <cellStyle name="40% - uthevingsfarge 4 45 3 2" xfId="7745" xr:uid="{00000000-0005-0000-0000-0000781C0000}"/>
    <cellStyle name="40% - uthevingsfarge 4 45 4" xfId="9785" xr:uid="{00000000-0005-0000-0000-0000791C0000}"/>
    <cellStyle name="40% - uthevingsfarge 4 46" xfId="1852" xr:uid="{00000000-0005-0000-0000-00007A1C0000}"/>
    <cellStyle name="40% - uthevingsfarge 4 46 2" xfId="1853" xr:uid="{00000000-0005-0000-0000-00007B1C0000}"/>
    <cellStyle name="40% - uthevingsfarge 4 46 2 2" xfId="5814" xr:uid="{00000000-0005-0000-0000-00007C1C0000}"/>
    <cellStyle name="40% - uthevingsfarge 4 46 2 2 2" xfId="8447" xr:uid="{00000000-0005-0000-0000-00007D1C0000}"/>
    <cellStyle name="40% - uthevingsfarge 4 46 2 3" xfId="10361" xr:uid="{00000000-0005-0000-0000-00007E1C0000}"/>
    <cellStyle name="40% - uthevingsfarge 4 46 3" xfId="5093" xr:uid="{00000000-0005-0000-0000-00007F1C0000}"/>
    <cellStyle name="40% - uthevingsfarge 4 46 3 2" xfId="7746" xr:uid="{00000000-0005-0000-0000-0000801C0000}"/>
    <cellStyle name="40% - uthevingsfarge 4 46 4" xfId="9733" xr:uid="{00000000-0005-0000-0000-0000811C0000}"/>
    <cellStyle name="40% - uthevingsfarge 4 47" xfId="1854" xr:uid="{00000000-0005-0000-0000-0000821C0000}"/>
    <cellStyle name="40% - uthevingsfarge 4 47 2" xfId="1855" xr:uid="{00000000-0005-0000-0000-0000831C0000}"/>
    <cellStyle name="40% - uthevingsfarge 4 47 2 2" xfId="5815" xr:uid="{00000000-0005-0000-0000-0000841C0000}"/>
    <cellStyle name="40% - uthevingsfarge 4 47 2 2 2" xfId="8448" xr:uid="{00000000-0005-0000-0000-0000851C0000}"/>
    <cellStyle name="40% - uthevingsfarge 4 47 2 3" xfId="10577" xr:uid="{00000000-0005-0000-0000-0000861C0000}"/>
    <cellStyle name="40% - uthevingsfarge 4 47 3" xfId="5094" xr:uid="{00000000-0005-0000-0000-0000871C0000}"/>
    <cellStyle name="40% - uthevingsfarge 4 47 3 2" xfId="7747" xr:uid="{00000000-0005-0000-0000-0000881C0000}"/>
    <cellStyle name="40% - uthevingsfarge 4 47 4" xfId="9372" xr:uid="{00000000-0005-0000-0000-0000891C0000}"/>
    <cellStyle name="40% - uthevingsfarge 4 48" xfId="1856" xr:uid="{00000000-0005-0000-0000-00008A1C0000}"/>
    <cellStyle name="40% - uthevingsfarge 4 48 2" xfId="1857" xr:uid="{00000000-0005-0000-0000-00008B1C0000}"/>
    <cellStyle name="40% - uthevingsfarge 4 48 2 2" xfId="5816" xr:uid="{00000000-0005-0000-0000-00008C1C0000}"/>
    <cellStyle name="40% - uthevingsfarge 4 48 2 2 2" xfId="8449" xr:uid="{00000000-0005-0000-0000-00008D1C0000}"/>
    <cellStyle name="40% - uthevingsfarge 4 48 2 3" xfId="9920" xr:uid="{00000000-0005-0000-0000-00008E1C0000}"/>
    <cellStyle name="40% - uthevingsfarge 4 48 3" xfId="5095" xr:uid="{00000000-0005-0000-0000-00008F1C0000}"/>
    <cellStyle name="40% - uthevingsfarge 4 48 3 2" xfId="7748" xr:uid="{00000000-0005-0000-0000-0000901C0000}"/>
    <cellStyle name="40% - uthevingsfarge 4 48 4" xfId="9784" xr:uid="{00000000-0005-0000-0000-0000911C0000}"/>
    <cellStyle name="40% - uthevingsfarge 4 49" xfId="1858" xr:uid="{00000000-0005-0000-0000-0000921C0000}"/>
    <cellStyle name="40% - uthevingsfarge 4 49 2" xfId="1859" xr:uid="{00000000-0005-0000-0000-0000931C0000}"/>
    <cellStyle name="40% - uthevingsfarge 4 49 2 2" xfId="5817" xr:uid="{00000000-0005-0000-0000-0000941C0000}"/>
    <cellStyle name="40% - uthevingsfarge 4 49 2 2 2" xfId="8450" xr:uid="{00000000-0005-0000-0000-0000951C0000}"/>
    <cellStyle name="40% - uthevingsfarge 4 49 2 3" xfId="10360" xr:uid="{00000000-0005-0000-0000-0000961C0000}"/>
    <cellStyle name="40% - uthevingsfarge 4 49 3" xfId="5096" xr:uid="{00000000-0005-0000-0000-0000971C0000}"/>
    <cellStyle name="40% - uthevingsfarge 4 49 3 2" xfId="7749" xr:uid="{00000000-0005-0000-0000-0000981C0000}"/>
    <cellStyle name="40% - uthevingsfarge 4 49 4" xfId="9732" xr:uid="{00000000-0005-0000-0000-0000991C0000}"/>
    <cellStyle name="40% - uthevingsfarge 4 5" xfId="1860" xr:uid="{00000000-0005-0000-0000-00009A1C0000}"/>
    <cellStyle name="40% - uthevingsfarge 4 5 2" xfId="1861" xr:uid="{00000000-0005-0000-0000-00009B1C0000}"/>
    <cellStyle name="40% - uthevingsfarge 4 5 2 2" xfId="5818" xr:uid="{00000000-0005-0000-0000-00009C1C0000}"/>
    <cellStyle name="40% - uthevingsfarge 4 5 2 2 2" xfId="8451" xr:uid="{00000000-0005-0000-0000-00009D1C0000}"/>
    <cellStyle name="40% - uthevingsfarge 4 5 2 3" xfId="9921" xr:uid="{00000000-0005-0000-0000-00009E1C0000}"/>
    <cellStyle name="40% - uthevingsfarge 4 5 3" xfId="5097" xr:uid="{00000000-0005-0000-0000-00009F1C0000}"/>
    <cellStyle name="40% - uthevingsfarge 4 5 3 2" xfId="7750" xr:uid="{00000000-0005-0000-0000-0000A01C0000}"/>
    <cellStyle name="40% - uthevingsfarge 4 5 4" xfId="9783" xr:uid="{00000000-0005-0000-0000-0000A11C0000}"/>
    <cellStyle name="40% - uthevingsfarge 4 50" xfId="1862" xr:uid="{00000000-0005-0000-0000-0000A21C0000}"/>
    <cellStyle name="40% - uthevingsfarge 4 50 2" xfId="1863" xr:uid="{00000000-0005-0000-0000-0000A31C0000}"/>
    <cellStyle name="40% - uthevingsfarge 4 50 2 2" xfId="5819" xr:uid="{00000000-0005-0000-0000-0000A41C0000}"/>
    <cellStyle name="40% - uthevingsfarge 4 50 2 2 2" xfId="8452" xr:uid="{00000000-0005-0000-0000-0000A51C0000}"/>
    <cellStyle name="40% - uthevingsfarge 4 50 2 3" xfId="10359" xr:uid="{00000000-0005-0000-0000-0000A61C0000}"/>
    <cellStyle name="40% - uthevingsfarge 4 50 3" xfId="5098" xr:uid="{00000000-0005-0000-0000-0000A71C0000}"/>
    <cellStyle name="40% - uthevingsfarge 4 50 3 2" xfId="7751" xr:uid="{00000000-0005-0000-0000-0000A81C0000}"/>
    <cellStyle name="40% - uthevingsfarge 4 50 4" xfId="9731" xr:uid="{00000000-0005-0000-0000-0000A91C0000}"/>
    <cellStyle name="40% - uthevingsfarge 4 51" xfId="1864" xr:uid="{00000000-0005-0000-0000-0000AA1C0000}"/>
    <cellStyle name="40% - uthevingsfarge 4 51 2" xfId="1865" xr:uid="{00000000-0005-0000-0000-0000AB1C0000}"/>
    <cellStyle name="40% - uthevingsfarge 4 51 2 2" xfId="5820" xr:uid="{00000000-0005-0000-0000-0000AC1C0000}"/>
    <cellStyle name="40% - uthevingsfarge 4 51 2 2 2" xfId="8453" xr:uid="{00000000-0005-0000-0000-0000AD1C0000}"/>
    <cellStyle name="40% - uthevingsfarge 4 51 2 3" xfId="9922" xr:uid="{00000000-0005-0000-0000-0000AE1C0000}"/>
    <cellStyle name="40% - uthevingsfarge 4 51 3" xfId="5099" xr:uid="{00000000-0005-0000-0000-0000AF1C0000}"/>
    <cellStyle name="40% - uthevingsfarge 4 51 3 2" xfId="7752" xr:uid="{00000000-0005-0000-0000-0000B01C0000}"/>
    <cellStyle name="40% - uthevingsfarge 4 51 4" xfId="9782" xr:uid="{00000000-0005-0000-0000-0000B11C0000}"/>
    <cellStyle name="40% - uthevingsfarge 4 52" xfId="1866" xr:uid="{00000000-0005-0000-0000-0000B21C0000}"/>
    <cellStyle name="40% - uthevingsfarge 4 52 2" xfId="1867" xr:uid="{00000000-0005-0000-0000-0000B31C0000}"/>
    <cellStyle name="40% - uthevingsfarge 4 52 2 2" xfId="5821" xr:uid="{00000000-0005-0000-0000-0000B41C0000}"/>
    <cellStyle name="40% - uthevingsfarge 4 52 2 2 2" xfId="8454" xr:uid="{00000000-0005-0000-0000-0000B51C0000}"/>
    <cellStyle name="40% - uthevingsfarge 4 52 2 3" xfId="10358" xr:uid="{00000000-0005-0000-0000-0000B61C0000}"/>
    <cellStyle name="40% - uthevingsfarge 4 52 3" xfId="5100" xr:uid="{00000000-0005-0000-0000-0000B71C0000}"/>
    <cellStyle name="40% - uthevingsfarge 4 52 3 2" xfId="7753" xr:uid="{00000000-0005-0000-0000-0000B81C0000}"/>
    <cellStyle name="40% - uthevingsfarge 4 52 4" xfId="9730" xr:uid="{00000000-0005-0000-0000-0000B91C0000}"/>
    <cellStyle name="40% - uthevingsfarge 4 53" xfId="1868" xr:uid="{00000000-0005-0000-0000-0000BA1C0000}"/>
    <cellStyle name="40% - uthevingsfarge 4 53 2" xfId="1869" xr:uid="{00000000-0005-0000-0000-0000BB1C0000}"/>
    <cellStyle name="40% - uthevingsfarge 4 53 2 2" xfId="5822" xr:uid="{00000000-0005-0000-0000-0000BC1C0000}"/>
    <cellStyle name="40% - uthevingsfarge 4 53 2 2 2" xfId="8455" xr:uid="{00000000-0005-0000-0000-0000BD1C0000}"/>
    <cellStyle name="40% - uthevingsfarge 4 53 2 3" xfId="9923" xr:uid="{00000000-0005-0000-0000-0000BE1C0000}"/>
    <cellStyle name="40% - uthevingsfarge 4 53 3" xfId="5101" xr:uid="{00000000-0005-0000-0000-0000BF1C0000}"/>
    <cellStyle name="40% - uthevingsfarge 4 53 3 2" xfId="7754" xr:uid="{00000000-0005-0000-0000-0000C01C0000}"/>
    <cellStyle name="40% - uthevingsfarge 4 53 4" xfId="9781" xr:uid="{00000000-0005-0000-0000-0000C11C0000}"/>
    <cellStyle name="40% - uthevingsfarge 4 54" xfId="1870" xr:uid="{00000000-0005-0000-0000-0000C21C0000}"/>
    <cellStyle name="40% - uthevingsfarge 4 54 2" xfId="1871" xr:uid="{00000000-0005-0000-0000-0000C31C0000}"/>
    <cellStyle name="40% - uthevingsfarge 4 54 2 2" xfId="5823" xr:uid="{00000000-0005-0000-0000-0000C41C0000}"/>
    <cellStyle name="40% - uthevingsfarge 4 54 2 2 2" xfId="8456" xr:uid="{00000000-0005-0000-0000-0000C51C0000}"/>
    <cellStyle name="40% - uthevingsfarge 4 54 2 3" xfId="10357" xr:uid="{00000000-0005-0000-0000-0000C61C0000}"/>
    <cellStyle name="40% - uthevingsfarge 4 54 3" xfId="5102" xr:uid="{00000000-0005-0000-0000-0000C71C0000}"/>
    <cellStyle name="40% - uthevingsfarge 4 54 3 2" xfId="7755" xr:uid="{00000000-0005-0000-0000-0000C81C0000}"/>
    <cellStyle name="40% - uthevingsfarge 4 54 4" xfId="9729" xr:uid="{00000000-0005-0000-0000-0000C91C0000}"/>
    <cellStyle name="40% - uthevingsfarge 4 55" xfId="1872" xr:uid="{00000000-0005-0000-0000-0000CA1C0000}"/>
    <cellStyle name="40% - uthevingsfarge 4 55 2" xfId="1873" xr:uid="{00000000-0005-0000-0000-0000CB1C0000}"/>
    <cellStyle name="40% - uthevingsfarge 4 55 2 2" xfId="5824" xr:uid="{00000000-0005-0000-0000-0000CC1C0000}"/>
    <cellStyle name="40% - uthevingsfarge 4 55 2 2 2" xfId="8457" xr:uid="{00000000-0005-0000-0000-0000CD1C0000}"/>
    <cellStyle name="40% - uthevingsfarge 4 55 2 3" xfId="9924" xr:uid="{00000000-0005-0000-0000-0000CE1C0000}"/>
    <cellStyle name="40% - uthevingsfarge 4 55 3" xfId="5103" xr:uid="{00000000-0005-0000-0000-0000CF1C0000}"/>
    <cellStyle name="40% - uthevingsfarge 4 55 3 2" xfId="7756" xr:uid="{00000000-0005-0000-0000-0000D01C0000}"/>
    <cellStyle name="40% - uthevingsfarge 4 55 4" xfId="9780" xr:uid="{00000000-0005-0000-0000-0000D11C0000}"/>
    <cellStyle name="40% - uthevingsfarge 4 56" xfId="1874" xr:uid="{00000000-0005-0000-0000-0000D21C0000}"/>
    <cellStyle name="40% - uthevingsfarge 4 56 2" xfId="1875" xr:uid="{00000000-0005-0000-0000-0000D31C0000}"/>
    <cellStyle name="40% - uthevingsfarge 4 56 2 2" xfId="5825" xr:uid="{00000000-0005-0000-0000-0000D41C0000}"/>
    <cellStyle name="40% - uthevingsfarge 4 56 2 2 2" xfId="8458" xr:uid="{00000000-0005-0000-0000-0000D51C0000}"/>
    <cellStyle name="40% - uthevingsfarge 4 56 2 3" xfId="10356" xr:uid="{00000000-0005-0000-0000-0000D61C0000}"/>
    <cellStyle name="40% - uthevingsfarge 4 56 3" xfId="5104" xr:uid="{00000000-0005-0000-0000-0000D71C0000}"/>
    <cellStyle name="40% - uthevingsfarge 4 56 3 2" xfId="7757" xr:uid="{00000000-0005-0000-0000-0000D81C0000}"/>
    <cellStyle name="40% - uthevingsfarge 4 56 4" xfId="9728" xr:uid="{00000000-0005-0000-0000-0000D91C0000}"/>
    <cellStyle name="40% - uthevingsfarge 4 57" xfId="1876" xr:uid="{00000000-0005-0000-0000-0000DA1C0000}"/>
    <cellStyle name="40% - uthevingsfarge 4 57 2" xfId="1877" xr:uid="{00000000-0005-0000-0000-0000DB1C0000}"/>
    <cellStyle name="40% - uthevingsfarge 4 57 2 2" xfId="5826" xr:uid="{00000000-0005-0000-0000-0000DC1C0000}"/>
    <cellStyle name="40% - uthevingsfarge 4 57 2 2 2" xfId="8459" xr:uid="{00000000-0005-0000-0000-0000DD1C0000}"/>
    <cellStyle name="40% - uthevingsfarge 4 57 2 3" xfId="9925" xr:uid="{00000000-0005-0000-0000-0000DE1C0000}"/>
    <cellStyle name="40% - uthevingsfarge 4 57 3" xfId="5105" xr:uid="{00000000-0005-0000-0000-0000DF1C0000}"/>
    <cellStyle name="40% - uthevingsfarge 4 57 3 2" xfId="7758" xr:uid="{00000000-0005-0000-0000-0000E01C0000}"/>
    <cellStyle name="40% - uthevingsfarge 4 57 4" xfId="9779" xr:uid="{00000000-0005-0000-0000-0000E11C0000}"/>
    <cellStyle name="40% - uthevingsfarge 4 58" xfId="1878" xr:uid="{00000000-0005-0000-0000-0000E21C0000}"/>
    <cellStyle name="40% - uthevingsfarge 4 58 2" xfId="1879" xr:uid="{00000000-0005-0000-0000-0000E31C0000}"/>
    <cellStyle name="40% - uthevingsfarge 4 58 2 2" xfId="5827" xr:uid="{00000000-0005-0000-0000-0000E41C0000}"/>
    <cellStyle name="40% - uthevingsfarge 4 58 2 2 2" xfId="8460" xr:uid="{00000000-0005-0000-0000-0000E51C0000}"/>
    <cellStyle name="40% - uthevingsfarge 4 58 2 3" xfId="10355" xr:uid="{00000000-0005-0000-0000-0000E61C0000}"/>
    <cellStyle name="40% - uthevingsfarge 4 58 3" xfId="5106" xr:uid="{00000000-0005-0000-0000-0000E71C0000}"/>
    <cellStyle name="40% - uthevingsfarge 4 58 3 2" xfId="7759" xr:uid="{00000000-0005-0000-0000-0000E81C0000}"/>
    <cellStyle name="40% - uthevingsfarge 4 58 4" xfId="9727" xr:uid="{00000000-0005-0000-0000-0000E91C0000}"/>
    <cellStyle name="40% - uthevingsfarge 4 59" xfId="1880" xr:uid="{00000000-0005-0000-0000-0000EA1C0000}"/>
    <cellStyle name="40% - uthevingsfarge 4 59 2" xfId="1881" xr:uid="{00000000-0005-0000-0000-0000EB1C0000}"/>
    <cellStyle name="40% - uthevingsfarge 4 59 2 2" xfId="5828" xr:uid="{00000000-0005-0000-0000-0000EC1C0000}"/>
    <cellStyle name="40% - uthevingsfarge 4 59 2 2 2" xfId="8461" xr:uid="{00000000-0005-0000-0000-0000ED1C0000}"/>
    <cellStyle name="40% - uthevingsfarge 4 59 2 3" xfId="9926" xr:uid="{00000000-0005-0000-0000-0000EE1C0000}"/>
    <cellStyle name="40% - uthevingsfarge 4 59 3" xfId="5107" xr:uid="{00000000-0005-0000-0000-0000EF1C0000}"/>
    <cellStyle name="40% - uthevingsfarge 4 59 3 2" xfId="7760" xr:uid="{00000000-0005-0000-0000-0000F01C0000}"/>
    <cellStyle name="40% - uthevingsfarge 4 59 4" xfId="9778" xr:uid="{00000000-0005-0000-0000-0000F11C0000}"/>
    <cellStyle name="40% - uthevingsfarge 4 6" xfId="1882" xr:uid="{00000000-0005-0000-0000-0000F21C0000}"/>
    <cellStyle name="40% - uthevingsfarge 4 6 2" xfId="1883" xr:uid="{00000000-0005-0000-0000-0000F31C0000}"/>
    <cellStyle name="40% - uthevingsfarge 4 6 2 2" xfId="5829" xr:uid="{00000000-0005-0000-0000-0000F41C0000}"/>
    <cellStyle name="40% - uthevingsfarge 4 6 2 2 2" xfId="8462" xr:uid="{00000000-0005-0000-0000-0000F51C0000}"/>
    <cellStyle name="40% - uthevingsfarge 4 6 2 3" xfId="10354" xr:uid="{00000000-0005-0000-0000-0000F61C0000}"/>
    <cellStyle name="40% - uthevingsfarge 4 6 3" xfId="5108" xr:uid="{00000000-0005-0000-0000-0000F71C0000}"/>
    <cellStyle name="40% - uthevingsfarge 4 6 3 2" xfId="7761" xr:uid="{00000000-0005-0000-0000-0000F81C0000}"/>
    <cellStyle name="40% - uthevingsfarge 4 6 4" xfId="9726" xr:uid="{00000000-0005-0000-0000-0000F91C0000}"/>
    <cellStyle name="40% - uthevingsfarge 4 60" xfId="1884" xr:uid="{00000000-0005-0000-0000-0000FA1C0000}"/>
    <cellStyle name="40% - uthevingsfarge 4 60 2" xfId="1885" xr:uid="{00000000-0005-0000-0000-0000FB1C0000}"/>
    <cellStyle name="40% - uthevingsfarge 4 60 3" xfId="9371" xr:uid="{00000000-0005-0000-0000-0000FC1C0000}"/>
    <cellStyle name="40% - uthevingsfarge 4 61" xfId="1886" xr:uid="{00000000-0005-0000-0000-0000FD1C0000}"/>
    <cellStyle name="40% - uthevingsfarge 4 61 2" xfId="1887" xr:uid="{00000000-0005-0000-0000-0000FE1C0000}"/>
    <cellStyle name="40% - uthevingsfarge 4 62" xfId="1888" xr:uid="{00000000-0005-0000-0000-0000FF1C0000}"/>
    <cellStyle name="40% - uthevingsfarge 4 62 2" xfId="1889" xr:uid="{00000000-0005-0000-0000-0000001D0000}"/>
    <cellStyle name="40% - uthevingsfarge 4 63" xfId="1890" xr:uid="{00000000-0005-0000-0000-0000011D0000}"/>
    <cellStyle name="40% - uthevingsfarge 4 63 2" xfId="1891" xr:uid="{00000000-0005-0000-0000-0000021D0000}"/>
    <cellStyle name="40% - uthevingsfarge 4 64" xfId="1892" xr:uid="{00000000-0005-0000-0000-0000031D0000}"/>
    <cellStyle name="40% - uthevingsfarge 4 64 2" xfId="1893" xr:uid="{00000000-0005-0000-0000-0000041D0000}"/>
    <cellStyle name="40% - uthevingsfarge 4 65" xfId="1894" xr:uid="{00000000-0005-0000-0000-0000051D0000}"/>
    <cellStyle name="40% - uthevingsfarge 4 65 2" xfId="1895" xr:uid="{00000000-0005-0000-0000-0000061D0000}"/>
    <cellStyle name="40% - uthevingsfarge 4 66" xfId="1896" xr:uid="{00000000-0005-0000-0000-0000071D0000}"/>
    <cellStyle name="40% - uthevingsfarge 4 66 2" xfId="1897" xr:uid="{00000000-0005-0000-0000-0000081D0000}"/>
    <cellStyle name="40% - uthevingsfarge 4 67" xfId="1898" xr:uid="{00000000-0005-0000-0000-0000091D0000}"/>
    <cellStyle name="40% - uthevingsfarge 4 67 2" xfId="1899" xr:uid="{00000000-0005-0000-0000-00000A1D0000}"/>
    <cellStyle name="40% - uthevingsfarge 4 68" xfId="1900" xr:uid="{00000000-0005-0000-0000-00000B1D0000}"/>
    <cellStyle name="40% - uthevingsfarge 4 68 2" xfId="1901" xr:uid="{00000000-0005-0000-0000-00000C1D0000}"/>
    <cellStyle name="40% - uthevingsfarge 4 69" xfId="1902" xr:uid="{00000000-0005-0000-0000-00000D1D0000}"/>
    <cellStyle name="40% - uthevingsfarge 4 69 2" xfId="1903" xr:uid="{00000000-0005-0000-0000-00000E1D0000}"/>
    <cellStyle name="40% - uthevingsfarge 4 7" xfId="1904" xr:uid="{00000000-0005-0000-0000-00000F1D0000}"/>
    <cellStyle name="40% - uthevingsfarge 4 7 2" xfId="1905" xr:uid="{00000000-0005-0000-0000-0000101D0000}"/>
    <cellStyle name="40% - uthevingsfarge 4 7 2 2" xfId="5830" xr:uid="{00000000-0005-0000-0000-0000111D0000}"/>
    <cellStyle name="40% - uthevingsfarge 4 7 2 2 2" xfId="8463" xr:uid="{00000000-0005-0000-0000-0000121D0000}"/>
    <cellStyle name="40% - uthevingsfarge 4 7 2 3" xfId="10353" xr:uid="{00000000-0005-0000-0000-0000131D0000}"/>
    <cellStyle name="40% - uthevingsfarge 4 7 3" xfId="5109" xr:uid="{00000000-0005-0000-0000-0000141D0000}"/>
    <cellStyle name="40% - uthevingsfarge 4 7 3 2" xfId="7762" xr:uid="{00000000-0005-0000-0000-0000151D0000}"/>
    <cellStyle name="40% - uthevingsfarge 4 7 4" xfId="10674" xr:uid="{00000000-0005-0000-0000-0000161D0000}"/>
    <cellStyle name="40% - uthevingsfarge 4 70" xfId="1906" xr:uid="{00000000-0005-0000-0000-0000171D0000}"/>
    <cellStyle name="40% - uthevingsfarge 4 70 2" xfId="1907" xr:uid="{00000000-0005-0000-0000-0000181D0000}"/>
    <cellStyle name="40% - uthevingsfarge 4 71" xfId="1908" xr:uid="{00000000-0005-0000-0000-0000191D0000}"/>
    <cellStyle name="40% - uthevingsfarge 4 71 2" xfId="1909" xr:uid="{00000000-0005-0000-0000-00001A1D0000}"/>
    <cellStyle name="40% - uthevingsfarge 4 72" xfId="1910" xr:uid="{00000000-0005-0000-0000-00001B1D0000}"/>
    <cellStyle name="40% - uthevingsfarge 4 72 2" xfId="1911" xr:uid="{00000000-0005-0000-0000-00001C1D0000}"/>
    <cellStyle name="40% - uthevingsfarge 4 73" xfId="1912" xr:uid="{00000000-0005-0000-0000-00001D1D0000}"/>
    <cellStyle name="40% - uthevingsfarge 4 73 2" xfId="1913" xr:uid="{00000000-0005-0000-0000-00001E1D0000}"/>
    <cellStyle name="40% - uthevingsfarge 4 74" xfId="1914" xr:uid="{00000000-0005-0000-0000-00001F1D0000}"/>
    <cellStyle name="40% - uthevingsfarge 4 74 2" xfId="1915" xr:uid="{00000000-0005-0000-0000-0000201D0000}"/>
    <cellStyle name="40% - uthevingsfarge 4 75" xfId="1916" xr:uid="{00000000-0005-0000-0000-0000211D0000}"/>
    <cellStyle name="40% - uthevingsfarge 4 75 2" xfId="1917" xr:uid="{00000000-0005-0000-0000-0000221D0000}"/>
    <cellStyle name="40% - uthevingsfarge 4 76" xfId="1918" xr:uid="{00000000-0005-0000-0000-0000231D0000}"/>
    <cellStyle name="40% - uthevingsfarge 4 76 2" xfId="1919" xr:uid="{00000000-0005-0000-0000-0000241D0000}"/>
    <cellStyle name="40% - uthevingsfarge 4 77" xfId="1920" xr:uid="{00000000-0005-0000-0000-0000251D0000}"/>
    <cellStyle name="40% - uthevingsfarge 4 78" xfId="1921" xr:uid="{00000000-0005-0000-0000-0000261D0000}"/>
    <cellStyle name="40% - uthevingsfarge 4 79" xfId="1922" xr:uid="{00000000-0005-0000-0000-0000271D0000}"/>
    <cellStyle name="40% - uthevingsfarge 4 8" xfId="1923" xr:uid="{00000000-0005-0000-0000-0000281D0000}"/>
    <cellStyle name="40% - uthevingsfarge 4 8 2" xfId="1924" xr:uid="{00000000-0005-0000-0000-0000291D0000}"/>
    <cellStyle name="40% - uthevingsfarge 4 8 2 2" xfId="5831" xr:uid="{00000000-0005-0000-0000-00002A1D0000}"/>
    <cellStyle name="40% - uthevingsfarge 4 8 2 2 2" xfId="8464" xr:uid="{00000000-0005-0000-0000-00002B1D0000}"/>
    <cellStyle name="40% - uthevingsfarge 4 8 2 3" xfId="9777" xr:uid="{00000000-0005-0000-0000-00002C1D0000}"/>
    <cellStyle name="40% - uthevingsfarge 4 8 3" xfId="5110" xr:uid="{00000000-0005-0000-0000-00002D1D0000}"/>
    <cellStyle name="40% - uthevingsfarge 4 8 3 2" xfId="7763" xr:uid="{00000000-0005-0000-0000-00002E1D0000}"/>
    <cellStyle name="40% - uthevingsfarge 4 8 4" xfId="9370" xr:uid="{00000000-0005-0000-0000-00002F1D0000}"/>
    <cellStyle name="40% - uthevingsfarge 4 80" xfId="1925" xr:uid="{00000000-0005-0000-0000-0000301D0000}"/>
    <cellStyle name="40% - uthevingsfarge 4 81" xfId="1926" xr:uid="{00000000-0005-0000-0000-0000311D0000}"/>
    <cellStyle name="40% - uthevingsfarge 4 82" xfId="1927" xr:uid="{00000000-0005-0000-0000-0000321D0000}"/>
    <cellStyle name="40% - uthevingsfarge 4 83" xfId="1928" xr:uid="{00000000-0005-0000-0000-0000331D0000}"/>
    <cellStyle name="40% - uthevingsfarge 4 84" xfId="1929" xr:uid="{00000000-0005-0000-0000-0000341D0000}"/>
    <cellStyle name="40% - uthevingsfarge 4 85" xfId="1930" xr:uid="{00000000-0005-0000-0000-0000351D0000}"/>
    <cellStyle name="40% - uthevingsfarge 4 86" xfId="1931" xr:uid="{00000000-0005-0000-0000-0000361D0000}"/>
    <cellStyle name="40% - uthevingsfarge 4 87" xfId="1932" xr:uid="{00000000-0005-0000-0000-0000371D0000}"/>
    <cellStyle name="40% - uthevingsfarge 4 88" xfId="1933" xr:uid="{00000000-0005-0000-0000-0000381D0000}"/>
    <cellStyle name="40% - uthevingsfarge 4 89" xfId="1934" xr:uid="{00000000-0005-0000-0000-0000391D0000}"/>
    <cellStyle name="40% - uthevingsfarge 4 9" xfId="1935" xr:uid="{00000000-0005-0000-0000-00003A1D0000}"/>
    <cellStyle name="40% - uthevingsfarge 4 9 2" xfId="1936" xr:uid="{00000000-0005-0000-0000-00003B1D0000}"/>
    <cellStyle name="40% - uthevingsfarge 4 9 2 2" xfId="5832" xr:uid="{00000000-0005-0000-0000-00003C1D0000}"/>
    <cellStyle name="40% - uthevingsfarge 4 9 2 2 2" xfId="8465" xr:uid="{00000000-0005-0000-0000-00003D1D0000}"/>
    <cellStyle name="40% - uthevingsfarge 4 9 2 3" xfId="10352" xr:uid="{00000000-0005-0000-0000-00003E1D0000}"/>
    <cellStyle name="40% - uthevingsfarge 4 9 3" xfId="5111" xr:uid="{00000000-0005-0000-0000-00003F1D0000}"/>
    <cellStyle name="40% - uthevingsfarge 4 9 3 2" xfId="7764" xr:uid="{00000000-0005-0000-0000-0000401D0000}"/>
    <cellStyle name="40% - uthevingsfarge 4 9 4" xfId="10673" xr:uid="{00000000-0005-0000-0000-0000411D0000}"/>
    <cellStyle name="40% - uthevingsfarge 4 90" xfId="1937" xr:uid="{00000000-0005-0000-0000-0000421D0000}"/>
    <cellStyle name="40% - uthevingsfarge 4 90 2" xfId="2919" xr:uid="{00000000-0005-0000-0000-0000431D0000}"/>
    <cellStyle name="40% - uthevingsfarge 4 90 2 2" xfId="3399" xr:uid="{00000000-0005-0000-0000-0000441D0000}"/>
    <cellStyle name="40% - uthevingsfarge 4 90 2 2 2" xfId="6984" xr:uid="{00000000-0005-0000-0000-0000451D0000}"/>
    <cellStyle name="40% - uthevingsfarge 4 90 2 3" xfId="3709" xr:uid="{00000000-0005-0000-0000-0000461D0000}"/>
    <cellStyle name="40% - uthevingsfarge 4 90 2 4" xfId="6492" xr:uid="{00000000-0005-0000-0000-0000471D0000}"/>
    <cellStyle name="40% - uthevingsfarge 4 90 2 5" xfId="8984" xr:uid="{00000000-0005-0000-0000-0000481D0000}"/>
    <cellStyle name="40% - uthevingsfarge 4 90 3" xfId="3398" xr:uid="{00000000-0005-0000-0000-0000491D0000}"/>
    <cellStyle name="40% - uthevingsfarge 4 90 3 2" xfId="6983" xr:uid="{00000000-0005-0000-0000-00004A1D0000}"/>
    <cellStyle name="40% - uthevingsfarge 4 90 4" xfId="3828" xr:uid="{00000000-0005-0000-0000-00004B1D0000}"/>
    <cellStyle name="40% - uthevingsfarge 4 90 5" xfId="6207" xr:uid="{00000000-0005-0000-0000-00004C1D0000}"/>
    <cellStyle name="40% - uthevingsfarge 4 90 6" xfId="8983" xr:uid="{00000000-0005-0000-0000-00004D1D0000}"/>
    <cellStyle name="40% - uthevingsfarge 4 91" xfId="1938" xr:uid="{00000000-0005-0000-0000-00004E1D0000}"/>
    <cellStyle name="40% - uthevingsfarge 4 91 2" xfId="2920" xr:uid="{00000000-0005-0000-0000-00004F1D0000}"/>
    <cellStyle name="40% - uthevingsfarge 4 91 2 2" xfId="3401" xr:uid="{00000000-0005-0000-0000-0000501D0000}"/>
    <cellStyle name="40% - uthevingsfarge 4 91 2 2 2" xfId="6986" xr:uid="{00000000-0005-0000-0000-0000511D0000}"/>
    <cellStyle name="40% - uthevingsfarge 4 91 2 3" xfId="3674" xr:uid="{00000000-0005-0000-0000-0000521D0000}"/>
    <cellStyle name="40% - uthevingsfarge 4 91 2 4" xfId="6493" xr:uid="{00000000-0005-0000-0000-0000531D0000}"/>
    <cellStyle name="40% - uthevingsfarge 4 91 2 5" xfId="8986" xr:uid="{00000000-0005-0000-0000-0000541D0000}"/>
    <cellStyle name="40% - uthevingsfarge 4 91 3" xfId="3400" xr:uid="{00000000-0005-0000-0000-0000551D0000}"/>
    <cellStyle name="40% - uthevingsfarge 4 91 3 2" xfId="6985" xr:uid="{00000000-0005-0000-0000-0000561D0000}"/>
    <cellStyle name="40% - uthevingsfarge 4 91 4" xfId="3827" xr:uid="{00000000-0005-0000-0000-0000571D0000}"/>
    <cellStyle name="40% - uthevingsfarge 4 91 5" xfId="6208" xr:uid="{00000000-0005-0000-0000-0000581D0000}"/>
    <cellStyle name="40% - uthevingsfarge 4 91 6" xfId="8985" xr:uid="{00000000-0005-0000-0000-0000591D0000}"/>
    <cellStyle name="40% - uthevingsfarge 4 92" xfId="1939" xr:uid="{00000000-0005-0000-0000-00005A1D0000}"/>
    <cellStyle name="40% - uthevingsfarge 4 92 2" xfId="2921" xr:uid="{00000000-0005-0000-0000-00005B1D0000}"/>
    <cellStyle name="40% - uthevingsfarge 4 92 2 2" xfId="3403" xr:uid="{00000000-0005-0000-0000-00005C1D0000}"/>
    <cellStyle name="40% - uthevingsfarge 4 92 2 2 2" xfId="6988" xr:uid="{00000000-0005-0000-0000-00005D1D0000}"/>
    <cellStyle name="40% - uthevingsfarge 4 92 2 3" xfId="4093" xr:uid="{00000000-0005-0000-0000-00005E1D0000}"/>
    <cellStyle name="40% - uthevingsfarge 4 92 2 4" xfId="6494" xr:uid="{00000000-0005-0000-0000-00005F1D0000}"/>
    <cellStyle name="40% - uthevingsfarge 4 92 2 5" xfId="8988" xr:uid="{00000000-0005-0000-0000-0000601D0000}"/>
    <cellStyle name="40% - uthevingsfarge 4 92 3" xfId="3402" xr:uid="{00000000-0005-0000-0000-0000611D0000}"/>
    <cellStyle name="40% - uthevingsfarge 4 92 3 2" xfId="6987" xr:uid="{00000000-0005-0000-0000-0000621D0000}"/>
    <cellStyle name="40% - uthevingsfarge 4 92 4" xfId="3826" xr:uid="{00000000-0005-0000-0000-0000631D0000}"/>
    <cellStyle name="40% - uthevingsfarge 4 92 5" xfId="6209" xr:uid="{00000000-0005-0000-0000-0000641D0000}"/>
    <cellStyle name="40% - uthevingsfarge 4 92 6" xfId="8987" xr:uid="{00000000-0005-0000-0000-0000651D0000}"/>
    <cellStyle name="40% - uthevingsfarge 4 93" xfId="1940" xr:uid="{00000000-0005-0000-0000-0000661D0000}"/>
    <cellStyle name="40% - uthevingsfarge 4 93 2" xfId="2922" xr:uid="{00000000-0005-0000-0000-0000671D0000}"/>
    <cellStyle name="40% - uthevingsfarge 4 93 2 2" xfId="3405" xr:uid="{00000000-0005-0000-0000-0000681D0000}"/>
    <cellStyle name="40% - uthevingsfarge 4 93 2 2 2" xfId="6990" xr:uid="{00000000-0005-0000-0000-0000691D0000}"/>
    <cellStyle name="40% - uthevingsfarge 4 93 2 3" xfId="4020" xr:uid="{00000000-0005-0000-0000-00006A1D0000}"/>
    <cellStyle name="40% - uthevingsfarge 4 93 2 4" xfId="6495" xr:uid="{00000000-0005-0000-0000-00006B1D0000}"/>
    <cellStyle name="40% - uthevingsfarge 4 93 2 5" xfId="8990" xr:uid="{00000000-0005-0000-0000-00006C1D0000}"/>
    <cellStyle name="40% - uthevingsfarge 4 93 3" xfId="3404" xr:uid="{00000000-0005-0000-0000-00006D1D0000}"/>
    <cellStyle name="40% - uthevingsfarge 4 93 3 2" xfId="6989" xr:uid="{00000000-0005-0000-0000-00006E1D0000}"/>
    <cellStyle name="40% - uthevingsfarge 4 93 4" xfId="3825" xr:uid="{00000000-0005-0000-0000-00006F1D0000}"/>
    <cellStyle name="40% - uthevingsfarge 4 93 5" xfId="6210" xr:uid="{00000000-0005-0000-0000-0000701D0000}"/>
    <cellStyle name="40% - uthevingsfarge 4 93 6" xfId="8989" xr:uid="{00000000-0005-0000-0000-0000711D0000}"/>
    <cellStyle name="40% - uthevingsfarge 4 94" xfId="1941" xr:uid="{00000000-0005-0000-0000-0000721D0000}"/>
    <cellStyle name="40% - uthevingsfarge 4 94 2" xfId="2923" xr:uid="{00000000-0005-0000-0000-0000731D0000}"/>
    <cellStyle name="40% - uthevingsfarge 4 94 2 2" xfId="3407" xr:uid="{00000000-0005-0000-0000-0000741D0000}"/>
    <cellStyle name="40% - uthevingsfarge 4 94 2 2 2" xfId="6992" xr:uid="{00000000-0005-0000-0000-0000751D0000}"/>
    <cellStyle name="40% - uthevingsfarge 4 94 2 3" xfId="3708" xr:uid="{00000000-0005-0000-0000-0000761D0000}"/>
    <cellStyle name="40% - uthevingsfarge 4 94 2 4" xfId="6496" xr:uid="{00000000-0005-0000-0000-0000771D0000}"/>
    <cellStyle name="40% - uthevingsfarge 4 94 2 5" xfId="8992" xr:uid="{00000000-0005-0000-0000-0000781D0000}"/>
    <cellStyle name="40% - uthevingsfarge 4 94 3" xfId="3406" xr:uid="{00000000-0005-0000-0000-0000791D0000}"/>
    <cellStyle name="40% - uthevingsfarge 4 94 3 2" xfId="6991" xr:uid="{00000000-0005-0000-0000-00007A1D0000}"/>
    <cellStyle name="40% - uthevingsfarge 4 94 4" xfId="3824" xr:uid="{00000000-0005-0000-0000-00007B1D0000}"/>
    <cellStyle name="40% - uthevingsfarge 4 94 5" xfId="6211" xr:uid="{00000000-0005-0000-0000-00007C1D0000}"/>
    <cellStyle name="40% - uthevingsfarge 4 94 6" xfId="8991" xr:uid="{00000000-0005-0000-0000-00007D1D0000}"/>
    <cellStyle name="40% - uthevingsfarge 4 95" xfId="1942" xr:uid="{00000000-0005-0000-0000-00007E1D0000}"/>
    <cellStyle name="40% - uthevingsfarge 4 95 2" xfId="2924" xr:uid="{00000000-0005-0000-0000-00007F1D0000}"/>
    <cellStyle name="40% - uthevingsfarge 4 95 2 2" xfId="3409" xr:uid="{00000000-0005-0000-0000-0000801D0000}"/>
    <cellStyle name="40% - uthevingsfarge 4 95 2 2 2" xfId="6994" xr:uid="{00000000-0005-0000-0000-0000811D0000}"/>
    <cellStyle name="40% - uthevingsfarge 4 95 2 3" xfId="4090" xr:uid="{00000000-0005-0000-0000-0000821D0000}"/>
    <cellStyle name="40% - uthevingsfarge 4 95 2 4" xfId="6497" xr:uid="{00000000-0005-0000-0000-0000831D0000}"/>
    <cellStyle name="40% - uthevingsfarge 4 95 2 5" xfId="8994" xr:uid="{00000000-0005-0000-0000-0000841D0000}"/>
    <cellStyle name="40% - uthevingsfarge 4 95 3" xfId="3408" xr:uid="{00000000-0005-0000-0000-0000851D0000}"/>
    <cellStyle name="40% - uthevingsfarge 4 95 3 2" xfId="6993" xr:uid="{00000000-0005-0000-0000-0000861D0000}"/>
    <cellStyle name="40% - uthevingsfarge 4 95 4" xfId="3823" xr:uid="{00000000-0005-0000-0000-0000871D0000}"/>
    <cellStyle name="40% - uthevingsfarge 4 95 5" xfId="6212" xr:uid="{00000000-0005-0000-0000-0000881D0000}"/>
    <cellStyle name="40% - uthevingsfarge 4 95 6" xfId="8993" xr:uid="{00000000-0005-0000-0000-0000891D0000}"/>
    <cellStyle name="40% - uthevingsfarge 4 96" xfId="1943" xr:uid="{00000000-0005-0000-0000-00008A1D0000}"/>
    <cellStyle name="40% - uthevingsfarge 4 96 2" xfId="2925" xr:uid="{00000000-0005-0000-0000-00008B1D0000}"/>
    <cellStyle name="40% - uthevingsfarge 4 96 2 2" xfId="3411" xr:uid="{00000000-0005-0000-0000-00008C1D0000}"/>
    <cellStyle name="40% - uthevingsfarge 4 96 2 2 2" xfId="6996" xr:uid="{00000000-0005-0000-0000-00008D1D0000}"/>
    <cellStyle name="40% - uthevingsfarge 4 96 2 3" xfId="4091" xr:uid="{00000000-0005-0000-0000-00008E1D0000}"/>
    <cellStyle name="40% - uthevingsfarge 4 96 2 4" xfId="6498" xr:uid="{00000000-0005-0000-0000-00008F1D0000}"/>
    <cellStyle name="40% - uthevingsfarge 4 96 2 5" xfId="8996" xr:uid="{00000000-0005-0000-0000-0000901D0000}"/>
    <cellStyle name="40% - uthevingsfarge 4 96 3" xfId="3410" xr:uid="{00000000-0005-0000-0000-0000911D0000}"/>
    <cellStyle name="40% - uthevingsfarge 4 96 3 2" xfId="6995" xr:uid="{00000000-0005-0000-0000-0000921D0000}"/>
    <cellStyle name="40% - uthevingsfarge 4 96 4" xfId="3822" xr:uid="{00000000-0005-0000-0000-0000931D0000}"/>
    <cellStyle name="40% - uthevingsfarge 4 96 5" xfId="6213" xr:uid="{00000000-0005-0000-0000-0000941D0000}"/>
    <cellStyle name="40% - uthevingsfarge 4 96 6" xfId="8995" xr:uid="{00000000-0005-0000-0000-0000951D0000}"/>
    <cellStyle name="40% - uthevingsfarge 4 97" xfId="1944" xr:uid="{00000000-0005-0000-0000-0000961D0000}"/>
    <cellStyle name="40% - uthevingsfarge 4 97 2" xfId="2926" xr:uid="{00000000-0005-0000-0000-0000971D0000}"/>
    <cellStyle name="40% - uthevingsfarge 4 97 2 2" xfId="3413" xr:uid="{00000000-0005-0000-0000-0000981D0000}"/>
    <cellStyle name="40% - uthevingsfarge 4 97 2 2 2" xfId="6998" xr:uid="{00000000-0005-0000-0000-0000991D0000}"/>
    <cellStyle name="40% - uthevingsfarge 4 97 2 3" xfId="4019" xr:uid="{00000000-0005-0000-0000-00009A1D0000}"/>
    <cellStyle name="40% - uthevingsfarge 4 97 2 4" xfId="6499" xr:uid="{00000000-0005-0000-0000-00009B1D0000}"/>
    <cellStyle name="40% - uthevingsfarge 4 97 2 5" xfId="8998" xr:uid="{00000000-0005-0000-0000-00009C1D0000}"/>
    <cellStyle name="40% - uthevingsfarge 4 97 3" xfId="3412" xr:uid="{00000000-0005-0000-0000-00009D1D0000}"/>
    <cellStyle name="40% - uthevingsfarge 4 97 3 2" xfId="6997" xr:uid="{00000000-0005-0000-0000-00009E1D0000}"/>
    <cellStyle name="40% - uthevingsfarge 4 97 4" xfId="3821" xr:uid="{00000000-0005-0000-0000-00009F1D0000}"/>
    <cellStyle name="40% - uthevingsfarge 4 97 5" xfId="6214" xr:uid="{00000000-0005-0000-0000-0000A01D0000}"/>
    <cellStyle name="40% - uthevingsfarge 4 97 6" xfId="8997" xr:uid="{00000000-0005-0000-0000-0000A11D0000}"/>
    <cellStyle name="40% - uthevingsfarge 4 98" xfId="1945" xr:uid="{00000000-0005-0000-0000-0000A21D0000}"/>
    <cellStyle name="40% - uthevingsfarge 4 98 2" xfId="2927" xr:uid="{00000000-0005-0000-0000-0000A31D0000}"/>
    <cellStyle name="40% - uthevingsfarge 4 98 2 2" xfId="3415" xr:uid="{00000000-0005-0000-0000-0000A41D0000}"/>
    <cellStyle name="40% - uthevingsfarge 4 98 2 2 2" xfId="7000" xr:uid="{00000000-0005-0000-0000-0000A51D0000}"/>
    <cellStyle name="40% - uthevingsfarge 4 98 2 3" xfId="3707" xr:uid="{00000000-0005-0000-0000-0000A61D0000}"/>
    <cellStyle name="40% - uthevingsfarge 4 98 2 4" xfId="6500" xr:uid="{00000000-0005-0000-0000-0000A71D0000}"/>
    <cellStyle name="40% - uthevingsfarge 4 98 2 5" xfId="9000" xr:uid="{00000000-0005-0000-0000-0000A81D0000}"/>
    <cellStyle name="40% - uthevingsfarge 4 98 3" xfId="3414" xr:uid="{00000000-0005-0000-0000-0000A91D0000}"/>
    <cellStyle name="40% - uthevingsfarge 4 98 3 2" xfId="6999" xr:uid="{00000000-0005-0000-0000-0000AA1D0000}"/>
    <cellStyle name="40% - uthevingsfarge 4 98 4" xfId="3820" xr:uid="{00000000-0005-0000-0000-0000AB1D0000}"/>
    <cellStyle name="40% - uthevingsfarge 4 98 5" xfId="6215" xr:uid="{00000000-0005-0000-0000-0000AC1D0000}"/>
    <cellStyle name="40% - uthevingsfarge 4 98 6" xfId="8999" xr:uid="{00000000-0005-0000-0000-0000AD1D0000}"/>
    <cellStyle name="40% - uthevingsfarge 4 99" xfId="1946" xr:uid="{00000000-0005-0000-0000-0000AE1D0000}"/>
    <cellStyle name="40% - uthevingsfarge 4 99 2" xfId="2928" xr:uid="{00000000-0005-0000-0000-0000AF1D0000}"/>
    <cellStyle name="40% - uthevingsfarge 4 99 2 2" xfId="3417" xr:uid="{00000000-0005-0000-0000-0000B01D0000}"/>
    <cellStyle name="40% - uthevingsfarge 4 99 2 2 2" xfId="7002" xr:uid="{00000000-0005-0000-0000-0000B11D0000}"/>
    <cellStyle name="40% - uthevingsfarge 4 99 2 3" xfId="4088" xr:uid="{00000000-0005-0000-0000-0000B21D0000}"/>
    <cellStyle name="40% - uthevingsfarge 4 99 2 4" xfId="6501" xr:uid="{00000000-0005-0000-0000-0000B31D0000}"/>
    <cellStyle name="40% - uthevingsfarge 4 99 2 5" xfId="9002" xr:uid="{00000000-0005-0000-0000-0000B41D0000}"/>
    <cellStyle name="40% - uthevingsfarge 4 99 3" xfId="3416" xr:uid="{00000000-0005-0000-0000-0000B51D0000}"/>
    <cellStyle name="40% - uthevingsfarge 4 99 3 2" xfId="7001" xr:uid="{00000000-0005-0000-0000-0000B61D0000}"/>
    <cellStyle name="40% - uthevingsfarge 4 99 4" xfId="3819" xr:uid="{00000000-0005-0000-0000-0000B71D0000}"/>
    <cellStyle name="40% - uthevingsfarge 4 99 5" xfId="6216" xr:uid="{00000000-0005-0000-0000-0000B81D0000}"/>
    <cellStyle name="40% - uthevingsfarge 4 99 6" xfId="9001" xr:uid="{00000000-0005-0000-0000-0000B91D0000}"/>
    <cellStyle name="40% - uthevingsfarge 5 10" xfId="1947" xr:uid="{00000000-0005-0000-0000-0000BA1D0000}"/>
    <cellStyle name="40% - uthevingsfarge 5 10 2" xfId="1948" xr:uid="{00000000-0005-0000-0000-0000BB1D0000}"/>
    <cellStyle name="40% - uthevingsfarge 5 10 2 2" xfId="5833" xr:uid="{00000000-0005-0000-0000-0000BC1D0000}"/>
    <cellStyle name="40% - uthevingsfarge 5 10 2 2 2" xfId="8466" xr:uid="{00000000-0005-0000-0000-0000BD1D0000}"/>
    <cellStyle name="40% - uthevingsfarge 5 10 2 3" xfId="9776" xr:uid="{00000000-0005-0000-0000-0000BE1D0000}"/>
    <cellStyle name="40% - uthevingsfarge 5 10 3" xfId="5112" xr:uid="{00000000-0005-0000-0000-0000BF1D0000}"/>
    <cellStyle name="40% - uthevingsfarge 5 10 3 2" xfId="7765" xr:uid="{00000000-0005-0000-0000-0000C01D0000}"/>
    <cellStyle name="40% - uthevingsfarge 5 10 4" xfId="9369" xr:uid="{00000000-0005-0000-0000-0000C11D0000}"/>
    <cellStyle name="40% - uthevingsfarge 5 100" xfId="1949" xr:uid="{00000000-0005-0000-0000-0000C21D0000}"/>
    <cellStyle name="40% - uthevingsfarge 5 100 2" xfId="2929" xr:uid="{00000000-0005-0000-0000-0000C31D0000}"/>
    <cellStyle name="40% - uthevingsfarge 5 100 2 2" xfId="3419" xr:uid="{00000000-0005-0000-0000-0000C41D0000}"/>
    <cellStyle name="40% - uthevingsfarge 5 100 2 2 2" xfId="7004" xr:uid="{00000000-0005-0000-0000-0000C51D0000}"/>
    <cellStyle name="40% - uthevingsfarge 5 100 2 3" xfId="4089" xr:uid="{00000000-0005-0000-0000-0000C61D0000}"/>
    <cellStyle name="40% - uthevingsfarge 5 100 2 4" xfId="6502" xr:uid="{00000000-0005-0000-0000-0000C71D0000}"/>
    <cellStyle name="40% - uthevingsfarge 5 100 2 5" xfId="9004" xr:uid="{00000000-0005-0000-0000-0000C81D0000}"/>
    <cellStyle name="40% - uthevingsfarge 5 100 3" xfId="3418" xr:uid="{00000000-0005-0000-0000-0000C91D0000}"/>
    <cellStyle name="40% - uthevingsfarge 5 100 3 2" xfId="7003" xr:uid="{00000000-0005-0000-0000-0000CA1D0000}"/>
    <cellStyle name="40% - uthevingsfarge 5 100 4" xfId="3818" xr:uid="{00000000-0005-0000-0000-0000CB1D0000}"/>
    <cellStyle name="40% - uthevingsfarge 5 100 5" xfId="6217" xr:uid="{00000000-0005-0000-0000-0000CC1D0000}"/>
    <cellStyle name="40% - uthevingsfarge 5 100 6" xfId="9003" xr:uid="{00000000-0005-0000-0000-0000CD1D0000}"/>
    <cellStyle name="40% - uthevingsfarge 5 101" xfId="1950" xr:uid="{00000000-0005-0000-0000-0000CE1D0000}"/>
    <cellStyle name="40% - uthevingsfarge 5 101 2" xfId="2930" xr:uid="{00000000-0005-0000-0000-0000CF1D0000}"/>
    <cellStyle name="40% - uthevingsfarge 5 101 2 2" xfId="3421" xr:uid="{00000000-0005-0000-0000-0000D01D0000}"/>
    <cellStyle name="40% - uthevingsfarge 5 101 2 2 2" xfId="7006" xr:uid="{00000000-0005-0000-0000-0000D11D0000}"/>
    <cellStyle name="40% - uthevingsfarge 5 101 2 3" xfId="4018" xr:uid="{00000000-0005-0000-0000-0000D21D0000}"/>
    <cellStyle name="40% - uthevingsfarge 5 101 2 4" xfId="6503" xr:uid="{00000000-0005-0000-0000-0000D31D0000}"/>
    <cellStyle name="40% - uthevingsfarge 5 101 2 5" xfId="9006" xr:uid="{00000000-0005-0000-0000-0000D41D0000}"/>
    <cellStyle name="40% - uthevingsfarge 5 101 3" xfId="3420" xr:uid="{00000000-0005-0000-0000-0000D51D0000}"/>
    <cellStyle name="40% - uthevingsfarge 5 101 3 2" xfId="7005" xr:uid="{00000000-0005-0000-0000-0000D61D0000}"/>
    <cellStyle name="40% - uthevingsfarge 5 101 4" xfId="3817" xr:uid="{00000000-0005-0000-0000-0000D71D0000}"/>
    <cellStyle name="40% - uthevingsfarge 5 101 5" xfId="6218" xr:uid="{00000000-0005-0000-0000-0000D81D0000}"/>
    <cellStyle name="40% - uthevingsfarge 5 101 6" xfId="9005" xr:uid="{00000000-0005-0000-0000-0000D91D0000}"/>
    <cellStyle name="40% - uthevingsfarge 5 102" xfId="1951" xr:uid="{00000000-0005-0000-0000-0000DA1D0000}"/>
    <cellStyle name="40% - uthevingsfarge 5 102 2" xfId="2931" xr:uid="{00000000-0005-0000-0000-0000DB1D0000}"/>
    <cellStyle name="40% - uthevingsfarge 5 102 2 2" xfId="3423" xr:uid="{00000000-0005-0000-0000-0000DC1D0000}"/>
    <cellStyle name="40% - uthevingsfarge 5 102 2 2 2" xfId="7008" xr:uid="{00000000-0005-0000-0000-0000DD1D0000}"/>
    <cellStyle name="40% - uthevingsfarge 5 102 2 3" xfId="3706" xr:uid="{00000000-0005-0000-0000-0000DE1D0000}"/>
    <cellStyle name="40% - uthevingsfarge 5 102 2 4" xfId="6504" xr:uid="{00000000-0005-0000-0000-0000DF1D0000}"/>
    <cellStyle name="40% - uthevingsfarge 5 102 2 5" xfId="9008" xr:uid="{00000000-0005-0000-0000-0000E01D0000}"/>
    <cellStyle name="40% - uthevingsfarge 5 102 3" xfId="3422" xr:uid="{00000000-0005-0000-0000-0000E11D0000}"/>
    <cellStyle name="40% - uthevingsfarge 5 102 3 2" xfId="7007" xr:uid="{00000000-0005-0000-0000-0000E21D0000}"/>
    <cellStyle name="40% - uthevingsfarge 5 102 4" xfId="3816" xr:uid="{00000000-0005-0000-0000-0000E31D0000}"/>
    <cellStyle name="40% - uthevingsfarge 5 102 5" xfId="6219" xr:uid="{00000000-0005-0000-0000-0000E41D0000}"/>
    <cellStyle name="40% - uthevingsfarge 5 102 6" xfId="9007" xr:uid="{00000000-0005-0000-0000-0000E51D0000}"/>
    <cellStyle name="40% - uthevingsfarge 5 103" xfId="1952" xr:uid="{00000000-0005-0000-0000-0000E61D0000}"/>
    <cellStyle name="40% - uthevingsfarge 5 103 2" xfId="2932" xr:uid="{00000000-0005-0000-0000-0000E71D0000}"/>
    <cellStyle name="40% - uthevingsfarge 5 103 2 2" xfId="3425" xr:uid="{00000000-0005-0000-0000-0000E81D0000}"/>
    <cellStyle name="40% - uthevingsfarge 5 103 2 2 2" xfId="7010" xr:uid="{00000000-0005-0000-0000-0000E91D0000}"/>
    <cellStyle name="40% - uthevingsfarge 5 103 2 3" xfId="4086" xr:uid="{00000000-0005-0000-0000-0000EA1D0000}"/>
    <cellStyle name="40% - uthevingsfarge 5 103 2 4" xfId="6505" xr:uid="{00000000-0005-0000-0000-0000EB1D0000}"/>
    <cellStyle name="40% - uthevingsfarge 5 103 2 5" xfId="9010" xr:uid="{00000000-0005-0000-0000-0000EC1D0000}"/>
    <cellStyle name="40% - uthevingsfarge 5 103 3" xfId="3424" xr:uid="{00000000-0005-0000-0000-0000ED1D0000}"/>
    <cellStyle name="40% - uthevingsfarge 5 103 3 2" xfId="7009" xr:uid="{00000000-0005-0000-0000-0000EE1D0000}"/>
    <cellStyle name="40% - uthevingsfarge 5 103 4" xfId="3815" xr:uid="{00000000-0005-0000-0000-0000EF1D0000}"/>
    <cellStyle name="40% - uthevingsfarge 5 103 5" xfId="6220" xr:uid="{00000000-0005-0000-0000-0000F01D0000}"/>
    <cellStyle name="40% - uthevingsfarge 5 103 6" xfId="9009" xr:uid="{00000000-0005-0000-0000-0000F11D0000}"/>
    <cellStyle name="40% - uthevingsfarge 5 104" xfId="1953" xr:uid="{00000000-0005-0000-0000-0000F21D0000}"/>
    <cellStyle name="40% - uthevingsfarge 5 104 2" xfId="2933" xr:uid="{00000000-0005-0000-0000-0000F31D0000}"/>
    <cellStyle name="40% - uthevingsfarge 5 104 2 2" xfId="3427" xr:uid="{00000000-0005-0000-0000-0000F41D0000}"/>
    <cellStyle name="40% - uthevingsfarge 5 104 2 2 2" xfId="7012" xr:uid="{00000000-0005-0000-0000-0000F51D0000}"/>
    <cellStyle name="40% - uthevingsfarge 5 104 2 3" xfId="4087" xr:uid="{00000000-0005-0000-0000-0000F61D0000}"/>
    <cellStyle name="40% - uthevingsfarge 5 104 2 4" xfId="6506" xr:uid="{00000000-0005-0000-0000-0000F71D0000}"/>
    <cellStyle name="40% - uthevingsfarge 5 104 2 5" xfId="9012" xr:uid="{00000000-0005-0000-0000-0000F81D0000}"/>
    <cellStyle name="40% - uthevingsfarge 5 104 3" xfId="3426" xr:uid="{00000000-0005-0000-0000-0000F91D0000}"/>
    <cellStyle name="40% - uthevingsfarge 5 104 3 2" xfId="7011" xr:uid="{00000000-0005-0000-0000-0000FA1D0000}"/>
    <cellStyle name="40% - uthevingsfarge 5 104 4" xfId="3814" xr:uid="{00000000-0005-0000-0000-0000FB1D0000}"/>
    <cellStyle name="40% - uthevingsfarge 5 104 5" xfId="6221" xr:uid="{00000000-0005-0000-0000-0000FC1D0000}"/>
    <cellStyle name="40% - uthevingsfarge 5 104 6" xfId="9011" xr:uid="{00000000-0005-0000-0000-0000FD1D0000}"/>
    <cellStyle name="40% - uthevingsfarge 5 105" xfId="1954" xr:uid="{00000000-0005-0000-0000-0000FE1D0000}"/>
    <cellStyle name="40% - uthevingsfarge 5 105 2" xfId="2934" xr:uid="{00000000-0005-0000-0000-0000FF1D0000}"/>
    <cellStyle name="40% - uthevingsfarge 5 105 2 2" xfId="3429" xr:uid="{00000000-0005-0000-0000-0000001E0000}"/>
    <cellStyle name="40% - uthevingsfarge 5 105 2 2 2" xfId="7014" xr:uid="{00000000-0005-0000-0000-0000011E0000}"/>
    <cellStyle name="40% - uthevingsfarge 5 105 2 3" xfId="4017" xr:uid="{00000000-0005-0000-0000-0000021E0000}"/>
    <cellStyle name="40% - uthevingsfarge 5 105 2 4" xfId="6507" xr:uid="{00000000-0005-0000-0000-0000031E0000}"/>
    <cellStyle name="40% - uthevingsfarge 5 105 2 5" xfId="9014" xr:uid="{00000000-0005-0000-0000-0000041E0000}"/>
    <cellStyle name="40% - uthevingsfarge 5 105 3" xfId="3428" xr:uid="{00000000-0005-0000-0000-0000051E0000}"/>
    <cellStyle name="40% - uthevingsfarge 5 105 3 2" xfId="7013" xr:uid="{00000000-0005-0000-0000-0000061E0000}"/>
    <cellStyle name="40% - uthevingsfarge 5 105 4" xfId="3813" xr:uid="{00000000-0005-0000-0000-0000071E0000}"/>
    <cellStyle name="40% - uthevingsfarge 5 105 5" xfId="6222" xr:uid="{00000000-0005-0000-0000-0000081E0000}"/>
    <cellStyle name="40% - uthevingsfarge 5 105 6" xfId="9013" xr:uid="{00000000-0005-0000-0000-0000091E0000}"/>
    <cellStyle name="40% - uthevingsfarge 5 106" xfId="1955" xr:uid="{00000000-0005-0000-0000-00000A1E0000}"/>
    <cellStyle name="40% - uthevingsfarge 5 106 2" xfId="2935" xr:uid="{00000000-0005-0000-0000-00000B1E0000}"/>
    <cellStyle name="40% - uthevingsfarge 5 106 2 2" xfId="3431" xr:uid="{00000000-0005-0000-0000-00000C1E0000}"/>
    <cellStyle name="40% - uthevingsfarge 5 106 2 2 2" xfId="7016" xr:uid="{00000000-0005-0000-0000-00000D1E0000}"/>
    <cellStyle name="40% - uthevingsfarge 5 106 2 3" xfId="3705" xr:uid="{00000000-0005-0000-0000-00000E1E0000}"/>
    <cellStyle name="40% - uthevingsfarge 5 106 2 4" xfId="6508" xr:uid="{00000000-0005-0000-0000-00000F1E0000}"/>
    <cellStyle name="40% - uthevingsfarge 5 106 2 5" xfId="9016" xr:uid="{00000000-0005-0000-0000-0000101E0000}"/>
    <cellStyle name="40% - uthevingsfarge 5 106 3" xfId="3430" xr:uid="{00000000-0005-0000-0000-0000111E0000}"/>
    <cellStyle name="40% - uthevingsfarge 5 106 3 2" xfId="7015" xr:uid="{00000000-0005-0000-0000-0000121E0000}"/>
    <cellStyle name="40% - uthevingsfarge 5 106 4" xfId="3812" xr:uid="{00000000-0005-0000-0000-0000131E0000}"/>
    <cellStyle name="40% - uthevingsfarge 5 106 5" xfId="6223" xr:uid="{00000000-0005-0000-0000-0000141E0000}"/>
    <cellStyle name="40% - uthevingsfarge 5 106 6" xfId="9015" xr:uid="{00000000-0005-0000-0000-0000151E0000}"/>
    <cellStyle name="40% - uthevingsfarge 5 107" xfId="1956" xr:uid="{00000000-0005-0000-0000-0000161E0000}"/>
    <cellStyle name="40% - uthevingsfarge 5 107 2" xfId="2936" xr:uid="{00000000-0005-0000-0000-0000171E0000}"/>
    <cellStyle name="40% - uthevingsfarge 5 107 2 2" xfId="3433" xr:uid="{00000000-0005-0000-0000-0000181E0000}"/>
    <cellStyle name="40% - uthevingsfarge 5 107 2 2 2" xfId="7018" xr:uid="{00000000-0005-0000-0000-0000191E0000}"/>
    <cellStyle name="40% - uthevingsfarge 5 107 2 3" xfId="4084" xr:uid="{00000000-0005-0000-0000-00001A1E0000}"/>
    <cellStyle name="40% - uthevingsfarge 5 107 2 4" xfId="6509" xr:uid="{00000000-0005-0000-0000-00001B1E0000}"/>
    <cellStyle name="40% - uthevingsfarge 5 107 2 5" xfId="9018" xr:uid="{00000000-0005-0000-0000-00001C1E0000}"/>
    <cellStyle name="40% - uthevingsfarge 5 107 3" xfId="3432" xr:uid="{00000000-0005-0000-0000-00001D1E0000}"/>
    <cellStyle name="40% - uthevingsfarge 5 107 3 2" xfId="7017" xr:uid="{00000000-0005-0000-0000-00001E1E0000}"/>
    <cellStyle name="40% - uthevingsfarge 5 107 4" xfId="3811" xr:uid="{00000000-0005-0000-0000-00001F1E0000}"/>
    <cellStyle name="40% - uthevingsfarge 5 107 5" xfId="6224" xr:uid="{00000000-0005-0000-0000-0000201E0000}"/>
    <cellStyle name="40% - uthevingsfarge 5 107 6" xfId="9017" xr:uid="{00000000-0005-0000-0000-0000211E0000}"/>
    <cellStyle name="40% - uthevingsfarge 5 108" xfId="1957" xr:uid="{00000000-0005-0000-0000-0000221E0000}"/>
    <cellStyle name="40% - uthevingsfarge 5 108 2" xfId="2937" xr:uid="{00000000-0005-0000-0000-0000231E0000}"/>
    <cellStyle name="40% - uthevingsfarge 5 108 2 2" xfId="3435" xr:uid="{00000000-0005-0000-0000-0000241E0000}"/>
    <cellStyle name="40% - uthevingsfarge 5 108 2 2 2" xfId="7020" xr:uid="{00000000-0005-0000-0000-0000251E0000}"/>
    <cellStyle name="40% - uthevingsfarge 5 108 2 3" xfId="4085" xr:uid="{00000000-0005-0000-0000-0000261E0000}"/>
    <cellStyle name="40% - uthevingsfarge 5 108 2 4" xfId="6510" xr:uid="{00000000-0005-0000-0000-0000271E0000}"/>
    <cellStyle name="40% - uthevingsfarge 5 108 2 5" xfId="9020" xr:uid="{00000000-0005-0000-0000-0000281E0000}"/>
    <cellStyle name="40% - uthevingsfarge 5 108 3" xfId="3434" xr:uid="{00000000-0005-0000-0000-0000291E0000}"/>
    <cellStyle name="40% - uthevingsfarge 5 108 3 2" xfId="7019" xr:uid="{00000000-0005-0000-0000-00002A1E0000}"/>
    <cellStyle name="40% - uthevingsfarge 5 108 4" xfId="3810" xr:uid="{00000000-0005-0000-0000-00002B1E0000}"/>
    <cellStyle name="40% - uthevingsfarge 5 108 5" xfId="6225" xr:uid="{00000000-0005-0000-0000-00002C1E0000}"/>
    <cellStyle name="40% - uthevingsfarge 5 108 6" xfId="9019" xr:uid="{00000000-0005-0000-0000-00002D1E0000}"/>
    <cellStyle name="40% - uthevingsfarge 5 109" xfId="1958" xr:uid="{00000000-0005-0000-0000-00002E1E0000}"/>
    <cellStyle name="40% - uthevingsfarge 5 109 2" xfId="2938" xr:uid="{00000000-0005-0000-0000-00002F1E0000}"/>
    <cellStyle name="40% - uthevingsfarge 5 109 2 2" xfId="3437" xr:uid="{00000000-0005-0000-0000-0000301E0000}"/>
    <cellStyle name="40% - uthevingsfarge 5 109 2 2 2" xfId="7022" xr:uid="{00000000-0005-0000-0000-0000311E0000}"/>
    <cellStyle name="40% - uthevingsfarge 5 109 2 3" xfId="4016" xr:uid="{00000000-0005-0000-0000-0000321E0000}"/>
    <cellStyle name="40% - uthevingsfarge 5 109 2 4" xfId="6511" xr:uid="{00000000-0005-0000-0000-0000331E0000}"/>
    <cellStyle name="40% - uthevingsfarge 5 109 2 5" xfId="9022" xr:uid="{00000000-0005-0000-0000-0000341E0000}"/>
    <cellStyle name="40% - uthevingsfarge 5 109 3" xfId="3436" xr:uid="{00000000-0005-0000-0000-0000351E0000}"/>
    <cellStyle name="40% - uthevingsfarge 5 109 3 2" xfId="7021" xr:uid="{00000000-0005-0000-0000-0000361E0000}"/>
    <cellStyle name="40% - uthevingsfarge 5 109 4" xfId="3809" xr:uid="{00000000-0005-0000-0000-0000371E0000}"/>
    <cellStyle name="40% - uthevingsfarge 5 109 5" xfId="6226" xr:uid="{00000000-0005-0000-0000-0000381E0000}"/>
    <cellStyle name="40% - uthevingsfarge 5 109 6" xfId="9021" xr:uid="{00000000-0005-0000-0000-0000391E0000}"/>
    <cellStyle name="40% - uthevingsfarge 5 11" xfId="1959" xr:uid="{00000000-0005-0000-0000-00003A1E0000}"/>
    <cellStyle name="40% - uthevingsfarge 5 11 2" xfId="1960" xr:uid="{00000000-0005-0000-0000-00003B1E0000}"/>
    <cellStyle name="40% - uthevingsfarge 5 11 2 2" xfId="5834" xr:uid="{00000000-0005-0000-0000-00003C1E0000}"/>
    <cellStyle name="40% - uthevingsfarge 5 11 2 2 2" xfId="8467" xr:uid="{00000000-0005-0000-0000-00003D1E0000}"/>
    <cellStyle name="40% - uthevingsfarge 5 11 2 3" xfId="10351" xr:uid="{00000000-0005-0000-0000-00003E1E0000}"/>
    <cellStyle name="40% - uthevingsfarge 5 11 3" xfId="5113" xr:uid="{00000000-0005-0000-0000-00003F1E0000}"/>
    <cellStyle name="40% - uthevingsfarge 5 11 3 2" xfId="7766" xr:uid="{00000000-0005-0000-0000-0000401E0000}"/>
    <cellStyle name="40% - uthevingsfarge 5 11 4" xfId="10672" xr:uid="{00000000-0005-0000-0000-0000411E0000}"/>
    <cellStyle name="40% - uthevingsfarge 5 110" xfId="6596" xr:uid="{00000000-0005-0000-0000-0000421E0000}"/>
    <cellStyle name="40% - uthevingsfarge 5 111" xfId="8599" xr:uid="{00000000-0005-0000-0000-0000431E0000}"/>
    <cellStyle name="40% - uthevingsfarge 5 12" xfId="1961" xr:uid="{00000000-0005-0000-0000-0000441E0000}"/>
    <cellStyle name="40% - uthevingsfarge 5 12 2" xfId="1962" xr:uid="{00000000-0005-0000-0000-0000451E0000}"/>
    <cellStyle name="40% - uthevingsfarge 5 12 2 2" xfId="5835" xr:uid="{00000000-0005-0000-0000-0000461E0000}"/>
    <cellStyle name="40% - uthevingsfarge 5 12 2 2 2" xfId="8468" xr:uid="{00000000-0005-0000-0000-0000471E0000}"/>
    <cellStyle name="40% - uthevingsfarge 5 12 2 3" xfId="9775" xr:uid="{00000000-0005-0000-0000-0000481E0000}"/>
    <cellStyle name="40% - uthevingsfarge 5 12 3" xfId="5114" xr:uid="{00000000-0005-0000-0000-0000491E0000}"/>
    <cellStyle name="40% - uthevingsfarge 5 12 3 2" xfId="7767" xr:uid="{00000000-0005-0000-0000-00004A1E0000}"/>
    <cellStyle name="40% - uthevingsfarge 5 12 4" xfId="9368" xr:uid="{00000000-0005-0000-0000-00004B1E0000}"/>
    <cellStyle name="40% - uthevingsfarge 5 13" xfId="1963" xr:uid="{00000000-0005-0000-0000-00004C1E0000}"/>
    <cellStyle name="40% - uthevingsfarge 5 13 2" xfId="1964" xr:uid="{00000000-0005-0000-0000-00004D1E0000}"/>
    <cellStyle name="40% - uthevingsfarge 5 13 2 2" xfId="5836" xr:uid="{00000000-0005-0000-0000-00004E1E0000}"/>
    <cellStyle name="40% - uthevingsfarge 5 13 2 2 2" xfId="8469" xr:uid="{00000000-0005-0000-0000-00004F1E0000}"/>
    <cellStyle name="40% - uthevingsfarge 5 13 2 3" xfId="10160" xr:uid="{00000000-0005-0000-0000-0000501E0000}"/>
    <cellStyle name="40% - uthevingsfarge 5 13 3" xfId="5115" xr:uid="{00000000-0005-0000-0000-0000511E0000}"/>
    <cellStyle name="40% - uthevingsfarge 5 13 3 2" xfId="7768" xr:uid="{00000000-0005-0000-0000-0000521E0000}"/>
    <cellStyle name="40% - uthevingsfarge 5 13 4" xfId="9367" xr:uid="{00000000-0005-0000-0000-0000531E0000}"/>
    <cellStyle name="40% - uthevingsfarge 5 14" xfId="1965" xr:uid="{00000000-0005-0000-0000-0000541E0000}"/>
    <cellStyle name="40% - uthevingsfarge 5 14 2" xfId="1966" xr:uid="{00000000-0005-0000-0000-0000551E0000}"/>
    <cellStyle name="40% - uthevingsfarge 5 14 2 2" xfId="5837" xr:uid="{00000000-0005-0000-0000-0000561E0000}"/>
    <cellStyle name="40% - uthevingsfarge 5 14 2 2 2" xfId="8470" xr:uid="{00000000-0005-0000-0000-0000571E0000}"/>
    <cellStyle name="40% - uthevingsfarge 5 14 2 3" xfId="9366" xr:uid="{00000000-0005-0000-0000-0000581E0000}"/>
    <cellStyle name="40% - uthevingsfarge 5 14 3" xfId="5116" xr:uid="{00000000-0005-0000-0000-0000591E0000}"/>
    <cellStyle name="40% - uthevingsfarge 5 14 3 2" xfId="7769" xr:uid="{00000000-0005-0000-0000-00005A1E0000}"/>
    <cellStyle name="40% - uthevingsfarge 5 14 4" xfId="9365" xr:uid="{00000000-0005-0000-0000-00005B1E0000}"/>
    <cellStyle name="40% - uthevingsfarge 5 15" xfId="1967" xr:uid="{00000000-0005-0000-0000-00005C1E0000}"/>
    <cellStyle name="40% - uthevingsfarge 5 15 2" xfId="1968" xr:uid="{00000000-0005-0000-0000-00005D1E0000}"/>
    <cellStyle name="40% - uthevingsfarge 5 15 2 2" xfId="5838" xr:uid="{00000000-0005-0000-0000-00005E1E0000}"/>
    <cellStyle name="40% - uthevingsfarge 5 15 2 2 2" xfId="8471" xr:uid="{00000000-0005-0000-0000-00005F1E0000}"/>
    <cellStyle name="40% - uthevingsfarge 5 15 2 3" xfId="9364" xr:uid="{00000000-0005-0000-0000-0000601E0000}"/>
    <cellStyle name="40% - uthevingsfarge 5 15 3" xfId="5117" xr:uid="{00000000-0005-0000-0000-0000611E0000}"/>
    <cellStyle name="40% - uthevingsfarge 5 15 3 2" xfId="7770" xr:uid="{00000000-0005-0000-0000-0000621E0000}"/>
    <cellStyle name="40% - uthevingsfarge 5 15 4" xfId="10113" xr:uid="{00000000-0005-0000-0000-0000631E0000}"/>
    <cellStyle name="40% - uthevingsfarge 5 16" xfId="1969" xr:uid="{00000000-0005-0000-0000-0000641E0000}"/>
    <cellStyle name="40% - uthevingsfarge 5 16 2" xfId="1970" xr:uid="{00000000-0005-0000-0000-0000651E0000}"/>
    <cellStyle name="40% - uthevingsfarge 5 16 2 2" xfId="5839" xr:uid="{00000000-0005-0000-0000-0000661E0000}"/>
    <cellStyle name="40% - uthevingsfarge 5 16 2 2 2" xfId="8472" xr:uid="{00000000-0005-0000-0000-0000671E0000}"/>
    <cellStyle name="40% - uthevingsfarge 5 16 2 3" xfId="9363" xr:uid="{00000000-0005-0000-0000-0000681E0000}"/>
    <cellStyle name="40% - uthevingsfarge 5 16 3" xfId="5118" xr:uid="{00000000-0005-0000-0000-0000691E0000}"/>
    <cellStyle name="40% - uthevingsfarge 5 16 3 2" xfId="7771" xr:uid="{00000000-0005-0000-0000-00006A1E0000}"/>
    <cellStyle name="40% - uthevingsfarge 5 16 4" xfId="9362" xr:uid="{00000000-0005-0000-0000-00006B1E0000}"/>
    <cellStyle name="40% - uthevingsfarge 5 17" xfId="1971" xr:uid="{00000000-0005-0000-0000-00006C1E0000}"/>
    <cellStyle name="40% - uthevingsfarge 5 17 2" xfId="1972" xr:uid="{00000000-0005-0000-0000-00006D1E0000}"/>
    <cellStyle name="40% - uthevingsfarge 5 17 2 2" xfId="5840" xr:uid="{00000000-0005-0000-0000-00006E1E0000}"/>
    <cellStyle name="40% - uthevingsfarge 5 17 2 2 2" xfId="8473" xr:uid="{00000000-0005-0000-0000-00006F1E0000}"/>
    <cellStyle name="40% - uthevingsfarge 5 17 2 3" xfId="9361" xr:uid="{00000000-0005-0000-0000-0000701E0000}"/>
    <cellStyle name="40% - uthevingsfarge 5 17 3" xfId="5119" xr:uid="{00000000-0005-0000-0000-0000711E0000}"/>
    <cellStyle name="40% - uthevingsfarge 5 17 3 2" xfId="7772" xr:uid="{00000000-0005-0000-0000-0000721E0000}"/>
    <cellStyle name="40% - uthevingsfarge 5 17 4" xfId="9360" xr:uid="{00000000-0005-0000-0000-0000731E0000}"/>
    <cellStyle name="40% - uthevingsfarge 5 18" xfId="1973" xr:uid="{00000000-0005-0000-0000-0000741E0000}"/>
    <cellStyle name="40% - uthevingsfarge 5 18 2" xfId="1974" xr:uid="{00000000-0005-0000-0000-0000751E0000}"/>
    <cellStyle name="40% - uthevingsfarge 5 18 2 2" xfId="5841" xr:uid="{00000000-0005-0000-0000-0000761E0000}"/>
    <cellStyle name="40% - uthevingsfarge 5 18 2 2 2" xfId="8474" xr:uid="{00000000-0005-0000-0000-0000771E0000}"/>
    <cellStyle name="40% - uthevingsfarge 5 18 2 3" xfId="9359" xr:uid="{00000000-0005-0000-0000-0000781E0000}"/>
    <cellStyle name="40% - uthevingsfarge 5 18 3" xfId="5120" xr:uid="{00000000-0005-0000-0000-0000791E0000}"/>
    <cellStyle name="40% - uthevingsfarge 5 18 3 2" xfId="7773" xr:uid="{00000000-0005-0000-0000-00007A1E0000}"/>
    <cellStyle name="40% - uthevingsfarge 5 18 4" xfId="9358" xr:uid="{00000000-0005-0000-0000-00007B1E0000}"/>
    <cellStyle name="40% - uthevingsfarge 5 19" xfId="1975" xr:uid="{00000000-0005-0000-0000-00007C1E0000}"/>
    <cellStyle name="40% - uthevingsfarge 5 19 2" xfId="1976" xr:uid="{00000000-0005-0000-0000-00007D1E0000}"/>
    <cellStyle name="40% - uthevingsfarge 5 19 2 2" xfId="5842" xr:uid="{00000000-0005-0000-0000-00007E1E0000}"/>
    <cellStyle name="40% - uthevingsfarge 5 19 2 2 2" xfId="8475" xr:uid="{00000000-0005-0000-0000-00007F1E0000}"/>
    <cellStyle name="40% - uthevingsfarge 5 19 2 3" xfId="10525" xr:uid="{00000000-0005-0000-0000-0000801E0000}"/>
    <cellStyle name="40% - uthevingsfarge 5 19 3" xfId="5121" xr:uid="{00000000-0005-0000-0000-0000811E0000}"/>
    <cellStyle name="40% - uthevingsfarge 5 19 3 2" xfId="7774" xr:uid="{00000000-0005-0000-0000-0000821E0000}"/>
    <cellStyle name="40% - uthevingsfarge 5 19 4" xfId="10576" xr:uid="{00000000-0005-0000-0000-0000831E0000}"/>
    <cellStyle name="40% - uthevingsfarge 5 2" xfId="71" xr:uid="{00000000-0005-0000-0000-0000841E0000}"/>
    <cellStyle name="40% - uthevingsfarge 5 2 2" xfId="1977" xr:uid="{00000000-0005-0000-0000-0000851E0000}"/>
    <cellStyle name="40% - uthevingsfarge 5 2 2 2" xfId="5843" xr:uid="{00000000-0005-0000-0000-0000861E0000}"/>
    <cellStyle name="40% - uthevingsfarge 5 2 2 2 2" xfId="8476" xr:uid="{00000000-0005-0000-0000-0000871E0000}"/>
    <cellStyle name="40% - uthevingsfarge 5 2 2 3" xfId="9357" xr:uid="{00000000-0005-0000-0000-0000881E0000}"/>
    <cellStyle name="40% - uthevingsfarge 5 2 3" xfId="5122" xr:uid="{00000000-0005-0000-0000-0000891E0000}"/>
    <cellStyle name="40% - uthevingsfarge 5 2 3 2" xfId="7775" xr:uid="{00000000-0005-0000-0000-00008A1E0000}"/>
    <cellStyle name="40% - uthevingsfarge 5 2 4" xfId="9356" xr:uid="{00000000-0005-0000-0000-00008B1E0000}"/>
    <cellStyle name="40% - uthevingsfarge 5 20" xfId="1978" xr:uid="{00000000-0005-0000-0000-00008C1E0000}"/>
    <cellStyle name="40% - uthevingsfarge 5 20 2" xfId="1979" xr:uid="{00000000-0005-0000-0000-00008D1E0000}"/>
    <cellStyle name="40% - uthevingsfarge 5 20 2 2" xfId="5844" xr:uid="{00000000-0005-0000-0000-00008E1E0000}"/>
    <cellStyle name="40% - uthevingsfarge 5 20 2 2 2" xfId="8477" xr:uid="{00000000-0005-0000-0000-00008F1E0000}"/>
    <cellStyle name="40% - uthevingsfarge 5 20 2 3" xfId="9355" xr:uid="{00000000-0005-0000-0000-0000901E0000}"/>
    <cellStyle name="40% - uthevingsfarge 5 20 3" xfId="5123" xr:uid="{00000000-0005-0000-0000-0000911E0000}"/>
    <cellStyle name="40% - uthevingsfarge 5 20 3 2" xfId="7776" xr:uid="{00000000-0005-0000-0000-0000921E0000}"/>
    <cellStyle name="40% - uthevingsfarge 5 20 4" xfId="9354" xr:uid="{00000000-0005-0000-0000-0000931E0000}"/>
    <cellStyle name="40% - uthevingsfarge 5 21" xfId="1980" xr:uid="{00000000-0005-0000-0000-0000941E0000}"/>
    <cellStyle name="40% - uthevingsfarge 5 21 2" xfId="1981" xr:uid="{00000000-0005-0000-0000-0000951E0000}"/>
    <cellStyle name="40% - uthevingsfarge 5 21 2 2" xfId="5845" xr:uid="{00000000-0005-0000-0000-0000961E0000}"/>
    <cellStyle name="40% - uthevingsfarge 5 21 2 2 2" xfId="8478" xr:uid="{00000000-0005-0000-0000-0000971E0000}"/>
    <cellStyle name="40% - uthevingsfarge 5 21 2 3" xfId="9353" xr:uid="{00000000-0005-0000-0000-0000981E0000}"/>
    <cellStyle name="40% - uthevingsfarge 5 21 3" xfId="5124" xr:uid="{00000000-0005-0000-0000-0000991E0000}"/>
    <cellStyle name="40% - uthevingsfarge 5 21 3 2" xfId="7777" xr:uid="{00000000-0005-0000-0000-00009A1E0000}"/>
    <cellStyle name="40% - uthevingsfarge 5 21 4" xfId="9352" xr:uid="{00000000-0005-0000-0000-00009B1E0000}"/>
    <cellStyle name="40% - uthevingsfarge 5 22" xfId="1982" xr:uid="{00000000-0005-0000-0000-00009C1E0000}"/>
    <cellStyle name="40% - uthevingsfarge 5 22 2" xfId="1983" xr:uid="{00000000-0005-0000-0000-00009D1E0000}"/>
    <cellStyle name="40% - uthevingsfarge 5 22 2 2" xfId="5846" xr:uid="{00000000-0005-0000-0000-00009E1E0000}"/>
    <cellStyle name="40% - uthevingsfarge 5 22 2 2 2" xfId="8479" xr:uid="{00000000-0005-0000-0000-00009F1E0000}"/>
    <cellStyle name="40% - uthevingsfarge 5 22 2 3" xfId="9351" xr:uid="{00000000-0005-0000-0000-0000A01E0000}"/>
    <cellStyle name="40% - uthevingsfarge 5 22 3" xfId="5125" xr:uid="{00000000-0005-0000-0000-0000A11E0000}"/>
    <cellStyle name="40% - uthevingsfarge 5 22 3 2" xfId="7778" xr:uid="{00000000-0005-0000-0000-0000A21E0000}"/>
    <cellStyle name="40% - uthevingsfarge 5 22 4" xfId="10524" xr:uid="{00000000-0005-0000-0000-0000A31E0000}"/>
    <cellStyle name="40% - uthevingsfarge 5 23" xfId="1984" xr:uid="{00000000-0005-0000-0000-0000A41E0000}"/>
    <cellStyle name="40% - uthevingsfarge 5 23 2" xfId="1985" xr:uid="{00000000-0005-0000-0000-0000A51E0000}"/>
    <cellStyle name="40% - uthevingsfarge 5 23 2 2" xfId="5847" xr:uid="{00000000-0005-0000-0000-0000A61E0000}"/>
    <cellStyle name="40% - uthevingsfarge 5 23 2 2 2" xfId="8480" xr:uid="{00000000-0005-0000-0000-0000A71E0000}"/>
    <cellStyle name="40% - uthevingsfarge 5 23 2 3" xfId="9350" xr:uid="{00000000-0005-0000-0000-0000A81E0000}"/>
    <cellStyle name="40% - uthevingsfarge 5 23 3" xfId="5126" xr:uid="{00000000-0005-0000-0000-0000A91E0000}"/>
    <cellStyle name="40% - uthevingsfarge 5 23 3 2" xfId="7779" xr:uid="{00000000-0005-0000-0000-0000AA1E0000}"/>
    <cellStyle name="40% - uthevingsfarge 5 23 4" xfId="10523" xr:uid="{00000000-0005-0000-0000-0000AB1E0000}"/>
    <cellStyle name="40% - uthevingsfarge 5 24" xfId="1986" xr:uid="{00000000-0005-0000-0000-0000AC1E0000}"/>
    <cellStyle name="40% - uthevingsfarge 5 24 2" xfId="1987" xr:uid="{00000000-0005-0000-0000-0000AD1E0000}"/>
    <cellStyle name="40% - uthevingsfarge 5 24 2 2" xfId="5848" xr:uid="{00000000-0005-0000-0000-0000AE1E0000}"/>
    <cellStyle name="40% - uthevingsfarge 5 24 2 2 2" xfId="8481" xr:uid="{00000000-0005-0000-0000-0000AF1E0000}"/>
    <cellStyle name="40% - uthevingsfarge 5 24 2 3" xfId="9349" xr:uid="{00000000-0005-0000-0000-0000B01E0000}"/>
    <cellStyle name="40% - uthevingsfarge 5 24 3" xfId="5127" xr:uid="{00000000-0005-0000-0000-0000B11E0000}"/>
    <cellStyle name="40% - uthevingsfarge 5 24 3 2" xfId="7780" xr:uid="{00000000-0005-0000-0000-0000B21E0000}"/>
    <cellStyle name="40% - uthevingsfarge 5 24 4" xfId="10522" xr:uid="{00000000-0005-0000-0000-0000B31E0000}"/>
    <cellStyle name="40% - uthevingsfarge 5 25" xfId="1988" xr:uid="{00000000-0005-0000-0000-0000B41E0000}"/>
    <cellStyle name="40% - uthevingsfarge 5 25 2" xfId="1989" xr:uid="{00000000-0005-0000-0000-0000B51E0000}"/>
    <cellStyle name="40% - uthevingsfarge 5 25 2 2" xfId="5849" xr:uid="{00000000-0005-0000-0000-0000B61E0000}"/>
    <cellStyle name="40% - uthevingsfarge 5 25 2 2 2" xfId="8482" xr:uid="{00000000-0005-0000-0000-0000B71E0000}"/>
    <cellStyle name="40% - uthevingsfarge 5 25 2 3" xfId="9348" xr:uid="{00000000-0005-0000-0000-0000B81E0000}"/>
    <cellStyle name="40% - uthevingsfarge 5 25 3" xfId="5128" xr:uid="{00000000-0005-0000-0000-0000B91E0000}"/>
    <cellStyle name="40% - uthevingsfarge 5 25 3 2" xfId="7781" xr:uid="{00000000-0005-0000-0000-0000BA1E0000}"/>
    <cellStyle name="40% - uthevingsfarge 5 25 4" xfId="10521" xr:uid="{00000000-0005-0000-0000-0000BB1E0000}"/>
    <cellStyle name="40% - uthevingsfarge 5 26" xfId="1990" xr:uid="{00000000-0005-0000-0000-0000BC1E0000}"/>
    <cellStyle name="40% - uthevingsfarge 5 26 2" xfId="1991" xr:uid="{00000000-0005-0000-0000-0000BD1E0000}"/>
    <cellStyle name="40% - uthevingsfarge 5 26 2 2" xfId="5850" xr:uid="{00000000-0005-0000-0000-0000BE1E0000}"/>
    <cellStyle name="40% - uthevingsfarge 5 26 2 2 2" xfId="8483" xr:uid="{00000000-0005-0000-0000-0000BF1E0000}"/>
    <cellStyle name="40% - uthevingsfarge 5 26 2 3" xfId="9347" xr:uid="{00000000-0005-0000-0000-0000C01E0000}"/>
    <cellStyle name="40% - uthevingsfarge 5 26 3" xfId="5129" xr:uid="{00000000-0005-0000-0000-0000C11E0000}"/>
    <cellStyle name="40% - uthevingsfarge 5 26 3 2" xfId="7782" xr:uid="{00000000-0005-0000-0000-0000C21E0000}"/>
    <cellStyle name="40% - uthevingsfarge 5 26 4" xfId="10520" xr:uid="{00000000-0005-0000-0000-0000C31E0000}"/>
    <cellStyle name="40% - uthevingsfarge 5 27" xfId="1992" xr:uid="{00000000-0005-0000-0000-0000C41E0000}"/>
    <cellStyle name="40% - uthevingsfarge 5 27 2" xfId="1993" xr:uid="{00000000-0005-0000-0000-0000C51E0000}"/>
    <cellStyle name="40% - uthevingsfarge 5 27 2 2" xfId="5851" xr:uid="{00000000-0005-0000-0000-0000C61E0000}"/>
    <cellStyle name="40% - uthevingsfarge 5 27 2 2 2" xfId="8484" xr:uid="{00000000-0005-0000-0000-0000C71E0000}"/>
    <cellStyle name="40% - uthevingsfarge 5 27 2 3" xfId="9346" xr:uid="{00000000-0005-0000-0000-0000C81E0000}"/>
    <cellStyle name="40% - uthevingsfarge 5 27 3" xfId="5130" xr:uid="{00000000-0005-0000-0000-0000C91E0000}"/>
    <cellStyle name="40% - uthevingsfarge 5 27 3 2" xfId="7783" xr:uid="{00000000-0005-0000-0000-0000CA1E0000}"/>
    <cellStyle name="40% - uthevingsfarge 5 27 4" xfId="10519" xr:uid="{00000000-0005-0000-0000-0000CB1E0000}"/>
    <cellStyle name="40% - uthevingsfarge 5 28" xfId="1994" xr:uid="{00000000-0005-0000-0000-0000CC1E0000}"/>
    <cellStyle name="40% - uthevingsfarge 5 28 2" xfId="1995" xr:uid="{00000000-0005-0000-0000-0000CD1E0000}"/>
    <cellStyle name="40% - uthevingsfarge 5 28 2 2" xfId="5852" xr:uid="{00000000-0005-0000-0000-0000CE1E0000}"/>
    <cellStyle name="40% - uthevingsfarge 5 28 2 2 2" xfId="8485" xr:uid="{00000000-0005-0000-0000-0000CF1E0000}"/>
    <cellStyle name="40% - uthevingsfarge 5 28 2 3" xfId="9345" xr:uid="{00000000-0005-0000-0000-0000D01E0000}"/>
    <cellStyle name="40% - uthevingsfarge 5 28 3" xfId="5131" xr:uid="{00000000-0005-0000-0000-0000D11E0000}"/>
    <cellStyle name="40% - uthevingsfarge 5 28 3 2" xfId="7784" xr:uid="{00000000-0005-0000-0000-0000D21E0000}"/>
    <cellStyle name="40% - uthevingsfarge 5 28 4" xfId="10518" xr:uid="{00000000-0005-0000-0000-0000D31E0000}"/>
    <cellStyle name="40% - uthevingsfarge 5 29" xfId="1996" xr:uid="{00000000-0005-0000-0000-0000D41E0000}"/>
    <cellStyle name="40% - uthevingsfarge 5 29 2" xfId="1997" xr:uid="{00000000-0005-0000-0000-0000D51E0000}"/>
    <cellStyle name="40% - uthevingsfarge 5 29 2 2" xfId="5853" xr:uid="{00000000-0005-0000-0000-0000D61E0000}"/>
    <cellStyle name="40% - uthevingsfarge 5 29 2 2 2" xfId="8486" xr:uid="{00000000-0005-0000-0000-0000D71E0000}"/>
    <cellStyle name="40% - uthevingsfarge 5 29 2 3" xfId="9344" xr:uid="{00000000-0005-0000-0000-0000D81E0000}"/>
    <cellStyle name="40% - uthevingsfarge 5 29 3" xfId="5132" xr:uid="{00000000-0005-0000-0000-0000D91E0000}"/>
    <cellStyle name="40% - uthevingsfarge 5 29 3 2" xfId="7785" xr:uid="{00000000-0005-0000-0000-0000DA1E0000}"/>
    <cellStyle name="40% - uthevingsfarge 5 29 4" xfId="10517" xr:uid="{00000000-0005-0000-0000-0000DB1E0000}"/>
    <cellStyle name="40% - uthevingsfarge 5 3" xfId="1998" xr:uid="{00000000-0005-0000-0000-0000DC1E0000}"/>
    <cellStyle name="40% - uthevingsfarge 5 3 2" xfId="1999" xr:uid="{00000000-0005-0000-0000-0000DD1E0000}"/>
    <cellStyle name="40% - uthevingsfarge 5 3 2 2" xfId="5854" xr:uid="{00000000-0005-0000-0000-0000DE1E0000}"/>
    <cellStyle name="40% - uthevingsfarge 5 3 2 2 2" xfId="8487" xr:uid="{00000000-0005-0000-0000-0000DF1E0000}"/>
    <cellStyle name="40% - uthevingsfarge 5 3 2 3" xfId="9343" xr:uid="{00000000-0005-0000-0000-0000E01E0000}"/>
    <cellStyle name="40% - uthevingsfarge 5 3 3" xfId="5133" xr:uid="{00000000-0005-0000-0000-0000E11E0000}"/>
    <cellStyle name="40% - uthevingsfarge 5 3 3 2" xfId="7786" xr:uid="{00000000-0005-0000-0000-0000E21E0000}"/>
    <cellStyle name="40% - uthevingsfarge 5 3 4" xfId="10516" xr:uid="{00000000-0005-0000-0000-0000E31E0000}"/>
    <cellStyle name="40% - uthevingsfarge 5 30" xfId="2000" xr:uid="{00000000-0005-0000-0000-0000E41E0000}"/>
    <cellStyle name="40% - uthevingsfarge 5 30 2" xfId="2001" xr:uid="{00000000-0005-0000-0000-0000E51E0000}"/>
    <cellStyle name="40% - uthevingsfarge 5 30 2 2" xfId="5855" xr:uid="{00000000-0005-0000-0000-0000E61E0000}"/>
    <cellStyle name="40% - uthevingsfarge 5 30 2 2 2" xfId="8488" xr:uid="{00000000-0005-0000-0000-0000E71E0000}"/>
    <cellStyle name="40% - uthevingsfarge 5 30 2 3" xfId="9342" xr:uid="{00000000-0005-0000-0000-0000E81E0000}"/>
    <cellStyle name="40% - uthevingsfarge 5 30 3" xfId="5134" xr:uid="{00000000-0005-0000-0000-0000E91E0000}"/>
    <cellStyle name="40% - uthevingsfarge 5 30 3 2" xfId="7787" xr:uid="{00000000-0005-0000-0000-0000EA1E0000}"/>
    <cellStyle name="40% - uthevingsfarge 5 30 4" xfId="10515" xr:uid="{00000000-0005-0000-0000-0000EB1E0000}"/>
    <cellStyle name="40% - uthevingsfarge 5 31" xfId="2002" xr:uid="{00000000-0005-0000-0000-0000EC1E0000}"/>
    <cellStyle name="40% - uthevingsfarge 5 31 2" xfId="2003" xr:uid="{00000000-0005-0000-0000-0000ED1E0000}"/>
    <cellStyle name="40% - uthevingsfarge 5 31 2 2" xfId="5856" xr:uid="{00000000-0005-0000-0000-0000EE1E0000}"/>
    <cellStyle name="40% - uthevingsfarge 5 31 2 2 2" xfId="8489" xr:uid="{00000000-0005-0000-0000-0000EF1E0000}"/>
    <cellStyle name="40% - uthevingsfarge 5 31 2 3" xfId="9341" xr:uid="{00000000-0005-0000-0000-0000F01E0000}"/>
    <cellStyle name="40% - uthevingsfarge 5 31 3" xfId="5135" xr:uid="{00000000-0005-0000-0000-0000F11E0000}"/>
    <cellStyle name="40% - uthevingsfarge 5 31 3 2" xfId="7788" xr:uid="{00000000-0005-0000-0000-0000F21E0000}"/>
    <cellStyle name="40% - uthevingsfarge 5 31 4" xfId="10514" xr:uid="{00000000-0005-0000-0000-0000F31E0000}"/>
    <cellStyle name="40% - uthevingsfarge 5 32" xfId="2004" xr:uid="{00000000-0005-0000-0000-0000F41E0000}"/>
    <cellStyle name="40% - uthevingsfarge 5 32 2" xfId="2005" xr:uid="{00000000-0005-0000-0000-0000F51E0000}"/>
    <cellStyle name="40% - uthevingsfarge 5 32 2 2" xfId="5857" xr:uid="{00000000-0005-0000-0000-0000F61E0000}"/>
    <cellStyle name="40% - uthevingsfarge 5 32 2 2 2" xfId="8490" xr:uid="{00000000-0005-0000-0000-0000F71E0000}"/>
    <cellStyle name="40% - uthevingsfarge 5 32 2 3" xfId="9340" xr:uid="{00000000-0005-0000-0000-0000F81E0000}"/>
    <cellStyle name="40% - uthevingsfarge 5 32 3" xfId="5136" xr:uid="{00000000-0005-0000-0000-0000F91E0000}"/>
    <cellStyle name="40% - uthevingsfarge 5 32 3 2" xfId="7789" xr:uid="{00000000-0005-0000-0000-0000FA1E0000}"/>
    <cellStyle name="40% - uthevingsfarge 5 32 4" xfId="10513" xr:uid="{00000000-0005-0000-0000-0000FB1E0000}"/>
    <cellStyle name="40% - uthevingsfarge 5 33" xfId="2006" xr:uid="{00000000-0005-0000-0000-0000FC1E0000}"/>
    <cellStyle name="40% - uthevingsfarge 5 33 2" xfId="2007" xr:uid="{00000000-0005-0000-0000-0000FD1E0000}"/>
    <cellStyle name="40% - uthevingsfarge 5 33 2 2" xfId="5858" xr:uid="{00000000-0005-0000-0000-0000FE1E0000}"/>
    <cellStyle name="40% - uthevingsfarge 5 33 2 2 2" xfId="8491" xr:uid="{00000000-0005-0000-0000-0000FF1E0000}"/>
    <cellStyle name="40% - uthevingsfarge 5 33 2 3" xfId="9339" xr:uid="{00000000-0005-0000-0000-0000001F0000}"/>
    <cellStyle name="40% - uthevingsfarge 5 33 3" xfId="5137" xr:uid="{00000000-0005-0000-0000-0000011F0000}"/>
    <cellStyle name="40% - uthevingsfarge 5 33 3 2" xfId="7790" xr:uid="{00000000-0005-0000-0000-0000021F0000}"/>
    <cellStyle name="40% - uthevingsfarge 5 33 4" xfId="10512" xr:uid="{00000000-0005-0000-0000-0000031F0000}"/>
    <cellStyle name="40% - uthevingsfarge 5 34" xfId="2008" xr:uid="{00000000-0005-0000-0000-0000041F0000}"/>
    <cellStyle name="40% - uthevingsfarge 5 34 2" xfId="2009" xr:uid="{00000000-0005-0000-0000-0000051F0000}"/>
    <cellStyle name="40% - uthevingsfarge 5 34 2 2" xfId="5859" xr:uid="{00000000-0005-0000-0000-0000061F0000}"/>
    <cellStyle name="40% - uthevingsfarge 5 34 2 2 2" xfId="8492" xr:uid="{00000000-0005-0000-0000-0000071F0000}"/>
    <cellStyle name="40% - uthevingsfarge 5 34 2 3" xfId="9338" xr:uid="{00000000-0005-0000-0000-0000081F0000}"/>
    <cellStyle name="40% - uthevingsfarge 5 34 3" xfId="5138" xr:uid="{00000000-0005-0000-0000-0000091F0000}"/>
    <cellStyle name="40% - uthevingsfarge 5 34 3 2" xfId="7791" xr:uid="{00000000-0005-0000-0000-00000A1F0000}"/>
    <cellStyle name="40% - uthevingsfarge 5 34 4" xfId="10511" xr:uid="{00000000-0005-0000-0000-00000B1F0000}"/>
    <cellStyle name="40% - uthevingsfarge 5 35" xfId="2010" xr:uid="{00000000-0005-0000-0000-00000C1F0000}"/>
    <cellStyle name="40% - uthevingsfarge 5 35 2" xfId="2011" xr:uid="{00000000-0005-0000-0000-00000D1F0000}"/>
    <cellStyle name="40% - uthevingsfarge 5 35 2 2" xfId="5860" xr:uid="{00000000-0005-0000-0000-00000E1F0000}"/>
    <cellStyle name="40% - uthevingsfarge 5 35 2 2 2" xfId="8493" xr:uid="{00000000-0005-0000-0000-00000F1F0000}"/>
    <cellStyle name="40% - uthevingsfarge 5 35 2 3" xfId="9337" xr:uid="{00000000-0005-0000-0000-0000101F0000}"/>
    <cellStyle name="40% - uthevingsfarge 5 35 3" xfId="5139" xr:uid="{00000000-0005-0000-0000-0000111F0000}"/>
    <cellStyle name="40% - uthevingsfarge 5 35 3 2" xfId="7792" xr:uid="{00000000-0005-0000-0000-0000121F0000}"/>
    <cellStyle name="40% - uthevingsfarge 5 35 4" xfId="10510" xr:uid="{00000000-0005-0000-0000-0000131F0000}"/>
    <cellStyle name="40% - uthevingsfarge 5 36" xfId="2012" xr:uid="{00000000-0005-0000-0000-0000141F0000}"/>
    <cellStyle name="40% - uthevingsfarge 5 36 2" xfId="2013" xr:uid="{00000000-0005-0000-0000-0000151F0000}"/>
    <cellStyle name="40% - uthevingsfarge 5 36 2 2" xfId="5861" xr:uid="{00000000-0005-0000-0000-0000161F0000}"/>
    <cellStyle name="40% - uthevingsfarge 5 36 2 2 2" xfId="8494" xr:uid="{00000000-0005-0000-0000-0000171F0000}"/>
    <cellStyle name="40% - uthevingsfarge 5 36 2 3" xfId="9336" xr:uid="{00000000-0005-0000-0000-0000181F0000}"/>
    <cellStyle name="40% - uthevingsfarge 5 36 3" xfId="5140" xr:uid="{00000000-0005-0000-0000-0000191F0000}"/>
    <cellStyle name="40% - uthevingsfarge 5 36 3 2" xfId="7793" xr:uid="{00000000-0005-0000-0000-00001A1F0000}"/>
    <cellStyle name="40% - uthevingsfarge 5 36 4" xfId="10509" xr:uid="{00000000-0005-0000-0000-00001B1F0000}"/>
    <cellStyle name="40% - uthevingsfarge 5 37" xfId="2014" xr:uid="{00000000-0005-0000-0000-00001C1F0000}"/>
    <cellStyle name="40% - uthevingsfarge 5 37 2" xfId="2015" xr:uid="{00000000-0005-0000-0000-00001D1F0000}"/>
    <cellStyle name="40% - uthevingsfarge 5 37 2 2" xfId="5862" xr:uid="{00000000-0005-0000-0000-00001E1F0000}"/>
    <cellStyle name="40% - uthevingsfarge 5 37 2 2 2" xfId="8495" xr:uid="{00000000-0005-0000-0000-00001F1F0000}"/>
    <cellStyle name="40% - uthevingsfarge 5 37 2 3" xfId="9335" xr:uid="{00000000-0005-0000-0000-0000201F0000}"/>
    <cellStyle name="40% - uthevingsfarge 5 37 3" xfId="5141" xr:uid="{00000000-0005-0000-0000-0000211F0000}"/>
    <cellStyle name="40% - uthevingsfarge 5 37 3 2" xfId="7794" xr:uid="{00000000-0005-0000-0000-0000221F0000}"/>
    <cellStyle name="40% - uthevingsfarge 5 37 4" xfId="10508" xr:uid="{00000000-0005-0000-0000-0000231F0000}"/>
    <cellStyle name="40% - uthevingsfarge 5 38" xfId="2016" xr:uid="{00000000-0005-0000-0000-0000241F0000}"/>
    <cellStyle name="40% - uthevingsfarge 5 38 2" xfId="2017" xr:uid="{00000000-0005-0000-0000-0000251F0000}"/>
    <cellStyle name="40% - uthevingsfarge 5 38 2 2" xfId="5863" xr:uid="{00000000-0005-0000-0000-0000261F0000}"/>
    <cellStyle name="40% - uthevingsfarge 5 38 2 2 2" xfId="8496" xr:uid="{00000000-0005-0000-0000-0000271F0000}"/>
    <cellStyle name="40% - uthevingsfarge 5 38 2 3" xfId="9334" xr:uid="{00000000-0005-0000-0000-0000281F0000}"/>
    <cellStyle name="40% - uthevingsfarge 5 38 3" xfId="5142" xr:uid="{00000000-0005-0000-0000-0000291F0000}"/>
    <cellStyle name="40% - uthevingsfarge 5 38 3 2" xfId="7795" xr:uid="{00000000-0005-0000-0000-00002A1F0000}"/>
    <cellStyle name="40% - uthevingsfarge 5 38 4" xfId="10507" xr:uid="{00000000-0005-0000-0000-00002B1F0000}"/>
    <cellStyle name="40% - uthevingsfarge 5 39" xfId="2018" xr:uid="{00000000-0005-0000-0000-00002C1F0000}"/>
    <cellStyle name="40% - uthevingsfarge 5 39 2" xfId="2019" xr:uid="{00000000-0005-0000-0000-00002D1F0000}"/>
    <cellStyle name="40% - uthevingsfarge 5 39 2 2" xfId="5864" xr:uid="{00000000-0005-0000-0000-00002E1F0000}"/>
    <cellStyle name="40% - uthevingsfarge 5 39 2 2 2" xfId="8497" xr:uid="{00000000-0005-0000-0000-00002F1F0000}"/>
    <cellStyle name="40% - uthevingsfarge 5 39 2 3" xfId="9333" xr:uid="{00000000-0005-0000-0000-0000301F0000}"/>
    <cellStyle name="40% - uthevingsfarge 5 39 3" xfId="5143" xr:uid="{00000000-0005-0000-0000-0000311F0000}"/>
    <cellStyle name="40% - uthevingsfarge 5 39 3 2" xfId="7796" xr:uid="{00000000-0005-0000-0000-0000321F0000}"/>
    <cellStyle name="40% - uthevingsfarge 5 39 4" xfId="10506" xr:uid="{00000000-0005-0000-0000-0000331F0000}"/>
    <cellStyle name="40% - uthevingsfarge 5 4" xfId="2020" xr:uid="{00000000-0005-0000-0000-0000341F0000}"/>
    <cellStyle name="40% - uthevingsfarge 5 4 2" xfId="2021" xr:uid="{00000000-0005-0000-0000-0000351F0000}"/>
    <cellStyle name="40% - uthevingsfarge 5 4 2 2" xfId="5865" xr:uid="{00000000-0005-0000-0000-0000361F0000}"/>
    <cellStyle name="40% - uthevingsfarge 5 4 2 2 2" xfId="8498" xr:uid="{00000000-0005-0000-0000-0000371F0000}"/>
    <cellStyle name="40% - uthevingsfarge 5 4 2 3" xfId="9332" xr:uid="{00000000-0005-0000-0000-0000381F0000}"/>
    <cellStyle name="40% - uthevingsfarge 5 4 3" xfId="5144" xr:uid="{00000000-0005-0000-0000-0000391F0000}"/>
    <cellStyle name="40% - uthevingsfarge 5 4 3 2" xfId="7797" xr:uid="{00000000-0005-0000-0000-00003A1F0000}"/>
    <cellStyle name="40% - uthevingsfarge 5 4 4" xfId="10505" xr:uid="{00000000-0005-0000-0000-00003B1F0000}"/>
    <cellStyle name="40% - uthevingsfarge 5 40" xfId="2022" xr:uid="{00000000-0005-0000-0000-00003C1F0000}"/>
    <cellStyle name="40% - uthevingsfarge 5 40 2" xfId="2023" xr:uid="{00000000-0005-0000-0000-00003D1F0000}"/>
    <cellStyle name="40% - uthevingsfarge 5 40 2 2" xfId="5866" xr:uid="{00000000-0005-0000-0000-00003E1F0000}"/>
    <cellStyle name="40% - uthevingsfarge 5 40 2 2 2" xfId="8499" xr:uid="{00000000-0005-0000-0000-00003F1F0000}"/>
    <cellStyle name="40% - uthevingsfarge 5 40 2 3" xfId="9331" xr:uid="{00000000-0005-0000-0000-0000401F0000}"/>
    <cellStyle name="40% - uthevingsfarge 5 40 3" xfId="5145" xr:uid="{00000000-0005-0000-0000-0000411F0000}"/>
    <cellStyle name="40% - uthevingsfarge 5 40 3 2" xfId="7798" xr:uid="{00000000-0005-0000-0000-0000421F0000}"/>
    <cellStyle name="40% - uthevingsfarge 5 40 4" xfId="10504" xr:uid="{00000000-0005-0000-0000-0000431F0000}"/>
    <cellStyle name="40% - uthevingsfarge 5 41" xfId="2024" xr:uid="{00000000-0005-0000-0000-0000441F0000}"/>
    <cellStyle name="40% - uthevingsfarge 5 41 2" xfId="2025" xr:uid="{00000000-0005-0000-0000-0000451F0000}"/>
    <cellStyle name="40% - uthevingsfarge 5 41 2 2" xfId="5867" xr:uid="{00000000-0005-0000-0000-0000461F0000}"/>
    <cellStyle name="40% - uthevingsfarge 5 41 2 2 2" xfId="8500" xr:uid="{00000000-0005-0000-0000-0000471F0000}"/>
    <cellStyle name="40% - uthevingsfarge 5 41 2 3" xfId="9330" xr:uid="{00000000-0005-0000-0000-0000481F0000}"/>
    <cellStyle name="40% - uthevingsfarge 5 41 3" xfId="5146" xr:uid="{00000000-0005-0000-0000-0000491F0000}"/>
    <cellStyle name="40% - uthevingsfarge 5 41 3 2" xfId="7799" xr:uid="{00000000-0005-0000-0000-00004A1F0000}"/>
    <cellStyle name="40% - uthevingsfarge 5 41 4" xfId="10503" xr:uid="{00000000-0005-0000-0000-00004B1F0000}"/>
    <cellStyle name="40% - uthevingsfarge 5 42" xfId="2026" xr:uid="{00000000-0005-0000-0000-00004C1F0000}"/>
    <cellStyle name="40% - uthevingsfarge 5 42 2" xfId="2027" xr:uid="{00000000-0005-0000-0000-00004D1F0000}"/>
    <cellStyle name="40% - uthevingsfarge 5 42 2 2" xfId="5868" xr:uid="{00000000-0005-0000-0000-00004E1F0000}"/>
    <cellStyle name="40% - uthevingsfarge 5 42 2 2 2" xfId="8501" xr:uid="{00000000-0005-0000-0000-00004F1F0000}"/>
    <cellStyle name="40% - uthevingsfarge 5 42 2 3" xfId="9329" xr:uid="{00000000-0005-0000-0000-0000501F0000}"/>
    <cellStyle name="40% - uthevingsfarge 5 42 3" xfId="5147" xr:uid="{00000000-0005-0000-0000-0000511F0000}"/>
    <cellStyle name="40% - uthevingsfarge 5 42 3 2" xfId="7800" xr:uid="{00000000-0005-0000-0000-0000521F0000}"/>
    <cellStyle name="40% - uthevingsfarge 5 42 4" xfId="10502" xr:uid="{00000000-0005-0000-0000-0000531F0000}"/>
    <cellStyle name="40% - uthevingsfarge 5 43" xfId="2028" xr:uid="{00000000-0005-0000-0000-0000541F0000}"/>
    <cellStyle name="40% - uthevingsfarge 5 43 2" xfId="2029" xr:uid="{00000000-0005-0000-0000-0000551F0000}"/>
    <cellStyle name="40% - uthevingsfarge 5 43 2 2" xfId="5869" xr:uid="{00000000-0005-0000-0000-0000561F0000}"/>
    <cellStyle name="40% - uthevingsfarge 5 43 2 2 2" xfId="8502" xr:uid="{00000000-0005-0000-0000-0000571F0000}"/>
    <cellStyle name="40% - uthevingsfarge 5 43 2 3" xfId="9328" xr:uid="{00000000-0005-0000-0000-0000581F0000}"/>
    <cellStyle name="40% - uthevingsfarge 5 43 3" xfId="5148" xr:uid="{00000000-0005-0000-0000-0000591F0000}"/>
    <cellStyle name="40% - uthevingsfarge 5 43 3 2" xfId="7801" xr:uid="{00000000-0005-0000-0000-00005A1F0000}"/>
    <cellStyle name="40% - uthevingsfarge 5 43 4" xfId="10501" xr:uid="{00000000-0005-0000-0000-00005B1F0000}"/>
    <cellStyle name="40% - uthevingsfarge 5 44" xfId="2030" xr:uid="{00000000-0005-0000-0000-00005C1F0000}"/>
    <cellStyle name="40% - uthevingsfarge 5 44 2" xfId="2031" xr:uid="{00000000-0005-0000-0000-00005D1F0000}"/>
    <cellStyle name="40% - uthevingsfarge 5 44 2 2" xfId="5870" xr:uid="{00000000-0005-0000-0000-00005E1F0000}"/>
    <cellStyle name="40% - uthevingsfarge 5 44 2 2 2" xfId="8503" xr:uid="{00000000-0005-0000-0000-00005F1F0000}"/>
    <cellStyle name="40% - uthevingsfarge 5 44 2 3" xfId="9327" xr:uid="{00000000-0005-0000-0000-0000601F0000}"/>
    <cellStyle name="40% - uthevingsfarge 5 44 3" xfId="5149" xr:uid="{00000000-0005-0000-0000-0000611F0000}"/>
    <cellStyle name="40% - uthevingsfarge 5 44 3 2" xfId="7802" xr:uid="{00000000-0005-0000-0000-0000621F0000}"/>
    <cellStyle name="40% - uthevingsfarge 5 44 4" xfId="10500" xr:uid="{00000000-0005-0000-0000-0000631F0000}"/>
    <cellStyle name="40% - uthevingsfarge 5 45" xfId="2032" xr:uid="{00000000-0005-0000-0000-0000641F0000}"/>
    <cellStyle name="40% - uthevingsfarge 5 45 2" xfId="2033" xr:uid="{00000000-0005-0000-0000-0000651F0000}"/>
    <cellStyle name="40% - uthevingsfarge 5 45 2 2" xfId="5871" xr:uid="{00000000-0005-0000-0000-0000661F0000}"/>
    <cellStyle name="40% - uthevingsfarge 5 45 2 2 2" xfId="8504" xr:uid="{00000000-0005-0000-0000-0000671F0000}"/>
    <cellStyle name="40% - uthevingsfarge 5 45 2 3" xfId="9326" xr:uid="{00000000-0005-0000-0000-0000681F0000}"/>
    <cellStyle name="40% - uthevingsfarge 5 45 3" xfId="5150" xr:uid="{00000000-0005-0000-0000-0000691F0000}"/>
    <cellStyle name="40% - uthevingsfarge 5 45 3 2" xfId="7803" xr:uid="{00000000-0005-0000-0000-00006A1F0000}"/>
    <cellStyle name="40% - uthevingsfarge 5 45 4" xfId="10499" xr:uid="{00000000-0005-0000-0000-00006B1F0000}"/>
    <cellStyle name="40% - uthevingsfarge 5 46" xfId="2034" xr:uid="{00000000-0005-0000-0000-00006C1F0000}"/>
    <cellStyle name="40% - uthevingsfarge 5 46 2" xfId="2035" xr:uid="{00000000-0005-0000-0000-00006D1F0000}"/>
    <cellStyle name="40% - uthevingsfarge 5 46 2 2" xfId="5872" xr:uid="{00000000-0005-0000-0000-00006E1F0000}"/>
    <cellStyle name="40% - uthevingsfarge 5 46 2 2 2" xfId="8505" xr:uid="{00000000-0005-0000-0000-00006F1F0000}"/>
    <cellStyle name="40% - uthevingsfarge 5 46 2 3" xfId="9325" xr:uid="{00000000-0005-0000-0000-0000701F0000}"/>
    <cellStyle name="40% - uthevingsfarge 5 46 3" xfId="5151" xr:uid="{00000000-0005-0000-0000-0000711F0000}"/>
    <cellStyle name="40% - uthevingsfarge 5 46 3 2" xfId="7804" xr:uid="{00000000-0005-0000-0000-0000721F0000}"/>
    <cellStyle name="40% - uthevingsfarge 5 46 4" xfId="10498" xr:uid="{00000000-0005-0000-0000-0000731F0000}"/>
    <cellStyle name="40% - uthevingsfarge 5 47" xfId="2036" xr:uid="{00000000-0005-0000-0000-0000741F0000}"/>
    <cellStyle name="40% - uthevingsfarge 5 47 2" xfId="2037" xr:uid="{00000000-0005-0000-0000-0000751F0000}"/>
    <cellStyle name="40% - uthevingsfarge 5 47 2 2" xfId="5873" xr:uid="{00000000-0005-0000-0000-0000761F0000}"/>
    <cellStyle name="40% - uthevingsfarge 5 47 2 2 2" xfId="8506" xr:uid="{00000000-0005-0000-0000-0000771F0000}"/>
    <cellStyle name="40% - uthevingsfarge 5 47 2 3" xfId="9324" xr:uid="{00000000-0005-0000-0000-0000781F0000}"/>
    <cellStyle name="40% - uthevingsfarge 5 47 3" xfId="5152" xr:uid="{00000000-0005-0000-0000-0000791F0000}"/>
    <cellStyle name="40% - uthevingsfarge 5 47 3 2" xfId="7805" xr:uid="{00000000-0005-0000-0000-00007A1F0000}"/>
    <cellStyle name="40% - uthevingsfarge 5 47 4" xfId="10497" xr:uid="{00000000-0005-0000-0000-00007B1F0000}"/>
    <cellStyle name="40% - uthevingsfarge 5 48" xfId="2038" xr:uid="{00000000-0005-0000-0000-00007C1F0000}"/>
    <cellStyle name="40% - uthevingsfarge 5 48 2" xfId="2039" xr:uid="{00000000-0005-0000-0000-00007D1F0000}"/>
    <cellStyle name="40% - uthevingsfarge 5 48 2 2" xfId="5874" xr:uid="{00000000-0005-0000-0000-00007E1F0000}"/>
    <cellStyle name="40% - uthevingsfarge 5 48 2 2 2" xfId="8507" xr:uid="{00000000-0005-0000-0000-00007F1F0000}"/>
    <cellStyle name="40% - uthevingsfarge 5 48 2 3" xfId="9323" xr:uid="{00000000-0005-0000-0000-0000801F0000}"/>
    <cellStyle name="40% - uthevingsfarge 5 48 3" xfId="5153" xr:uid="{00000000-0005-0000-0000-0000811F0000}"/>
    <cellStyle name="40% - uthevingsfarge 5 48 3 2" xfId="7806" xr:uid="{00000000-0005-0000-0000-0000821F0000}"/>
    <cellStyle name="40% - uthevingsfarge 5 48 4" xfId="10496" xr:uid="{00000000-0005-0000-0000-0000831F0000}"/>
    <cellStyle name="40% - uthevingsfarge 5 49" xfId="2040" xr:uid="{00000000-0005-0000-0000-0000841F0000}"/>
    <cellStyle name="40% - uthevingsfarge 5 49 2" xfId="2041" xr:uid="{00000000-0005-0000-0000-0000851F0000}"/>
    <cellStyle name="40% - uthevingsfarge 5 49 2 2" xfId="5875" xr:uid="{00000000-0005-0000-0000-0000861F0000}"/>
    <cellStyle name="40% - uthevingsfarge 5 49 2 2 2" xfId="8508" xr:uid="{00000000-0005-0000-0000-0000871F0000}"/>
    <cellStyle name="40% - uthevingsfarge 5 49 2 3" xfId="9322" xr:uid="{00000000-0005-0000-0000-0000881F0000}"/>
    <cellStyle name="40% - uthevingsfarge 5 49 3" xfId="5154" xr:uid="{00000000-0005-0000-0000-0000891F0000}"/>
    <cellStyle name="40% - uthevingsfarge 5 49 3 2" xfId="7807" xr:uid="{00000000-0005-0000-0000-00008A1F0000}"/>
    <cellStyle name="40% - uthevingsfarge 5 49 4" xfId="10495" xr:uid="{00000000-0005-0000-0000-00008B1F0000}"/>
    <cellStyle name="40% - uthevingsfarge 5 5" xfId="2042" xr:uid="{00000000-0005-0000-0000-00008C1F0000}"/>
    <cellStyle name="40% - uthevingsfarge 5 5 2" xfId="2043" xr:uid="{00000000-0005-0000-0000-00008D1F0000}"/>
    <cellStyle name="40% - uthevingsfarge 5 5 2 2" xfId="5876" xr:uid="{00000000-0005-0000-0000-00008E1F0000}"/>
    <cellStyle name="40% - uthevingsfarge 5 5 2 2 2" xfId="8509" xr:uid="{00000000-0005-0000-0000-00008F1F0000}"/>
    <cellStyle name="40% - uthevingsfarge 5 5 2 3" xfId="9321" xr:uid="{00000000-0005-0000-0000-0000901F0000}"/>
    <cellStyle name="40% - uthevingsfarge 5 5 3" xfId="5155" xr:uid="{00000000-0005-0000-0000-0000911F0000}"/>
    <cellStyle name="40% - uthevingsfarge 5 5 3 2" xfId="7808" xr:uid="{00000000-0005-0000-0000-0000921F0000}"/>
    <cellStyle name="40% - uthevingsfarge 5 5 4" xfId="10494" xr:uid="{00000000-0005-0000-0000-0000931F0000}"/>
    <cellStyle name="40% - uthevingsfarge 5 50" xfId="2044" xr:uid="{00000000-0005-0000-0000-0000941F0000}"/>
    <cellStyle name="40% - uthevingsfarge 5 50 2" xfId="2045" xr:uid="{00000000-0005-0000-0000-0000951F0000}"/>
    <cellStyle name="40% - uthevingsfarge 5 50 2 2" xfId="5877" xr:uid="{00000000-0005-0000-0000-0000961F0000}"/>
    <cellStyle name="40% - uthevingsfarge 5 50 2 2 2" xfId="8510" xr:uid="{00000000-0005-0000-0000-0000971F0000}"/>
    <cellStyle name="40% - uthevingsfarge 5 50 2 3" xfId="9320" xr:uid="{00000000-0005-0000-0000-0000981F0000}"/>
    <cellStyle name="40% - uthevingsfarge 5 50 3" xfId="5156" xr:uid="{00000000-0005-0000-0000-0000991F0000}"/>
    <cellStyle name="40% - uthevingsfarge 5 50 3 2" xfId="7809" xr:uid="{00000000-0005-0000-0000-00009A1F0000}"/>
    <cellStyle name="40% - uthevingsfarge 5 50 4" xfId="10493" xr:uid="{00000000-0005-0000-0000-00009B1F0000}"/>
    <cellStyle name="40% - uthevingsfarge 5 51" xfId="2046" xr:uid="{00000000-0005-0000-0000-00009C1F0000}"/>
    <cellStyle name="40% - uthevingsfarge 5 51 2" xfId="2047" xr:uid="{00000000-0005-0000-0000-00009D1F0000}"/>
    <cellStyle name="40% - uthevingsfarge 5 51 2 2" xfId="5878" xr:uid="{00000000-0005-0000-0000-00009E1F0000}"/>
    <cellStyle name="40% - uthevingsfarge 5 51 2 2 2" xfId="8511" xr:uid="{00000000-0005-0000-0000-00009F1F0000}"/>
    <cellStyle name="40% - uthevingsfarge 5 51 2 3" xfId="9319" xr:uid="{00000000-0005-0000-0000-0000A01F0000}"/>
    <cellStyle name="40% - uthevingsfarge 5 51 3" xfId="5157" xr:uid="{00000000-0005-0000-0000-0000A11F0000}"/>
    <cellStyle name="40% - uthevingsfarge 5 51 3 2" xfId="7810" xr:uid="{00000000-0005-0000-0000-0000A21F0000}"/>
    <cellStyle name="40% - uthevingsfarge 5 51 4" xfId="10492" xr:uid="{00000000-0005-0000-0000-0000A31F0000}"/>
    <cellStyle name="40% - uthevingsfarge 5 52" xfId="2048" xr:uid="{00000000-0005-0000-0000-0000A41F0000}"/>
    <cellStyle name="40% - uthevingsfarge 5 52 2" xfId="2049" xr:uid="{00000000-0005-0000-0000-0000A51F0000}"/>
    <cellStyle name="40% - uthevingsfarge 5 52 2 2" xfId="5879" xr:uid="{00000000-0005-0000-0000-0000A61F0000}"/>
    <cellStyle name="40% - uthevingsfarge 5 52 2 2 2" xfId="8512" xr:uid="{00000000-0005-0000-0000-0000A71F0000}"/>
    <cellStyle name="40% - uthevingsfarge 5 52 2 3" xfId="9318" xr:uid="{00000000-0005-0000-0000-0000A81F0000}"/>
    <cellStyle name="40% - uthevingsfarge 5 52 3" xfId="5158" xr:uid="{00000000-0005-0000-0000-0000A91F0000}"/>
    <cellStyle name="40% - uthevingsfarge 5 52 3 2" xfId="7811" xr:uid="{00000000-0005-0000-0000-0000AA1F0000}"/>
    <cellStyle name="40% - uthevingsfarge 5 52 4" xfId="10491" xr:uid="{00000000-0005-0000-0000-0000AB1F0000}"/>
    <cellStyle name="40% - uthevingsfarge 5 53" xfId="2050" xr:uid="{00000000-0005-0000-0000-0000AC1F0000}"/>
    <cellStyle name="40% - uthevingsfarge 5 53 2" xfId="2051" xr:uid="{00000000-0005-0000-0000-0000AD1F0000}"/>
    <cellStyle name="40% - uthevingsfarge 5 53 2 2" xfId="5880" xr:uid="{00000000-0005-0000-0000-0000AE1F0000}"/>
    <cellStyle name="40% - uthevingsfarge 5 53 2 2 2" xfId="8513" xr:uid="{00000000-0005-0000-0000-0000AF1F0000}"/>
    <cellStyle name="40% - uthevingsfarge 5 53 2 3" xfId="9317" xr:uid="{00000000-0005-0000-0000-0000B01F0000}"/>
    <cellStyle name="40% - uthevingsfarge 5 53 3" xfId="5159" xr:uid="{00000000-0005-0000-0000-0000B11F0000}"/>
    <cellStyle name="40% - uthevingsfarge 5 53 3 2" xfId="7812" xr:uid="{00000000-0005-0000-0000-0000B21F0000}"/>
    <cellStyle name="40% - uthevingsfarge 5 53 4" xfId="10490" xr:uid="{00000000-0005-0000-0000-0000B31F0000}"/>
    <cellStyle name="40% - uthevingsfarge 5 54" xfId="2052" xr:uid="{00000000-0005-0000-0000-0000B41F0000}"/>
    <cellStyle name="40% - uthevingsfarge 5 54 2" xfId="2053" xr:uid="{00000000-0005-0000-0000-0000B51F0000}"/>
    <cellStyle name="40% - uthevingsfarge 5 54 2 2" xfId="5881" xr:uid="{00000000-0005-0000-0000-0000B61F0000}"/>
    <cellStyle name="40% - uthevingsfarge 5 54 2 2 2" xfId="8514" xr:uid="{00000000-0005-0000-0000-0000B71F0000}"/>
    <cellStyle name="40% - uthevingsfarge 5 54 2 3" xfId="9316" xr:uid="{00000000-0005-0000-0000-0000B81F0000}"/>
    <cellStyle name="40% - uthevingsfarge 5 54 3" xfId="5160" xr:uid="{00000000-0005-0000-0000-0000B91F0000}"/>
    <cellStyle name="40% - uthevingsfarge 5 54 3 2" xfId="7813" xr:uid="{00000000-0005-0000-0000-0000BA1F0000}"/>
    <cellStyle name="40% - uthevingsfarge 5 54 4" xfId="10489" xr:uid="{00000000-0005-0000-0000-0000BB1F0000}"/>
    <cellStyle name="40% - uthevingsfarge 5 55" xfId="2054" xr:uid="{00000000-0005-0000-0000-0000BC1F0000}"/>
    <cellStyle name="40% - uthevingsfarge 5 55 2" xfId="2055" xr:uid="{00000000-0005-0000-0000-0000BD1F0000}"/>
    <cellStyle name="40% - uthevingsfarge 5 55 2 2" xfId="5882" xr:uid="{00000000-0005-0000-0000-0000BE1F0000}"/>
    <cellStyle name="40% - uthevingsfarge 5 55 2 2 2" xfId="8515" xr:uid="{00000000-0005-0000-0000-0000BF1F0000}"/>
    <cellStyle name="40% - uthevingsfarge 5 55 2 3" xfId="9315" xr:uid="{00000000-0005-0000-0000-0000C01F0000}"/>
    <cellStyle name="40% - uthevingsfarge 5 55 3" xfId="5161" xr:uid="{00000000-0005-0000-0000-0000C11F0000}"/>
    <cellStyle name="40% - uthevingsfarge 5 55 3 2" xfId="7814" xr:uid="{00000000-0005-0000-0000-0000C21F0000}"/>
    <cellStyle name="40% - uthevingsfarge 5 55 4" xfId="10488" xr:uid="{00000000-0005-0000-0000-0000C31F0000}"/>
    <cellStyle name="40% - uthevingsfarge 5 56" xfId="2056" xr:uid="{00000000-0005-0000-0000-0000C41F0000}"/>
    <cellStyle name="40% - uthevingsfarge 5 56 2" xfId="2057" xr:uid="{00000000-0005-0000-0000-0000C51F0000}"/>
    <cellStyle name="40% - uthevingsfarge 5 56 2 2" xfId="5883" xr:uid="{00000000-0005-0000-0000-0000C61F0000}"/>
    <cellStyle name="40% - uthevingsfarge 5 56 2 2 2" xfId="8516" xr:uid="{00000000-0005-0000-0000-0000C71F0000}"/>
    <cellStyle name="40% - uthevingsfarge 5 56 2 3" xfId="9314" xr:uid="{00000000-0005-0000-0000-0000C81F0000}"/>
    <cellStyle name="40% - uthevingsfarge 5 56 3" xfId="5162" xr:uid="{00000000-0005-0000-0000-0000C91F0000}"/>
    <cellStyle name="40% - uthevingsfarge 5 56 3 2" xfId="7815" xr:uid="{00000000-0005-0000-0000-0000CA1F0000}"/>
    <cellStyle name="40% - uthevingsfarge 5 56 4" xfId="10487" xr:uid="{00000000-0005-0000-0000-0000CB1F0000}"/>
    <cellStyle name="40% - uthevingsfarge 5 57" xfId="2058" xr:uid="{00000000-0005-0000-0000-0000CC1F0000}"/>
    <cellStyle name="40% - uthevingsfarge 5 57 2" xfId="2059" xr:uid="{00000000-0005-0000-0000-0000CD1F0000}"/>
    <cellStyle name="40% - uthevingsfarge 5 57 2 2" xfId="5884" xr:uid="{00000000-0005-0000-0000-0000CE1F0000}"/>
    <cellStyle name="40% - uthevingsfarge 5 57 2 2 2" xfId="8517" xr:uid="{00000000-0005-0000-0000-0000CF1F0000}"/>
    <cellStyle name="40% - uthevingsfarge 5 57 2 3" xfId="9313" xr:uid="{00000000-0005-0000-0000-0000D01F0000}"/>
    <cellStyle name="40% - uthevingsfarge 5 57 3" xfId="5163" xr:uid="{00000000-0005-0000-0000-0000D11F0000}"/>
    <cellStyle name="40% - uthevingsfarge 5 57 3 2" xfId="7816" xr:uid="{00000000-0005-0000-0000-0000D21F0000}"/>
    <cellStyle name="40% - uthevingsfarge 5 57 4" xfId="10486" xr:uid="{00000000-0005-0000-0000-0000D31F0000}"/>
    <cellStyle name="40% - uthevingsfarge 5 58" xfId="2060" xr:uid="{00000000-0005-0000-0000-0000D41F0000}"/>
    <cellStyle name="40% - uthevingsfarge 5 58 2" xfId="2061" xr:uid="{00000000-0005-0000-0000-0000D51F0000}"/>
    <cellStyle name="40% - uthevingsfarge 5 58 2 2" xfId="5885" xr:uid="{00000000-0005-0000-0000-0000D61F0000}"/>
    <cellStyle name="40% - uthevingsfarge 5 58 2 2 2" xfId="8518" xr:uid="{00000000-0005-0000-0000-0000D71F0000}"/>
    <cellStyle name="40% - uthevingsfarge 5 58 2 3" xfId="9312" xr:uid="{00000000-0005-0000-0000-0000D81F0000}"/>
    <cellStyle name="40% - uthevingsfarge 5 58 3" xfId="5164" xr:uid="{00000000-0005-0000-0000-0000D91F0000}"/>
    <cellStyle name="40% - uthevingsfarge 5 58 3 2" xfId="7817" xr:uid="{00000000-0005-0000-0000-0000DA1F0000}"/>
    <cellStyle name="40% - uthevingsfarge 5 58 4" xfId="10485" xr:uid="{00000000-0005-0000-0000-0000DB1F0000}"/>
    <cellStyle name="40% - uthevingsfarge 5 59" xfId="2062" xr:uid="{00000000-0005-0000-0000-0000DC1F0000}"/>
    <cellStyle name="40% - uthevingsfarge 5 59 2" xfId="2063" xr:uid="{00000000-0005-0000-0000-0000DD1F0000}"/>
    <cellStyle name="40% - uthevingsfarge 5 59 2 2" xfId="5886" xr:uid="{00000000-0005-0000-0000-0000DE1F0000}"/>
    <cellStyle name="40% - uthevingsfarge 5 59 2 2 2" xfId="8519" xr:uid="{00000000-0005-0000-0000-0000DF1F0000}"/>
    <cellStyle name="40% - uthevingsfarge 5 59 2 3" xfId="9311" xr:uid="{00000000-0005-0000-0000-0000E01F0000}"/>
    <cellStyle name="40% - uthevingsfarge 5 59 3" xfId="5165" xr:uid="{00000000-0005-0000-0000-0000E11F0000}"/>
    <cellStyle name="40% - uthevingsfarge 5 59 3 2" xfId="7818" xr:uid="{00000000-0005-0000-0000-0000E21F0000}"/>
    <cellStyle name="40% - uthevingsfarge 5 59 4" xfId="10484" xr:uid="{00000000-0005-0000-0000-0000E31F0000}"/>
    <cellStyle name="40% - uthevingsfarge 5 6" xfId="2064" xr:uid="{00000000-0005-0000-0000-0000E41F0000}"/>
    <cellStyle name="40% - uthevingsfarge 5 6 2" xfId="2065" xr:uid="{00000000-0005-0000-0000-0000E51F0000}"/>
    <cellStyle name="40% - uthevingsfarge 5 6 2 2" xfId="5887" xr:uid="{00000000-0005-0000-0000-0000E61F0000}"/>
    <cellStyle name="40% - uthevingsfarge 5 6 2 2 2" xfId="8520" xr:uid="{00000000-0005-0000-0000-0000E71F0000}"/>
    <cellStyle name="40% - uthevingsfarge 5 6 2 3" xfId="9310" xr:uid="{00000000-0005-0000-0000-0000E81F0000}"/>
    <cellStyle name="40% - uthevingsfarge 5 6 3" xfId="5166" xr:uid="{00000000-0005-0000-0000-0000E91F0000}"/>
    <cellStyle name="40% - uthevingsfarge 5 6 3 2" xfId="7819" xr:uid="{00000000-0005-0000-0000-0000EA1F0000}"/>
    <cellStyle name="40% - uthevingsfarge 5 6 4" xfId="10483" xr:uid="{00000000-0005-0000-0000-0000EB1F0000}"/>
    <cellStyle name="40% - uthevingsfarge 5 60" xfId="2066" xr:uid="{00000000-0005-0000-0000-0000EC1F0000}"/>
    <cellStyle name="40% - uthevingsfarge 5 60 2" xfId="2067" xr:uid="{00000000-0005-0000-0000-0000ED1F0000}"/>
    <cellStyle name="40% - uthevingsfarge 5 60 3" xfId="10112" xr:uid="{00000000-0005-0000-0000-0000EE1F0000}"/>
    <cellStyle name="40% - uthevingsfarge 5 61" xfId="2068" xr:uid="{00000000-0005-0000-0000-0000EF1F0000}"/>
    <cellStyle name="40% - uthevingsfarge 5 61 2" xfId="2069" xr:uid="{00000000-0005-0000-0000-0000F01F0000}"/>
    <cellStyle name="40% - uthevingsfarge 5 62" xfId="2070" xr:uid="{00000000-0005-0000-0000-0000F11F0000}"/>
    <cellStyle name="40% - uthevingsfarge 5 62 2" xfId="2071" xr:uid="{00000000-0005-0000-0000-0000F21F0000}"/>
    <cellStyle name="40% - uthevingsfarge 5 63" xfId="2072" xr:uid="{00000000-0005-0000-0000-0000F31F0000}"/>
    <cellStyle name="40% - uthevingsfarge 5 63 2" xfId="2073" xr:uid="{00000000-0005-0000-0000-0000F41F0000}"/>
    <cellStyle name="40% - uthevingsfarge 5 64" xfId="2074" xr:uid="{00000000-0005-0000-0000-0000F51F0000}"/>
    <cellStyle name="40% - uthevingsfarge 5 64 2" xfId="2075" xr:uid="{00000000-0005-0000-0000-0000F61F0000}"/>
    <cellStyle name="40% - uthevingsfarge 5 65" xfId="2076" xr:uid="{00000000-0005-0000-0000-0000F71F0000}"/>
    <cellStyle name="40% - uthevingsfarge 5 65 2" xfId="2077" xr:uid="{00000000-0005-0000-0000-0000F81F0000}"/>
    <cellStyle name="40% - uthevingsfarge 5 66" xfId="2078" xr:uid="{00000000-0005-0000-0000-0000F91F0000}"/>
    <cellStyle name="40% - uthevingsfarge 5 66 2" xfId="2079" xr:uid="{00000000-0005-0000-0000-0000FA1F0000}"/>
    <cellStyle name="40% - uthevingsfarge 5 67" xfId="2080" xr:uid="{00000000-0005-0000-0000-0000FB1F0000}"/>
    <cellStyle name="40% - uthevingsfarge 5 67 2" xfId="2081" xr:uid="{00000000-0005-0000-0000-0000FC1F0000}"/>
    <cellStyle name="40% - uthevingsfarge 5 68" xfId="2082" xr:uid="{00000000-0005-0000-0000-0000FD1F0000}"/>
    <cellStyle name="40% - uthevingsfarge 5 68 2" xfId="2083" xr:uid="{00000000-0005-0000-0000-0000FE1F0000}"/>
    <cellStyle name="40% - uthevingsfarge 5 69" xfId="2084" xr:uid="{00000000-0005-0000-0000-0000FF1F0000}"/>
    <cellStyle name="40% - uthevingsfarge 5 69 2" xfId="2085" xr:uid="{00000000-0005-0000-0000-000000200000}"/>
    <cellStyle name="40% - uthevingsfarge 5 7" xfId="2086" xr:uid="{00000000-0005-0000-0000-000001200000}"/>
    <cellStyle name="40% - uthevingsfarge 5 7 2" xfId="2087" xr:uid="{00000000-0005-0000-0000-000002200000}"/>
    <cellStyle name="40% - uthevingsfarge 5 7 2 2" xfId="5888" xr:uid="{00000000-0005-0000-0000-000003200000}"/>
    <cellStyle name="40% - uthevingsfarge 5 7 2 2 2" xfId="8521" xr:uid="{00000000-0005-0000-0000-000004200000}"/>
    <cellStyle name="40% - uthevingsfarge 5 7 2 3" xfId="9309" xr:uid="{00000000-0005-0000-0000-000005200000}"/>
    <cellStyle name="40% - uthevingsfarge 5 7 3" xfId="5167" xr:uid="{00000000-0005-0000-0000-000006200000}"/>
    <cellStyle name="40% - uthevingsfarge 5 7 3 2" xfId="7820" xr:uid="{00000000-0005-0000-0000-000007200000}"/>
    <cellStyle name="40% - uthevingsfarge 5 7 4" xfId="10111" xr:uid="{00000000-0005-0000-0000-000008200000}"/>
    <cellStyle name="40% - uthevingsfarge 5 70" xfId="2088" xr:uid="{00000000-0005-0000-0000-000009200000}"/>
    <cellStyle name="40% - uthevingsfarge 5 70 2" xfId="2089" xr:uid="{00000000-0005-0000-0000-00000A200000}"/>
    <cellStyle name="40% - uthevingsfarge 5 71" xfId="2090" xr:uid="{00000000-0005-0000-0000-00000B200000}"/>
    <cellStyle name="40% - uthevingsfarge 5 71 2" xfId="2091" xr:uid="{00000000-0005-0000-0000-00000C200000}"/>
    <cellStyle name="40% - uthevingsfarge 5 72" xfId="2092" xr:uid="{00000000-0005-0000-0000-00000D200000}"/>
    <cellStyle name="40% - uthevingsfarge 5 72 2" xfId="2093" xr:uid="{00000000-0005-0000-0000-00000E200000}"/>
    <cellStyle name="40% - uthevingsfarge 5 73" xfId="2094" xr:uid="{00000000-0005-0000-0000-00000F200000}"/>
    <cellStyle name="40% - uthevingsfarge 5 73 2" xfId="2095" xr:uid="{00000000-0005-0000-0000-000010200000}"/>
    <cellStyle name="40% - uthevingsfarge 5 74" xfId="2096" xr:uid="{00000000-0005-0000-0000-000011200000}"/>
    <cellStyle name="40% - uthevingsfarge 5 74 2" xfId="2097" xr:uid="{00000000-0005-0000-0000-000012200000}"/>
    <cellStyle name="40% - uthevingsfarge 5 75" xfId="2098" xr:uid="{00000000-0005-0000-0000-000013200000}"/>
    <cellStyle name="40% - uthevingsfarge 5 75 2" xfId="2099" xr:uid="{00000000-0005-0000-0000-000014200000}"/>
    <cellStyle name="40% - uthevingsfarge 5 76" xfId="2100" xr:uid="{00000000-0005-0000-0000-000015200000}"/>
    <cellStyle name="40% - uthevingsfarge 5 76 2" xfId="2101" xr:uid="{00000000-0005-0000-0000-000016200000}"/>
    <cellStyle name="40% - uthevingsfarge 5 77" xfId="2102" xr:uid="{00000000-0005-0000-0000-000017200000}"/>
    <cellStyle name="40% - uthevingsfarge 5 78" xfId="2103" xr:uid="{00000000-0005-0000-0000-000018200000}"/>
    <cellStyle name="40% - uthevingsfarge 5 79" xfId="2104" xr:uid="{00000000-0005-0000-0000-000019200000}"/>
    <cellStyle name="40% - uthevingsfarge 5 8" xfId="2105" xr:uid="{00000000-0005-0000-0000-00001A200000}"/>
    <cellStyle name="40% - uthevingsfarge 5 8 2" xfId="2106" xr:uid="{00000000-0005-0000-0000-00001B200000}"/>
    <cellStyle name="40% - uthevingsfarge 5 8 2 2" xfId="5889" xr:uid="{00000000-0005-0000-0000-00001C200000}"/>
    <cellStyle name="40% - uthevingsfarge 5 8 2 2 2" xfId="8522" xr:uid="{00000000-0005-0000-0000-00001D200000}"/>
    <cellStyle name="40% - uthevingsfarge 5 8 2 3" xfId="9308" xr:uid="{00000000-0005-0000-0000-00001E200000}"/>
    <cellStyle name="40% - uthevingsfarge 5 8 3" xfId="5168" xr:uid="{00000000-0005-0000-0000-00001F200000}"/>
    <cellStyle name="40% - uthevingsfarge 5 8 3 2" xfId="7821" xr:uid="{00000000-0005-0000-0000-000020200000}"/>
    <cellStyle name="40% - uthevingsfarge 5 8 4" xfId="10110" xr:uid="{00000000-0005-0000-0000-000021200000}"/>
    <cellStyle name="40% - uthevingsfarge 5 80" xfId="2107" xr:uid="{00000000-0005-0000-0000-000022200000}"/>
    <cellStyle name="40% - uthevingsfarge 5 81" xfId="2108" xr:uid="{00000000-0005-0000-0000-000023200000}"/>
    <cellStyle name="40% - uthevingsfarge 5 82" xfId="2109" xr:uid="{00000000-0005-0000-0000-000024200000}"/>
    <cellStyle name="40% - uthevingsfarge 5 83" xfId="2110" xr:uid="{00000000-0005-0000-0000-000025200000}"/>
    <cellStyle name="40% - uthevingsfarge 5 84" xfId="2111" xr:uid="{00000000-0005-0000-0000-000026200000}"/>
    <cellStyle name="40% - uthevingsfarge 5 85" xfId="2112" xr:uid="{00000000-0005-0000-0000-000027200000}"/>
    <cellStyle name="40% - uthevingsfarge 5 86" xfId="2113" xr:uid="{00000000-0005-0000-0000-000028200000}"/>
    <cellStyle name="40% - uthevingsfarge 5 87" xfId="2114" xr:uid="{00000000-0005-0000-0000-000029200000}"/>
    <cellStyle name="40% - uthevingsfarge 5 88" xfId="2115" xr:uid="{00000000-0005-0000-0000-00002A200000}"/>
    <cellStyle name="40% - uthevingsfarge 5 89" xfId="2116" xr:uid="{00000000-0005-0000-0000-00002B200000}"/>
    <cellStyle name="40% - uthevingsfarge 5 9" xfId="2117" xr:uid="{00000000-0005-0000-0000-00002C200000}"/>
    <cellStyle name="40% - uthevingsfarge 5 9 2" xfId="2118" xr:uid="{00000000-0005-0000-0000-00002D200000}"/>
    <cellStyle name="40% - uthevingsfarge 5 9 2 2" xfId="5890" xr:uid="{00000000-0005-0000-0000-00002E200000}"/>
    <cellStyle name="40% - uthevingsfarge 5 9 2 2 2" xfId="8523" xr:uid="{00000000-0005-0000-0000-00002F200000}"/>
    <cellStyle name="40% - uthevingsfarge 5 9 2 3" xfId="9307" xr:uid="{00000000-0005-0000-0000-000030200000}"/>
    <cellStyle name="40% - uthevingsfarge 5 9 3" xfId="5169" xr:uid="{00000000-0005-0000-0000-000031200000}"/>
    <cellStyle name="40% - uthevingsfarge 5 9 3 2" xfId="7822" xr:uid="{00000000-0005-0000-0000-000032200000}"/>
    <cellStyle name="40% - uthevingsfarge 5 9 4" xfId="10109" xr:uid="{00000000-0005-0000-0000-000033200000}"/>
    <cellStyle name="40% - uthevingsfarge 5 90" xfId="2119" xr:uid="{00000000-0005-0000-0000-000034200000}"/>
    <cellStyle name="40% - uthevingsfarge 5 90 2" xfId="2939" xr:uid="{00000000-0005-0000-0000-000035200000}"/>
    <cellStyle name="40% - uthevingsfarge 5 90 2 2" xfId="3439" xr:uid="{00000000-0005-0000-0000-000036200000}"/>
    <cellStyle name="40% - uthevingsfarge 5 90 2 2 2" xfId="7024" xr:uid="{00000000-0005-0000-0000-000037200000}"/>
    <cellStyle name="40% - uthevingsfarge 5 90 2 3" xfId="3704" xr:uid="{00000000-0005-0000-0000-000038200000}"/>
    <cellStyle name="40% - uthevingsfarge 5 90 2 4" xfId="6512" xr:uid="{00000000-0005-0000-0000-000039200000}"/>
    <cellStyle name="40% - uthevingsfarge 5 90 2 5" xfId="9024" xr:uid="{00000000-0005-0000-0000-00003A200000}"/>
    <cellStyle name="40% - uthevingsfarge 5 90 3" xfId="3438" xr:uid="{00000000-0005-0000-0000-00003B200000}"/>
    <cellStyle name="40% - uthevingsfarge 5 90 3 2" xfId="7023" xr:uid="{00000000-0005-0000-0000-00003C200000}"/>
    <cellStyle name="40% - uthevingsfarge 5 90 4" xfId="3808" xr:uid="{00000000-0005-0000-0000-00003D200000}"/>
    <cellStyle name="40% - uthevingsfarge 5 90 5" xfId="6227" xr:uid="{00000000-0005-0000-0000-00003E200000}"/>
    <cellStyle name="40% - uthevingsfarge 5 90 6" xfId="9023" xr:uid="{00000000-0005-0000-0000-00003F200000}"/>
    <cellStyle name="40% - uthevingsfarge 5 91" xfId="2120" xr:uid="{00000000-0005-0000-0000-000040200000}"/>
    <cellStyle name="40% - uthevingsfarge 5 91 2" xfId="2940" xr:uid="{00000000-0005-0000-0000-000041200000}"/>
    <cellStyle name="40% - uthevingsfarge 5 91 2 2" xfId="3441" xr:uid="{00000000-0005-0000-0000-000042200000}"/>
    <cellStyle name="40% - uthevingsfarge 5 91 2 2 2" xfId="7026" xr:uid="{00000000-0005-0000-0000-000043200000}"/>
    <cellStyle name="40% - uthevingsfarge 5 91 2 3" xfId="4082" xr:uid="{00000000-0005-0000-0000-000044200000}"/>
    <cellStyle name="40% - uthevingsfarge 5 91 2 4" xfId="6513" xr:uid="{00000000-0005-0000-0000-000045200000}"/>
    <cellStyle name="40% - uthevingsfarge 5 91 2 5" xfId="9026" xr:uid="{00000000-0005-0000-0000-000046200000}"/>
    <cellStyle name="40% - uthevingsfarge 5 91 3" xfId="3440" xr:uid="{00000000-0005-0000-0000-000047200000}"/>
    <cellStyle name="40% - uthevingsfarge 5 91 3 2" xfId="7025" xr:uid="{00000000-0005-0000-0000-000048200000}"/>
    <cellStyle name="40% - uthevingsfarge 5 91 4" xfId="3807" xr:uid="{00000000-0005-0000-0000-000049200000}"/>
    <cellStyle name="40% - uthevingsfarge 5 91 5" xfId="6228" xr:uid="{00000000-0005-0000-0000-00004A200000}"/>
    <cellStyle name="40% - uthevingsfarge 5 91 6" xfId="9025" xr:uid="{00000000-0005-0000-0000-00004B200000}"/>
    <cellStyle name="40% - uthevingsfarge 5 92" xfId="2121" xr:uid="{00000000-0005-0000-0000-00004C200000}"/>
    <cellStyle name="40% - uthevingsfarge 5 92 2" xfId="2941" xr:uid="{00000000-0005-0000-0000-00004D200000}"/>
    <cellStyle name="40% - uthevingsfarge 5 92 2 2" xfId="3443" xr:uid="{00000000-0005-0000-0000-00004E200000}"/>
    <cellStyle name="40% - uthevingsfarge 5 92 2 2 2" xfId="7028" xr:uid="{00000000-0005-0000-0000-00004F200000}"/>
    <cellStyle name="40% - uthevingsfarge 5 92 2 3" xfId="4083" xr:uid="{00000000-0005-0000-0000-000050200000}"/>
    <cellStyle name="40% - uthevingsfarge 5 92 2 4" xfId="6514" xr:uid="{00000000-0005-0000-0000-000051200000}"/>
    <cellStyle name="40% - uthevingsfarge 5 92 2 5" xfId="9028" xr:uid="{00000000-0005-0000-0000-000052200000}"/>
    <cellStyle name="40% - uthevingsfarge 5 92 3" xfId="3442" xr:uid="{00000000-0005-0000-0000-000053200000}"/>
    <cellStyle name="40% - uthevingsfarge 5 92 3 2" xfId="7027" xr:uid="{00000000-0005-0000-0000-000054200000}"/>
    <cellStyle name="40% - uthevingsfarge 5 92 4" xfId="3806" xr:uid="{00000000-0005-0000-0000-000055200000}"/>
    <cellStyle name="40% - uthevingsfarge 5 92 5" xfId="6229" xr:uid="{00000000-0005-0000-0000-000056200000}"/>
    <cellStyle name="40% - uthevingsfarge 5 92 6" xfId="9027" xr:uid="{00000000-0005-0000-0000-000057200000}"/>
    <cellStyle name="40% - uthevingsfarge 5 93" xfId="2122" xr:uid="{00000000-0005-0000-0000-000058200000}"/>
    <cellStyle name="40% - uthevingsfarge 5 93 2" xfId="2942" xr:uid="{00000000-0005-0000-0000-000059200000}"/>
    <cellStyle name="40% - uthevingsfarge 5 93 2 2" xfId="3445" xr:uid="{00000000-0005-0000-0000-00005A200000}"/>
    <cellStyle name="40% - uthevingsfarge 5 93 2 2 2" xfId="7030" xr:uid="{00000000-0005-0000-0000-00005B200000}"/>
    <cellStyle name="40% - uthevingsfarge 5 93 2 3" xfId="4015" xr:uid="{00000000-0005-0000-0000-00005C200000}"/>
    <cellStyle name="40% - uthevingsfarge 5 93 2 4" xfId="6515" xr:uid="{00000000-0005-0000-0000-00005D200000}"/>
    <cellStyle name="40% - uthevingsfarge 5 93 2 5" xfId="9030" xr:uid="{00000000-0005-0000-0000-00005E200000}"/>
    <cellStyle name="40% - uthevingsfarge 5 93 3" xfId="3444" xr:uid="{00000000-0005-0000-0000-00005F200000}"/>
    <cellStyle name="40% - uthevingsfarge 5 93 3 2" xfId="7029" xr:uid="{00000000-0005-0000-0000-000060200000}"/>
    <cellStyle name="40% - uthevingsfarge 5 93 4" xfId="3805" xr:uid="{00000000-0005-0000-0000-000061200000}"/>
    <cellStyle name="40% - uthevingsfarge 5 93 5" xfId="6230" xr:uid="{00000000-0005-0000-0000-000062200000}"/>
    <cellStyle name="40% - uthevingsfarge 5 93 6" xfId="9029" xr:uid="{00000000-0005-0000-0000-000063200000}"/>
    <cellStyle name="40% - uthevingsfarge 5 94" xfId="2123" xr:uid="{00000000-0005-0000-0000-000064200000}"/>
    <cellStyle name="40% - uthevingsfarge 5 94 2" xfId="2943" xr:uid="{00000000-0005-0000-0000-000065200000}"/>
    <cellStyle name="40% - uthevingsfarge 5 94 2 2" xfId="3447" xr:uid="{00000000-0005-0000-0000-000066200000}"/>
    <cellStyle name="40% - uthevingsfarge 5 94 2 2 2" xfId="7032" xr:uid="{00000000-0005-0000-0000-000067200000}"/>
    <cellStyle name="40% - uthevingsfarge 5 94 2 3" xfId="3703" xr:uid="{00000000-0005-0000-0000-000068200000}"/>
    <cellStyle name="40% - uthevingsfarge 5 94 2 4" xfId="6516" xr:uid="{00000000-0005-0000-0000-000069200000}"/>
    <cellStyle name="40% - uthevingsfarge 5 94 2 5" xfId="9032" xr:uid="{00000000-0005-0000-0000-00006A200000}"/>
    <cellStyle name="40% - uthevingsfarge 5 94 3" xfId="3446" xr:uid="{00000000-0005-0000-0000-00006B200000}"/>
    <cellStyle name="40% - uthevingsfarge 5 94 3 2" xfId="7031" xr:uid="{00000000-0005-0000-0000-00006C200000}"/>
    <cellStyle name="40% - uthevingsfarge 5 94 4" xfId="3804" xr:uid="{00000000-0005-0000-0000-00006D200000}"/>
    <cellStyle name="40% - uthevingsfarge 5 94 5" xfId="6231" xr:uid="{00000000-0005-0000-0000-00006E200000}"/>
    <cellStyle name="40% - uthevingsfarge 5 94 6" xfId="9031" xr:uid="{00000000-0005-0000-0000-00006F200000}"/>
    <cellStyle name="40% - uthevingsfarge 5 95" xfId="2124" xr:uid="{00000000-0005-0000-0000-000070200000}"/>
    <cellStyle name="40% - uthevingsfarge 5 95 2" xfId="2944" xr:uid="{00000000-0005-0000-0000-000071200000}"/>
    <cellStyle name="40% - uthevingsfarge 5 95 2 2" xfId="3449" xr:uid="{00000000-0005-0000-0000-000072200000}"/>
    <cellStyle name="40% - uthevingsfarge 5 95 2 2 2" xfId="7034" xr:uid="{00000000-0005-0000-0000-000073200000}"/>
    <cellStyle name="40% - uthevingsfarge 5 95 2 3" xfId="4080" xr:uid="{00000000-0005-0000-0000-000074200000}"/>
    <cellStyle name="40% - uthevingsfarge 5 95 2 4" xfId="6517" xr:uid="{00000000-0005-0000-0000-000075200000}"/>
    <cellStyle name="40% - uthevingsfarge 5 95 2 5" xfId="9034" xr:uid="{00000000-0005-0000-0000-000076200000}"/>
    <cellStyle name="40% - uthevingsfarge 5 95 3" xfId="3448" xr:uid="{00000000-0005-0000-0000-000077200000}"/>
    <cellStyle name="40% - uthevingsfarge 5 95 3 2" xfId="7033" xr:uid="{00000000-0005-0000-0000-000078200000}"/>
    <cellStyle name="40% - uthevingsfarge 5 95 4" xfId="3803" xr:uid="{00000000-0005-0000-0000-000079200000}"/>
    <cellStyle name="40% - uthevingsfarge 5 95 5" xfId="6232" xr:uid="{00000000-0005-0000-0000-00007A200000}"/>
    <cellStyle name="40% - uthevingsfarge 5 95 6" xfId="9033" xr:uid="{00000000-0005-0000-0000-00007B200000}"/>
    <cellStyle name="40% - uthevingsfarge 5 96" xfId="2125" xr:uid="{00000000-0005-0000-0000-00007C200000}"/>
    <cellStyle name="40% - uthevingsfarge 5 96 2" xfId="2945" xr:uid="{00000000-0005-0000-0000-00007D200000}"/>
    <cellStyle name="40% - uthevingsfarge 5 96 2 2" xfId="3451" xr:uid="{00000000-0005-0000-0000-00007E200000}"/>
    <cellStyle name="40% - uthevingsfarge 5 96 2 2 2" xfId="7036" xr:uid="{00000000-0005-0000-0000-00007F200000}"/>
    <cellStyle name="40% - uthevingsfarge 5 96 2 3" xfId="4081" xr:uid="{00000000-0005-0000-0000-000080200000}"/>
    <cellStyle name="40% - uthevingsfarge 5 96 2 4" xfId="6518" xr:uid="{00000000-0005-0000-0000-000081200000}"/>
    <cellStyle name="40% - uthevingsfarge 5 96 2 5" xfId="9036" xr:uid="{00000000-0005-0000-0000-000082200000}"/>
    <cellStyle name="40% - uthevingsfarge 5 96 3" xfId="3450" xr:uid="{00000000-0005-0000-0000-000083200000}"/>
    <cellStyle name="40% - uthevingsfarge 5 96 3 2" xfId="7035" xr:uid="{00000000-0005-0000-0000-000084200000}"/>
    <cellStyle name="40% - uthevingsfarge 5 96 4" xfId="3802" xr:uid="{00000000-0005-0000-0000-000085200000}"/>
    <cellStyle name="40% - uthevingsfarge 5 96 5" xfId="6233" xr:uid="{00000000-0005-0000-0000-000086200000}"/>
    <cellStyle name="40% - uthevingsfarge 5 96 6" xfId="9035" xr:uid="{00000000-0005-0000-0000-000087200000}"/>
    <cellStyle name="40% - uthevingsfarge 5 97" xfId="2126" xr:uid="{00000000-0005-0000-0000-000088200000}"/>
    <cellStyle name="40% - uthevingsfarge 5 97 2" xfId="2946" xr:uid="{00000000-0005-0000-0000-000089200000}"/>
    <cellStyle name="40% - uthevingsfarge 5 97 2 2" xfId="3453" xr:uid="{00000000-0005-0000-0000-00008A200000}"/>
    <cellStyle name="40% - uthevingsfarge 5 97 2 2 2" xfId="7038" xr:uid="{00000000-0005-0000-0000-00008B200000}"/>
    <cellStyle name="40% - uthevingsfarge 5 97 2 3" xfId="3999" xr:uid="{00000000-0005-0000-0000-00008C200000}"/>
    <cellStyle name="40% - uthevingsfarge 5 97 2 4" xfId="6519" xr:uid="{00000000-0005-0000-0000-00008D200000}"/>
    <cellStyle name="40% - uthevingsfarge 5 97 2 5" xfId="9038" xr:uid="{00000000-0005-0000-0000-00008E200000}"/>
    <cellStyle name="40% - uthevingsfarge 5 97 3" xfId="3452" xr:uid="{00000000-0005-0000-0000-00008F200000}"/>
    <cellStyle name="40% - uthevingsfarge 5 97 3 2" xfId="7037" xr:uid="{00000000-0005-0000-0000-000090200000}"/>
    <cellStyle name="40% - uthevingsfarge 5 97 4" xfId="3801" xr:uid="{00000000-0005-0000-0000-000091200000}"/>
    <cellStyle name="40% - uthevingsfarge 5 97 5" xfId="6234" xr:uid="{00000000-0005-0000-0000-000092200000}"/>
    <cellStyle name="40% - uthevingsfarge 5 97 6" xfId="9037" xr:uid="{00000000-0005-0000-0000-000093200000}"/>
    <cellStyle name="40% - uthevingsfarge 5 98" xfId="2127" xr:uid="{00000000-0005-0000-0000-000094200000}"/>
    <cellStyle name="40% - uthevingsfarge 5 98 2" xfId="2947" xr:uid="{00000000-0005-0000-0000-000095200000}"/>
    <cellStyle name="40% - uthevingsfarge 5 98 2 2" xfId="3455" xr:uid="{00000000-0005-0000-0000-000096200000}"/>
    <cellStyle name="40% - uthevingsfarge 5 98 2 2 2" xfId="7040" xr:uid="{00000000-0005-0000-0000-000097200000}"/>
    <cellStyle name="40% - uthevingsfarge 5 98 2 3" xfId="4014" xr:uid="{00000000-0005-0000-0000-000098200000}"/>
    <cellStyle name="40% - uthevingsfarge 5 98 2 4" xfId="6520" xr:uid="{00000000-0005-0000-0000-000099200000}"/>
    <cellStyle name="40% - uthevingsfarge 5 98 2 5" xfId="9040" xr:uid="{00000000-0005-0000-0000-00009A200000}"/>
    <cellStyle name="40% - uthevingsfarge 5 98 3" xfId="3454" xr:uid="{00000000-0005-0000-0000-00009B200000}"/>
    <cellStyle name="40% - uthevingsfarge 5 98 3 2" xfId="7039" xr:uid="{00000000-0005-0000-0000-00009C200000}"/>
    <cellStyle name="40% - uthevingsfarge 5 98 4" xfId="3800" xr:uid="{00000000-0005-0000-0000-00009D200000}"/>
    <cellStyle name="40% - uthevingsfarge 5 98 5" xfId="6235" xr:uid="{00000000-0005-0000-0000-00009E200000}"/>
    <cellStyle name="40% - uthevingsfarge 5 98 6" xfId="9039" xr:uid="{00000000-0005-0000-0000-00009F200000}"/>
    <cellStyle name="40% - uthevingsfarge 5 99" xfId="2128" xr:uid="{00000000-0005-0000-0000-0000A0200000}"/>
    <cellStyle name="40% - uthevingsfarge 5 99 2" xfId="2948" xr:uid="{00000000-0005-0000-0000-0000A1200000}"/>
    <cellStyle name="40% - uthevingsfarge 5 99 2 2" xfId="3457" xr:uid="{00000000-0005-0000-0000-0000A2200000}"/>
    <cellStyle name="40% - uthevingsfarge 5 99 2 2 2" xfId="7042" xr:uid="{00000000-0005-0000-0000-0000A3200000}"/>
    <cellStyle name="40% - uthevingsfarge 5 99 2 3" xfId="3702" xr:uid="{00000000-0005-0000-0000-0000A4200000}"/>
    <cellStyle name="40% - uthevingsfarge 5 99 2 4" xfId="6521" xr:uid="{00000000-0005-0000-0000-0000A5200000}"/>
    <cellStyle name="40% - uthevingsfarge 5 99 2 5" xfId="9042" xr:uid="{00000000-0005-0000-0000-0000A6200000}"/>
    <cellStyle name="40% - uthevingsfarge 5 99 3" xfId="3456" xr:uid="{00000000-0005-0000-0000-0000A7200000}"/>
    <cellStyle name="40% - uthevingsfarge 5 99 3 2" xfId="7041" xr:uid="{00000000-0005-0000-0000-0000A8200000}"/>
    <cellStyle name="40% - uthevingsfarge 5 99 4" xfId="3799" xr:uid="{00000000-0005-0000-0000-0000A9200000}"/>
    <cellStyle name="40% - uthevingsfarge 5 99 5" xfId="6236" xr:uid="{00000000-0005-0000-0000-0000AA200000}"/>
    <cellStyle name="40% - uthevingsfarge 5 99 6" xfId="9041" xr:uid="{00000000-0005-0000-0000-0000AB200000}"/>
    <cellStyle name="40% - uthevingsfarge 6 10" xfId="2129" xr:uid="{00000000-0005-0000-0000-0000AC200000}"/>
    <cellStyle name="40% - uthevingsfarge 6 10 2" xfId="2130" xr:uid="{00000000-0005-0000-0000-0000AD200000}"/>
    <cellStyle name="40% - uthevingsfarge 6 10 2 2" xfId="5891" xr:uid="{00000000-0005-0000-0000-0000AE200000}"/>
    <cellStyle name="40% - uthevingsfarge 6 10 2 2 2" xfId="8524" xr:uid="{00000000-0005-0000-0000-0000AF200000}"/>
    <cellStyle name="40% - uthevingsfarge 6 10 2 3" xfId="9205" xr:uid="{00000000-0005-0000-0000-0000B0200000}"/>
    <cellStyle name="40% - uthevingsfarge 6 10 3" xfId="5170" xr:uid="{00000000-0005-0000-0000-0000B1200000}"/>
    <cellStyle name="40% - uthevingsfarge 6 10 3 2" xfId="7823" xr:uid="{00000000-0005-0000-0000-0000B2200000}"/>
    <cellStyle name="40% - uthevingsfarge 6 10 4" xfId="10108" xr:uid="{00000000-0005-0000-0000-0000B3200000}"/>
    <cellStyle name="40% - uthevingsfarge 6 100" xfId="2131" xr:uid="{00000000-0005-0000-0000-0000B4200000}"/>
    <cellStyle name="40% - uthevingsfarge 6 100 2" xfId="2949" xr:uid="{00000000-0005-0000-0000-0000B5200000}"/>
    <cellStyle name="40% - uthevingsfarge 6 100 2 2" xfId="3459" xr:uid="{00000000-0005-0000-0000-0000B6200000}"/>
    <cellStyle name="40% - uthevingsfarge 6 100 2 2 2" xfId="7044" xr:uid="{00000000-0005-0000-0000-0000B7200000}"/>
    <cellStyle name="40% - uthevingsfarge 6 100 2 3" xfId="4078" xr:uid="{00000000-0005-0000-0000-0000B8200000}"/>
    <cellStyle name="40% - uthevingsfarge 6 100 2 4" xfId="6522" xr:uid="{00000000-0005-0000-0000-0000B9200000}"/>
    <cellStyle name="40% - uthevingsfarge 6 100 2 5" xfId="9044" xr:uid="{00000000-0005-0000-0000-0000BA200000}"/>
    <cellStyle name="40% - uthevingsfarge 6 100 3" xfId="3458" xr:uid="{00000000-0005-0000-0000-0000BB200000}"/>
    <cellStyle name="40% - uthevingsfarge 6 100 3 2" xfId="7043" xr:uid="{00000000-0005-0000-0000-0000BC200000}"/>
    <cellStyle name="40% - uthevingsfarge 6 100 4" xfId="3798" xr:uid="{00000000-0005-0000-0000-0000BD200000}"/>
    <cellStyle name="40% - uthevingsfarge 6 100 5" xfId="6237" xr:uid="{00000000-0005-0000-0000-0000BE200000}"/>
    <cellStyle name="40% - uthevingsfarge 6 100 6" xfId="9043" xr:uid="{00000000-0005-0000-0000-0000BF200000}"/>
    <cellStyle name="40% - uthevingsfarge 6 101" xfId="2132" xr:uid="{00000000-0005-0000-0000-0000C0200000}"/>
    <cellStyle name="40% - uthevingsfarge 6 101 2" xfId="2950" xr:uid="{00000000-0005-0000-0000-0000C1200000}"/>
    <cellStyle name="40% - uthevingsfarge 6 101 2 2" xfId="3461" xr:uid="{00000000-0005-0000-0000-0000C2200000}"/>
    <cellStyle name="40% - uthevingsfarge 6 101 2 2 2" xfId="7046" xr:uid="{00000000-0005-0000-0000-0000C3200000}"/>
    <cellStyle name="40% - uthevingsfarge 6 101 2 3" xfId="4079" xr:uid="{00000000-0005-0000-0000-0000C4200000}"/>
    <cellStyle name="40% - uthevingsfarge 6 101 2 4" xfId="6523" xr:uid="{00000000-0005-0000-0000-0000C5200000}"/>
    <cellStyle name="40% - uthevingsfarge 6 101 2 5" xfId="9046" xr:uid="{00000000-0005-0000-0000-0000C6200000}"/>
    <cellStyle name="40% - uthevingsfarge 6 101 3" xfId="3460" xr:uid="{00000000-0005-0000-0000-0000C7200000}"/>
    <cellStyle name="40% - uthevingsfarge 6 101 3 2" xfId="7045" xr:uid="{00000000-0005-0000-0000-0000C8200000}"/>
    <cellStyle name="40% - uthevingsfarge 6 101 4" xfId="3797" xr:uid="{00000000-0005-0000-0000-0000C9200000}"/>
    <cellStyle name="40% - uthevingsfarge 6 101 5" xfId="6238" xr:uid="{00000000-0005-0000-0000-0000CA200000}"/>
    <cellStyle name="40% - uthevingsfarge 6 101 6" xfId="9045" xr:uid="{00000000-0005-0000-0000-0000CB200000}"/>
    <cellStyle name="40% - uthevingsfarge 6 102" xfId="2133" xr:uid="{00000000-0005-0000-0000-0000CC200000}"/>
    <cellStyle name="40% - uthevingsfarge 6 102 2" xfId="2951" xr:uid="{00000000-0005-0000-0000-0000CD200000}"/>
    <cellStyle name="40% - uthevingsfarge 6 102 2 2" xfId="3463" xr:uid="{00000000-0005-0000-0000-0000CE200000}"/>
    <cellStyle name="40% - uthevingsfarge 6 102 2 2 2" xfId="7048" xr:uid="{00000000-0005-0000-0000-0000CF200000}"/>
    <cellStyle name="40% - uthevingsfarge 6 102 2 3" xfId="4013" xr:uid="{00000000-0005-0000-0000-0000D0200000}"/>
    <cellStyle name="40% - uthevingsfarge 6 102 2 4" xfId="6524" xr:uid="{00000000-0005-0000-0000-0000D1200000}"/>
    <cellStyle name="40% - uthevingsfarge 6 102 2 5" xfId="9048" xr:uid="{00000000-0005-0000-0000-0000D2200000}"/>
    <cellStyle name="40% - uthevingsfarge 6 102 3" xfId="3462" xr:uid="{00000000-0005-0000-0000-0000D3200000}"/>
    <cellStyle name="40% - uthevingsfarge 6 102 3 2" xfId="7047" xr:uid="{00000000-0005-0000-0000-0000D4200000}"/>
    <cellStyle name="40% - uthevingsfarge 6 102 4" xfId="3796" xr:uid="{00000000-0005-0000-0000-0000D5200000}"/>
    <cellStyle name="40% - uthevingsfarge 6 102 5" xfId="6239" xr:uid="{00000000-0005-0000-0000-0000D6200000}"/>
    <cellStyle name="40% - uthevingsfarge 6 102 6" xfId="9047" xr:uid="{00000000-0005-0000-0000-0000D7200000}"/>
    <cellStyle name="40% - uthevingsfarge 6 103" xfId="2134" xr:uid="{00000000-0005-0000-0000-0000D8200000}"/>
    <cellStyle name="40% - uthevingsfarge 6 103 2" xfId="2952" xr:uid="{00000000-0005-0000-0000-0000D9200000}"/>
    <cellStyle name="40% - uthevingsfarge 6 103 2 2" xfId="3465" xr:uid="{00000000-0005-0000-0000-0000DA200000}"/>
    <cellStyle name="40% - uthevingsfarge 6 103 2 2 2" xfId="7050" xr:uid="{00000000-0005-0000-0000-0000DB200000}"/>
    <cellStyle name="40% - uthevingsfarge 6 103 2 3" xfId="3701" xr:uid="{00000000-0005-0000-0000-0000DC200000}"/>
    <cellStyle name="40% - uthevingsfarge 6 103 2 4" xfId="6525" xr:uid="{00000000-0005-0000-0000-0000DD200000}"/>
    <cellStyle name="40% - uthevingsfarge 6 103 2 5" xfId="9050" xr:uid="{00000000-0005-0000-0000-0000DE200000}"/>
    <cellStyle name="40% - uthevingsfarge 6 103 3" xfId="3464" xr:uid="{00000000-0005-0000-0000-0000DF200000}"/>
    <cellStyle name="40% - uthevingsfarge 6 103 3 2" xfId="7049" xr:uid="{00000000-0005-0000-0000-0000E0200000}"/>
    <cellStyle name="40% - uthevingsfarge 6 103 4" xfId="3795" xr:uid="{00000000-0005-0000-0000-0000E1200000}"/>
    <cellStyle name="40% - uthevingsfarge 6 103 5" xfId="6240" xr:uid="{00000000-0005-0000-0000-0000E2200000}"/>
    <cellStyle name="40% - uthevingsfarge 6 103 6" xfId="9049" xr:uid="{00000000-0005-0000-0000-0000E3200000}"/>
    <cellStyle name="40% - uthevingsfarge 6 104" xfId="2135" xr:uid="{00000000-0005-0000-0000-0000E4200000}"/>
    <cellStyle name="40% - uthevingsfarge 6 104 2" xfId="2953" xr:uid="{00000000-0005-0000-0000-0000E5200000}"/>
    <cellStyle name="40% - uthevingsfarge 6 104 2 2" xfId="3467" xr:uid="{00000000-0005-0000-0000-0000E6200000}"/>
    <cellStyle name="40% - uthevingsfarge 6 104 2 2 2" xfId="7052" xr:uid="{00000000-0005-0000-0000-0000E7200000}"/>
    <cellStyle name="40% - uthevingsfarge 6 104 2 3" xfId="4076" xr:uid="{00000000-0005-0000-0000-0000E8200000}"/>
    <cellStyle name="40% - uthevingsfarge 6 104 2 4" xfId="6526" xr:uid="{00000000-0005-0000-0000-0000E9200000}"/>
    <cellStyle name="40% - uthevingsfarge 6 104 2 5" xfId="9052" xr:uid="{00000000-0005-0000-0000-0000EA200000}"/>
    <cellStyle name="40% - uthevingsfarge 6 104 3" xfId="3466" xr:uid="{00000000-0005-0000-0000-0000EB200000}"/>
    <cellStyle name="40% - uthevingsfarge 6 104 3 2" xfId="7051" xr:uid="{00000000-0005-0000-0000-0000EC200000}"/>
    <cellStyle name="40% - uthevingsfarge 6 104 4" xfId="3794" xr:uid="{00000000-0005-0000-0000-0000ED200000}"/>
    <cellStyle name="40% - uthevingsfarge 6 104 5" xfId="6241" xr:uid="{00000000-0005-0000-0000-0000EE200000}"/>
    <cellStyle name="40% - uthevingsfarge 6 104 6" xfId="9051" xr:uid="{00000000-0005-0000-0000-0000EF200000}"/>
    <cellStyle name="40% - uthevingsfarge 6 105" xfId="2136" xr:uid="{00000000-0005-0000-0000-0000F0200000}"/>
    <cellStyle name="40% - uthevingsfarge 6 105 2" xfId="2954" xr:uid="{00000000-0005-0000-0000-0000F1200000}"/>
    <cellStyle name="40% - uthevingsfarge 6 105 2 2" xfId="3469" xr:uid="{00000000-0005-0000-0000-0000F2200000}"/>
    <cellStyle name="40% - uthevingsfarge 6 105 2 2 2" xfId="7054" xr:uid="{00000000-0005-0000-0000-0000F3200000}"/>
    <cellStyle name="40% - uthevingsfarge 6 105 2 3" xfId="4077" xr:uid="{00000000-0005-0000-0000-0000F4200000}"/>
    <cellStyle name="40% - uthevingsfarge 6 105 2 4" xfId="6527" xr:uid="{00000000-0005-0000-0000-0000F5200000}"/>
    <cellStyle name="40% - uthevingsfarge 6 105 2 5" xfId="9054" xr:uid="{00000000-0005-0000-0000-0000F6200000}"/>
    <cellStyle name="40% - uthevingsfarge 6 105 3" xfId="3468" xr:uid="{00000000-0005-0000-0000-0000F7200000}"/>
    <cellStyle name="40% - uthevingsfarge 6 105 3 2" xfId="7053" xr:uid="{00000000-0005-0000-0000-0000F8200000}"/>
    <cellStyle name="40% - uthevingsfarge 6 105 4" xfId="3793" xr:uid="{00000000-0005-0000-0000-0000F9200000}"/>
    <cellStyle name="40% - uthevingsfarge 6 105 5" xfId="6242" xr:uid="{00000000-0005-0000-0000-0000FA200000}"/>
    <cellStyle name="40% - uthevingsfarge 6 105 6" xfId="9053" xr:uid="{00000000-0005-0000-0000-0000FB200000}"/>
    <cellStyle name="40% - uthevingsfarge 6 106" xfId="2137" xr:uid="{00000000-0005-0000-0000-0000FC200000}"/>
    <cellStyle name="40% - uthevingsfarge 6 106 2" xfId="2955" xr:uid="{00000000-0005-0000-0000-0000FD200000}"/>
    <cellStyle name="40% - uthevingsfarge 6 106 2 2" xfId="3471" xr:uid="{00000000-0005-0000-0000-0000FE200000}"/>
    <cellStyle name="40% - uthevingsfarge 6 106 2 2 2" xfId="7056" xr:uid="{00000000-0005-0000-0000-0000FF200000}"/>
    <cellStyle name="40% - uthevingsfarge 6 106 2 3" xfId="4012" xr:uid="{00000000-0005-0000-0000-000000210000}"/>
    <cellStyle name="40% - uthevingsfarge 6 106 2 4" xfId="6528" xr:uid="{00000000-0005-0000-0000-000001210000}"/>
    <cellStyle name="40% - uthevingsfarge 6 106 2 5" xfId="9056" xr:uid="{00000000-0005-0000-0000-000002210000}"/>
    <cellStyle name="40% - uthevingsfarge 6 106 3" xfId="3470" xr:uid="{00000000-0005-0000-0000-000003210000}"/>
    <cellStyle name="40% - uthevingsfarge 6 106 3 2" xfId="7055" xr:uid="{00000000-0005-0000-0000-000004210000}"/>
    <cellStyle name="40% - uthevingsfarge 6 106 4" xfId="3792" xr:uid="{00000000-0005-0000-0000-000005210000}"/>
    <cellStyle name="40% - uthevingsfarge 6 106 5" xfId="6243" xr:uid="{00000000-0005-0000-0000-000006210000}"/>
    <cellStyle name="40% - uthevingsfarge 6 106 6" xfId="9055" xr:uid="{00000000-0005-0000-0000-000007210000}"/>
    <cellStyle name="40% - uthevingsfarge 6 107" xfId="2138" xr:uid="{00000000-0005-0000-0000-000008210000}"/>
    <cellStyle name="40% - uthevingsfarge 6 107 2" xfId="2956" xr:uid="{00000000-0005-0000-0000-000009210000}"/>
    <cellStyle name="40% - uthevingsfarge 6 107 2 2" xfId="3473" xr:uid="{00000000-0005-0000-0000-00000A210000}"/>
    <cellStyle name="40% - uthevingsfarge 6 107 2 2 2" xfId="7058" xr:uid="{00000000-0005-0000-0000-00000B210000}"/>
    <cellStyle name="40% - uthevingsfarge 6 107 2 3" xfId="3700" xr:uid="{00000000-0005-0000-0000-00000C210000}"/>
    <cellStyle name="40% - uthevingsfarge 6 107 2 4" xfId="6529" xr:uid="{00000000-0005-0000-0000-00000D210000}"/>
    <cellStyle name="40% - uthevingsfarge 6 107 2 5" xfId="9058" xr:uid="{00000000-0005-0000-0000-00000E210000}"/>
    <cellStyle name="40% - uthevingsfarge 6 107 3" xfId="3472" xr:uid="{00000000-0005-0000-0000-00000F210000}"/>
    <cellStyle name="40% - uthevingsfarge 6 107 3 2" xfId="7057" xr:uid="{00000000-0005-0000-0000-000010210000}"/>
    <cellStyle name="40% - uthevingsfarge 6 107 4" xfId="3791" xr:uid="{00000000-0005-0000-0000-000011210000}"/>
    <cellStyle name="40% - uthevingsfarge 6 107 5" xfId="6244" xr:uid="{00000000-0005-0000-0000-000012210000}"/>
    <cellStyle name="40% - uthevingsfarge 6 107 6" xfId="9057" xr:uid="{00000000-0005-0000-0000-000013210000}"/>
    <cellStyle name="40% - uthevingsfarge 6 108" xfId="2139" xr:uid="{00000000-0005-0000-0000-000014210000}"/>
    <cellStyle name="40% - uthevingsfarge 6 108 2" xfId="2957" xr:uid="{00000000-0005-0000-0000-000015210000}"/>
    <cellStyle name="40% - uthevingsfarge 6 108 2 2" xfId="3475" xr:uid="{00000000-0005-0000-0000-000016210000}"/>
    <cellStyle name="40% - uthevingsfarge 6 108 2 2 2" xfId="7060" xr:uid="{00000000-0005-0000-0000-000017210000}"/>
    <cellStyle name="40% - uthevingsfarge 6 108 2 3" xfId="3699" xr:uid="{00000000-0005-0000-0000-000018210000}"/>
    <cellStyle name="40% - uthevingsfarge 6 108 2 4" xfId="6530" xr:uid="{00000000-0005-0000-0000-000019210000}"/>
    <cellStyle name="40% - uthevingsfarge 6 108 2 5" xfId="9060" xr:uid="{00000000-0005-0000-0000-00001A210000}"/>
    <cellStyle name="40% - uthevingsfarge 6 108 3" xfId="3474" xr:uid="{00000000-0005-0000-0000-00001B210000}"/>
    <cellStyle name="40% - uthevingsfarge 6 108 3 2" xfId="7059" xr:uid="{00000000-0005-0000-0000-00001C210000}"/>
    <cellStyle name="40% - uthevingsfarge 6 108 4" xfId="3790" xr:uid="{00000000-0005-0000-0000-00001D210000}"/>
    <cellStyle name="40% - uthevingsfarge 6 108 5" xfId="6245" xr:uid="{00000000-0005-0000-0000-00001E210000}"/>
    <cellStyle name="40% - uthevingsfarge 6 108 6" xfId="9059" xr:uid="{00000000-0005-0000-0000-00001F210000}"/>
    <cellStyle name="40% - uthevingsfarge 6 109" xfId="2140" xr:uid="{00000000-0005-0000-0000-000020210000}"/>
    <cellStyle name="40% - uthevingsfarge 6 109 2" xfId="2958" xr:uid="{00000000-0005-0000-0000-000021210000}"/>
    <cellStyle name="40% - uthevingsfarge 6 109 2 2" xfId="3477" xr:uid="{00000000-0005-0000-0000-000022210000}"/>
    <cellStyle name="40% - uthevingsfarge 6 109 2 2 2" xfId="7062" xr:uid="{00000000-0005-0000-0000-000023210000}"/>
    <cellStyle name="40% - uthevingsfarge 6 109 2 3" xfId="3698" xr:uid="{00000000-0005-0000-0000-000024210000}"/>
    <cellStyle name="40% - uthevingsfarge 6 109 2 4" xfId="6531" xr:uid="{00000000-0005-0000-0000-000025210000}"/>
    <cellStyle name="40% - uthevingsfarge 6 109 2 5" xfId="9062" xr:uid="{00000000-0005-0000-0000-000026210000}"/>
    <cellStyle name="40% - uthevingsfarge 6 109 3" xfId="3476" xr:uid="{00000000-0005-0000-0000-000027210000}"/>
    <cellStyle name="40% - uthevingsfarge 6 109 3 2" xfId="7061" xr:uid="{00000000-0005-0000-0000-000028210000}"/>
    <cellStyle name="40% - uthevingsfarge 6 109 4" xfId="3789" xr:uid="{00000000-0005-0000-0000-000029210000}"/>
    <cellStyle name="40% - uthevingsfarge 6 109 5" xfId="6246" xr:uid="{00000000-0005-0000-0000-00002A210000}"/>
    <cellStyle name="40% - uthevingsfarge 6 109 6" xfId="9061" xr:uid="{00000000-0005-0000-0000-00002B210000}"/>
    <cellStyle name="40% - uthevingsfarge 6 11" xfId="2141" xr:uid="{00000000-0005-0000-0000-00002C210000}"/>
    <cellStyle name="40% - uthevingsfarge 6 11 2" xfId="2142" xr:uid="{00000000-0005-0000-0000-00002D210000}"/>
    <cellStyle name="40% - uthevingsfarge 6 11 2 2" xfId="5892" xr:uid="{00000000-0005-0000-0000-00002E210000}"/>
    <cellStyle name="40% - uthevingsfarge 6 11 2 2 2" xfId="8525" xr:uid="{00000000-0005-0000-0000-00002F210000}"/>
    <cellStyle name="40% - uthevingsfarge 6 11 2 3" xfId="9306" xr:uid="{00000000-0005-0000-0000-000030210000}"/>
    <cellStyle name="40% - uthevingsfarge 6 11 3" xfId="5171" xr:uid="{00000000-0005-0000-0000-000031210000}"/>
    <cellStyle name="40% - uthevingsfarge 6 11 3 2" xfId="7824" xr:uid="{00000000-0005-0000-0000-000032210000}"/>
    <cellStyle name="40% - uthevingsfarge 6 11 4" xfId="10107" xr:uid="{00000000-0005-0000-0000-000033210000}"/>
    <cellStyle name="40% - uthevingsfarge 6 110" xfId="6598" xr:uid="{00000000-0005-0000-0000-000034210000}"/>
    <cellStyle name="40% - uthevingsfarge 6 111" xfId="8601" xr:uid="{00000000-0005-0000-0000-000035210000}"/>
    <cellStyle name="40% - uthevingsfarge 6 12" xfId="2143" xr:uid="{00000000-0005-0000-0000-000036210000}"/>
    <cellStyle name="40% - uthevingsfarge 6 12 2" xfId="2144" xr:uid="{00000000-0005-0000-0000-000037210000}"/>
    <cellStyle name="40% - uthevingsfarge 6 12 2 2" xfId="5893" xr:uid="{00000000-0005-0000-0000-000038210000}"/>
    <cellStyle name="40% - uthevingsfarge 6 12 2 2 2" xfId="8526" xr:uid="{00000000-0005-0000-0000-000039210000}"/>
    <cellStyle name="40% - uthevingsfarge 6 12 2 3" xfId="9305" xr:uid="{00000000-0005-0000-0000-00003A210000}"/>
    <cellStyle name="40% - uthevingsfarge 6 12 3" xfId="5172" xr:uid="{00000000-0005-0000-0000-00003B210000}"/>
    <cellStyle name="40% - uthevingsfarge 6 12 3 2" xfId="7825" xr:uid="{00000000-0005-0000-0000-00003C210000}"/>
    <cellStyle name="40% - uthevingsfarge 6 12 4" xfId="10106" xr:uid="{00000000-0005-0000-0000-00003D210000}"/>
    <cellStyle name="40% - uthevingsfarge 6 13" xfId="2145" xr:uid="{00000000-0005-0000-0000-00003E210000}"/>
    <cellStyle name="40% - uthevingsfarge 6 13 2" xfId="2146" xr:uid="{00000000-0005-0000-0000-00003F210000}"/>
    <cellStyle name="40% - uthevingsfarge 6 13 2 2" xfId="5894" xr:uid="{00000000-0005-0000-0000-000040210000}"/>
    <cellStyle name="40% - uthevingsfarge 6 13 2 2 2" xfId="8527" xr:uid="{00000000-0005-0000-0000-000041210000}"/>
    <cellStyle name="40% - uthevingsfarge 6 13 2 3" xfId="9304" xr:uid="{00000000-0005-0000-0000-000042210000}"/>
    <cellStyle name="40% - uthevingsfarge 6 13 3" xfId="5173" xr:uid="{00000000-0005-0000-0000-000043210000}"/>
    <cellStyle name="40% - uthevingsfarge 6 13 3 2" xfId="7826" xr:uid="{00000000-0005-0000-0000-000044210000}"/>
    <cellStyle name="40% - uthevingsfarge 6 13 4" xfId="10105" xr:uid="{00000000-0005-0000-0000-000045210000}"/>
    <cellStyle name="40% - uthevingsfarge 6 14" xfId="2147" xr:uid="{00000000-0005-0000-0000-000046210000}"/>
    <cellStyle name="40% - uthevingsfarge 6 14 2" xfId="2148" xr:uid="{00000000-0005-0000-0000-000047210000}"/>
    <cellStyle name="40% - uthevingsfarge 6 14 2 2" xfId="5895" xr:uid="{00000000-0005-0000-0000-000048210000}"/>
    <cellStyle name="40% - uthevingsfarge 6 14 2 2 2" xfId="8528" xr:uid="{00000000-0005-0000-0000-000049210000}"/>
    <cellStyle name="40% - uthevingsfarge 6 14 2 3" xfId="9303" xr:uid="{00000000-0005-0000-0000-00004A210000}"/>
    <cellStyle name="40% - uthevingsfarge 6 14 3" xfId="5174" xr:uid="{00000000-0005-0000-0000-00004B210000}"/>
    <cellStyle name="40% - uthevingsfarge 6 14 3 2" xfId="7827" xr:uid="{00000000-0005-0000-0000-00004C210000}"/>
    <cellStyle name="40% - uthevingsfarge 6 14 4" xfId="10104" xr:uid="{00000000-0005-0000-0000-00004D210000}"/>
    <cellStyle name="40% - uthevingsfarge 6 15" xfId="2149" xr:uid="{00000000-0005-0000-0000-00004E210000}"/>
    <cellStyle name="40% - uthevingsfarge 6 15 2" xfId="2150" xr:uid="{00000000-0005-0000-0000-00004F210000}"/>
    <cellStyle name="40% - uthevingsfarge 6 15 2 2" xfId="5896" xr:uid="{00000000-0005-0000-0000-000050210000}"/>
    <cellStyle name="40% - uthevingsfarge 6 15 2 2 2" xfId="8529" xr:uid="{00000000-0005-0000-0000-000051210000}"/>
    <cellStyle name="40% - uthevingsfarge 6 15 2 3" xfId="9302" xr:uid="{00000000-0005-0000-0000-000052210000}"/>
    <cellStyle name="40% - uthevingsfarge 6 15 3" xfId="5175" xr:uid="{00000000-0005-0000-0000-000053210000}"/>
    <cellStyle name="40% - uthevingsfarge 6 15 3 2" xfId="7828" xr:uid="{00000000-0005-0000-0000-000054210000}"/>
    <cellStyle name="40% - uthevingsfarge 6 15 4" xfId="10103" xr:uid="{00000000-0005-0000-0000-000055210000}"/>
    <cellStyle name="40% - uthevingsfarge 6 16" xfId="2151" xr:uid="{00000000-0005-0000-0000-000056210000}"/>
    <cellStyle name="40% - uthevingsfarge 6 16 2" xfId="2152" xr:uid="{00000000-0005-0000-0000-000057210000}"/>
    <cellStyle name="40% - uthevingsfarge 6 16 2 2" xfId="5897" xr:uid="{00000000-0005-0000-0000-000058210000}"/>
    <cellStyle name="40% - uthevingsfarge 6 16 2 2 2" xfId="8530" xr:uid="{00000000-0005-0000-0000-000059210000}"/>
    <cellStyle name="40% - uthevingsfarge 6 16 2 3" xfId="9301" xr:uid="{00000000-0005-0000-0000-00005A210000}"/>
    <cellStyle name="40% - uthevingsfarge 6 16 3" xfId="5176" xr:uid="{00000000-0005-0000-0000-00005B210000}"/>
    <cellStyle name="40% - uthevingsfarge 6 16 3 2" xfId="7829" xr:uid="{00000000-0005-0000-0000-00005C210000}"/>
    <cellStyle name="40% - uthevingsfarge 6 16 4" xfId="10102" xr:uid="{00000000-0005-0000-0000-00005D210000}"/>
    <cellStyle name="40% - uthevingsfarge 6 17" xfId="2153" xr:uid="{00000000-0005-0000-0000-00005E210000}"/>
    <cellStyle name="40% - uthevingsfarge 6 17 2" xfId="2154" xr:uid="{00000000-0005-0000-0000-00005F210000}"/>
    <cellStyle name="40% - uthevingsfarge 6 17 2 2" xfId="5898" xr:uid="{00000000-0005-0000-0000-000060210000}"/>
    <cellStyle name="40% - uthevingsfarge 6 17 2 2 2" xfId="8531" xr:uid="{00000000-0005-0000-0000-000061210000}"/>
    <cellStyle name="40% - uthevingsfarge 6 17 2 3" xfId="9300" xr:uid="{00000000-0005-0000-0000-000062210000}"/>
    <cellStyle name="40% - uthevingsfarge 6 17 3" xfId="5177" xr:uid="{00000000-0005-0000-0000-000063210000}"/>
    <cellStyle name="40% - uthevingsfarge 6 17 3 2" xfId="7830" xr:uid="{00000000-0005-0000-0000-000064210000}"/>
    <cellStyle name="40% - uthevingsfarge 6 17 4" xfId="10101" xr:uid="{00000000-0005-0000-0000-000065210000}"/>
    <cellStyle name="40% - uthevingsfarge 6 18" xfId="2155" xr:uid="{00000000-0005-0000-0000-000066210000}"/>
    <cellStyle name="40% - uthevingsfarge 6 18 2" xfId="2156" xr:uid="{00000000-0005-0000-0000-000067210000}"/>
    <cellStyle name="40% - uthevingsfarge 6 18 2 2" xfId="5899" xr:uid="{00000000-0005-0000-0000-000068210000}"/>
    <cellStyle name="40% - uthevingsfarge 6 18 2 2 2" xfId="8532" xr:uid="{00000000-0005-0000-0000-000069210000}"/>
    <cellStyle name="40% - uthevingsfarge 6 18 2 3" xfId="9299" xr:uid="{00000000-0005-0000-0000-00006A210000}"/>
    <cellStyle name="40% - uthevingsfarge 6 18 3" xfId="5178" xr:uid="{00000000-0005-0000-0000-00006B210000}"/>
    <cellStyle name="40% - uthevingsfarge 6 18 3 2" xfId="7831" xr:uid="{00000000-0005-0000-0000-00006C210000}"/>
    <cellStyle name="40% - uthevingsfarge 6 18 4" xfId="10329" xr:uid="{00000000-0005-0000-0000-00006D210000}"/>
    <cellStyle name="40% - uthevingsfarge 6 19" xfId="2157" xr:uid="{00000000-0005-0000-0000-00006E210000}"/>
    <cellStyle name="40% - uthevingsfarge 6 19 2" xfId="2158" xr:uid="{00000000-0005-0000-0000-00006F210000}"/>
    <cellStyle name="40% - uthevingsfarge 6 19 2 2" xfId="5900" xr:uid="{00000000-0005-0000-0000-000070210000}"/>
    <cellStyle name="40% - uthevingsfarge 6 19 2 2 2" xfId="8533" xr:uid="{00000000-0005-0000-0000-000071210000}"/>
    <cellStyle name="40% - uthevingsfarge 6 19 2 3" xfId="10159" xr:uid="{00000000-0005-0000-0000-000072210000}"/>
    <cellStyle name="40% - uthevingsfarge 6 19 3" xfId="5179" xr:uid="{00000000-0005-0000-0000-000073210000}"/>
    <cellStyle name="40% - uthevingsfarge 6 19 3 2" xfId="7832" xr:uid="{00000000-0005-0000-0000-000074210000}"/>
    <cellStyle name="40% - uthevingsfarge 6 19 4" xfId="9298" xr:uid="{00000000-0005-0000-0000-000075210000}"/>
    <cellStyle name="40% - uthevingsfarge 6 2" xfId="72" xr:uid="{00000000-0005-0000-0000-000076210000}"/>
    <cellStyle name="40% - uthevingsfarge 6 2 2" xfId="2159" xr:uid="{00000000-0005-0000-0000-000077210000}"/>
    <cellStyle name="40% - uthevingsfarge 6 2 2 2" xfId="5901" xr:uid="{00000000-0005-0000-0000-000078210000}"/>
    <cellStyle name="40% - uthevingsfarge 6 2 2 2 2" xfId="8534" xr:uid="{00000000-0005-0000-0000-000079210000}"/>
    <cellStyle name="40% - uthevingsfarge 6 2 2 3" xfId="10350" xr:uid="{00000000-0005-0000-0000-00007A210000}"/>
    <cellStyle name="40% - uthevingsfarge 6 2 3" xfId="5180" xr:uid="{00000000-0005-0000-0000-00007B210000}"/>
    <cellStyle name="40% - uthevingsfarge 6 2 3 2" xfId="7833" xr:uid="{00000000-0005-0000-0000-00007C210000}"/>
    <cellStyle name="40% - uthevingsfarge 6 2 4" xfId="10671" xr:uid="{00000000-0005-0000-0000-00007D210000}"/>
    <cellStyle name="40% - uthevingsfarge 6 20" xfId="2160" xr:uid="{00000000-0005-0000-0000-00007E210000}"/>
    <cellStyle name="40% - uthevingsfarge 6 20 2" xfId="2161" xr:uid="{00000000-0005-0000-0000-00007F210000}"/>
    <cellStyle name="40% - uthevingsfarge 6 20 2 2" xfId="5902" xr:uid="{00000000-0005-0000-0000-000080210000}"/>
    <cellStyle name="40% - uthevingsfarge 6 20 2 2 2" xfId="8535" xr:uid="{00000000-0005-0000-0000-000081210000}"/>
    <cellStyle name="40% - uthevingsfarge 6 20 2 3" xfId="9774" xr:uid="{00000000-0005-0000-0000-000082210000}"/>
    <cellStyle name="40% - uthevingsfarge 6 20 3" xfId="5181" xr:uid="{00000000-0005-0000-0000-000083210000}"/>
    <cellStyle name="40% - uthevingsfarge 6 20 3 2" xfId="7834" xr:uid="{00000000-0005-0000-0000-000084210000}"/>
    <cellStyle name="40% - uthevingsfarge 6 20 4" xfId="9297" xr:uid="{00000000-0005-0000-0000-000085210000}"/>
    <cellStyle name="40% - uthevingsfarge 6 21" xfId="2162" xr:uid="{00000000-0005-0000-0000-000086210000}"/>
    <cellStyle name="40% - uthevingsfarge 6 21 2" xfId="2163" xr:uid="{00000000-0005-0000-0000-000087210000}"/>
    <cellStyle name="40% - uthevingsfarge 6 21 2 2" xfId="5903" xr:uid="{00000000-0005-0000-0000-000088210000}"/>
    <cellStyle name="40% - uthevingsfarge 6 21 2 2 2" xfId="8536" xr:uid="{00000000-0005-0000-0000-000089210000}"/>
    <cellStyle name="40% - uthevingsfarge 6 21 2 3" xfId="10349" xr:uid="{00000000-0005-0000-0000-00008A210000}"/>
    <cellStyle name="40% - uthevingsfarge 6 21 3" xfId="5182" xr:uid="{00000000-0005-0000-0000-00008B210000}"/>
    <cellStyle name="40% - uthevingsfarge 6 21 3 2" xfId="7835" xr:uid="{00000000-0005-0000-0000-00008C210000}"/>
    <cellStyle name="40% - uthevingsfarge 6 21 4" xfId="10670" xr:uid="{00000000-0005-0000-0000-00008D210000}"/>
    <cellStyle name="40% - uthevingsfarge 6 22" xfId="2164" xr:uid="{00000000-0005-0000-0000-00008E210000}"/>
    <cellStyle name="40% - uthevingsfarge 6 22 2" xfId="2165" xr:uid="{00000000-0005-0000-0000-00008F210000}"/>
    <cellStyle name="40% - uthevingsfarge 6 22 2 2" xfId="5904" xr:uid="{00000000-0005-0000-0000-000090210000}"/>
    <cellStyle name="40% - uthevingsfarge 6 22 2 2 2" xfId="8537" xr:uid="{00000000-0005-0000-0000-000091210000}"/>
    <cellStyle name="40% - uthevingsfarge 6 22 2 3" xfId="9773" xr:uid="{00000000-0005-0000-0000-000092210000}"/>
    <cellStyle name="40% - uthevingsfarge 6 22 3" xfId="5183" xr:uid="{00000000-0005-0000-0000-000093210000}"/>
    <cellStyle name="40% - uthevingsfarge 6 22 3 2" xfId="7836" xr:uid="{00000000-0005-0000-0000-000094210000}"/>
    <cellStyle name="40% - uthevingsfarge 6 22 4" xfId="9296" xr:uid="{00000000-0005-0000-0000-000095210000}"/>
    <cellStyle name="40% - uthevingsfarge 6 23" xfId="2166" xr:uid="{00000000-0005-0000-0000-000096210000}"/>
    <cellStyle name="40% - uthevingsfarge 6 23 2" xfId="2167" xr:uid="{00000000-0005-0000-0000-000097210000}"/>
    <cellStyle name="40% - uthevingsfarge 6 23 2 2" xfId="5905" xr:uid="{00000000-0005-0000-0000-000098210000}"/>
    <cellStyle name="40% - uthevingsfarge 6 23 2 2 2" xfId="8538" xr:uid="{00000000-0005-0000-0000-000099210000}"/>
    <cellStyle name="40% - uthevingsfarge 6 23 2 3" xfId="10348" xr:uid="{00000000-0005-0000-0000-00009A210000}"/>
    <cellStyle name="40% - uthevingsfarge 6 23 3" xfId="5184" xr:uid="{00000000-0005-0000-0000-00009B210000}"/>
    <cellStyle name="40% - uthevingsfarge 6 23 3 2" xfId="7837" xr:uid="{00000000-0005-0000-0000-00009C210000}"/>
    <cellStyle name="40% - uthevingsfarge 6 23 4" xfId="10669" xr:uid="{00000000-0005-0000-0000-00009D210000}"/>
    <cellStyle name="40% - uthevingsfarge 6 24" xfId="2168" xr:uid="{00000000-0005-0000-0000-00009E210000}"/>
    <cellStyle name="40% - uthevingsfarge 6 24 2" xfId="2169" xr:uid="{00000000-0005-0000-0000-00009F210000}"/>
    <cellStyle name="40% - uthevingsfarge 6 24 2 2" xfId="5906" xr:uid="{00000000-0005-0000-0000-0000A0210000}"/>
    <cellStyle name="40% - uthevingsfarge 6 24 2 2 2" xfId="8539" xr:uid="{00000000-0005-0000-0000-0000A1210000}"/>
    <cellStyle name="40% - uthevingsfarge 6 24 2 3" xfId="9772" xr:uid="{00000000-0005-0000-0000-0000A2210000}"/>
    <cellStyle name="40% - uthevingsfarge 6 24 3" xfId="5185" xr:uid="{00000000-0005-0000-0000-0000A3210000}"/>
    <cellStyle name="40% - uthevingsfarge 6 24 3 2" xfId="7838" xr:uid="{00000000-0005-0000-0000-0000A4210000}"/>
    <cellStyle name="40% - uthevingsfarge 6 24 4" xfId="9295" xr:uid="{00000000-0005-0000-0000-0000A5210000}"/>
    <cellStyle name="40% - uthevingsfarge 6 25" xfId="2170" xr:uid="{00000000-0005-0000-0000-0000A6210000}"/>
    <cellStyle name="40% - uthevingsfarge 6 25 2" xfId="2171" xr:uid="{00000000-0005-0000-0000-0000A7210000}"/>
    <cellStyle name="40% - uthevingsfarge 6 25 2 2" xfId="5907" xr:uid="{00000000-0005-0000-0000-0000A8210000}"/>
    <cellStyle name="40% - uthevingsfarge 6 25 2 2 2" xfId="8540" xr:uid="{00000000-0005-0000-0000-0000A9210000}"/>
    <cellStyle name="40% - uthevingsfarge 6 25 2 3" xfId="10347" xr:uid="{00000000-0005-0000-0000-0000AA210000}"/>
    <cellStyle name="40% - uthevingsfarge 6 25 3" xfId="5186" xr:uid="{00000000-0005-0000-0000-0000AB210000}"/>
    <cellStyle name="40% - uthevingsfarge 6 25 3 2" xfId="7839" xr:uid="{00000000-0005-0000-0000-0000AC210000}"/>
    <cellStyle name="40% - uthevingsfarge 6 25 4" xfId="10668" xr:uid="{00000000-0005-0000-0000-0000AD210000}"/>
    <cellStyle name="40% - uthevingsfarge 6 26" xfId="2172" xr:uid="{00000000-0005-0000-0000-0000AE210000}"/>
    <cellStyle name="40% - uthevingsfarge 6 26 2" xfId="2173" xr:uid="{00000000-0005-0000-0000-0000AF210000}"/>
    <cellStyle name="40% - uthevingsfarge 6 26 2 2" xfId="5908" xr:uid="{00000000-0005-0000-0000-0000B0210000}"/>
    <cellStyle name="40% - uthevingsfarge 6 26 2 2 2" xfId="8541" xr:uid="{00000000-0005-0000-0000-0000B1210000}"/>
    <cellStyle name="40% - uthevingsfarge 6 26 2 3" xfId="9771" xr:uid="{00000000-0005-0000-0000-0000B2210000}"/>
    <cellStyle name="40% - uthevingsfarge 6 26 3" xfId="5187" xr:uid="{00000000-0005-0000-0000-0000B3210000}"/>
    <cellStyle name="40% - uthevingsfarge 6 26 3 2" xfId="7840" xr:uid="{00000000-0005-0000-0000-0000B4210000}"/>
    <cellStyle name="40% - uthevingsfarge 6 26 4" xfId="9294" xr:uid="{00000000-0005-0000-0000-0000B5210000}"/>
    <cellStyle name="40% - uthevingsfarge 6 27" xfId="2174" xr:uid="{00000000-0005-0000-0000-0000B6210000}"/>
    <cellStyle name="40% - uthevingsfarge 6 27 2" xfId="2175" xr:uid="{00000000-0005-0000-0000-0000B7210000}"/>
    <cellStyle name="40% - uthevingsfarge 6 27 2 2" xfId="5909" xr:uid="{00000000-0005-0000-0000-0000B8210000}"/>
    <cellStyle name="40% - uthevingsfarge 6 27 2 2 2" xfId="8542" xr:uid="{00000000-0005-0000-0000-0000B9210000}"/>
    <cellStyle name="40% - uthevingsfarge 6 27 2 3" xfId="10346" xr:uid="{00000000-0005-0000-0000-0000BA210000}"/>
    <cellStyle name="40% - uthevingsfarge 6 27 3" xfId="5188" xr:uid="{00000000-0005-0000-0000-0000BB210000}"/>
    <cellStyle name="40% - uthevingsfarge 6 27 3 2" xfId="7841" xr:uid="{00000000-0005-0000-0000-0000BC210000}"/>
    <cellStyle name="40% - uthevingsfarge 6 27 4" xfId="10667" xr:uid="{00000000-0005-0000-0000-0000BD210000}"/>
    <cellStyle name="40% - uthevingsfarge 6 28" xfId="2176" xr:uid="{00000000-0005-0000-0000-0000BE210000}"/>
    <cellStyle name="40% - uthevingsfarge 6 28 2" xfId="2177" xr:uid="{00000000-0005-0000-0000-0000BF210000}"/>
    <cellStyle name="40% - uthevingsfarge 6 28 2 2" xfId="5910" xr:uid="{00000000-0005-0000-0000-0000C0210000}"/>
    <cellStyle name="40% - uthevingsfarge 6 28 2 2 2" xfId="8543" xr:uid="{00000000-0005-0000-0000-0000C1210000}"/>
    <cellStyle name="40% - uthevingsfarge 6 28 2 3" xfId="9770" xr:uid="{00000000-0005-0000-0000-0000C2210000}"/>
    <cellStyle name="40% - uthevingsfarge 6 28 3" xfId="5189" xr:uid="{00000000-0005-0000-0000-0000C3210000}"/>
    <cellStyle name="40% - uthevingsfarge 6 28 3 2" xfId="7842" xr:uid="{00000000-0005-0000-0000-0000C4210000}"/>
    <cellStyle name="40% - uthevingsfarge 6 28 4" xfId="9293" xr:uid="{00000000-0005-0000-0000-0000C5210000}"/>
    <cellStyle name="40% - uthevingsfarge 6 29" xfId="2178" xr:uid="{00000000-0005-0000-0000-0000C6210000}"/>
    <cellStyle name="40% - uthevingsfarge 6 29 2" xfId="2179" xr:uid="{00000000-0005-0000-0000-0000C7210000}"/>
    <cellStyle name="40% - uthevingsfarge 6 29 2 2" xfId="5911" xr:uid="{00000000-0005-0000-0000-0000C8210000}"/>
    <cellStyle name="40% - uthevingsfarge 6 29 2 2 2" xfId="8544" xr:uid="{00000000-0005-0000-0000-0000C9210000}"/>
    <cellStyle name="40% - uthevingsfarge 6 29 2 3" xfId="10345" xr:uid="{00000000-0005-0000-0000-0000CA210000}"/>
    <cellStyle name="40% - uthevingsfarge 6 29 3" xfId="5190" xr:uid="{00000000-0005-0000-0000-0000CB210000}"/>
    <cellStyle name="40% - uthevingsfarge 6 29 3 2" xfId="7843" xr:uid="{00000000-0005-0000-0000-0000CC210000}"/>
    <cellStyle name="40% - uthevingsfarge 6 29 4" xfId="10666" xr:uid="{00000000-0005-0000-0000-0000CD210000}"/>
    <cellStyle name="40% - uthevingsfarge 6 3" xfId="2180" xr:uid="{00000000-0005-0000-0000-0000CE210000}"/>
    <cellStyle name="40% - uthevingsfarge 6 3 2" xfId="2181" xr:uid="{00000000-0005-0000-0000-0000CF210000}"/>
    <cellStyle name="40% - uthevingsfarge 6 3 2 2" xfId="5912" xr:uid="{00000000-0005-0000-0000-0000D0210000}"/>
    <cellStyle name="40% - uthevingsfarge 6 3 2 2 2" xfId="8545" xr:uid="{00000000-0005-0000-0000-0000D1210000}"/>
    <cellStyle name="40% - uthevingsfarge 6 3 2 3" xfId="9769" xr:uid="{00000000-0005-0000-0000-0000D2210000}"/>
    <cellStyle name="40% - uthevingsfarge 6 3 3" xfId="5191" xr:uid="{00000000-0005-0000-0000-0000D3210000}"/>
    <cellStyle name="40% - uthevingsfarge 6 3 3 2" xfId="7844" xr:uid="{00000000-0005-0000-0000-0000D4210000}"/>
    <cellStyle name="40% - uthevingsfarge 6 3 4" xfId="9292" xr:uid="{00000000-0005-0000-0000-0000D5210000}"/>
    <cellStyle name="40% - uthevingsfarge 6 30" xfId="2182" xr:uid="{00000000-0005-0000-0000-0000D6210000}"/>
    <cellStyle name="40% - uthevingsfarge 6 30 2" xfId="2183" xr:uid="{00000000-0005-0000-0000-0000D7210000}"/>
    <cellStyle name="40% - uthevingsfarge 6 30 2 2" xfId="5913" xr:uid="{00000000-0005-0000-0000-0000D8210000}"/>
    <cellStyle name="40% - uthevingsfarge 6 30 2 2 2" xfId="8546" xr:uid="{00000000-0005-0000-0000-0000D9210000}"/>
    <cellStyle name="40% - uthevingsfarge 6 30 2 3" xfId="10344" xr:uid="{00000000-0005-0000-0000-0000DA210000}"/>
    <cellStyle name="40% - uthevingsfarge 6 30 3" xfId="5192" xr:uid="{00000000-0005-0000-0000-0000DB210000}"/>
    <cellStyle name="40% - uthevingsfarge 6 30 3 2" xfId="7845" xr:uid="{00000000-0005-0000-0000-0000DC210000}"/>
    <cellStyle name="40% - uthevingsfarge 6 30 4" xfId="10665" xr:uid="{00000000-0005-0000-0000-0000DD210000}"/>
    <cellStyle name="40% - uthevingsfarge 6 31" xfId="2184" xr:uid="{00000000-0005-0000-0000-0000DE210000}"/>
    <cellStyle name="40% - uthevingsfarge 6 31 2" xfId="2185" xr:uid="{00000000-0005-0000-0000-0000DF210000}"/>
    <cellStyle name="40% - uthevingsfarge 6 31 2 2" xfId="5914" xr:uid="{00000000-0005-0000-0000-0000E0210000}"/>
    <cellStyle name="40% - uthevingsfarge 6 31 2 2 2" xfId="8547" xr:uid="{00000000-0005-0000-0000-0000E1210000}"/>
    <cellStyle name="40% - uthevingsfarge 6 31 2 3" xfId="9768" xr:uid="{00000000-0005-0000-0000-0000E2210000}"/>
    <cellStyle name="40% - uthevingsfarge 6 31 3" xfId="5193" xr:uid="{00000000-0005-0000-0000-0000E3210000}"/>
    <cellStyle name="40% - uthevingsfarge 6 31 3 2" xfId="7846" xr:uid="{00000000-0005-0000-0000-0000E4210000}"/>
    <cellStyle name="40% - uthevingsfarge 6 31 4" xfId="9291" xr:uid="{00000000-0005-0000-0000-0000E5210000}"/>
    <cellStyle name="40% - uthevingsfarge 6 32" xfId="2186" xr:uid="{00000000-0005-0000-0000-0000E6210000}"/>
    <cellStyle name="40% - uthevingsfarge 6 32 2" xfId="2187" xr:uid="{00000000-0005-0000-0000-0000E7210000}"/>
    <cellStyle name="40% - uthevingsfarge 6 32 2 2" xfId="5915" xr:uid="{00000000-0005-0000-0000-0000E8210000}"/>
    <cellStyle name="40% - uthevingsfarge 6 32 2 2 2" xfId="8548" xr:uid="{00000000-0005-0000-0000-0000E9210000}"/>
    <cellStyle name="40% - uthevingsfarge 6 32 2 3" xfId="10343" xr:uid="{00000000-0005-0000-0000-0000EA210000}"/>
    <cellStyle name="40% - uthevingsfarge 6 32 3" xfId="5194" xr:uid="{00000000-0005-0000-0000-0000EB210000}"/>
    <cellStyle name="40% - uthevingsfarge 6 32 3 2" xfId="7847" xr:uid="{00000000-0005-0000-0000-0000EC210000}"/>
    <cellStyle name="40% - uthevingsfarge 6 32 4" xfId="10664" xr:uid="{00000000-0005-0000-0000-0000ED210000}"/>
    <cellStyle name="40% - uthevingsfarge 6 33" xfId="2188" xr:uid="{00000000-0005-0000-0000-0000EE210000}"/>
    <cellStyle name="40% - uthevingsfarge 6 33 2" xfId="2189" xr:uid="{00000000-0005-0000-0000-0000EF210000}"/>
    <cellStyle name="40% - uthevingsfarge 6 33 2 2" xfId="5916" xr:uid="{00000000-0005-0000-0000-0000F0210000}"/>
    <cellStyle name="40% - uthevingsfarge 6 33 2 2 2" xfId="8549" xr:uid="{00000000-0005-0000-0000-0000F1210000}"/>
    <cellStyle name="40% - uthevingsfarge 6 33 2 3" xfId="9767" xr:uid="{00000000-0005-0000-0000-0000F2210000}"/>
    <cellStyle name="40% - uthevingsfarge 6 33 3" xfId="5195" xr:uid="{00000000-0005-0000-0000-0000F3210000}"/>
    <cellStyle name="40% - uthevingsfarge 6 33 3 2" xfId="7848" xr:uid="{00000000-0005-0000-0000-0000F4210000}"/>
    <cellStyle name="40% - uthevingsfarge 6 33 4" xfId="9290" xr:uid="{00000000-0005-0000-0000-0000F5210000}"/>
    <cellStyle name="40% - uthevingsfarge 6 34" xfId="2190" xr:uid="{00000000-0005-0000-0000-0000F6210000}"/>
    <cellStyle name="40% - uthevingsfarge 6 34 2" xfId="2191" xr:uid="{00000000-0005-0000-0000-0000F7210000}"/>
    <cellStyle name="40% - uthevingsfarge 6 34 2 2" xfId="5917" xr:uid="{00000000-0005-0000-0000-0000F8210000}"/>
    <cellStyle name="40% - uthevingsfarge 6 34 2 2 2" xfId="8550" xr:uid="{00000000-0005-0000-0000-0000F9210000}"/>
    <cellStyle name="40% - uthevingsfarge 6 34 2 3" xfId="10342" xr:uid="{00000000-0005-0000-0000-0000FA210000}"/>
    <cellStyle name="40% - uthevingsfarge 6 34 3" xfId="5196" xr:uid="{00000000-0005-0000-0000-0000FB210000}"/>
    <cellStyle name="40% - uthevingsfarge 6 34 3 2" xfId="7849" xr:uid="{00000000-0005-0000-0000-0000FC210000}"/>
    <cellStyle name="40% - uthevingsfarge 6 34 4" xfId="10663" xr:uid="{00000000-0005-0000-0000-0000FD210000}"/>
    <cellStyle name="40% - uthevingsfarge 6 35" xfId="2192" xr:uid="{00000000-0005-0000-0000-0000FE210000}"/>
    <cellStyle name="40% - uthevingsfarge 6 35 2" xfId="2193" xr:uid="{00000000-0005-0000-0000-0000FF210000}"/>
    <cellStyle name="40% - uthevingsfarge 6 35 2 2" xfId="5918" xr:uid="{00000000-0005-0000-0000-000000220000}"/>
    <cellStyle name="40% - uthevingsfarge 6 35 2 2 2" xfId="8551" xr:uid="{00000000-0005-0000-0000-000001220000}"/>
    <cellStyle name="40% - uthevingsfarge 6 35 2 3" xfId="9766" xr:uid="{00000000-0005-0000-0000-000002220000}"/>
    <cellStyle name="40% - uthevingsfarge 6 35 3" xfId="5197" xr:uid="{00000000-0005-0000-0000-000003220000}"/>
    <cellStyle name="40% - uthevingsfarge 6 35 3 2" xfId="7850" xr:uid="{00000000-0005-0000-0000-000004220000}"/>
    <cellStyle name="40% - uthevingsfarge 6 35 4" xfId="9289" xr:uid="{00000000-0005-0000-0000-000005220000}"/>
    <cellStyle name="40% - uthevingsfarge 6 36" xfId="2194" xr:uid="{00000000-0005-0000-0000-000006220000}"/>
    <cellStyle name="40% - uthevingsfarge 6 36 2" xfId="2195" xr:uid="{00000000-0005-0000-0000-000007220000}"/>
    <cellStyle name="40% - uthevingsfarge 6 36 2 2" xfId="5919" xr:uid="{00000000-0005-0000-0000-000008220000}"/>
    <cellStyle name="40% - uthevingsfarge 6 36 2 2 2" xfId="8552" xr:uid="{00000000-0005-0000-0000-000009220000}"/>
    <cellStyle name="40% - uthevingsfarge 6 36 2 3" xfId="10341" xr:uid="{00000000-0005-0000-0000-00000A220000}"/>
    <cellStyle name="40% - uthevingsfarge 6 36 3" xfId="5198" xr:uid="{00000000-0005-0000-0000-00000B220000}"/>
    <cellStyle name="40% - uthevingsfarge 6 36 3 2" xfId="7851" xr:uid="{00000000-0005-0000-0000-00000C220000}"/>
    <cellStyle name="40% - uthevingsfarge 6 36 4" xfId="10662" xr:uid="{00000000-0005-0000-0000-00000D220000}"/>
    <cellStyle name="40% - uthevingsfarge 6 37" xfId="2196" xr:uid="{00000000-0005-0000-0000-00000E220000}"/>
    <cellStyle name="40% - uthevingsfarge 6 37 2" xfId="2197" xr:uid="{00000000-0005-0000-0000-00000F220000}"/>
    <cellStyle name="40% - uthevingsfarge 6 37 2 2" xfId="5920" xr:uid="{00000000-0005-0000-0000-000010220000}"/>
    <cellStyle name="40% - uthevingsfarge 6 37 2 2 2" xfId="8553" xr:uid="{00000000-0005-0000-0000-000011220000}"/>
    <cellStyle name="40% - uthevingsfarge 6 37 2 3" xfId="9765" xr:uid="{00000000-0005-0000-0000-000012220000}"/>
    <cellStyle name="40% - uthevingsfarge 6 37 3" xfId="5199" xr:uid="{00000000-0005-0000-0000-000013220000}"/>
    <cellStyle name="40% - uthevingsfarge 6 37 3 2" xfId="7852" xr:uid="{00000000-0005-0000-0000-000014220000}"/>
    <cellStyle name="40% - uthevingsfarge 6 37 4" xfId="9288" xr:uid="{00000000-0005-0000-0000-000015220000}"/>
    <cellStyle name="40% - uthevingsfarge 6 38" xfId="2198" xr:uid="{00000000-0005-0000-0000-000016220000}"/>
    <cellStyle name="40% - uthevingsfarge 6 38 2" xfId="2199" xr:uid="{00000000-0005-0000-0000-000017220000}"/>
    <cellStyle name="40% - uthevingsfarge 6 38 2 2" xfId="5921" xr:uid="{00000000-0005-0000-0000-000018220000}"/>
    <cellStyle name="40% - uthevingsfarge 6 38 2 2 2" xfId="8554" xr:uid="{00000000-0005-0000-0000-000019220000}"/>
    <cellStyle name="40% - uthevingsfarge 6 38 2 3" xfId="10158" xr:uid="{00000000-0005-0000-0000-00001A220000}"/>
    <cellStyle name="40% - uthevingsfarge 6 38 3" xfId="5200" xr:uid="{00000000-0005-0000-0000-00001B220000}"/>
    <cellStyle name="40% - uthevingsfarge 6 38 3 2" xfId="7853" xr:uid="{00000000-0005-0000-0000-00001C220000}"/>
    <cellStyle name="40% - uthevingsfarge 6 38 4" xfId="9287" xr:uid="{00000000-0005-0000-0000-00001D220000}"/>
    <cellStyle name="40% - uthevingsfarge 6 39" xfId="2200" xr:uid="{00000000-0005-0000-0000-00001E220000}"/>
    <cellStyle name="40% - uthevingsfarge 6 39 2" xfId="2201" xr:uid="{00000000-0005-0000-0000-00001F220000}"/>
    <cellStyle name="40% - uthevingsfarge 6 39 2 2" xfId="5922" xr:uid="{00000000-0005-0000-0000-000020220000}"/>
    <cellStyle name="40% - uthevingsfarge 6 39 2 2 2" xfId="8555" xr:uid="{00000000-0005-0000-0000-000021220000}"/>
    <cellStyle name="40% - uthevingsfarge 6 39 2 3" xfId="10340" xr:uid="{00000000-0005-0000-0000-000022220000}"/>
    <cellStyle name="40% - uthevingsfarge 6 39 3" xfId="5201" xr:uid="{00000000-0005-0000-0000-000023220000}"/>
    <cellStyle name="40% - uthevingsfarge 6 39 3 2" xfId="7854" xr:uid="{00000000-0005-0000-0000-000024220000}"/>
    <cellStyle name="40% - uthevingsfarge 6 39 4" xfId="10661" xr:uid="{00000000-0005-0000-0000-000025220000}"/>
    <cellStyle name="40% - uthevingsfarge 6 4" xfId="2202" xr:uid="{00000000-0005-0000-0000-000026220000}"/>
    <cellStyle name="40% - uthevingsfarge 6 4 2" xfId="2203" xr:uid="{00000000-0005-0000-0000-000027220000}"/>
    <cellStyle name="40% - uthevingsfarge 6 4 2 2" xfId="5923" xr:uid="{00000000-0005-0000-0000-000028220000}"/>
    <cellStyle name="40% - uthevingsfarge 6 4 2 2 2" xfId="8556" xr:uid="{00000000-0005-0000-0000-000029220000}"/>
    <cellStyle name="40% - uthevingsfarge 6 4 2 3" xfId="9764" xr:uid="{00000000-0005-0000-0000-00002A220000}"/>
    <cellStyle name="40% - uthevingsfarge 6 4 3" xfId="5202" xr:uid="{00000000-0005-0000-0000-00002B220000}"/>
    <cellStyle name="40% - uthevingsfarge 6 4 3 2" xfId="7855" xr:uid="{00000000-0005-0000-0000-00002C220000}"/>
    <cellStyle name="40% - uthevingsfarge 6 4 4" xfId="9286" xr:uid="{00000000-0005-0000-0000-00002D220000}"/>
    <cellStyle name="40% - uthevingsfarge 6 40" xfId="2204" xr:uid="{00000000-0005-0000-0000-00002E220000}"/>
    <cellStyle name="40% - uthevingsfarge 6 40 2" xfId="2205" xr:uid="{00000000-0005-0000-0000-00002F220000}"/>
    <cellStyle name="40% - uthevingsfarge 6 40 2 2" xfId="5924" xr:uid="{00000000-0005-0000-0000-000030220000}"/>
    <cellStyle name="40% - uthevingsfarge 6 40 2 2 2" xfId="8557" xr:uid="{00000000-0005-0000-0000-000031220000}"/>
    <cellStyle name="40% - uthevingsfarge 6 40 2 3" xfId="10339" xr:uid="{00000000-0005-0000-0000-000032220000}"/>
    <cellStyle name="40% - uthevingsfarge 6 40 3" xfId="5203" xr:uid="{00000000-0005-0000-0000-000033220000}"/>
    <cellStyle name="40% - uthevingsfarge 6 40 3 2" xfId="7856" xr:uid="{00000000-0005-0000-0000-000034220000}"/>
    <cellStyle name="40% - uthevingsfarge 6 40 4" xfId="10660" xr:uid="{00000000-0005-0000-0000-000035220000}"/>
    <cellStyle name="40% - uthevingsfarge 6 41" xfId="2206" xr:uid="{00000000-0005-0000-0000-000036220000}"/>
    <cellStyle name="40% - uthevingsfarge 6 41 2" xfId="2207" xr:uid="{00000000-0005-0000-0000-000037220000}"/>
    <cellStyle name="40% - uthevingsfarge 6 41 2 2" xfId="5925" xr:uid="{00000000-0005-0000-0000-000038220000}"/>
    <cellStyle name="40% - uthevingsfarge 6 41 2 2 2" xfId="8558" xr:uid="{00000000-0005-0000-0000-000039220000}"/>
    <cellStyle name="40% - uthevingsfarge 6 41 2 3" xfId="9763" xr:uid="{00000000-0005-0000-0000-00003A220000}"/>
    <cellStyle name="40% - uthevingsfarge 6 41 3" xfId="5204" xr:uid="{00000000-0005-0000-0000-00003B220000}"/>
    <cellStyle name="40% - uthevingsfarge 6 41 3 2" xfId="7857" xr:uid="{00000000-0005-0000-0000-00003C220000}"/>
    <cellStyle name="40% - uthevingsfarge 6 41 4" xfId="9285" xr:uid="{00000000-0005-0000-0000-00003D220000}"/>
    <cellStyle name="40% - uthevingsfarge 6 42" xfId="2208" xr:uid="{00000000-0005-0000-0000-00003E220000}"/>
    <cellStyle name="40% - uthevingsfarge 6 42 2" xfId="2209" xr:uid="{00000000-0005-0000-0000-00003F220000}"/>
    <cellStyle name="40% - uthevingsfarge 6 42 2 2" xfId="5926" xr:uid="{00000000-0005-0000-0000-000040220000}"/>
    <cellStyle name="40% - uthevingsfarge 6 42 2 2 2" xfId="8559" xr:uid="{00000000-0005-0000-0000-000041220000}"/>
    <cellStyle name="40% - uthevingsfarge 6 42 2 3" xfId="10338" xr:uid="{00000000-0005-0000-0000-000042220000}"/>
    <cellStyle name="40% - uthevingsfarge 6 42 3" xfId="5205" xr:uid="{00000000-0005-0000-0000-000043220000}"/>
    <cellStyle name="40% - uthevingsfarge 6 42 3 2" xfId="7858" xr:uid="{00000000-0005-0000-0000-000044220000}"/>
    <cellStyle name="40% - uthevingsfarge 6 42 4" xfId="10659" xr:uid="{00000000-0005-0000-0000-000045220000}"/>
    <cellStyle name="40% - uthevingsfarge 6 43" xfId="2210" xr:uid="{00000000-0005-0000-0000-000046220000}"/>
    <cellStyle name="40% - uthevingsfarge 6 43 2" xfId="2211" xr:uid="{00000000-0005-0000-0000-000047220000}"/>
    <cellStyle name="40% - uthevingsfarge 6 43 2 2" xfId="5927" xr:uid="{00000000-0005-0000-0000-000048220000}"/>
    <cellStyle name="40% - uthevingsfarge 6 43 2 2 2" xfId="8560" xr:uid="{00000000-0005-0000-0000-000049220000}"/>
    <cellStyle name="40% - uthevingsfarge 6 43 2 3" xfId="9762" xr:uid="{00000000-0005-0000-0000-00004A220000}"/>
    <cellStyle name="40% - uthevingsfarge 6 43 3" xfId="5206" xr:uid="{00000000-0005-0000-0000-00004B220000}"/>
    <cellStyle name="40% - uthevingsfarge 6 43 3 2" xfId="7859" xr:uid="{00000000-0005-0000-0000-00004C220000}"/>
    <cellStyle name="40% - uthevingsfarge 6 43 4" xfId="9284" xr:uid="{00000000-0005-0000-0000-00004D220000}"/>
    <cellStyle name="40% - uthevingsfarge 6 44" xfId="2212" xr:uid="{00000000-0005-0000-0000-00004E220000}"/>
    <cellStyle name="40% - uthevingsfarge 6 44 2" xfId="2213" xr:uid="{00000000-0005-0000-0000-00004F220000}"/>
    <cellStyle name="40% - uthevingsfarge 6 44 2 2" xfId="5928" xr:uid="{00000000-0005-0000-0000-000050220000}"/>
    <cellStyle name="40% - uthevingsfarge 6 44 2 2 2" xfId="8561" xr:uid="{00000000-0005-0000-0000-000051220000}"/>
    <cellStyle name="40% - uthevingsfarge 6 44 2 3" xfId="10337" xr:uid="{00000000-0005-0000-0000-000052220000}"/>
    <cellStyle name="40% - uthevingsfarge 6 44 3" xfId="5207" xr:uid="{00000000-0005-0000-0000-000053220000}"/>
    <cellStyle name="40% - uthevingsfarge 6 44 3 2" xfId="7860" xr:uid="{00000000-0005-0000-0000-000054220000}"/>
    <cellStyle name="40% - uthevingsfarge 6 44 4" xfId="10658" xr:uid="{00000000-0005-0000-0000-000055220000}"/>
    <cellStyle name="40% - uthevingsfarge 6 45" xfId="2214" xr:uid="{00000000-0005-0000-0000-000056220000}"/>
    <cellStyle name="40% - uthevingsfarge 6 45 2" xfId="2215" xr:uid="{00000000-0005-0000-0000-000057220000}"/>
    <cellStyle name="40% - uthevingsfarge 6 45 2 2" xfId="5929" xr:uid="{00000000-0005-0000-0000-000058220000}"/>
    <cellStyle name="40% - uthevingsfarge 6 45 2 2 2" xfId="8562" xr:uid="{00000000-0005-0000-0000-000059220000}"/>
    <cellStyle name="40% - uthevingsfarge 6 45 2 3" xfId="9761" xr:uid="{00000000-0005-0000-0000-00005A220000}"/>
    <cellStyle name="40% - uthevingsfarge 6 45 3" xfId="5208" xr:uid="{00000000-0005-0000-0000-00005B220000}"/>
    <cellStyle name="40% - uthevingsfarge 6 45 3 2" xfId="7861" xr:uid="{00000000-0005-0000-0000-00005C220000}"/>
    <cellStyle name="40% - uthevingsfarge 6 45 4" xfId="9283" xr:uid="{00000000-0005-0000-0000-00005D220000}"/>
    <cellStyle name="40% - uthevingsfarge 6 46" xfId="2216" xr:uid="{00000000-0005-0000-0000-00005E220000}"/>
    <cellStyle name="40% - uthevingsfarge 6 46 2" xfId="2217" xr:uid="{00000000-0005-0000-0000-00005F220000}"/>
    <cellStyle name="40% - uthevingsfarge 6 46 2 2" xfId="5930" xr:uid="{00000000-0005-0000-0000-000060220000}"/>
    <cellStyle name="40% - uthevingsfarge 6 46 2 2 2" xfId="8563" xr:uid="{00000000-0005-0000-0000-000061220000}"/>
    <cellStyle name="40% - uthevingsfarge 6 46 2 3" xfId="10336" xr:uid="{00000000-0005-0000-0000-000062220000}"/>
    <cellStyle name="40% - uthevingsfarge 6 46 3" xfId="5209" xr:uid="{00000000-0005-0000-0000-000063220000}"/>
    <cellStyle name="40% - uthevingsfarge 6 46 3 2" xfId="7862" xr:uid="{00000000-0005-0000-0000-000064220000}"/>
    <cellStyle name="40% - uthevingsfarge 6 46 4" xfId="10657" xr:uid="{00000000-0005-0000-0000-000065220000}"/>
    <cellStyle name="40% - uthevingsfarge 6 47" xfId="2218" xr:uid="{00000000-0005-0000-0000-000066220000}"/>
    <cellStyle name="40% - uthevingsfarge 6 47 2" xfId="2219" xr:uid="{00000000-0005-0000-0000-000067220000}"/>
    <cellStyle name="40% - uthevingsfarge 6 47 2 2" xfId="5931" xr:uid="{00000000-0005-0000-0000-000068220000}"/>
    <cellStyle name="40% - uthevingsfarge 6 47 2 2 2" xfId="8564" xr:uid="{00000000-0005-0000-0000-000069220000}"/>
    <cellStyle name="40% - uthevingsfarge 6 47 2 3" xfId="9760" xr:uid="{00000000-0005-0000-0000-00006A220000}"/>
    <cellStyle name="40% - uthevingsfarge 6 47 3" xfId="5210" xr:uid="{00000000-0005-0000-0000-00006B220000}"/>
    <cellStyle name="40% - uthevingsfarge 6 47 3 2" xfId="7863" xr:uid="{00000000-0005-0000-0000-00006C220000}"/>
    <cellStyle name="40% - uthevingsfarge 6 47 4" xfId="9282" xr:uid="{00000000-0005-0000-0000-00006D220000}"/>
    <cellStyle name="40% - uthevingsfarge 6 48" xfId="2220" xr:uid="{00000000-0005-0000-0000-00006E220000}"/>
    <cellStyle name="40% - uthevingsfarge 6 48 2" xfId="2221" xr:uid="{00000000-0005-0000-0000-00006F220000}"/>
    <cellStyle name="40% - uthevingsfarge 6 48 2 2" xfId="5932" xr:uid="{00000000-0005-0000-0000-000070220000}"/>
    <cellStyle name="40% - uthevingsfarge 6 48 2 2 2" xfId="8565" xr:uid="{00000000-0005-0000-0000-000071220000}"/>
    <cellStyle name="40% - uthevingsfarge 6 48 2 3" xfId="10335" xr:uid="{00000000-0005-0000-0000-000072220000}"/>
    <cellStyle name="40% - uthevingsfarge 6 48 3" xfId="5211" xr:uid="{00000000-0005-0000-0000-000073220000}"/>
    <cellStyle name="40% - uthevingsfarge 6 48 3 2" xfId="7864" xr:uid="{00000000-0005-0000-0000-000074220000}"/>
    <cellStyle name="40% - uthevingsfarge 6 48 4" xfId="10656" xr:uid="{00000000-0005-0000-0000-000075220000}"/>
    <cellStyle name="40% - uthevingsfarge 6 49" xfId="2222" xr:uid="{00000000-0005-0000-0000-000076220000}"/>
    <cellStyle name="40% - uthevingsfarge 6 49 2" xfId="2223" xr:uid="{00000000-0005-0000-0000-000077220000}"/>
    <cellStyle name="40% - uthevingsfarge 6 49 2 2" xfId="5933" xr:uid="{00000000-0005-0000-0000-000078220000}"/>
    <cellStyle name="40% - uthevingsfarge 6 49 2 2 2" xfId="8566" xr:uid="{00000000-0005-0000-0000-000079220000}"/>
    <cellStyle name="40% - uthevingsfarge 6 49 2 3" xfId="9759" xr:uid="{00000000-0005-0000-0000-00007A220000}"/>
    <cellStyle name="40% - uthevingsfarge 6 49 3" xfId="5212" xr:uid="{00000000-0005-0000-0000-00007B220000}"/>
    <cellStyle name="40% - uthevingsfarge 6 49 3 2" xfId="7865" xr:uid="{00000000-0005-0000-0000-00007C220000}"/>
    <cellStyle name="40% - uthevingsfarge 6 49 4" xfId="9281" xr:uid="{00000000-0005-0000-0000-00007D220000}"/>
    <cellStyle name="40% - uthevingsfarge 6 5" xfId="2224" xr:uid="{00000000-0005-0000-0000-00007E220000}"/>
    <cellStyle name="40% - uthevingsfarge 6 5 2" xfId="2225" xr:uid="{00000000-0005-0000-0000-00007F220000}"/>
    <cellStyle name="40% - uthevingsfarge 6 5 2 2" xfId="5934" xr:uid="{00000000-0005-0000-0000-000080220000}"/>
    <cellStyle name="40% - uthevingsfarge 6 5 2 2 2" xfId="8567" xr:uid="{00000000-0005-0000-0000-000081220000}"/>
    <cellStyle name="40% - uthevingsfarge 6 5 2 3" xfId="10334" xr:uid="{00000000-0005-0000-0000-000082220000}"/>
    <cellStyle name="40% - uthevingsfarge 6 5 3" xfId="5213" xr:uid="{00000000-0005-0000-0000-000083220000}"/>
    <cellStyle name="40% - uthevingsfarge 6 5 3 2" xfId="7866" xr:uid="{00000000-0005-0000-0000-000084220000}"/>
    <cellStyle name="40% - uthevingsfarge 6 5 4" xfId="10655" xr:uid="{00000000-0005-0000-0000-000085220000}"/>
    <cellStyle name="40% - uthevingsfarge 6 50" xfId="2226" xr:uid="{00000000-0005-0000-0000-000086220000}"/>
    <cellStyle name="40% - uthevingsfarge 6 50 2" xfId="2227" xr:uid="{00000000-0005-0000-0000-000087220000}"/>
    <cellStyle name="40% - uthevingsfarge 6 50 2 2" xfId="5935" xr:uid="{00000000-0005-0000-0000-000088220000}"/>
    <cellStyle name="40% - uthevingsfarge 6 50 2 2 2" xfId="8568" xr:uid="{00000000-0005-0000-0000-000089220000}"/>
    <cellStyle name="40% - uthevingsfarge 6 50 2 3" xfId="9758" xr:uid="{00000000-0005-0000-0000-00008A220000}"/>
    <cellStyle name="40% - uthevingsfarge 6 50 3" xfId="5214" xr:uid="{00000000-0005-0000-0000-00008B220000}"/>
    <cellStyle name="40% - uthevingsfarge 6 50 3 2" xfId="7867" xr:uid="{00000000-0005-0000-0000-00008C220000}"/>
    <cellStyle name="40% - uthevingsfarge 6 50 4" xfId="9280" xr:uid="{00000000-0005-0000-0000-00008D220000}"/>
    <cellStyle name="40% - uthevingsfarge 6 51" xfId="2228" xr:uid="{00000000-0005-0000-0000-00008E220000}"/>
    <cellStyle name="40% - uthevingsfarge 6 51 2" xfId="2229" xr:uid="{00000000-0005-0000-0000-00008F220000}"/>
    <cellStyle name="40% - uthevingsfarge 6 51 2 2" xfId="5936" xr:uid="{00000000-0005-0000-0000-000090220000}"/>
    <cellStyle name="40% - uthevingsfarge 6 51 2 2 2" xfId="8569" xr:uid="{00000000-0005-0000-0000-000091220000}"/>
    <cellStyle name="40% - uthevingsfarge 6 51 2 3" xfId="10333" xr:uid="{00000000-0005-0000-0000-000092220000}"/>
    <cellStyle name="40% - uthevingsfarge 6 51 3" xfId="5215" xr:uid="{00000000-0005-0000-0000-000093220000}"/>
    <cellStyle name="40% - uthevingsfarge 6 51 3 2" xfId="7868" xr:uid="{00000000-0005-0000-0000-000094220000}"/>
    <cellStyle name="40% - uthevingsfarge 6 51 4" xfId="10654" xr:uid="{00000000-0005-0000-0000-000095220000}"/>
    <cellStyle name="40% - uthevingsfarge 6 52" xfId="2230" xr:uid="{00000000-0005-0000-0000-000096220000}"/>
    <cellStyle name="40% - uthevingsfarge 6 52 2" xfId="2231" xr:uid="{00000000-0005-0000-0000-000097220000}"/>
    <cellStyle name="40% - uthevingsfarge 6 52 2 2" xfId="5937" xr:uid="{00000000-0005-0000-0000-000098220000}"/>
    <cellStyle name="40% - uthevingsfarge 6 52 2 2 2" xfId="8570" xr:uid="{00000000-0005-0000-0000-000099220000}"/>
    <cellStyle name="40% - uthevingsfarge 6 52 2 3" xfId="9757" xr:uid="{00000000-0005-0000-0000-00009A220000}"/>
    <cellStyle name="40% - uthevingsfarge 6 52 3" xfId="5216" xr:uid="{00000000-0005-0000-0000-00009B220000}"/>
    <cellStyle name="40% - uthevingsfarge 6 52 3 2" xfId="7869" xr:uid="{00000000-0005-0000-0000-00009C220000}"/>
    <cellStyle name="40% - uthevingsfarge 6 52 4" xfId="9279" xr:uid="{00000000-0005-0000-0000-00009D220000}"/>
    <cellStyle name="40% - uthevingsfarge 6 53" xfId="2232" xr:uid="{00000000-0005-0000-0000-00009E220000}"/>
    <cellStyle name="40% - uthevingsfarge 6 53 2" xfId="2233" xr:uid="{00000000-0005-0000-0000-00009F220000}"/>
    <cellStyle name="40% - uthevingsfarge 6 53 2 2" xfId="5938" xr:uid="{00000000-0005-0000-0000-0000A0220000}"/>
    <cellStyle name="40% - uthevingsfarge 6 53 2 2 2" xfId="8571" xr:uid="{00000000-0005-0000-0000-0000A1220000}"/>
    <cellStyle name="40% - uthevingsfarge 6 53 2 3" xfId="10332" xr:uid="{00000000-0005-0000-0000-0000A2220000}"/>
    <cellStyle name="40% - uthevingsfarge 6 53 3" xfId="5217" xr:uid="{00000000-0005-0000-0000-0000A3220000}"/>
    <cellStyle name="40% - uthevingsfarge 6 53 3 2" xfId="7870" xr:uid="{00000000-0005-0000-0000-0000A4220000}"/>
    <cellStyle name="40% - uthevingsfarge 6 53 4" xfId="10653" xr:uid="{00000000-0005-0000-0000-0000A5220000}"/>
    <cellStyle name="40% - uthevingsfarge 6 54" xfId="2234" xr:uid="{00000000-0005-0000-0000-0000A6220000}"/>
    <cellStyle name="40% - uthevingsfarge 6 54 2" xfId="2235" xr:uid="{00000000-0005-0000-0000-0000A7220000}"/>
    <cellStyle name="40% - uthevingsfarge 6 54 2 2" xfId="5939" xr:uid="{00000000-0005-0000-0000-0000A8220000}"/>
    <cellStyle name="40% - uthevingsfarge 6 54 2 2 2" xfId="8572" xr:uid="{00000000-0005-0000-0000-0000A9220000}"/>
    <cellStyle name="40% - uthevingsfarge 6 54 2 3" xfId="9756" xr:uid="{00000000-0005-0000-0000-0000AA220000}"/>
    <cellStyle name="40% - uthevingsfarge 6 54 3" xfId="5218" xr:uid="{00000000-0005-0000-0000-0000AB220000}"/>
    <cellStyle name="40% - uthevingsfarge 6 54 3 2" xfId="7871" xr:uid="{00000000-0005-0000-0000-0000AC220000}"/>
    <cellStyle name="40% - uthevingsfarge 6 54 4" xfId="9278" xr:uid="{00000000-0005-0000-0000-0000AD220000}"/>
    <cellStyle name="40% - uthevingsfarge 6 55" xfId="2236" xr:uid="{00000000-0005-0000-0000-0000AE220000}"/>
    <cellStyle name="40% - uthevingsfarge 6 55 2" xfId="2237" xr:uid="{00000000-0005-0000-0000-0000AF220000}"/>
    <cellStyle name="40% - uthevingsfarge 6 55 2 2" xfId="5940" xr:uid="{00000000-0005-0000-0000-0000B0220000}"/>
    <cellStyle name="40% - uthevingsfarge 6 55 2 2 2" xfId="8573" xr:uid="{00000000-0005-0000-0000-0000B1220000}"/>
    <cellStyle name="40% - uthevingsfarge 6 55 2 3" xfId="10331" xr:uid="{00000000-0005-0000-0000-0000B2220000}"/>
    <cellStyle name="40% - uthevingsfarge 6 55 3" xfId="5219" xr:uid="{00000000-0005-0000-0000-0000B3220000}"/>
    <cellStyle name="40% - uthevingsfarge 6 55 3 2" xfId="7872" xr:uid="{00000000-0005-0000-0000-0000B4220000}"/>
    <cellStyle name="40% - uthevingsfarge 6 55 4" xfId="10652" xr:uid="{00000000-0005-0000-0000-0000B5220000}"/>
    <cellStyle name="40% - uthevingsfarge 6 56" xfId="2238" xr:uid="{00000000-0005-0000-0000-0000B6220000}"/>
    <cellStyle name="40% - uthevingsfarge 6 56 2" xfId="2239" xr:uid="{00000000-0005-0000-0000-0000B7220000}"/>
    <cellStyle name="40% - uthevingsfarge 6 56 2 2" xfId="5941" xr:uid="{00000000-0005-0000-0000-0000B8220000}"/>
    <cellStyle name="40% - uthevingsfarge 6 56 2 2 2" xfId="8574" xr:uid="{00000000-0005-0000-0000-0000B9220000}"/>
    <cellStyle name="40% - uthevingsfarge 6 56 2 3" xfId="9755" xr:uid="{00000000-0005-0000-0000-0000BA220000}"/>
    <cellStyle name="40% - uthevingsfarge 6 56 3" xfId="5220" xr:uid="{00000000-0005-0000-0000-0000BB220000}"/>
    <cellStyle name="40% - uthevingsfarge 6 56 3 2" xfId="7873" xr:uid="{00000000-0005-0000-0000-0000BC220000}"/>
    <cellStyle name="40% - uthevingsfarge 6 56 4" xfId="9277" xr:uid="{00000000-0005-0000-0000-0000BD220000}"/>
    <cellStyle name="40% - uthevingsfarge 6 57" xfId="2240" xr:uid="{00000000-0005-0000-0000-0000BE220000}"/>
    <cellStyle name="40% - uthevingsfarge 6 57 2" xfId="2241" xr:uid="{00000000-0005-0000-0000-0000BF220000}"/>
    <cellStyle name="40% - uthevingsfarge 6 57 2 2" xfId="5942" xr:uid="{00000000-0005-0000-0000-0000C0220000}"/>
    <cellStyle name="40% - uthevingsfarge 6 57 2 2 2" xfId="8575" xr:uid="{00000000-0005-0000-0000-0000C1220000}"/>
    <cellStyle name="40% - uthevingsfarge 6 57 2 3" xfId="10157" xr:uid="{00000000-0005-0000-0000-0000C2220000}"/>
    <cellStyle name="40% - uthevingsfarge 6 57 3" xfId="5221" xr:uid="{00000000-0005-0000-0000-0000C3220000}"/>
    <cellStyle name="40% - uthevingsfarge 6 57 3 2" xfId="7874" xr:uid="{00000000-0005-0000-0000-0000C4220000}"/>
    <cellStyle name="40% - uthevingsfarge 6 57 4" xfId="9276" xr:uid="{00000000-0005-0000-0000-0000C5220000}"/>
    <cellStyle name="40% - uthevingsfarge 6 58" xfId="2242" xr:uid="{00000000-0005-0000-0000-0000C6220000}"/>
    <cellStyle name="40% - uthevingsfarge 6 58 2" xfId="2243" xr:uid="{00000000-0005-0000-0000-0000C7220000}"/>
    <cellStyle name="40% - uthevingsfarge 6 58 2 2" xfId="5943" xr:uid="{00000000-0005-0000-0000-0000C8220000}"/>
    <cellStyle name="40% - uthevingsfarge 6 58 2 2 2" xfId="8576" xr:uid="{00000000-0005-0000-0000-0000C9220000}"/>
    <cellStyle name="40% - uthevingsfarge 6 58 2 3" xfId="9275" xr:uid="{00000000-0005-0000-0000-0000CA220000}"/>
    <cellStyle name="40% - uthevingsfarge 6 58 3" xfId="5222" xr:uid="{00000000-0005-0000-0000-0000CB220000}"/>
    <cellStyle name="40% - uthevingsfarge 6 58 3 2" xfId="7875" xr:uid="{00000000-0005-0000-0000-0000CC220000}"/>
    <cellStyle name="40% - uthevingsfarge 6 58 4" xfId="9274" xr:uid="{00000000-0005-0000-0000-0000CD220000}"/>
    <cellStyle name="40% - uthevingsfarge 6 59" xfId="2244" xr:uid="{00000000-0005-0000-0000-0000CE220000}"/>
    <cellStyle name="40% - uthevingsfarge 6 59 2" xfId="2245" xr:uid="{00000000-0005-0000-0000-0000CF220000}"/>
    <cellStyle name="40% - uthevingsfarge 6 59 2 2" xfId="5944" xr:uid="{00000000-0005-0000-0000-0000D0220000}"/>
    <cellStyle name="40% - uthevingsfarge 6 59 2 2 2" xfId="8577" xr:uid="{00000000-0005-0000-0000-0000D1220000}"/>
    <cellStyle name="40% - uthevingsfarge 6 59 2 3" xfId="9273" xr:uid="{00000000-0005-0000-0000-0000D2220000}"/>
    <cellStyle name="40% - uthevingsfarge 6 59 3" xfId="5223" xr:uid="{00000000-0005-0000-0000-0000D3220000}"/>
    <cellStyle name="40% - uthevingsfarge 6 59 3 2" xfId="7876" xr:uid="{00000000-0005-0000-0000-0000D4220000}"/>
    <cellStyle name="40% - uthevingsfarge 6 59 4" xfId="10100" xr:uid="{00000000-0005-0000-0000-0000D5220000}"/>
    <cellStyle name="40% - uthevingsfarge 6 6" xfId="2246" xr:uid="{00000000-0005-0000-0000-0000D6220000}"/>
    <cellStyle name="40% - uthevingsfarge 6 6 2" xfId="2247" xr:uid="{00000000-0005-0000-0000-0000D7220000}"/>
    <cellStyle name="40% - uthevingsfarge 6 6 2 2" xfId="5945" xr:uid="{00000000-0005-0000-0000-0000D8220000}"/>
    <cellStyle name="40% - uthevingsfarge 6 6 2 2 2" xfId="8578" xr:uid="{00000000-0005-0000-0000-0000D9220000}"/>
    <cellStyle name="40% - uthevingsfarge 6 6 2 3" xfId="9272" xr:uid="{00000000-0005-0000-0000-0000DA220000}"/>
    <cellStyle name="40% - uthevingsfarge 6 6 3" xfId="5224" xr:uid="{00000000-0005-0000-0000-0000DB220000}"/>
    <cellStyle name="40% - uthevingsfarge 6 6 3 2" xfId="7877" xr:uid="{00000000-0005-0000-0000-0000DC220000}"/>
    <cellStyle name="40% - uthevingsfarge 6 6 4" xfId="9271" xr:uid="{00000000-0005-0000-0000-0000DD220000}"/>
    <cellStyle name="40% - uthevingsfarge 6 60" xfId="2248" xr:uid="{00000000-0005-0000-0000-0000DE220000}"/>
    <cellStyle name="40% - uthevingsfarge 6 60 2" xfId="2249" xr:uid="{00000000-0005-0000-0000-0000DF220000}"/>
    <cellStyle name="40% - uthevingsfarge 6 60 3" xfId="9270" xr:uid="{00000000-0005-0000-0000-0000E0220000}"/>
    <cellStyle name="40% - uthevingsfarge 6 61" xfId="2250" xr:uid="{00000000-0005-0000-0000-0000E1220000}"/>
    <cellStyle name="40% - uthevingsfarge 6 61 2" xfId="2251" xr:uid="{00000000-0005-0000-0000-0000E2220000}"/>
    <cellStyle name="40% - uthevingsfarge 6 62" xfId="2252" xr:uid="{00000000-0005-0000-0000-0000E3220000}"/>
    <cellStyle name="40% - uthevingsfarge 6 62 2" xfId="2253" xr:uid="{00000000-0005-0000-0000-0000E4220000}"/>
    <cellStyle name="40% - uthevingsfarge 6 63" xfId="2254" xr:uid="{00000000-0005-0000-0000-0000E5220000}"/>
    <cellStyle name="40% - uthevingsfarge 6 63 2" xfId="2255" xr:uid="{00000000-0005-0000-0000-0000E6220000}"/>
    <cellStyle name="40% - uthevingsfarge 6 64" xfId="2256" xr:uid="{00000000-0005-0000-0000-0000E7220000}"/>
    <cellStyle name="40% - uthevingsfarge 6 64 2" xfId="2257" xr:uid="{00000000-0005-0000-0000-0000E8220000}"/>
    <cellStyle name="40% - uthevingsfarge 6 65" xfId="2258" xr:uid="{00000000-0005-0000-0000-0000E9220000}"/>
    <cellStyle name="40% - uthevingsfarge 6 65 2" xfId="2259" xr:uid="{00000000-0005-0000-0000-0000EA220000}"/>
    <cellStyle name="40% - uthevingsfarge 6 66" xfId="2260" xr:uid="{00000000-0005-0000-0000-0000EB220000}"/>
    <cellStyle name="40% - uthevingsfarge 6 66 2" xfId="2261" xr:uid="{00000000-0005-0000-0000-0000EC220000}"/>
    <cellStyle name="40% - uthevingsfarge 6 67" xfId="2262" xr:uid="{00000000-0005-0000-0000-0000ED220000}"/>
    <cellStyle name="40% - uthevingsfarge 6 67 2" xfId="2263" xr:uid="{00000000-0005-0000-0000-0000EE220000}"/>
    <cellStyle name="40% - uthevingsfarge 6 68" xfId="2264" xr:uid="{00000000-0005-0000-0000-0000EF220000}"/>
    <cellStyle name="40% - uthevingsfarge 6 68 2" xfId="2265" xr:uid="{00000000-0005-0000-0000-0000F0220000}"/>
    <cellStyle name="40% - uthevingsfarge 6 69" xfId="2266" xr:uid="{00000000-0005-0000-0000-0000F1220000}"/>
    <cellStyle name="40% - uthevingsfarge 6 69 2" xfId="2267" xr:uid="{00000000-0005-0000-0000-0000F2220000}"/>
    <cellStyle name="40% - uthevingsfarge 6 7" xfId="2268" xr:uid="{00000000-0005-0000-0000-0000F3220000}"/>
    <cellStyle name="40% - uthevingsfarge 6 7 2" xfId="2269" xr:uid="{00000000-0005-0000-0000-0000F4220000}"/>
    <cellStyle name="40% - uthevingsfarge 6 7 2 2" xfId="5946" xr:uid="{00000000-0005-0000-0000-0000F5220000}"/>
    <cellStyle name="40% - uthevingsfarge 6 7 2 2 2" xfId="8579" xr:uid="{00000000-0005-0000-0000-0000F6220000}"/>
    <cellStyle name="40% - uthevingsfarge 6 7 2 3" xfId="9269" xr:uid="{00000000-0005-0000-0000-0000F7220000}"/>
    <cellStyle name="40% - uthevingsfarge 6 7 3" xfId="5225" xr:uid="{00000000-0005-0000-0000-0000F8220000}"/>
    <cellStyle name="40% - uthevingsfarge 6 7 3 2" xfId="7878" xr:uid="{00000000-0005-0000-0000-0000F9220000}"/>
    <cellStyle name="40% - uthevingsfarge 6 7 4" xfId="9268" xr:uid="{00000000-0005-0000-0000-0000FA220000}"/>
    <cellStyle name="40% - uthevingsfarge 6 70" xfId="2270" xr:uid="{00000000-0005-0000-0000-0000FB220000}"/>
    <cellStyle name="40% - uthevingsfarge 6 70 2" xfId="2271" xr:uid="{00000000-0005-0000-0000-0000FC220000}"/>
    <cellStyle name="40% - uthevingsfarge 6 71" xfId="2272" xr:uid="{00000000-0005-0000-0000-0000FD220000}"/>
    <cellStyle name="40% - uthevingsfarge 6 71 2" xfId="2273" xr:uid="{00000000-0005-0000-0000-0000FE220000}"/>
    <cellStyle name="40% - uthevingsfarge 6 72" xfId="2274" xr:uid="{00000000-0005-0000-0000-0000FF220000}"/>
    <cellStyle name="40% - uthevingsfarge 6 72 2" xfId="2275" xr:uid="{00000000-0005-0000-0000-000000230000}"/>
    <cellStyle name="40% - uthevingsfarge 6 73" xfId="2276" xr:uid="{00000000-0005-0000-0000-000001230000}"/>
    <cellStyle name="40% - uthevingsfarge 6 73 2" xfId="2277" xr:uid="{00000000-0005-0000-0000-000002230000}"/>
    <cellStyle name="40% - uthevingsfarge 6 74" xfId="2278" xr:uid="{00000000-0005-0000-0000-000003230000}"/>
    <cellStyle name="40% - uthevingsfarge 6 74 2" xfId="2279" xr:uid="{00000000-0005-0000-0000-000004230000}"/>
    <cellStyle name="40% - uthevingsfarge 6 75" xfId="2280" xr:uid="{00000000-0005-0000-0000-000005230000}"/>
    <cellStyle name="40% - uthevingsfarge 6 75 2" xfId="2281" xr:uid="{00000000-0005-0000-0000-000006230000}"/>
    <cellStyle name="40% - uthevingsfarge 6 76" xfId="2282" xr:uid="{00000000-0005-0000-0000-000007230000}"/>
    <cellStyle name="40% - uthevingsfarge 6 76 2" xfId="2283" xr:uid="{00000000-0005-0000-0000-000008230000}"/>
    <cellStyle name="40% - uthevingsfarge 6 77" xfId="2284" xr:uid="{00000000-0005-0000-0000-000009230000}"/>
    <cellStyle name="40% - uthevingsfarge 6 78" xfId="2285" xr:uid="{00000000-0005-0000-0000-00000A230000}"/>
    <cellStyle name="40% - uthevingsfarge 6 79" xfId="2286" xr:uid="{00000000-0005-0000-0000-00000B230000}"/>
    <cellStyle name="40% - uthevingsfarge 6 8" xfId="2287" xr:uid="{00000000-0005-0000-0000-00000C230000}"/>
    <cellStyle name="40% - uthevingsfarge 6 8 2" xfId="2288" xr:uid="{00000000-0005-0000-0000-00000D230000}"/>
    <cellStyle name="40% - uthevingsfarge 6 8 2 2" xfId="5947" xr:uid="{00000000-0005-0000-0000-00000E230000}"/>
    <cellStyle name="40% - uthevingsfarge 6 8 2 2 2" xfId="8580" xr:uid="{00000000-0005-0000-0000-00000F230000}"/>
    <cellStyle name="40% - uthevingsfarge 6 8 2 3" xfId="9267" xr:uid="{00000000-0005-0000-0000-000010230000}"/>
    <cellStyle name="40% - uthevingsfarge 6 8 3" xfId="5226" xr:uid="{00000000-0005-0000-0000-000011230000}"/>
    <cellStyle name="40% - uthevingsfarge 6 8 3 2" xfId="7879" xr:uid="{00000000-0005-0000-0000-000012230000}"/>
    <cellStyle name="40% - uthevingsfarge 6 8 4" xfId="9266" xr:uid="{00000000-0005-0000-0000-000013230000}"/>
    <cellStyle name="40% - uthevingsfarge 6 80" xfId="2289" xr:uid="{00000000-0005-0000-0000-000014230000}"/>
    <cellStyle name="40% - uthevingsfarge 6 81" xfId="2290" xr:uid="{00000000-0005-0000-0000-000015230000}"/>
    <cellStyle name="40% - uthevingsfarge 6 82" xfId="2291" xr:uid="{00000000-0005-0000-0000-000016230000}"/>
    <cellStyle name="40% - uthevingsfarge 6 83" xfId="2292" xr:uid="{00000000-0005-0000-0000-000017230000}"/>
    <cellStyle name="40% - uthevingsfarge 6 84" xfId="2293" xr:uid="{00000000-0005-0000-0000-000018230000}"/>
    <cellStyle name="40% - uthevingsfarge 6 85" xfId="2294" xr:uid="{00000000-0005-0000-0000-000019230000}"/>
    <cellStyle name="40% - uthevingsfarge 6 86" xfId="2295" xr:uid="{00000000-0005-0000-0000-00001A230000}"/>
    <cellStyle name="40% - uthevingsfarge 6 87" xfId="2296" xr:uid="{00000000-0005-0000-0000-00001B230000}"/>
    <cellStyle name="40% - uthevingsfarge 6 88" xfId="2297" xr:uid="{00000000-0005-0000-0000-00001C230000}"/>
    <cellStyle name="40% - uthevingsfarge 6 89" xfId="2298" xr:uid="{00000000-0005-0000-0000-00001D230000}"/>
    <cellStyle name="40% - uthevingsfarge 6 9" xfId="2299" xr:uid="{00000000-0005-0000-0000-00001E230000}"/>
    <cellStyle name="40% - uthevingsfarge 6 9 2" xfId="2300" xr:uid="{00000000-0005-0000-0000-00001F230000}"/>
    <cellStyle name="40% - uthevingsfarge 6 9 2 2" xfId="5948" xr:uid="{00000000-0005-0000-0000-000020230000}"/>
    <cellStyle name="40% - uthevingsfarge 6 9 2 2 2" xfId="8581" xr:uid="{00000000-0005-0000-0000-000021230000}"/>
    <cellStyle name="40% - uthevingsfarge 6 9 2 3" xfId="10099" xr:uid="{00000000-0005-0000-0000-000022230000}"/>
    <cellStyle name="40% - uthevingsfarge 6 9 3" xfId="5227" xr:uid="{00000000-0005-0000-0000-000023230000}"/>
    <cellStyle name="40% - uthevingsfarge 6 9 3 2" xfId="7880" xr:uid="{00000000-0005-0000-0000-000024230000}"/>
    <cellStyle name="40% - uthevingsfarge 6 9 4" xfId="10156" xr:uid="{00000000-0005-0000-0000-000025230000}"/>
    <cellStyle name="40% - uthevingsfarge 6 90" xfId="2301" xr:uid="{00000000-0005-0000-0000-000026230000}"/>
    <cellStyle name="40% - uthevingsfarge 6 90 2" xfId="2959" xr:uid="{00000000-0005-0000-0000-000027230000}"/>
    <cellStyle name="40% - uthevingsfarge 6 90 2 2" xfId="3479" xr:uid="{00000000-0005-0000-0000-000028230000}"/>
    <cellStyle name="40% - uthevingsfarge 6 90 2 2 2" xfId="7064" xr:uid="{00000000-0005-0000-0000-000029230000}"/>
    <cellStyle name="40% - uthevingsfarge 6 90 2 3" xfId="3697" xr:uid="{00000000-0005-0000-0000-00002A230000}"/>
    <cellStyle name="40% - uthevingsfarge 6 90 2 4" xfId="6532" xr:uid="{00000000-0005-0000-0000-00002B230000}"/>
    <cellStyle name="40% - uthevingsfarge 6 90 2 5" xfId="9064" xr:uid="{00000000-0005-0000-0000-00002C230000}"/>
    <cellStyle name="40% - uthevingsfarge 6 90 3" xfId="3478" xr:uid="{00000000-0005-0000-0000-00002D230000}"/>
    <cellStyle name="40% - uthevingsfarge 6 90 3 2" xfId="7063" xr:uid="{00000000-0005-0000-0000-00002E230000}"/>
    <cellStyle name="40% - uthevingsfarge 6 90 4" xfId="3788" xr:uid="{00000000-0005-0000-0000-00002F230000}"/>
    <cellStyle name="40% - uthevingsfarge 6 90 5" xfId="6247" xr:uid="{00000000-0005-0000-0000-000030230000}"/>
    <cellStyle name="40% - uthevingsfarge 6 90 6" xfId="9063" xr:uid="{00000000-0005-0000-0000-000031230000}"/>
    <cellStyle name="40% - uthevingsfarge 6 91" xfId="2302" xr:uid="{00000000-0005-0000-0000-000032230000}"/>
    <cellStyle name="40% - uthevingsfarge 6 91 2" xfId="2960" xr:uid="{00000000-0005-0000-0000-000033230000}"/>
    <cellStyle name="40% - uthevingsfarge 6 91 2 2" xfId="3481" xr:uid="{00000000-0005-0000-0000-000034230000}"/>
    <cellStyle name="40% - uthevingsfarge 6 91 2 2 2" xfId="7066" xr:uid="{00000000-0005-0000-0000-000035230000}"/>
    <cellStyle name="40% - uthevingsfarge 6 91 2 3" xfId="3696" xr:uid="{00000000-0005-0000-0000-000036230000}"/>
    <cellStyle name="40% - uthevingsfarge 6 91 2 4" xfId="6533" xr:uid="{00000000-0005-0000-0000-000037230000}"/>
    <cellStyle name="40% - uthevingsfarge 6 91 2 5" xfId="9066" xr:uid="{00000000-0005-0000-0000-000038230000}"/>
    <cellStyle name="40% - uthevingsfarge 6 91 3" xfId="3480" xr:uid="{00000000-0005-0000-0000-000039230000}"/>
    <cellStyle name="40% - uthevingsfarge 6 91 3 2" xfId="7065" xr:uid="{00000000-0005-0000-0000-00003A230000}"/>
    <cellStyle name="40% - uthevingsfarge 6 91 4" xfId="3787" xr:uid="{00000000-0005-0000-0000-00003B230000}"/>
    <cellStyle name="40% - uthevingsfarge 6 91 5" xfId="6248" xr:uid="{00000000-0005-0000-0000-00003C230000}"/>
    <cellStyle name="40% - uthevingsfarge 6 91 6" xfId="9065" xr:uid="{00000000-0005-0000-0000-00003D230000}"/>
    <cellStyle name="40% - uthevingsfarge 6 92" xfId="2303" xr:uid="{00000000-0005-0000-0000-00003E230000}"/>
    <cellStyle name="40% - uthevingsfarge 6 92 2" xfId="2961" xr:uid="{00000000-0005-0000-0000-00003F230000}"/>
    <cellStyle name="40% - uthevingsfarge 6 92 2 2" xfId="3483" xr:uid="{00000000-0005-0000-0000-000040230000}"/>
    <cellStyle name="40% - uthevingsfarge 6 92 2 2 2" xfId="7068" xr:uid="{00000000-0005-0000-0000-000041230000}"/>
    <cellStyle name="40% - uthevingsfarge 6 92 2 3" xfId="3695" xr:uid="{00000000-0005-0000-0000-000042230000}"/>
    <cellStyle name="40% - uthevingsfarge 6 92 2 4" xfId="6534" xr:uid="{00000000-0005-0000-0000-000043230000}"/>
    <cellStyle name="40% - uthevingsfarge 6 92 2 5" xfId="9068" xr:uid="{00000000-0005-0000-0000-000044230000}"/>
    <cellStyle name="40% - uthevingsfarge 6 92 3" xfId="3482" xr:uid="{00000000-0005-0000-0000-000045230000}"/>
    <cellStyle name="40% - uthevingsfarge 6 92 3 2" xfId="7067" xr:uid="{00000000-0005-0000-0000-000046230000}"/>
    <cellStyle name="40% - uthevingsfarge 6 92 4" xfId="3786" xr:uid="{00000000-0005-0000-0000-000047230000}"/>
    <cellStyle name="40% - uthevingsfarge 6 92 5" xfId="6249" xr:uid="{00000000-0005-0000-0000-000048230000}"/>
    <cellStyle name="40% - uthevingsfarge 6 92 6" xfId="9067" xr:uid="{00000000-0005-0000-0000-000049230000}"/>
    <cellStyle name="40% - uthevingsfarge 6 93" xfId="2304" xr:uid="{00000000-0005-0000-0000-00004A230000}"/>
    <cellStyle name="40% - uthevingsfarge 6 93 2" xfId="2962" xr:uid="{00000000-0005-0000-0000-00004B230000}"/>
    <cellStyle name="40% - uthevingsfarge 6 93 2 2" xfId="3485" xr:uid="{00000000-0005-0000-0000-00004C230000}"/>
    <cellStyle name="40% - uthevingsfarge 6 93 2 2 2" xfId="7070" xr:uid="{00000000-0005-0000-0000-00004D230000}"/>
    <cellStyle name="40% - uthevingsfarge 6 93 2 3" xfId="3694" xr:uid="{00000000-0005-0000-0000-00004E230000}"/>
    <cellStyle name="40% - uthevingsfarge 6 93 2 4" xfId="6535" xr:uid="{00000000-0005-0000-0000-00004F230000}"/>
    <cellStyle name="40% - uthevingsfarge 6 93 2 5" xfId="9070" xr:uid="{00000000-0005-0000-0000-000050230000}"/>
    <cellStyle name="40% - uthevingsfarge 6 93 3" xfId="3484" xr:uid="{00000000-0005-0000-0000-000051230000}"/>
    <cellStyle name="40% - uthevingsfarge 6 93 3 2" xfId="7069" xr:uid="{00000000-0005-0000-0000-000052230000}"/>
    <cellStyle name="40% - uthevingsfarge 6 93 4" xfId="3785" xr:uid="{00000000-0005-0000-0000-000053230000}"/>
    <cellStyle name="40% - uthevingsfarge 6 93 5" xfId="6250" xr:uid="{00000000-0005-0000-0000-000054230000}"/>
    <cellStyle name="40% - uthevingsfarge 6 93 6" xfId="9069" xr:uid="{00000000-0005-0000-0000-000055230000}"/>
    <cellStyle name="40% - uthevingsfarge 6 94" xfId="2305" xr:uid="{00000000-0005-0000-0000-000056230000}"/>
    <cellStyle name="40% - uthevingsfarge 6 94 2" xfId="2963" xr:uid="{00000000-0005-0000-0000-000057230000}"/>
    <cellStyle name="40% - uthevingsfarge 6 94 2 2" xfId="3487" xr:uid="{00000000-0005-0000-0000-000058230000}"/>
    <cellStyle name="40% - uthevingsfarge 6 94 2 2 2" xfId="7072" xr:uid="{00000000-0005-0000-0000-000059230000}"/>
    <cellStyle name="40% - uthevingsfarge 6 94 2 3" xfId="3693" xr:uid="{00000000-0005-0000-0000-00005A230000}"/>
    <cellStyle name="40% - uthevingsfarge 6 94 2 4" xfId="6536" xr:uid="{00000000-0005-0000-0000-00005B230000}"/>
    <cellStyle name="40% - uthevingsfarge 6 94 2 5" xfId="9072" xr:uid="{00000000-0005-0000-0000-00005C230000}"/>
    <cellStyle name="40% - uthevingsfarge 6 94 3" xfId="3486" xr:uid="{00000000-0005-0000-0000-00005D230000}"/>
    <cellStyle name="40% - uthevingsfarge 6 94 3 2" xfId="7071" xr:uid="{00000000-0005-0000-0000-00005E230000}"/>
    <cellStyle name="40% - uthevingsfarge 6 94 4" xfId="3784" xr:uid="{00000000-0005-0000-0000-00005F230000}"/>
    <cellStyle name="40% - uthevingsfarge 6 94 5" xfId="6251" xr:uid="{00000000-0005-0000-0000-000060230000}"/>
    <cellStyle name="40% - uthevingsfarge 6 94 6" xfId="9071" xr:uid="{00000000-0005-0000-0000-000061230000}"/>
    <cellStyle name="40% - uthevingsfarge 6 95" xfId="2306" xr:uid="{00000000-0005-0000-0000-000062230000}"/>
    <cellStyle name="40% - uthevingsfarge 6 95 2" xfId="2964" xr:uid="{00000000-0005-0000-0000-000063230000}"/>
    <cellStyle name="40% - uthevingsfarge 6 95 2 2" xfId="3489" xr:uid="{00000000-0005-0000-0000-000064230000}"/>
    <cellStyle name="40% - uthevingsfarge 6 95 2 2 2" xfId="7074" xr:uid="{00000000-0005-0000-0000-000065230000}"/>
    <cellStyle name="40% - uthevingsfarge 6 95 2 3" xfId="3692" xr:uid="{00000000-0005-0000-0000-000066230000}"/>
    <cellStyle name="40% - uthevingsfarge 6 95 2 4" xfId="6537" xr:uid="{00000000-0005-0000-0000-000067230000}"/>
    <cellStyle name="40% - uthevingsfarge 6 95 2 5" xfId="9074" xr:uid="{00000000-0005-0000-0000-000068230000}"/>
    <cellStyle name="40% - uthevingsfarge 6 95 3" xfId="3488" xr:uid="{00000000-0005-0000-0000-000069230000}"/>
    <cellStyle name="40% - uthevingsfarge 6 95 3 2" xfId="7073" xr:uid="{00000000-0005-0000-0000-00006A230000}"/>
    <cellStyle name="40% - uthevingsfarge 6 95 4" xfId="3783" xr:uid="{00000000-0005-0000-0000-00006B230000}"/>
    <cellStyle name="40% - uthevingsfarge 6 95 5" xfId="6252" xr:uid="{00000000-0005-0000-0000-00006C230000}"/>
    <cellStyle name="40% - uthevingsfarge 6 95 6" xfId="9073" xr:uid="{00000000-0005-0000-0000-00006D230000}"/>
    <cellStyle name="40% - uthevingsfarge 6 96" xfId="2307" xr:uid="{00000000-0005-0000-0000-00006E230000}"/>
    <cellStyle name="40% - uthevingsfarge 6 96 2" xfId="2965" xr:uid="{00000000-0005-0000-0000-00006F230000}"/>
    <cellStyle name="40% - uthevingsfarge 6 96 2 2" xfId="3491" xr:uid="{00000000-0005-0000-0000-000070230000}"/>
    <cellStyle name="40% - uthevingsfarge 6 96 2 2 2" xfId="7076" xr:uid="{00000000-0005-0000-0000-000071230000}"/>
    <cellStyle name="40% - uthevingsfarge 6 96 2 3" xfId="3954" xr:uid="{00000000-0005-0000-0000-000072230000}"/>
    <cellStyle name="40% - uthevingsfarge 6 96 2 4" xfId="6538" xr:uid="{00000000-0005-0000-0000-000073230000}"/>
    <cellStyle name="40% - uthevingsfarge 6 96 2 5" xfId="9076" xr:uid="{00000000-0005-0000-0000-000074230000}"/>
    <cellStyle name="40% - uthevingsfarge 6 96 3" xfId="3490" xr:uid="{00000000-0005-0000-0000-000075230000}"/>
    <cellStyle name="40% - uthevingsfarge 6 96 3 2" xfId="7075" xr:uid="{00000000-0005-0000-0000-000076230000}"/>
    <cellStyle name="40% - uthevingsfarge 6 96 4" xfId="3782" xr:uid="{00000000-0005-0000-0000-000077230000}"/>
    <cellStyle name="40% - uthevingsfarge 6 96 5" xfId="6253" xr:uid="{00000000-0005-0000-0000-000078230000}"/>
    <cellStyle name="40% - uthevingsfarge 6 96 6" xfId="9075" xr:uid="{00000000-0005-0000-0000-000079230000}"/>
    <cellStyle name="40% - uthevingsfarge 6 97" xfId="2308" xr:uid="{00000000-0005-0000-0000-00007A230000}"/>
    <cellStyle name="40% - uthevingsfarge 6 97 2" xfId="2966" xr:uid="{00000000-0005-0000-0000-00007B230000}"/>
    <cellStyle name="40% - uthevingsfarge 6 97 2 2" xfId="3493" xr:uid="{00000000-0005-0000-0000-00007C230000}"/>
    <cellStyle name="40% - uthevingsfarge 6 97 2 2 2" xfId="7078" xr:uid="{00000000-0005-0000-0000-00007D230000}"/>
    <cellStyle name="40% - uthevingsfarge 6 97 2 3" xfId="3955" xr:uid="{00000000-0005-0000-0000-00007E230000}"/>
    <cellStyle name="40% - uthevingsfarge 6 97 2 4" xfId="6539" xr:uid="{00000000-0005-0000-0000-00007F230000}"/>
    <cellStyle name="40% - uthevingsfarge 6 97 2 5" xfId="9078" xr:uid="{00000000-0005-0000-0000-000080230000}"/>
    <cellStyle name="40% - uthevingsfarge 6 97 3" xfId="3492" xr:uid="{00000000-0005-0000-0000-000081230000}"/>
    <cellStyle name="40% - uthevingsfarge 6 97 3 2" xfId="7077" xr:uid="{00000000-0005-0000-0000-000082230000}"/>
    <cellStyle name="40% - uthevingsfarge 6 97 4" xfId="3781" xr:uid="{00000000-0005-0000-0000-000083230000}"/>
    <cellStyle name="40% - uthevingsfarge 6 97 5" xfId="6254" xr:uid="{00000000-0005-0000-0000-000084230000}"/>
    <cellStyle name="40% - uthevingsfarge 6 97 6" xfId="9077" xr:uid="{00000000-0005-0000-0000-000085230000}"/>
    <cellStyle name="40% - uthevingsfarge 6 98" xfId="2309" xr:uid="{00000000-0005-0000-0000-000086230000}"/>
    <cellStyle name="40% - uthevingsfarge 6 98 2" xfId="2967" xr:uid="{00000000-0005-0000-0000-000087230000}"/>
    <cellStyle name="40% - uthevingsfarge 6 98 2 2" xfId="3495" xr:uid="{00000000-0005-0000-0000-000088230000}"/>
    <cellStyle name="40% - uthevingsfarge 6 98 2 2 2" xfId="7080" xr:uid="{00000000-0005-0000-0000-000089230000}"/>
    <cellStyle name="40% - uthevingsfarge 6 98 2 3" xfId="3909" xr:uid="{00000000-0005-0000-0000-00008A230000}"/>
    <cellStyle name="40% - uthevingsfarge 6 98 2 4" xfId="6540" xr:uid="{00000000-0005-0000-0000-00008B230000}"/>
    <cellStyle name="40% - uthevingsfarge 6 98 2 5" xfId="9080" xr:uid="{00000000-0005-0000-0000-00008C230000}"/>
    <cellStyle name="40% - uthevingsfarge 6 98 3" xfId="3494" xr:uid="{00000000-0005-0000-0000-00008D230000}"/>
    <cellStyle name="40% - uthevingsfarge 6 98 3 2" xfId="7079" xr:uid="{00000000-0005-0000-0000-00008E230000}"/>
    <cellStyle name="40% - uthevingsfarge 6 98 4" xfId="3780" xr:uid="{00000000-0005-0000-0000-00008F230000}"/>
    <cellStyle name="40% - uthevingsfarge 6 98 5" xfId="6255" xr:uid="{00000000-0005-0000-0000-000090230000}"/>
    <cellStyle name="40% - uthevingsfarge 6 98 6" xfId="9079" xr:uid="{00000000-0005-0000-0000-000091230000}"/>
    <cellStyle name="40% - uthevingsfarge 6 99" xfId="2310" xr:uid="{00000000-0005-0000-0000-000092230000}"/>
    <cellStyle name="40% - uthevingsfarge 6 99 2" xfId="2968" xr:uid="{00000000-0005-0000-0000-000093230000}"/>
    <cellStyle name="40% - uthevingsfarge 6 99 2 2" xfId="3497" xr:uid="{00000000-0005-0000-0000-000094230000}"/>
    <cellStyle name="40% - uthevingsfarge 6 99 2 2 2" xfId="7082" xr:uid="{00000000-0005-0000-0000-000095230000}"/>
    <cellStyle name="40% - uthevingsfarge 6 99 2 3" xfId="3691" xr:uid="{00000000-0005-0000-0000-000096230000}"/>
    <cellStyle name="40% - uthevingsfarge 6 99 2 4" xfId="6541" xr:uid="{00000000-0005-0000-0000-000097230000}"/>
    <cellStyle name="40% - uthevingsfarge 6 99 2 5" xfId="9082" xr:uid="{00000000-0005-0000-0000-000098230000}"/>
    <cellStyle name="40% - uthevingsfarge 6 99 3" xfId="3496" xr:uid="{00000000-0005-0000-0000-000099230000}"/>
    <cellStyle name="40% - uthevingsfarge 6 99 3 2" xfId="7081" xr:uid="{00000000-0005-0000-0000-00009A230000}"/>
    <cellStyle name="40% - uthevingsfarge 6 99 4" xfId="3779" xr:uid="{00000000-0005-0000-0000-00009B230000}"/>
    <cellStyle name="40% - uthevingsfarge 6 99 5" xfId="6256" xr:uid="{00000000-0005-0000-0000-00009C230000}"/>
    <cellStyle name="40% - uthevingsfarge 6 99 6" xfId="9081" xr:uid="{00000000-0005-0000-0000-00009D230000}"/>
    <cellStyle name="60 % - uthevingsfarge 1" xfId="11317" xr:uid="{A9EB5E49-F9CB-4905-933F-9EB0BC2233F7}"/>
    <cellStyle name="60 % – uthevingsfarge 1 2" xfId="11016" xr:uid="{00000000-0005-0000-0000-0000DE230000}"/>
    <cellStyle name="60 % - uthevingsfarge 2" xfId="11318" xr:uid="{91DAD08A-56CE-4CDE-BE32-17F2147B2C7C}"/>
    <cellStyle name="60 % – uthevingsfarge 2 2" xfId="11017" xr:uid="{00000000-0005-0000-0000-0000E0230000}"/>
    <cellStyle name="60 % - uthevingsfarge 3" xfId="11319" xr:uid="{5EEDC855-AAD2-4761-AF7B-4E6FABC7AA4D}"/>
    <cellStyle name="60 % – uthevingsfarge 3 2" xfId="11018" xr:uid="{00000000-0005-0000-0000-0000E2230000}"/>
    <cellStyle name="60 % - uthevingsfarge 4" xfId="11320" xr:uid="{ABDB80D3-99F0-44A4-8733-A478C8736149}"/>
    <cellStyle name="60 % – uthevingsfarge 4 2" xfId="11019" xr:uid="{00000000-0005-0000-0000-0000E4230000}"/>
    <cellStyle name="60 % - uthevingsfarge 5" xfId="11321" xr:uid="{10A30FCF-4F20-4F21-9123-D581D8E510A8}"/>
    <cellStyle name="60 % – uthevingsfarge 5 2" xfId="11020" xr:uid="{00000000-0005-0000-0000-0000E6230000}"/>
    <cellStyle name="60 % - uthevingsfarge 6" xfId="11322" xr:uid="{C51AA1B5-D3CF-4C27-992A-B318641C90EB}"/>
    <cellStyle name="60 % – uthevingsfarge 6 2" xfId="11021" xr:uid="{00000000-0005-0000-0000-0000E8230000}"/>
    <cellStyle name="60% - 1. jelölőszín" xfId="4198" xr:uid="{00000000-0005-0000-0000-0000A4230000}"/>
    <cellStyle name="60% - 2. jelölőszín" xfId="4199" xr:uid="{00000000-0005-0000-0000-0000A5230000}"/>
    <cellStyle name="60% - 3. jelölőszín" xfId="4200" xr:uid="{00000000-0005-0000-0000-0000A6230000}"/>
    <cellStyle name="60% - 4. jelölőszín" xfId="4201" xr:uid="{00000000-0005-0000-0000-0000A7230000}"/>
    <cellStyle name="60% - 5. jelölőszín" xfId="4202" xr:uid="{00000000-0005-0000-0000-0000A8230000}"/>
    <cellStyle name="60% - 6. jelölőszín" xfId="4203" xr:uid="{00000000-0005-0000-0000-0000A9230000}"/>
    <cellStyle name="60% - Accent1 2" xfId="10784" xr:uid="{00000000-0005-0000-0000-0000AA230000}"/>
    <cellStyle name="60% - Accent2 2" xfId="10785" xr:uid="{00000000-0005-0000-0000-0000AB230000}"/>
    <cellStyle name="60% - Accent3 2" xfId="10786" xr:uid="{00000000-0005-0000-0000-0000AC230000}"/>
    <cellStyle name="60% - Accent4 2" xfId="10787" xr:uid="{00000000-0005-0000-0000-0000AD230000}"/>
    <cellStyle name="60% - Accent5 2" xfId="10788" xr:uid="{00000000-0005-0000-0000-0000AE230000}"/>
    <cellStyle name="60% - Accent6 2" xfId="10789" xr:uid="{00000000-0005-0000-0000-0000AF230000}"/>
    <cellStyle name="60% - Énfasis1" xfId="4204" xr:uid="{00000000-0005-0000-0000-0000B0230000}"/>
    <cellStyle name="60% - Énfasis2" xfId="4205" xr:uid="{00000000-0005-0000-0000-0000B1230000}"/>
    <cellStyle name="60% - Énfasis3" xfId="4206" xr:uid="{00000000-0005-0000-0000-0000B2230000}"/>
    <cellStyle name="60% - Énfasis4" xfId="4207" xr:uid="{00000000-0005-0000-0000-0000B3230000}"/>
    <cellStyle name="60% - Énfasis5" xfId="4208" xr:uid="{00000000-0005-0000-0000-0000B4230000}"/>
    <cellStyle name="60% - Énfasis6" xfId="4209" xr:uid="{00000000-0005-0000-0000-0000B5230000}"/>
    <cellStyle name="60% - uthevingsfarge 1 2" xfId="73" xr:uid="{00000000-0005-0000-0000-0000B6230000}"/>
    <cellStyle name="60% - uthevingsfarge 1 2 2" xfId="2311" xr:uid="{00000000-0005-0000-0000-0000B7230000}"/>
    <cellStyle name="60% - uthevingsfarge 2 2" xfId="74" xr:uid="{00000000-0005-0000-0000-0000B8230000}"/>
    <cellStyle name="60% - uthevingsfarge 2 2 2" xfId="2312" xr:uid="{00000000-0005-0000-0000-0000B9230000}"/>
    <cellStyle name="60% - uthevingsfarge 3 2" xfId="75" xr:uid="{00000000-0005-0000-0000-0000BA230000}"/>
    <cellStyle name="60% - uthevingsfarge 3 2 2" xfId="2313" xr:uid="{00000000-0005-0000-0000-0000BB230000}"/>
    <cellStyle name="60% - uthevingsfarge 4 2" xfId="76" xr:uid="{00000000-0005-0000-0000-0000BC230000}"/>
    <cellStyle name="60% - uthevingsfarge 4 2 2" xfId="2314" xr:uid="{00000000-0005-0000-0000-0000BD230000}"/>
    <cellStyle name="60% - uthevingsfarge 5 2" xfId="77" xr:uid="{00000000-0005-0000-0000-0000BE230000}"/>
    <cellStyle name="60% - uthevingsfarge 5 2 2" xfId="2315" xr:uid="{00000000-0005-0000-0000-0000BF230000}"/>
    <cellStyle name="60% - uthevingsfarge 6 2" xfId="78" xr:uid="{00000000-0005-0000-0000-0000C0230000}"/>
    <cellStyle name="60% - uthevingsfarge 6 2 2" xfId="2316" xr:uid="{00000000-0005-0000-0000-0000C1230000}"/>
    <cellStyle name="Accent1" xfId="47" xr:uid="{00000000-0005-0000-0000-0000C2230000}"/>
    <cellStyle name="Accent1 2" xfId="10790" xr:uid="{00000000-0005-0000-0000-0000C3230000}"/>
    <cellStyle name="Accent2" xfId="48" xr:uid="{00000000-0005-0000-0000-0000C4230000}"/>
    <cellStyle name="Accent2 2" xfId="10791" xr:uid="{00000000-0005-0000-0000-0000C5230000}"/>
    <cellStyle name="Accent3" xfId="49" xr:uid="{00000000-0005-0000-0000-0000C6230000}"/>
    <cellStyle name="Accent3 2" xfId="10792" xr:uid="{00000000-0005-0000-0000-0000C7230000}"/>
    <cellStyle name="Accent4" xfId="50" xr:uid="{00000000-0005-0000-0000-0000C8230000}"/>
    <cellStyle name="Accent4 2" xfId="10793" xr:uid="{00000000-0005-0000-0000-0000C9230000}"/>
    <cellStyle name="Accent5" xfId="51" xr:uid="{00000000-0005-0000-0000-0000CA230000}"/>
    <cellStyle name="Accent5 2" xfId="10794" xr:uid="{00000000-0005-0000-0000-0000CB230000}"/>
    <cellStyle name="Accent6" xfId="52" xr:uid="{00000000-0005-0000-0000-0000CC230000}"/>
    <cellStyle name="Accent6 2" xfId="10795" xr:uid="{00000000-0005-0000-0000-0000CD230000}"/>
    <cellStyle name="Bad" xfId="41" xr:uid="{00000000-0005-0000-0000-0000CE230000}"/>
    <cellStyle name="Bad 2" xfId="10796" xr:uid="{00000000-0005-0000-0000-0000CF230000}"/>
    <cellStyle name="Beregning" xfId="19" builtinId="22" customBuiltin="1"/>
    <cellStyle name="Beregning 2" xfId="79" xr:uid="{00000000-0005-0000-0000-0000D1230000}"/>
    <cellStyle name="Beregning 2 2" xfId="2317" xr:uid="{00000000-0005-0000-0000-0000D2230000}"/>
    <cellStyle name="Beregning 2_Balanse" xfId="11247" xr:uid="{00000000-0005-0000-0000-0000D3230000}"/>
    <cellStyle name="Bevitel" xfId="4210" xr:uid="{00000000-0005-0000-0000-0000D4230000}"/>
    <cellStyle name="Bevitel 2" xfId="9173" xr:uid="{00000000-0005-0000-0000-0000D5230000}"/>
    <cellStyle name="Bevitel 2 2" xfId="10949" xr:uid="{00000000-0005-0000-0000-0000D6230000}"/>
    <cellStyle name="Bevitel 2 3" xfId="10980" xr:uid="{00000000-0005-0000-0000-0000D7230000}"/>
    <cellStyle name="Bevitel 2 4" xfId="10892" xr:uid="{00000000-0005-0000-0000-0000D8230000}"/>
    <cellStyle name="Bevitel 2 5" xfId="10911" xr:uid="{00000000-0005-0000-0000-0000D9230000}"/>
    <cellStyle name="Bevitel 2 6" xfId="10849" xr:uid="{00000000-0005-0000-0000-0000DA230000}"/>
    <cellStyle name="Bevitel 3" xfId="10905" xr:uid="{00000000-0005-0000-0000-0000DB230000}"/>
    <cellStyle name="Bevitel 4" xfId="10957" xr:uid="{00000000-0005-0000-0000-0000DC230000}"/>
    <cellStyle name="Bevitel 5" xfId="10981" xr:uid="{00000000-0005-0000-0000-0000DD230000}"/>
    <cellStyle name="Bevitel 6" xfId="10942" xr:uid="{00000000-0005-0000-0000-0000DE230000}"/>
    <cellStyle name="Bevitel 7" xfId="10840" xr:uid="{00000000-0005-0000-0000-0000DF230000}"/>
    <cellStyle name="Buena" xfId="4211" xr:uid="{00000000-0005-0000-0000-0000E0230000}"/>
    <cellStyle name="Calculation 2" xfId="9174" xr:uid="{00000000-0005-0000-0000-0000E1230000}"/>
    <cellStyle name="Calculation 2 2" xfId="10916" xr:uid="{00000000-0005-0000-0000-0000E2230000}"/>
    <cellStyle name="Calculation 2 3" xfId="10972" xr:uid="{00000000-0005-0000-0000-0000E3230000}"/>
    <cellStyle name="Calculation 2 4" xfId="10985" xr:uid="{00000000-0005-0000-0000-0000E4230000}"/>
    <cellStyle name="Calculation 2 5" xfId="10932" xr:uid="{00000000-0005-0000-0000-0000E5230000}"/>
    <cellStyle name="Calculation 2 6" xfId="10850" xr:uid="{00000000-0005-0000-0000-0000E6230000}"/>
    <cellStyle name="Cálculo" xfId="4212" xr:uid="{00000000-0005-0000-0000-0000E7230000}"/>
    <cellStyle name="Cálculo 2" xfId="9175" xr:uid="{00000000-0005-0000-0000-0000E8230000}"/>
    <cellStyle name="Cálculo 2 2" xfId="10913" xr:uid="{00000000-0005-0000-0000-0000E9230000}"/>
    <cellStyle name="Cálculo 2 3" xfId="10986" xr:uid="{00000000-0005-0000-0000-0000EA230000}"/>
    <cellStyle name="Cálculo 2 4" xfId="10912" xr:uid="{00000000-0005-0000-0000-0000EB230000}"/>
    <cellStyle name="Cálculo 2 5" xfId="10901" xr:uid="{00000000-0005-0000-0000-0000EC230000}"/>
    <cellStyle name="Cálculo 2 6" xfId="10851" xr:uid="{00000000-0005-0000-0000-0000ED230000}"/>
    <cellStyle name="Cálculo 3" xfId="10960" xr:uid="{00000000-0005-0000-0000-0000EE230000}"/>
    <cellStyle name="Cálculo 4" xfId="10898" xr:uid="{00000000-0005-0000-0000-0000EF230000}"/>
    <cellStyle name="Cálculo 5" xfId="10923" xr:uid="{00000000-0005-0000-0000-0000F0230000}"/>
    <cellStyle name="Cálculo 6" xfId="10939" xr:uid="{00000000-0005-0000-0000-0000F1230000}"/>
    <cellStyle name="Cálculo 7" xfId="10841" xr:uid="{00000000-0005-0000-0000-0000F2230000}"/>
    <cellStyle name="Celda de comprobación" xfId="4213" xr:uid="{00000000-0005-0000-0000-0000F3230000}"/>
    <cellStyle name="Celda vinculada" xfId="4214" xr:uid="{00000000-0005-0000-0000-0000F4230000}"/>
    <cellStyle name="Check Cell" xfId="44" xr:uid="{00000000-0005-0000-0000-0000F5230000}"/>
    <cellStyle name="Check Cell 2" xfId="10797" xr:uid="{00000000-0005-0000-0000-0000F6230000}"/>
    <cellStyle name="Cím" xfId="4215" xr:uid="{00000000-0005-0000-0000-0000F7230000}"/>
    <cellStyle name="Címsor 1" xfId="4216" xr:uid="{00000000-0005-0000-0000-0000F8230000}"/>
    <cellStyle name="Címsor 2" xfId="4217" xr:uid="{00000000-0005-0000-0000-0000F9230000}"/>
    <cellStyle name="Címsor 3" xfId="4218" xr:uid="{00000000-0005-0000-0000-0000FA230000}"/>
    <cellStyle name="Címsor 4" xfId="4219" xr:uid="{00000000-0005-0000-0000-0000FB230000}"/>
    <cellStyle name="Comma 2" xfId="9" xr:uid="{00000000-0005-0000-0000-000000000000}"/>
    <cellStyle name="Comma 2 10" xfId="11023" xr:uid="{00000000-0005-0000-0000-0000FC230000}"/>
    <cellStyle name="Comma 2 2" xfId="11024" xr:uid="{00000000-0005-0000-0000-0000FD230000}"/>
    <cellStyle name="Comma 2 2 2" xfId="11025" xr:uid="{00000000-0005-0000-0000-0000FE230000}"/>
    <cellStyle name="Comma 2 2 2 2" xfId="11026" xr:uid="{00000000-0005-0000-0000-0000FF230000}"/>
    <cellStyle name="Comma 2 2 3" xfId="11027" xr:uid="{00000000-0005-0000-0000-000000240000}"/>
    <cellStyle name="Comma 2 2 3 2" xfId="11028" xr:uid="{00000000-0005-0000-0000-000001240000}"/>
    <cellStyle name="Comma 2 2 4" xfId="11029" xr:uid="{00000000-0005-0000-0000-000002240000}"/>
    <cellStyle name="Comma 2 2 5" xfId="11030" xr:uid="{00000000-0005-0000-0000-000003240000}"/>
    <cellStyle name="Comma 2 3" xfId="11031" xr:uid="{00000000-0005-0000-0000-000004240000}"/>
    <cellStyle name="Comma 2 3 2" xfId="11032" xr:uid="{00000000-0005-0000-0000-000005240000}"/>
    <cellStyle name="Comma 2 3 2 2" xfId="11033" xr:uid="{00000000-0005-0000-0000-000006240000}"/>
    <cellStyle name="Comma 2 3 3" xfId="11034" xr:uid="{00000000-0005-0000-0000-000007240000}"/>
    <cellStyle name="Comma 2 3 3 2" xfId="11035" xr:uid="{00000000-0005-0000-0000-000008240000}"/>
    <cellStyle name="Comma 2 3 4" xfId="11036" xr:uid="{00000000-0005-0000-0000-000009240000}"/>
    <cellStyle name="Comma 2 3 5" xfId="11037" xr:uid="{00000000-0005-0000-0000-00000A240000}"/>
    <cellStyle name="Comma 2 4" xfId="11038" xr:uid="{00000000-0005-0000-0000-00000B240000}"/>
    <cellStyle name="Comma 2 4 2" xfId="11039" xr:uid="{00000000-0005-0000-0000-00000C240000}"/>
    <cellStyle name="Comma 2 4 2 2" xfId="11040" xr:uid="{00000000-0005-0000-0000-00000D240000}"/>
    <cellStyle name="Comma 2 4 3" xfId="11041" xr:uid="{00000000-0005-0000-0000-00000E240000}"/>
    <cellStyle name="Comma 2 4 3 2" xfId="11042" xr:uid="{00000000-0005-0000-0000-00000F240000}"/>
    <cellStyle name="Comma 2 4 4" xfId="11043" xr:uid="{00000000-0005-0000-0000-000010240000}"/>
    <cellStyle name="Comma 2 4 5" xfId="11044" xr:uid="{00000000-0005-0000-0000-000011240000}"/>
    <cellStyle name="Comma 2 5" xfId="11045" xr:uid="{00000000-0005-0000-0000-000012240000}"/>
    <cellStyle name="Comma 2 5 2" xfId="11046" xr:uid="{00000000-0005-0000-0000-000013240000}"/>
    <cellStyle name="Comma 2 6" xfId="11047" xr:uid="{00000000-0005-0000-0000-000014240000}"/>
    <cellStyle name="Comma 2 6 2" xfId="11048" xr:uid="{00000000-0005-0000-0000-000015240000}"/>
    <cellStyle name="Comma 2 7" xfId="11049" xr:uid="{00000000-0005-0000-0000-000016240000}"/>
    <cellStyle name="Comma 2 8" xfId="11050" xr:uid="{00000000-0005-0000-0000-000017240000}"/>
    <cellStyle name="Comma 2 9" xfId="11051" xr:uid="{00000000-0005-0000-0000-000018240000}"/>
    <cellStyle name="Comma 3" xfId="11052" xr:uid="{00000000-0005-0000-0000-000019240000}"/>
    <cellStyle name="Comma 3 2" xfId="11053" xr:uid="{00000000-0005-0000-0000-00001A240000}"/>
    <cellStyle name="Comma 3 2 2" xfId="11054" xr:uid="{00000000-0005-0000-0000-00001B240000}"/>
    <cellStyle name="Comma 3 2 2 2" xfId="11055" xr:uid="{00000000-0005-0000-0000-00001C240000}"/>
    <cellStyle name="Comma 3 2 3" xfId="11056" xr:uid="{00000000-0005-0000-0000-00001D240000}"/>
    <cellStyle name="Comma 3 2 3 2" xfId="11057" xr:uid="{00000000-0005-0000-0000-00001E240000}"/>
    <cellStyle name="Comma 3 2 4" xfId="11058" xr:uid="{00000000-0005-0000-0000-00001F240000}"/>
    <cellStyle name="Comma 3 2 5" xfId="11059" xr:uid="{00000000-0005-0000-0000-000020240000}"/>
    <cellStyle name="Comma 3 3" xfId="11060" xr:uid="{00000000-0005-0000-0000-000021240000}"/>
    <cellStyle name="Comma 3 3 2" xfId="11061" xr:uid="{00000000-0005-0000-0000-000022240000}"/>
    <cellStyle name="Comma 3 3 2 2" xfId="11062" xr:uid="{00000000-0005-0000-0000-000023240000}"/>
    <cellStyle name="Comma 3 3 3" xfId="11063" xr:uid="{00000000-0005-0000-0000-000024240000}"/>
    <cellStyle name="Comma 3 3 3 2" xfId="11064" xr:uid="{00000000-0005-0000-0000-000025240000}"/>
    <cellStyle name="Comma 3 3 4" xfId="11065" xr:uid="{00000000-0005-0000-0000-000026240000}"/>
    <cellStyle name="Comma 3 3 5" xfId="11066" xr:uid="{00000000-0005-0000-0000-000027240000}"/>
    <cellStyle name="Comma 3 4" xfId="11067" xr:uid="{00000000-0005-0000-0000-000028240000}"/>
    <cellStyle name="Comma 3 4 2" xfId="11068" xr:uid="{00000000-0005-0000-0000-000029240000}"/>
    <cellStyle name="Comma 3 4 2 2" xfId="11069" xr:uid="{00000000-0005-0000-0000-00002A240000}"/>
    <cellStyle name="Comma 3 4 3" xfId="11070" xr:uid="{00000000-0005-0000-0000-00002B240000}"/>
    <cellStyle name="Comma 3 4 3 2" xfId="11071" xr:uid="{00000000-0005-0000-0000-00002C240000}"/>
    <cellStyle name="Comma 3 4 4" xfId="11072" xr:uid="{00000000-0005-0000-0000-00002D240000}"/>
    <cellStyle name="Comma 3 4 5" xfId="11073" xr:uid="{00000000-0005-0000-0000-00002E240000}"/>
    <cellStyle name="Comma 3 5" xfId="11074" xr:uid="{00000000-0005-0000-0000-00002F240000}"/>
    <cellStyle name="Comma 3 5 2" xfId="11075" xr:uid="{00000000-0005-0000-0000-000030240000}"/>
    <cellStyle name="Comma 3 6" xfId="11076" xr:uid="{00000000-0005-0000-0000-000031240000}"/>
    <cellStyle name="Comma 3 6 2" xfId="11077" xr:uid="{00000000-0005-0000-0000-000032240000}"/>
    <cellStyle name="Comma 3 7" xfId="11078" xr:uid="{00000000-0005-0000-0000-000033240000}"/>
    <cellStyle name="Comma 3 8" xfId="11079" xr:uid="{00000000-0005-0000-0000-000034240000}"/>
    <cellStyle name="Comma 4" xfId="11080" xr:uid="{00000000-0005-0000-0000-000035240000}"/>
    <cellStyle name="Comma 4 2" xfId="11081" xr:uid="{00000000-0005-0000-0000-000036240000}"/>
    <cellStyle name="Comma 4 2 2" xfId="11082" xr:uid="{00000000-0005-0000-0000-000037240000}"/>
    <cellStyle name="Comma 4 3" xfId="11083" xr:uid="{00000000-0005-0000-0000-000038240000}"/>
    <cellStyle name="Comma 4 3 2" xfId="11084" xr:uid="{00000000-0005-0000-0000-000039240000}"/>
    <cellStyle name="Comma 4 4" xfId="11085" xr:uid="{00000000-0005-0000-0000-00003A240000}"/>
    <cellStyle name="Comma 4 5" xfId="11086" xr:uid="{00000000-0005-0000-0000-00003B240000}"/>
    <cellStyle name="Comma 5" xfId="11087" xr:uid="{00000000-0005-0000-0000-00003C240000}"/>
    <cellStyle name="Comma 5 2" xfId="11088" xr:uid="{00000000-0005-0000-0000-00003D240000}"/>
    <cellStyle name="Comma 5 2 2" xfId="11089" xr:uid="{00000000-0005-0000-0000-00003E240000}"/>
    <cellStyle name="Comma 5 3" xfId="11090" xr:uid="{00000000-0005-0000-0000-00003F240000}"/>
    <cellStyle name="Comma 5 3 2" xfId="11091" xr:uid="{00000000-0005-0000-0000-000040240000}"/>
    <cellStyle name="Comma 5 4" xfId="11092" xr:uid="{00000000-0005-0000-0000-000041240000}"/>
    <cellStyle name="Comma 5 5" xfId="11093" xr:uid="{00000000-0005-0000-0000-000042240000}"/>
    <cellStyle name="Dårlig 2" xfId="80" xr:uid="{00000000-0005-0000-0000-000043240000}"/>
    <cellStyle name="Dårlig 2 2" xfId="2318" xr:uid="{00000000-0005-0000-0000-000044240000}"/>
    <cellStyle name="Dårlig 2_Balanse" xfId="11248" xr:uid="{00000000-0005-0000-0000-000045240000}"/>
    <cellStyle name="Ellenőrzőcella" xfId="4220" xr:uid="{00000000-0005-0000-0000-000046240000}"/>
    <cellStyle name="Encabezado 4" xfId="4221" xr:uid="{00000000-0005-0000-0000-000047240000}"/>
    <cellStyle name="Énfasis1" xfId="4222" xr:uid="{00000000-0005-0000-0000-000048240000}"/>
    <cellStyle name="Énfasis2" xfId="4223" xr:uid="{00000000-0005-0000-0000-000049240000}"/>
    <cellStyle name="Énfasis3" xfId="4224" xr:uid="{00000000-0005-0000-0000-00004A240000}"/>
    <cellStyle name="Énfasis4" xfId="4225" xr:uid="{00000000-0005-0000-0000-00004B240000}"/>
    <cellStyle name="Énfasis5" xfId="4226" xr:uid="{00000000-0005-0000-0000-00004C240000}"/>
    <cellStyle name="Énfasis6" xfId="4227" xr:uid="{00000000-0005-0000-0000-00004D240000}"/>
    <cellStyle name="Entrada" xfId="4228" xr:uid="{00000000-0005-0000-0000-00004E240000}"/>
    <cellStyle name="Entrada 2" xfId="9176" xr:uid="{00000000-0005-0000-0000-00004F240000}"/>
    <cellStyle name="Entrada 2 2" xfId="10895" xr:uid="{00000000-0005-0000-0000-000050240000}"/>
    <cellStyle name="Entrada 2 3" xfId="10925" xr:uid="{00000000-0005-0000-0000-000051240000}"/>
    <cellStyle name="Entrada 2 4" xfId="10952" xr:uid="{00000000-0005-0000-0000-000052240000}"/>
    <cellStyle name="Entrada 2 5" xfId="10931" xr:uid="{00000000-0005-0000-0000-000053240000}"/>
    <cellStyle name="Entrada 2 6" xfId="10852" xr:uid="{00000000-0005-0000-0000-000054240000}"/>
    <cellStyle name="Entrada 3" xfId="10959" xr:uid="{00000000-0005-0000-0000-000055240000}"/>
    <cellStyle name="Entrada 4" xfId="10938" xr:uid="{00000000-0005-0000-0000-000056240000}"/>
    <cellStyle name="Entrada 5" xfId="10992" xr:uid="{00000000-0005-0000-0000-000057240000}"/>
    <cellStyle name="Entrada 6" xfId="10950" xr:uid="{00000000-0005-0000-0000-000058240000}"/>
    <cellStyle name="Entrada 7" xfId="10842" xr:uid="{00000000-0005-0000-0000-000059240000}"/>
    <cellStyle name="Explanatory Text" xfId="45" xr:uid="{00000000-0005-0000-0000-00005A240000}"/>
    <cellStyle name="Explanatory Text 2" xfId="9265" xr:uid="{00000000-0005-0000-0000-00005B240000}"/>
    <cellStyle name="EY%colcalc" xfId="81" xr:uid="{00000000-0005-0000-0000-00005C240000}"/>
    <cellStyle name="EY%input" xfId="82" xr:uid="{00000000-0005-0000-0000-00005D240000}"/>
    <cellStyle name="EY%rowcalc" xfId="83" xr:uid="{00000000-0005-0000-0000-00005E240000}"/>
    <cellStyle name="EY0dp" xfId="57" xr:uid="{00000000-0005-0000-0000-00005F240000}"/>
    <cellStyle name="EY1dp" xfId="84" xr:uid="{00000000-0005-0000-0000-000060240000}"/>
    <cellStyle name="EY2dp" xfId="85" xr:uid="{00000000-0005-0000-0000-000061240000}"/>
    <cellStyle name="EY3dp" xfId="86" xr:uid="{00000000-0005-0000-0000-000062240000}"/>
    <cellStyle name="EYColumnHeading" xfId="55" xr:uid="{00000000-0005-0000-0000-000063240000}"/>
    <cellStyle name="EYHeading1" xfId="87" xr:uid="{00000000-0005-0000-0000-000064240000}"/>
    <cellStyle name="EYheading2" xfId="88" xr:uid="{00000000-0005-0000-0000-000065240000}"/>
    <cellStyle name="EYheading3" xfId="89" xr:uid="{00000000-0005-0000-0000-000066240000}"/>
    <cellStyle name="EYnumber" xfId="54" xr:uid="{00000000-0005-0000-0000-000067240000}"/>
    <cellStyle name="EYnumber 2" xfId="9194" xr:uid="{00000000-0005-0000-0000-000068240000}"/>
    <cellStyle name="EYnumber 2 2" xfId="10739" xr:uid="{00000000-0005-0000-0000-000069240000}"/>
    <cellStyle name="EYnumber 2 2 2" xfId="10876" xr:uid="{00000000-0005-0000-0000-00006A240000}"/>
    <cellStyle name="EYnumber 2 2 3" xfId="10999" xr:uid="{00000000-0005-0000-0000-00006B240000}"/>
    <cellStyle name="EYnumber 2 3" xfId="10861" xr:uid="{00000000-0005-0000-0000-00006C240000}"/>
    <cellStyle name="EYnumber 2 4" xfId="10973" xr:uid="{00000000-0005-0000-0000-00006D240000}"/>
    <cellStyle name="EYnumber 2 5" xfId="10834" xr:uid="{00000000-0005-0000-0000-00006E240000}"/>
    <cellStyle name="EYnumber 3" xfId="10734" xr:uid="{00000000-0005-0000-0000-00006F240000}"/>
    <cellStyle name="EYnumber 3 2" xfId="10996" xr:uid="{00000000-0005-0000-0000-000070240000}"/>
    <cellStyle name="EYnumber 3 3" xfId="10873" xr:uid="{00000000-0005-0000-0000-000071240000}"/>
    <cellStyle name="EYnumber 4" xfId="10836" xr:uid="{00000000-0005-0000-0000-000072240000}"/>
    <cellStyle name="EYSheetHeader1" xfId="56" xr:uid="{00000000-0005-0000-0000-000073240000}"/>
    <cellStyle name="EYtext" xfId="53" xr:uid="{00000000-0005-0000-0000-000074240000}"/>
    <cellStyle name="Figyelmeztetés" xfId="4229" xr:uid="{00000000-0005-0000-0000-000075240000}"/>
    <cellStyle name="Followed Hyperlink" xfId="10098" xr:uid="{00000000-0005-0000-0000-000076240000}"/>
    <cellStyle name="Forklarende tekst 2" xfId="90" xr:uid="{00000000-0005-0000-0000-000077240000}"/>
    <cellStyle name="Forklarende tekst 2 2" xfId="2319" xr:uid="{00000000-0005-0000-0000-000078240000}"/>
    <cellStyle name="Forklarende tekst 2_Balanse" xfId="11249" xr:uid="{00000000-0005-0000-0000-000079240000}"/>
    <cellStyle name="God" xfId="17" builtinId="26" customBuiltin="1"/>
    <cellStyle name="God 2" xfId="91" xr:uid="{00000000-0005-0000-0000-00007B240000}"/>
    <cellStyle name="God 2 2" xfId="2320" xr:uid="{00000000-0005-0000-0000-00007C240000}"/>
    <cellStyle name="God 2_Balanse" xfId="11250" xr:uid="{00000000-0005-0000-0000-00007D240000}"/>
    <cellStyle name="Good 2" xfId="10798" xr:uid="{00000000-0005-0000-0000-00007E240000}"/>
    <cellStyle name="greyed" xfId="10799" xr:uid="{00000000-0005-0000-0000-00007F240000}"/>
    <cellStyle name="Heading 1" xfId="37" xr:uid="{00000000-0005-0000-0000-000080240000}"/>
    <cellStyle name="Heading 1 2" xfId="10800" xr:uid="{00000000-0005-0000-0000-000081240000}"/>
    <cellStyle name="Heading 2" xfId="38" xr:uid="{00000000-0005-0000-0000-000082240000}"/>
    <cellStyle name="Heading 2 2" xfId="10801" xr:uid="{00000000-0005-0000-0000-000083240000}"/>
    <cellStyle name="Heading 3" xfId="39" xr:uid="{00000000-0005-0000-0000-000084240000}"/>
    <cellStyle name="Heading 3 2" xfId="10802" xr:uid="{00000000-0005-0000-0000-000085240000}"/>
    <cellStyle name="Heading 4" xfId="40" xr:uid="{00000000-0005-0000-0000-000086240000}"/>
    <cellStyle name="Heading 4 2" xfId="10803" xr:uid="{00000000-0005-0000-0000-000087240000}"/>
    <cellStyle name="highlightExposure" xfId="10804" xr:uid="{00000000-0005-0000-0000-000088240000}"/>
    <cellStyle name="highlightText" xfId="10805" xr:uid="{00000000-0005-0000-0000-000089240000}"/>
    <cellStyle name="Hipervínculo 2" xfId="4230" xr:uid="{00000000-0005-0000-0000-00008A240000}"/>
    <cellStyle name="Hivatkozott cella" xfId="4231" xr:uid="{00000000-0005-0000-0000-00008B240000}"/>
    <cellStyle name="Hyperkobling" xfId="10097" builtinId="8"/>
    <cellStyle name="Hyperkobling 2" xfId="4272" xr:uid="{00000000-0005-0000-0000-00008C240000}"/>
    <cellStyle name="Hyperkobling 3" xfId="4282" xr:uid="{00000000-0005-0000-0000-00008D240000}"/>
    <cellStyle name="Hyperkobling 4" xfId="10482" xr:uid="{00000000-0005-0000-0000-00008E240000}"/>
    <cellStyle name="Hyperlink 2" xfId="4232" xr:uid="{00000000-0005-0000-0000-000090240000}"/>
    <cellStyle name="Hyperlink 3" xfId="10806" xr:uid="{00000000-0005-0000-0000-000091240000}"/>
    <cellStyle name="Hyperlink 3 2" xfId="10807" xr:uid="{00000000-0005-0000-0000-000092240000}"/>
    <cellStyle name="Incorrecto" xfId="4233" xr:uid="{00000000-0005-0000-0000-000094240000}"/>
    <cellStyle name="Inndata" xfId="18" builtinId="20" customBuiltin="1"/>
    <cellStyle name="Inndata 2" xfId="92" xr:uid="{00000000-0005-0000-0000-000096240000}"/>
    <cellStyle name="Inndata 2 2" xfId="2321" xr:uid="{00000000-0005-0000-0000-000097240000}"/>
    <cellStyle name="Inndata 2_Balanse" xfId="11251" xr:uid="{00000000-0005-0000-0000-000098240000}"/>
    <cellStyle name="Input 2" xfId="9177" xr:uid="{00000000-0005-0000-0000-000099240000}"/>
    <cellStyle name="Input 2 2" xfId="10967" xr:uid="{00000000-0005-0000-0000-00009A240000}"/>
    <cellStyle name="Input 2 3" xfId="10971" xr:uid="{00000000-0005-0000-0000-00009B240000}"/>
    <cellStyle name="Input 2 4" xfId="10989" xr:uid="{00000000-0005-0000-0000-00009C240000}"/>
    <cellStyle name="Input 2 5" xfId="10920" xr:uid="{00000000-0005-0000-0000-00009D240000}"/>
    <cellStyle name="Input 2 6" xfId="10853" xr:uid="{00000000-0005-0000-0000-00009E240000}"/>
    <cellStyle name="inputExposure" xfId="10808" xr:uid="{00000000-0005-0000-0000-00009F240000}"/>
    <cellStyle name="Jegyzet" xfId="4234" xr:uid="{00000000-0005-0000-0000-0000A0240000}"/>
    <cellStyle name="Jegyzet 2" xfId="9178" xr:uid="{00000000-0005-0000-0000-0000A1240000}"/>
    <cellStyle name="Jegyzet 2 2" xfId="10945" xr:uid="{00000000-0005-0000-0000-0000A2240000}"/>
    <cellStyle name="Jegyzet 2 3" xfId="10955" xr:uid="{00000000-0005-0000-0000-0000A3240000}"/>
    <cellStyle name="Jegyzet 2 4" xfId="10953" xr:uid="{00000000-0005-0000-0000-0000A4240000}"/>
    <cellStyle name="Jegyzet 2 5" xfId="10958" xr:uid="{00000000-0005-0000-0000-0000A5240000}"/>
    <cellStyle name="Jegyzet 2 6" xfId="10854" xr:uid="{00000000-0005-0000-0000-0000A6240000}"/>
    <cellStyle name="Jegyzet 3" xfId="10904" xr:uid="{00000000-0005-0000-0000-0000A7240000}"/>
    <cellStyle name="Jegyzet 4" xfId="10900" xr:uid="{00000000-0005-0000-0000-0000A8240000}"/>
    <cellStyle name="Jegyzet 5" xfId="10976" xr:uid="{00000000-0005-0000-0000-0000A9240000}"/>
    <cellStyle name="Jegyzet 6" xfId="10909" xr:uid="{00000000-0005-0000-0000-0000AA240000}"/>
    <cellStyle name="Jegyzet 7" xfId="10843" xr:uid="{00000000-0005-0000-0000-0000AB240000}"/>
    <cellStyle name="Jelölőszín (1)" xfId="4235" xr:uid="{00000000-0005-0000-0000-0000AC240000}"/>
    <cellStyle name="Jelölőszín (2)" xfId="4236" xr:uid="{00000000-0005-0000-0000-0000AD240000}"/>
    <cellStyle name="Jelölőszín (3)" xfId="4237" xr:uid="{00000000-0005-0000-0000-0000AE240000}"/>
    <cellStyle name="Jelölőszín (4)" xfId="4238" xr:uid="{00000000-0005-0000-0000-0000AF240000}"/>
    <cellStyle name="Jelölőszín (5)" xfId="4239" xr:uid="{00000000-0005-0000-0000-0000B0240000}"/>
    <cellStyle name="Jelölőszín (6)" xfId="4240" xr:uid="{00000000-0005-0000-0000-0000B1240000}"/>
    <cellStyle name="Jó" xfId="4241" xr:uid="{00000000-0005-0000-0000-0000B2240000}"/>
    <cellStyle name="K AVR." xfId="10575" xr:uid="{00000000-0005-0000-0000-0000B3240000}"/>
    <cellStyle name="K AVR. 2" xfId="10893" xr:uid="{00000000-0005-0000-0000-0000B4240000}"/>
    <cellStyle name="K AVR. 3" xfId="10954" xr:uid="{00000000-0005-0000-0000-0000B5240000}"/>
    <cellStyle name="K AVR. 4" xfId="10933" xr:uid="{00000000-0005-0000-0000-0000B6240000}"/>
    <cellStyle name="K AVR. 5" xfId="10961" xr:uid="{00000000-0005-0000-0000-0000B7240000}"/>
    <cellStyle name="K AVR. 6" xfId="10870" xr:uid="{00000000-0005-0000-0000-0000B8240000}"/>
    <cellStyle name="Kimenet" xfId="4242" xr:uid="{00000000-0005-0000-0000-0000B9240000}"/>
    <cellStyle name="Kimenet 2" xfId="9179" xr:uid="{00000000-0005-0000-0000-0000BA240000}"/>
    <cellStyle name="Kimenet 2 2" xfId="10927" xr:uid="{00000000-0005-0000-0000-0000BB240000}"/>
    <cellStyle name="Kimenet 2 3" xfId="10947" xr:uid="{00000000-0005-0000-0000-0000BC240000}"/>
    <cellStyle name="Kimenet 2 4" xfId="10917" xr:uid="{00000000-0005-0000-0000-0000BD240000}"/>
    <cellStyle name="Kimenet 2 5" xfId="10934" xr:uid="{00000000-0005-0000-0000-0000BE240000}"/>
    <cellStyle name="Kimenet 2 6" xfId="10855" xr:uid="{00000000-0005-0000-0000-0000BF240000}"/>
    <cellStyle name="Kimenet 3" xfId="10903" xr:uid="{00000000-0005-0000-0000-0000C0240000}"/>
    <cellStyle name="Kimenet 4" xfId="10940" xr:uid="{00000000-0005-0000-0000-0000C1240000}"/>
    <cellStyle name="Kimenet 5" xfId="10983" xr:uid="{00000000-0005-0000-0000-0000C2240000}"/>
    <cellStyle name="Kimenet 6" xfId="10982" xr:uid="{00000000-0005-0000-0000-0000C3240000}"/>
    <cellStyle name="Kimenet 7" xfId="10844" xr:uid="{00000000-0005-0000-0000-0000C4240000}"/>
    <cellStyle name="Koblet celle" xfId="20" builtinId="24" customBuiltin="1"/>
    <cellStyle name="Koblet celle 2" xfId="93" xr:uid="{00000000-0005-0000-0000-0000C6240000}"/>
    <cellStyle name="Koblet celle 2 2" xfId="2322" xr:uid="{00000000-0005-0000-0000-0000C7240000}"/>
    <cellStyle name="Koblet celle 2_Balanse" xfId="11252" xr:uid="{00000000-0005-0000-0000-0000C8240000}"/>
    <cellStyle name="Komma" xfId="1" builtinId="3"/>
    <cellStyle name="Komma 2" xfId="4000" xr:uid="{00000000-0005-0000-0000-0000CA240000}"/>
    <cellStyle name="Komma 2 2" xfId="10076" xr:uid="{00000000-0005-0000-0000-0000CB240000}"/>
    <cellStyle name="Komma 2 2 2" xfId="11022" xr:uid="{00000000-0005-0000-0000-0000CC240000}"/>
    <cellStyle name="Komma 2 3" xfId="10839" xr:uid="{00000000-0005-0000-0000-0000CD240000}"/>
    <cellStyle name="Komma 2 4" xfId="10835" xr:uid="{00000000-0005-0000-0000-0000CE240000}"/>
    <cellStyle name="Komma 2 5" xfId="11323" xr:uid="{B7251DD4-CEBA-4EB9-ABB8-63B747563BB0}"/>
    <cellStyle name="Komma 3" xfId="9185" xr:uid="{00000000-0005-0000-0000-0000CF240000}"/>
    <cellStyle name="Komma 3 2" xfId="9224" xr:uid="{00000000-0005-0000-0000-0000D0240000}"/>
    <cellStyle name="Komma 3 2 2" xfId="10743" xr:uid="{00000000-0005-0000-0000-0000D1240000}"/>
    <cellStyle name="Komma 3 2 2 2" xfId="11003" xr:uid="{00000000-0005-0000-0000-0000D2240000}"/>
    <cellStyle name="Komma 3 2 2 3" xfId="10880" xr:uid="{00000000-0005-0000-0000-0000D3240000}"/>
    <cellStyle name="Komma 3 2 3" xfId="10978" xr:uid="{00000000-0005-0000-0000-0000D4240000}"/>
    <cellStyle name="Komma 3 2 4" xfId="10865" xr:uid="{00000000-0005-0000-0000-0000D5240000}"/>
    <cellStyle name="Komma 4" xfId="9187" xr:uid="{00000000-0005-0000-0000-0000D6240000}"/>
    <cellStyle name="Komma 4 2" xfId="9202" xr:uid="{00000000-0005-0000-0000-0000D7240000}"/>
    <cellStyle name="Komma 5" xfId="9192" xr:uid="{00000000-0005-0000-0000-0000D8240000}"/>
    <cellStyle name="Komma 55" xfId="4" xr:uid="{00000000-0005-0000-0000-000003000000}"/>
    <cellStyle name="Komma 6" xfId="9220" xr:uid="{00000000-0005-0000-0000-0000D9240000}"/>
    <cellStyle name="Komma 6 2" xfId="10742" xr:uid="{00000000-0005-0000-0000-0000DA240000}"/>
    <cellStyle name="Komma 6 2 2" xfId="11002" xr:uid="{00000000-0005-0000-0000-0000DB240000}"/>
    <cellStyle name="Komma 6 2 3" xfId="10879" xr:uid="{00000000-0005-0000-0000-0000DC240000}"/>
    <cellStyle name="Komma 6 3" xfId="10977" xr:uid="{00000000-0005-0000-0000-0000DD240000}"/>
    <cellStyle name="Komma 6 4" xfId="10864" xr:uid="{00000000-0005-0000-0000-0000DE240000}"/>
    <cellStyle name="Komma 7" xfId="10733" xr:uid="{00000000-0005-0000-0000-0000DF240000}"/>
    <cellStyle name="Komma 8" xfId="35" xr:uid="{00000000-0005-0000-0000-00000A250000}"/>
    <cellStyle name="Kontrollcelle 2" xfId="94" xr:uid="{00000000-0005-0000-0000-0000E0240000}"/>
    <cellStyle name="Kontrollcelle 2 2" xfId="2323" xr:uid="{00000000-0005-0000-0000-0000E1240000}"/>
    <cellStyle name="Kontrollcelle 2_Balanse" xfId="11253" xr:uid="{00000000-0005-0000-0000-0000E2240000}"/>
    <cellStyle name="Lien hypertexte 2" xfId="4243" xr:uid="{00000000-0005-0000-0000-0000E3240000}"/>
    <cellStyle name="Lien hypertexte 3" xfId="4244" xr:uid="{00000000-0005-0000-0000-0000E4240000}"/>
    <cellStyle name="Linked Cell 2" xfId="10809" xr:uid="{00000000-0005-0000-0000-0000E5240000}"/>
    <cellStyle name="Magyarázó szöveg" xfId="4245" xr:uid="{00000000-0005-0000-0000-0000E6240000}"/>
    <cellStyle name="Merknad 10" xfId="2324" xr:uid="{00000000-0005-0000-0000-0000E7240000}"/>
    <cellStyle name="Merknad 10 2" xfId="2325" xr:uid="{00000000-0005-0000-0000-0000E8240000}"/>
    <cellStyle name="Merknad 100" xfId="2326" xr:uid="{00000000-0005-0000-0000-0000E9240000}"/>
    <cellStyle name="Merknad 101" xfId="2327" xr:uid="{00000000-0005-0000-0000-0000EA240000}"/>
    <cellStyle name="Merknad 101 2" xfId="2969" xr:uid="{00000000-0005-0000-0000-0000EB240000}"/>
    <cellStyle name="Merknad 101 2 2" xfId="3499" xr:uid="{00000000-0005-0000-0000-0000EC240000}"/>
    <cellStyle name="Merknad 101 2 2 2" xfId="7084" xr:uid="{00000000-0005-0000-0000-0000ED240000}"/>
    <cellStyle name="Merknad 101 2 3" xfId="4157" xr:uid="{00000000-0005-0000-0000-0000EE240000}"/>
    <cellStyle name="Merknad 101 2 4" xfId="6542" xr:uid="{00000000-0005-0000-0000-0000EF240000}"/>
    <cellStyle name="Merknad 101 2 5" xfId="9084" xr:uid="{00000000-0005-0000-0000-0000F0240000}"/>
    <cellStyle name="Merknad 101 3" xfId="3498" xr:uid="{00000000-0005-0000-0000-0000F1240000}"/>
    <cellStyle name="Merknad 101 3 2" xfId="7083" xr:uid="{00000000-0005-0000-0000-0000F2240000}"/>
    <cellStyle name="Merknad 101 4" xfId="3778" xr:uid="{00000000-0005-0000-0000-0000F3240000}"/>
    <cellStyle name="Merknad 101 5" xfId="6257" xr:uid="{00000000-0005-0000-0000-0000F4240000}"/>
    <cellStyle name="Merknad 101 6" xfId="9083" xr:uid="{00000000-0005-0000-0000-0000F5240000}"/>
    <cellStyle name="Merknad 102" xfId="2328" xr:uid="{00000000-0005-0000-0000-0000F6240000}"/>
    <cellStyle name="Merknad 102 2" xfId="2970" xr:uid="{00000000-0005-0000-0000-0000F7240000}"/>
    <cellStyle name="Merknad 102 2 2" xfId="3501" xr:uid="{00000000-0005-0000-0000-0000F8240000}"/>
    <cellStyle name="Merknad 102 2 2 2" xfId="7086" xr:uid="{00000000-0005-0000-0000-0000F9240000}"/>
    <cellStyle name="Merknad 102 2 3" xfId="4156" xr:uid="{00000000-0005-0000-0000-0000FA240000}"/>
    <cellStyle name="Merknad 102 2 4" xfId="6543" xr:uid="{00000000-0005-0000-0000-0000FB240000}"/>
    <cellStyle name="Merknad 102 2 5" xfId="9086" xr:uid="{00000000-0005-0000-0000-0000FC240000}"/>
    <cellStyle name="Merknad 102 3" xfId="3500" xr:uid="{00000000-0005-0000-0000-0000FD240000}"/>
    <cellStyle name="Merknad 102 3 2" xfId="7085" xr:uid="{00000000-0005-0000-0000-0000FE240000}"/>
    <cellStyle name="Merknad 102 4" xfId="3777" xr:uid="{00000000-0005-0000-0000-0000FF240000}"/>
    <cellStyle name="Merknad 102 5" xfId="6258" xr:uid="{00000000-0005-0000-0000-000000250000}"/>
    <cellStyle name="Merknad 102 6" xfId="9085" xr:uid="{00000000-0005-0000-0000-000001250000}"/>
    <cellStyle name="Merknad 103" xfId="2329" xr:uid="{00000000-0005-0000-0000-000002250000}"/>
    <cellStyle name="Merknad 103 2" xfId="2971" xr:uid="{00000000-0005-0000-0000-000003250000}"/>
    <cellStyle name="Merknad 103 2 2" xfId="3503" xr:uid="{00000000-0005-0000-0000-000004250000}"/>
    <cellStyle name="Merknad 103 2 2 2" xfId="7088" xr:uid="{00000000-0005-0000-0000-000005250000}"/>
    <cellStyle name="Merknad 103 2 3" xfId="3908" xr:uid="{00000000-0005-0000-0000-000006250000}"/>
    <cellStyle name="Merknad 103 2 4" xfId="6544" xr:uid="{00000000-0005-0000-0000-000007250000}"/>
    <cellStyle name="Merknad 103 2 5" xfId="9088" xr:uid="{00000000-0005-0000-0000-000008250000}"/>
    <cellStyle name="Merknad 103 3" xfId="3502" xr:uid="{00000000-0005-0000-0000-000009250000}"/>
    <cellStyle name="Merknad 103 3 2" xfId="7087" xr:uid="{00000000-0005-0000-0000-00000A250000}"/>
    <cellStyle name="Merknad 103 4" xfId="3776" xr:uid="{00000000-0005-0000-0000-00000B250000}"/>
    <cellStyle name="Merknad 103 5" xfId="6259" xr:uid="{00000000-0005-0000-0000-00000C250000}"/>
    <cellStyle name="Merknad 103 6" xfId="9087" xr:uid="{00000000-0005-0000-0000-00000D250000}"/>
    <cellStyle name="Merknad 104" xfId="2330" xr:uid="{00000000-0005-0000-0000-00000E250000}"/>
    <cellStyle name="Merknad 104 2" xfId="2972" xr:uid="{00000000-0005-0000-0000-00000F250000}"/>
    <cellStyle name="Merknad 104 2 2" xfId="3505" xr:uid="{00000000-0005-0000-0000-000010250000}"/>
    <cellStyle name="Merknad 104 2 2 2" xfId="7090" xr:uid="{00000000-0005-0000-0000-000011250000}"/>
    <cellStyle name="Merknad 104 2 3" xfId="3690" xr:uid="{00000000-0005-0000-0000-000012250000}"/>
    <cellStyle name="Merknad 104 2 4" xfId="6545" xr:uid="{00000000-0005-0000-0000-000013250000}"/>
    <cellStyle name="Merknad 104 2 5" xfId="9090" xr:uid="{00000000-0005-0000-0000-000014250000}"/>
    <cellStyle name="Merknad 104 3" xfId="3504" xr:uid="{00000000-0005-0000-0000-000015250000}"/>
    <cellStyle name="Merknad 104 3 2" xfId="7089" xr:uid="{00000000-0005-0000-0000-000016250000}"/>
    <cellStyle name="Merknad 104 4" xfId="3775" xr:uid="{00000000-0005-0000-0000-000017250000}"/>
    <cellStyle name="Merknad 104 5" xfId="6260" xr:uid="{00000000-0005-0000-0000-000018250000}"/>
    <cellStyle name="Merknad 104 6" xfId="9089" xr:uid="{00000000-0005-0000-0000-000019250000}"/>
    <cellStyle name="Merknad 105" xfId="2331" xr:uid="{00000000-0005-0000-0000-00001A250000}"/>
    <cellStyle name="Merknad 105 2" xfId="2973" xr:uid="{00000000-0005-0000-0000-00001B250000}"/>
    <cellStyle name="Merknad 105 2 2" xfId="3507" xr:uid="{00000000-0005-0000-0000-00001C250000}"/>
    <cellStyle name="Merknad 105 2 2 2" xfId="7092" xr:uid="{00000000-0005-0000-0000-00001D250000}"/>
    <cellStyle name="Merknad 105 2 3" xfId="3953" xr:uid="{00000000-0005-0000-0000-00001E250000}"/>
    <cellStyle name="Merknad 105 2 4" xfId="6546" xr:uid="{00000000-0005-0000-0000-00001F250000}"/>
    <cellStyle name="Merknad 105 2 5" xfId="9092" xr:uid="{00000000-0005-0000-0000-000020250000}"/>
    <cellStyle name="Merknad 105 3" xfId="3506" xr:uid="{00000000-0005-0000-0000-000021250000}"/>
    <cellStyle name="Merknad 105 3 2" xfId="7091" xr:uid="{00000000-0005-0000-0000-000022250000}"/>
    <cellStyle name="Merknad 105 4" xfId="3774" xr:uid="{00000000-0005-0000-0000-000023250000}"/>
    <cellStyle name="Merknad 105 5" xfId="6261" xr:uid="{00000000-0005-0000-0000-000024250000}"/>
    <cellStyle name="Merknad 105 6" xfId="9091" xr:uid="{00000000-0005-0000-0000-000025250000}"/>
    <cellStyle name="Merknad 106" xfId="2332" xr:uid="{00000000-0005-0000-0000-000026250000}"/>
    <cellStyle name="Merknad 106 2" xfId="2974" xr:uid="{00000000-0005-0000-0000-000027250000}"/>
    <cellStyle name="Merknad 106 2 2" xfId="3509" xr:uid="{00000000-0005-0000-0000-000028250000}"/>
    <cellStyle name="Merknad 106 2 2 2" xfId="7094" xr:uid="{00000000-0005-0000-0000-000029250000}"/>
    <cellStyle name="Merknad 106 2 3" xfId="4051" xr:uid="{00000000-0005-0000-0000-00002A250000}"/>
    <cellStyle name="Merknad 106 2 4" xfId="6547" xr:uid="{00000000-0005-0000-0000-00002B250000}"/>
    <cellStyle name="Merknad 106 2 5" xfId="9094" xr:uid="{00000000-0005-0000-0000-00002C250000}"/>
    <cellStyle name="Merknad 106 3" xfId="3508" xr:uid="{00000000-0005-0000-0000-00002D250000}"/>
    <cellStyle name="Merknad 106 3 2" xfId="7093" xr:uid="{00000000-0005-0000-0000-00002E250000}"/>
    <cellStyle name="Merknad 106 4" xfId="3773" xr:uid="{00000000-0005-0000-0000-00002F250000}"/>
    <cellStyle name="Merknad 106 5" xfId="6262" xr:uid="{00000000-0005-0000-0000-000030250000}"/>
    <cellStyle name="Merknad 106 6" xfId="9093" xr:uid="{00000000-0005-0000-0000-000031250000}"/>
    <cellStyle name="Merknad 107" xfId="2333" xr:uid="{00000000-0005-0000-0000-000032250000}"/>
    <cellStyle name="Merknad 107 2" xfId="2975" xr:uid="{00000000-0005-0000-0000-000033250000}"/>
    <cellStyle name="Merknad 107 2 2" xfId="3511" xr:uid="{00000000-0005-0000-0000-000034250000}"/>
    <cellStyle name="Merknad 107 2 2 2" xfId="7096" xr:uid="{00000000-0005-0000-0000-000035250000}"/>
    <cellStyle name="Merknad 107 2 3" xfId="3907" xr:uid="{00000000-0005-0000-0000-000036250000}"/>
    <cellStyle name="Merknad 107 2 4" xfId="6548" xr:uid="{00000000-0005-0000-0000-000037250000}"/>
    <cellStyle name="Merknad 107 2 5" xfId="9096" xr:uid="{00000000-0005-0000-0000-000038250000}"/>
    <cellStyle name="Merknad 107 3" xfId="3510" xr:uid="{00000000-0005-0000-0000-000039250000}"/>
    <cellStyle name="Merknad 107 3 2" xfId="7095" xr:uid="{00000000-0005-0000-0000-00003A250000}"/>
    <cellStyle name="Merknad 107 4" xfId="3772" xr:uid="{00000000-0005-0000-0000-00003B250000}"/>
    <cellStyle name="Merknad 107 5" xfId="6263" xr:uid="{00000000-0005-0000-0000-00003C250000}"/>
    <cellStyle name="Merknad 107 6" xfId="9095" xr:uid="{00000000-0005-0000-0000-00003D250000}"/>
    <cellStyle name="Merknad 108" xfId="2334" xr:uid="{00000000-0005-0000-0000-00003E250000}"/>
    <cellStyle name="Merknad 108 2" xfId="2976" xr:uid="{00000000-0005-0000-0000-00003F250000}"/>
    <cellStyle name="Merknad 108 2 2" xfId="3513" xr:uid="{00000000-0005-0000-0000-000040250000}"/>
    <cellStyle name="Merknad 108 2 2 2" xfId="7098" xr:uid="{00000000-0005-0000-0000-000041250000}"/>
    <cellStyle name="Merknad 108 2 3" xfId="3689" xr:uid="{00000000-0005-0000-0000-000042250000}"/>
    <cellStyle name="Merknad 108 2 4" xfId="6549" xr:uid="{00000000-0005-0000-0000-000043250000}"/>
    <cellStyle name="Merknad 108 2 5" xfId="9098" xr:uid="{00000000-0005-0000-0000-000044250000}"/>
    <cellStyle name="Merknad 108 3" xfId="3512" xr:uid="{00000000-0005-0000-0000-000045250000}"/>
    <cellStyle name="Merknad 108 3 2" xfId="7097" xr:uid="{00000000-0005-0000-0000-000046250000}"/>
    <cellStyle name="Merknad 108 4" xfId="3771" xr:uid="{00000000-0005-0000-0000-000047250000}"/>
    <cellStyle name="Merknad 108 5" xfId="6264" xr:uid="{00000000-0005-0000-0000-000048250000}"/>
    <cellStyle name="Merknad 108 6" xfId="9097" xr:uid="{00000000-0005-0000-0000-000049250000}"/>
    <cellStyle name="Merknad 109" xfId="2335" xr:uid="{00000000-0005-0000-0000-00004A250000}"/>
    <cellStyle name="Merknad 109 2" xfId="2977" xr:uid="{00000000-0005-0000-0000-00004B250000}"/>
    <cellStyle name="Merknad 109 2 2" xfId="3515" xr:uid="{00000000-0005-0000-0000-00004C250000}"/>
    <cellStyle name="Merknad 109 2 2 2" xfId="7100" xr:uid="{00000000-0005-0000-0000-00004D250000}"/>
    <cellStyle name="Merknad 109 2 3" xfId="4155" xr:uid="{00000000-0005-0000-0000-00004E250000}"/>
    <cellStyle name="Merknad 109 2 4" xfId="6550" xr:uid="{00000000-0005-0000-0000-00004F250000}"/>
    <cellStyle name="Merknad 109 2 5" xfId="9100" xr:uid="{00000000-0005-0000-0000-000050250000}"/>
    <cellStyle name="Merknad 109 3" xfId="3514" xr:uid="{00000000-0005-0000-0000-000051250000}"/>
    <cellStyle name="Merknad 109 3 2" xfId="7099" xr:uid="{00000000-0005-0000-0000-000052250000}"/>
    <cellStyle name="Merknad 109 4" xfId="3770" xr:uid="{00000000-0005-0000-0000-000053250000}"/>
    <cellStyle name="Merknad 109 5" xfId="6265" xr:uid="{00000000-0005-0000-0000-000054250000}"/>
    <cellStyle name="Merknad 109 6" xfId="9099" xr:uid="{00000000-0005-0000-0000-000055250000}"/>
    <cellStyle name="Merknad 11" xfId="2336" xr:uid="{00000000-0005-0000-0000-000056250000}"/>
    <cellStyle name="Merknad 11 2" xfId="2337" xr:uid="{00000000-0005-0000-0000-000057250000}"/>
    <cellStyle name="Merknad 110" xfId="2338" xr:uid="{00000000-0005-0000-0000-000058250000}"/>
    <cellStyle name="Merknad 110 2" xfId="2978" xr:uid="{00000000-0005-0000-0000-000059250000}"/>
    <cellStyle name="Merknad 110 2 2" xfId="3517" xr:uid="{00000000-0005-0000-0000-00005A250000}"/>
    <cellStyle name="Merknad 110 2 2 2" xfId="7102" xr:uid="{00000000-0005-0000-0000-00005B250000}"/>
    <cellStyle name="Merknad 110 2 3" xfId="4154" xr:uid="{00000000-0005-0000-0000-00005C250000}"/>
    <cellStyle name="Merknad 110 2 4" xfId="6551" xr:uid="{00000000-0005-0000-0000-00005D250000}"/>
    <cellStyle name="Merknad 110 2 5" xfId="9102" xr:uid="{00000000-0005-0000-0000-00005E250000}"/>
    <cellStyle name="Merknad 110 3" xfId="3516" xr:uid="{00000000-0005-0000-0000-00005F250000}"/>
    <cellStyle name="Merknad 110 3 2" xfId="7101" xr:uid="{00000000-0005-0000-0000-000060250000}"/>
    <cellStyle name="Merknad 110 4" xfId="3769" xr:uid="{00000000-0005-0000-0000-000061250000}"/>
    <cellStyle name="Merknad 110 5" xfId="6266" xr:uid="{00000000-0005-0000-0000-000062250000}"/>
    <cellStyle name="Merknad 110 6" xfId="9101" xr:uid="{00000000-0005-0000-0000-000063250000}"/>
    <cellStyle name="Merknad 111" xfId="2339" xr:uid="{00000000-0005-0000-0000-000064250000}"/>
    <cellStyle name="Merknad 111 2" xfId="2979" xr:uid="{00000000-0005-0000-0000-000065250000}"/>
    <cellStyle name="Merknad 111 2 2" xfId="3519" xr:uid="{00000000-0005-0000-0000-000066250000}"/>
    <cellStyle name="Merknad 111 2 2 2" xfId="7104" xr:uid="{00000000-0005-0000-0000-000067250000}"/>
    <cellStyle name="Merknad 111 2 3" xfId="3906" xr:uid="{00000000-0005-0000-0000-000068250000}"/>
    <cellStyle name="Merknad 111 2 4" xfId="6552" xr:uid="{00000000-0005-0000-0000-000069250000}"/>
    <cellStyle name="Merknad 111 2 5" xfId="9104" xr:uid="{00000000-0005-0000-0000-00006A250000}"/>
    <cellStyle name="Merknad 111 3" xfId="3518" xr:uid="{00000000-0005-0000-0000-00006B250000}"/>
    <cellStyle name="Merknad 111 3 2" xfId="7103" xr:uid="{00000000-0005-0000-0000-00006C250000}"/>
    <cellStyle name="Merknad 111 4" xfId="3768" xr:uid="{00000000-0005-0000-0000-00006D250000}"/>
    <cellStyle name="Merknad 111 5" xfId="6267" xr:uid="{00000000-0005-0000-0000-00006E250000}"/>
    <cellStyle name="Merknad 111 6" xfId="9103" xr:uid="{00000000-0005-0000-0000-00006F250000}"/>
    <cellStyle name="Merknad 112" xfId="2340" xr:uid="{00000000-0005-0000-0000-000070250000}"/>
    <cellStyle name="Merknad 112 2" xfId="2980" xr:uid="{00000000-0005-0000-0000-000071250000}"/>
    <cellStyle name="Merknad 112 2 2" xfId="3521" xr:uid="{00000000-0005-0000-0000-000072250000}"/>
    <cellStyle name="Merknad 112 2 2 2" xfId="7106" xr:uid="{00000000-0005-0000-0000-000073250000}"/>
    <cellStyle name="Merknad 112 2 3" xfId="3688" xr:uid="{00000000-0005-0000-0000-000074250000}"/>
    <cellStyle name="Merknad 112 2 4" xfId="6553" xr:uid="{00000000-0005-0000-0000-000075250000}"/>
    <cellStyle name="Merknad 112 2 5" xfId="9106" xr:uid="{00000000-0005-0000-0000-000076250000}"/>
    <cellStyle name="Merknad 112 3" xfId="3520" xr:uid="{00000000-0005-0000-0000-000077250000}"/>
    <cellStyle name="Merknad 112 3 2" xfId="7105" xr:uid="{00000000-0005-0000-0000-000078250000}"/>
    <cellStyle name="Merknad 112 4" xfId="3767" xr:uid="{00000000-0005-0000-0000-000079250000}"/>
    <cellStyle name="Merknad 112 5" xfId="6268" xr:uid="{00000000-0005-0000-0000-00007A250000}"/>
    <cellStyle name="Merknad 112 6" xfId="9105" xr:uid="{00000000-0005-0000-0000-00007B250000}"/>
    <cellStyle name="Merknad 113" xfId="2341" xr:uid="{00000000-0005-0000-0000-00007C250000}"/>
    <cellStyle name="Merknad 113 2" xfId="2981" xr:uid="{00000000-0005-0000-0000-00007D250000}"/>
    <cellStyle name="Merknad 113 2 2" xfId="3523" xr:uid="{00000000-0005-0000-0000-00007E250000}"/>
    <cellStyle name="Merknad 113 2 2 2" xfId="7108" xr:uid="{00000000-0005-0000-0000-00007F250000}"/>
    <cellStyle name="Merknad 113 2 3" xfId="3952" xr:uid="{00000000-0005-0000-0000-000080250000}"/>
    <cellStyle name="Merknad 113 2 4" xfId="6554" xr:uid="{00000000-0005-0000-0000-000081250000}"/>
    <cellStyle name="Merknad 113 2 5" xfId="9108" xr:uid="{00000000-0005-0000-0000-000082250000}"/>
    <cellStyle name="Merknad 113 3" xfId="3522" xr:uid="{00000000-0005-0000-0000-000083250000}"/>
    <cellStyle name="Merknad 113 3 2" xfId="7107" xr:uid="{00000000-0005-0000-0000-000084250000}"/>
    <cellStyle name="Merknad 113 4" xfId="3766" xr:uid="{00000000-0005-0000-0000-000085250000}"/>
    <cellStyle name="Merknad 113 5" xfId="6269" xr:uid="{00000000-0005-0000-0000-000086250000}"/>
    <cellStyle name="Merknad 113 6" xfId="9107" xr:uid="{00000000-0005-0000-0000-000087250000}"/>
    <cellStyle name="Merknad 114" xfId="2342" xr:uid="{00000000-0005-0000-0000-000088250000}"/>
    <cellStyle name="Merknad 114 2" xfId="2982" xr:uid="{00000000-0005-0000-0000-000089250000}"/>
    <cellStyle name="Merknad 114 2 2" xfId="3525" xr:uid="{00000000-0005-0000-0000-00008A250000}"/>
    <cellStyle name="Merknad 114 2 2 2" xfId="7110" xr:uid="{00000000-0005-0000-0000-00008B250000}"/>
    <cellStyle name="Merknad 114 2 3" xfId="4050" xr:uid="{00000000-0005-0000-0000-00008C250000}"/>
    <cellStyle name="Merknad 114 2 4" xfId="6555" xr:uid="{00000000-0005-0000-0000-00008D250000}"/>
    <cellStyle name="Merknad 114 2 5" xfId="9110" xr:uid="{00000000-0005-0000-0000-00008E250000}"/>
    <cellStyle name="Merknad 114 3" xfId="3524" xr:uid="{00000000-0005-0000-0000-00008F250000}"/>
    <cellStyle name="Merknad 114 3 2" xfId="7109" xr:uid="{00000000-0005-0000-0000-000090250000}"/>
    <cellStyle name="Merknad 114 4" xfId="3594" xr:uid="{00000000-0005-0000-0000-000091250000}"/>
    <cellStyle name="Merknad 114 5" xfId="6270" xr:uid="{00000000-0005-0000-0000-000092250000}"/>
    <cellStyle name="Merknad 114 6" xfId="9109" xr:uid="{00000000-0005-0000-0000-000093250000}"/>
    <cellStyle name="Merknad 115" xfId="2343" xr:uid="{00000000-0005-0000-0000-000094250000}"/>
    <cellStyle name="Merknad 115 2" xfId="2983" xr:uid="{00000000-0005-0000-0000-000095250000}"/>
    <cellStyle name="Merknad 115 2 2" xfId="3527" xr:uid="{00000000-0005-0000-0000-000096250000}"/>
    <cellStyle name="Merknad 115 2 2 2" xfId="7112" xr:uid="{00000000-0005-0000-0000-000097250000}"/>
    <cellStyle name="Merknad 115 2 3" xfId="3905" xr:uid="{00000000-0005-0000-0000-000098250000}"/>
    <cellStyle name="Merknad 115 2 4" xfId="6556" xr:uid="{00000000-0005-0000-0000-000099250000}"/>
    <cellStyle name="Merknad 115 2 5" xfId="9112" xr:uid="{00000000-0005-0000-0000-00009A250000}"/>
    <cellStyle name="Merknad 115 3" xfId="3526" xr:uid="{00000000-0005-0000-0000-00009B250000}"/>
    <cellStyle name="Merknad 115 3 2" xfId="7111" xr:uid="{00000000-0005-0000-0000-00009C250000}"/>
    <cellStyle name="Merknad 115 4" xfId="3765" xr:uid="{00000000-0005-0000-0000-00009D250000}"/>
    <cellStyle name="Merknad 115 5" xfId="6271" xr:uid="{00000000-0005-0000-0000-00009E250000}"/>
    <cellStyle name="Merknad 115 6" xfId="9111" xr:uid="{00000000-0005-0000-0000-00009F250000}"/>
    <cellStyle name="Merknad 116" xfId="2344" xr:uid="{00000000-0005-0000-0000-0000A0250000}"/>
    <cellStyle name="Merknad 116 2" xfId="2984" xr:uid="{00000000-0005-0000-0000-0000A1250000}"/>
    <cellStyle name="Merknad 116 2 2" xfId="3529" xr:uid="{00000000-0005-0000-0000-0000A2250000}"/>
    <cellStyle name="Merknad 116 2 2 2" xfId="7114" xr:uid="{00000000-0005-0000-0000-0000A3250000}"/>
    <cellStyle name="Merknad 116 2 3" xfId="3687" xr:uid="{00000000-0005-0000-0000-0000A4250000}"/>
    <cellStyle name="Merknad 116 2 4" xfId="6557" xr:uid="{00000000-0005-0000-0000-0000A5250000}"/>
    <cellStyle name="Merknad 116 2 5" xfId="9114" xr:uid="{00000000-0005-0000-0000-0000A6250000}"/>
    <cellStyle name="Merknad 116 3" xfId="3528" xr:uid="{00000000-0005-0000-0000-0000A7250000}"/>
    <cellStyle name="Merknad 116 3 2" xfId="7113" xr:uid="{00000000-0005-0000-0000-0000A8250000}"/>
    <cellStyle name="Merknad 116 4" xfId="3764" xr:uid="{00000000-0005-0000-0000-0000A9250000}"/>
    <cellStyle name="Merknad 116 5" xfId="6272" xr:uid="{00000000-0005-0000-0000-0000AA250000}"/>
    <cellStyle name="Merknad 116 6" xfId="9113" xr:uid="{00000000-0005-0000-0000-0000AB250000}"/>
    <cellStyle name="Merknad 117" xfId="2345" xr:uid="{00000000-0005-0000-0000-0000AC250000}"/>
    <cellStyle name="Merknad 117 2" xfId="2985" xr:uid="{00000000-0005-0000-0000-0000AD250000}"/>
    <cellStyle name="Merknad 117 2 2" xfId="3531" xr:uid="{00000000-0005-0000-0000-0000AE250000}"/>
    <cellStyle name="Merknad 117 2 2 2" xfId="7116" xr:uid="{00000000-0005-0000-0000-0000AF250000}"/>
    <cellStyle name="Merknad 117 2 3" xfId="4153" xr:uid="{00000000-0005-0000-0000-0000B0250000}"/>
    <cellStyle name="Merknad 117 2 4" xfId="6558" xr:uid="{00000000-0005-0000-0000-0000B1250000}"/>
    <cellStyle name="Merknad 117 2 5" xfId="9116" xr:uid="{00000000-0005-0000-0000-0000B2250000}"/>
    <cellStyle name="Merknad 117 3" xfId="3530" xr:uid="{00000000-0005-0000-0000-0000B3250000}"/>
    <cellStyle name="Merknad 117 3 2" xfId="7115" xr:uid="{00000000-0005-0000-0000-0000B4250000}"/>
    <cellStyle name="Merknad 117 4" xfId="3603" xr:uid="{00000000-0005-0000-0000-0000B5250000}"/>
    <cellStyle name="Merknad 117 5" xfId="6273" xr:uid="{00000000-0005-0000-0000-0000B6250000}"/>
    <cellStyle name="Merknad 117 6" xfId="9115" xr:uid="{00000000-0005-0000-0000-0000B7250000}"/>
    <cellStyle name="Merknad 118" xfId="2346" xr:uid="{00000000-0005-0000-0000-0000B8250000}"/>
    <cellStyle name="Merknad 118 2" xfId="2986" xr:uid="{00000000-0005-0000-0000-0000B9250000}"/>
    <cellStyle name="Merknad 118 2 2" xfId="3533" xr:uid="{00000000-0005-0000-0000-0000BA250000}"/>
    <cellStyle name="Merknad 118 2 2 2" xfId="7118" xr:uid="{00000000-0005-0000-0000-0000BB250000}"/>
    <cellStyle name="Merknad 118 2 3" xfId="4152" xr:uid="{00000000-0005-0000-0000-0000BC250000}"/>
    <cellStyle name="Merknad 118 2 4" xfId="6559" xr:uid="{00000000-0005-0000-0000-0000BD250000}"/>
    <cellStyle name="Merknad 118 2 5" xfId="9118" xr:uid="{00000000-0005-0000-0000-0000BE250000}"/>
    <cellStyle name="Merknad 118 3" xfId="3532" xr:uid="{00000000-0005-0000-0000-0000BF250000}"/>
    <cellStyle name="Merknad 118 3 2" xfId="7117" xr:uid="{00000000-0005-0000-0000-0000C0250000}"/>
    <cellStyle name="Merknad 118 4" xfId="3763" xr:uid="{00000000-0005-0000-0000-0000C1250000}"/>
    <cellStyle name="Merknad 118 5" xfId="6274" xr:uid="{00000000-0005-0000-0000-0000C2250000}"/>
    <cellStyle name="Merknad 118 6" xfId="9117" xr:uid="{00000000-0005-0000-0000-0000C3250000}"/>
    <cellStyle name="Merknad 119" xfId="2347" xr:uid="{00000000-0005-0000-0000-0000C4250000}"/>
    <cellStyle name="Merknad 119 2" xfId="2987" xr:uid="{00000000-0005-0000-0000-0000C5250000}"/>
    <cellStyle name="Merknad 119 2 2" xfId="3535" xr:uid="{00000000-0005-0000-0000-0000C6250000}"/>
    <cellStyle name="Merknad 119 2 2 2" xfId="7120" xr:uid="{00000000-0005-0000-0000-0000C7250000}"/>
    <cellStyle name="Merknad 119 2 3" xfId="3904" xr:uid="{00000000-0005-0000-0000-0000C8250000}"/>
    <cellStyle name="Merknad 119 2 4" xfId="6560" xr:uid="{00000000-0005-0000-0000-0000C9250000}"/>
    <cellStyle name="Merknad 119 2 5" xfId="9120" xr:uid="{00000000-0005-0000-0000-0000CA250000}"/>
    <cellStyle name="Merknad 119 3" xfId="3534" xr:uid="{00000000-0005-0000-0000-0000CB250000}"/>
    <cellStyle name="Merknad 119 3 2" xfId="7119" xr:uid="{00000000-0005-0000-0000-0000CC250000}"/>
    <cellStyle name="Merknad 119 4" xfId="3655" xr:uid="{00000000-0005-0000-0000-0000CD250000}"/>
    <cellStyle name="Merknad 119 5" xfId="6275" xr:uid="{00000000-0005-0000-0000-0000CE250000}"/>
    <cellStyle name="Merknad 119 6" xfId="9119" xr:uid="{00000000-0005-0000-0000-0000CF250000}"/>
    <cellStyle name="Merknad 12" xfId="2348" xr:uid="{00000000-0005-0000-0000-0000D0250000}"/>
    <cellStyle name="Merknad 12 2" xfId="2349" xr:uid="{00000000-0005-0000-0000-0000D1250000}"/>
    <cellStyle name="Merknad 120" xfId="2350" xr:uid="{00000000-0005-0000-0000-0000D2250000}"/>
    <cellStyle name="Merknad 120 2" xfId="2988" xr:uid="{00000000-0005-0000-0000-0000D3250000}"/>
    <cellStyle name="Merknad 120 2 2" xfId="3537" xr:uid="{00000000-0005-0000-0000-0000D4250000}"/>
    <cellStyle name="Merknad 120 2 2 2" xfId="7122" xr:uid="{00000000-0005-0000-0000-0000D5250000}"/>
    <cellStyle name="Merknad 120 2 3" xfId="3686" xr:uid="{00000000-0005-0000-0000-0000D6250000}"/>
    <cellStyle name="Merknad 120 2 4" xfId="6561" xr:uid="{00000000-0005-0000-0000-0000D7250000}"/>
    <cellStyle name="Merknad 120 2 5" xfId="9122" xr:uid="{00000000-0005-0000-0000-0000D8250000}"/>
    <cellStyle name="Merknad 120 3" xfId="3536" xr:uid="{00000000-0005-0000-0000-0000D9250000}"/>
    <cellStyle name="Merknad 120 3 2" xfId="7121" xr:uid="{00000000-0005-0000-0000-0000DA250000}"/>
    <cellStyle name="Merknad 120 4" xfId="3620" xr:uid="{00000000-0005-0000-0000-0000DB250000}"/>
    <cellStyle name="Merknad 120 5" xfId="6276" xr:uid="{00000000-0005-0000-0000-0000DC250000}"/>
    <cellStyle name="Merknad 120 6" xfId="9121" xr:uid="{00000000-0005-0000-0000-0000DD250000}"/>
    <cellStyle name="Merknad 121" xfId="3015" xr:uid="{00000000-0005-0000-0000-0000DE250000}"/>
    <cellStyle name="Merknad 121 2" xfId="6600" xr:uid="{00000000-0005-0000-0000-0000DF250000}"/>
    <cellStyle name="Merknad 122" xfId="8589" xr:uid="{00000000-0005-0000-0000-0000E0250000}"/>
    <cellStyle name="Merknad 13" xfId="2351" xr:uid="{00000000-0005-0000-0000-0000E1250000}"/>
    <cellStyle name="Merknad 13 2" xfId="2352" xr:uid="{00000000-0005-0000-0000-0000E2250000}"/>
    <cellStyle name="Merknad 14" xfId="2353" xr:uid="{00000000-0005-0000-0000-0000E3250000}"/>
    <cellStyle name="Merknad 14 2" xfId="2354" xr:uid="{00000000-0005-0000-0000-0000E4250000}"/>
    <cellStyle name="Merknad 15" xfId="2355" xr:uid="{00000000-0005-0000-0000-0000E5250000}"/>
    <cellStyle name="Merknad 15 2" xfId="2356" xr:uid="{00000000-0005-0000-0000-0000E6250000}"/>
    <cellStyle name="Merknad 16" xfId="2357" xr:uid="{00000000-0005-0000-0000-0000E7250000}"/>
    <cellStyle name="Merknad 16 2" xfId="2358" xr:uid="{00000000-0005-0000-0000-0000E8250000}"/>
    <cellStyle name="Merknad 17" xfId="2359" xr:uid="{00000000-0005-0000-0000-0000E9250000}"/>
    <cellStyle name="Merknad 17 2" xfId="2360" xr:uid="{00000000-0005-0000-0000-0000EA250000}"/>
    <cellStyle name="Merknad 18" xfId="2361" xr:uid="{00000000-0005-0000-0000-0000EB250000}"/>
    <cellStyle name="Merknad 18 2" xfId="2362" xr:uid="{00000000-0005-0000-0000-0000EC250000}"/>
    <cellStyle name="Merknad 19" xfId="2363" xr:uid="{00000000-0005-0000-0000-0000ED250000}"/>
    <cellStyle name="Merknad 19 2" xfId="2364" xr:uid="{00000000-0005-0000-0000-0000EE250000}"/>
    <cellStyle name="Merknad 2" xfId="95" xr:uid="{00000000-0005-0000-0000-0000EF250000}"/>
    <cellStyle name="Merknad 2 10" xfId="4290" xr:uid="{00000000-0005-0000-0000-0000F0250000}"/>
    <cellStyle name="Merknad 2 100" xfId="4385" xr:uid="{00000000-0005-0000-0000-0000F1250000}"/>
    <cellStyle name="Merknad 2 101" xfId="4386" xr:uid="{00000000-0005-0000-0000-0000F2250000}"/>
    <cellStyle name="Merknad 2 102" xfId="4387" xr:uid="{00000000-0005-0000-0000-0000F3250000}"/>
    <cellStyle name="Merknad 2 103" xfId="4388" xr:uid="{00000000-0005-0000-0000-0000F4250000}"/>
    <cellStyle name="Merknad 2 104" xfId="4389" xr:uid="{00000000-0005-0000-0000-0000F5250000}"/>
    <cellStyle name="Merknad 2 105" xfId="4390" xr:uid="{00000000-0005-0000-0000-0000F6250000}"/>
    <cellStyle name="Merknad 2 106" xfId="4391" xr:uid="{00000000-0005-0000-0000-0000F7250000}"/>
    <cellStyle name="Merknad 2 107" xfId="4392" xr:uid="{00000000-0005-0000-0000-0000F8250000}"/>
    <cellStyle name="Merknad 2 108" xfId="4393" xr:uid="{00000000-0005-0000-0000-0000F9250000}"/>
    <cellStyle name="Merknad 2 109" xfId="4394" xr:uid="{00000000-0005-0000-0000-0000FA250000}"/>
    <cellStyle name="Merknad 2 11" xfId="4291" xr:uid="{00000000-0005-0000-0000-0000FB250000}"/>
    <cellStyle name="Merknad 2 110" xfId="4395" xr:uid="{00000000-0005-0000-0000-0000FC250000}"/>
    <cellStyle name="Merknad 2 111" xfId="4396" xr:uid="{00000000-0005-0000-0000-0000FD250000}"/>
    <cellStyle name="Merknad 2 112" xfId="4397" xr:uid="{00000000-0005-0000-0000-0000FE250000}"/>
    <cellStyle name="Merknad 2 113" xfId="4398" xr:uid="{00000000-0005-0000-0000-0000FF250000}"/>
    <cellStyle name="Merknad 2 114" xfId="4399" xr:uid="{00000000-0005-0000-0000-000000260000}"/>
    <cellStyle name="Merknad 2 115" xfId="4400" xr:uid="{00000000-0005-0000-0000-000001260000}"/>
    <cellStyle name="Merknad 2 116" xfId="4401" xr:uid="{00000000-0005-0000-0000-000002260000}"/>
    <cellStyle name="Merknad 2 117" xfId="4402" xr:uid="{00000000-0005-0000-0000-000003260000}"/>
    <cellStyle name="Merknad 2 118" xfId="4403" xr:uid="{00000000-0005-0000-0000-000004260000}"/>
    <cellStyle name="Merknad 2 119" xfId="4404" xr:uid="{00000000-0005-0000-0000-000005260000}"/>
    <cellStyle name="Merknad 2 12" xfId="4292" xr:uid="{00000000-0005-0000-0000-000006260000}"/>
    <cellStyle name="Merknad 2 120" xfId="4405" xr:uid="{00000000-0005-0000-0000-000007260000}"/>
    <cellStyle name="Merknad 2 121" xfId="4406" xr:uid="{00000000-0005-0000-0000-000008260000}"/>
    <cellStyle name="Merknad 2 122" xfId="4407" xr:uid="{00000000-0005-0000-0000-000009260000}"/>
    <cellStyle name="Merknad 2 123" xfId="4408" xr:uid="{00000000-0005-0000-0000-00000A260000}"/>
    <cellStyle name="Merknad 2 124" xfId="4409" xr:uid="{00000000-0005-0000-0000-00000B260000}"/>
    <cellStyle name="Merknad 2 125" xfId="4410" xr:uid="{00000000-0005-0000-0000-00000C260000}"/>
    <cellStyle name="Merknad 2 126" xfId="4411" xr:uid="{00000000-0005-0000-0000-00000D260000}"/>
    <cellStyle name="Merknad 2 127" xfId="4412" xr:uid="{00000000-0005-0000-0000-00000E260000}"/>
    <cellStyle name="Merknad 2 128" xfId="4413" xr:uid="{00000000-0005-0000-0000-00000F260000}"/>
    <cellStyle name="Merknad 2 129" xfId="4414" xr:uid="{00000000-0005-0000-0000-000010260000}"/>
    <cellStyle name="Merknad 2 13" xfId="4293" xr:uid="{00000000-0005-0000-0000-000011260000}"/>
    <cellStyle name="Merknad 2 130" xfId="4415" xr:uid="{00000000-0005-0000-0000-000012260000}"/>
    <cellStyle name="Merknad 2 131" xfId="4416" xr:uid="{00000000-0005-0000-0000-000013260000}"/>
    <cellStyle name="Merknad 2 132" xfId="4417" xr:uid="{00000000-0005-0000-0000-000014260000}"/>
    <cellStyle name="Merknad 2 133" xfId="4418" xr:uid="{00000000-0005-0000-0000-000015260000}"/>
    <cellStyle name="Merknad 2 134" xfId="4419" xr:uid="{00000000-0005-0000-0000-000016260000}"/>
    <cellStyle name="Merknad 2 135" xfId="4420" xr:uid="{00000000-0005-0000-0000-000017260000}"/>
    <cellStyle name="Merknad 2 136" xfId="4421" xr:uid="{00000000-0005-0000-0000-000018260000}"/>
    <cellStyle name="Merknad 2 137" xfId="4422" xr:uid="{00000000-0005-0000-0000-000019260000}"/>
    <cellStyle name="Merknad 2 138" xfId="4423" xr:uid="{00000000-0005-0000-0000-00001A260000}"/>
    <cellStyle name="Merknad 2 139" xfId="4424" xr:uid="{00000000-0005-0000-0000-00001B260000}"/>
    <cellStyle name="Merknad 2 14" xfId="4294" xr:uid="{00000000-0005-0000-0000-00001C260000}"/>
    <cellStyle name="Merknad 2 140" xfId="4425" xr:uid="{00000000-0005-0000-0000-00001D260000}"/>
    <cellStyle name="Merknad 2 141" xfId="4426" xr:uid="{00000000-0005-0000-0000-00001E260000}"/>
    <cellStyle name="Merknad 2 142" xfId="4427" xr:uid="{00000000-0005-0000-0000-00001F260000}"/>
    <cellStyle name="Merknad 2 143" xfId="4428" xr:uid="{00000000-0005-0000-0000-000020260000}"/>
    <cellStyle name="Merknad 2 144" xfId="4429" xr:uid="{00000000-0005-0000-0000-000021260000}"/>
    <cellStyle name="Merknad 2 145" xfId="4430" xr:uid="{00000000-0005-0000-0000-000022260000}"/>
    <cellStyle name="Merknad 2 146" xfId="4431" xr:uid="{00000000-0005-0000-0000-000023260000}"/>
    <cellStyle name="Merknad 2 147" xfId="4432" xr:uid="{00000000-0005-0000-0000-000024260000}"/>
    <cellStyle name="Merknad 2 148" xfId="4433" xr:uid="{00000000-0005-0000-0000-000025260000}"/>
    <cellStyle name="Merknad 2 149" xfId="4434" xr:uid="{00000000-0005-0000-0000-000026260000}"/>
    <cellStyle name="Merknad 2 15" xfId="4295" xr:uid="{00000000-0005-0000-0000-000027260000}"/>
    <cellStyle name="Merknad 2 150" xfId="4435" xr:uid="{00000000-0005-0000-0000-000028260000}"/>
    <cellStyle name="Merknad 2 151" xfId="4436" xr:uid="{00000000-0005-0000-0000-000029260000}"/>
    <cellStyle name="Merknad 2 152" xfId="4437" xr:uid="{00000000-0005-0000-0000-00002A260000}"/>
    <cellStyle name="Merknad 2 153" xfId="4438" xr:uid="{00000000-0005-0000-0000-00002B260000}"/>
    <cellStyle name="Merknad 2 154" xfId="4439" xr:uid="{00000000-0005-0000-0000-00002C260000}"/>
    <cellStyle name="Merknad 2 155" xfId="4440" xr:uid="{00000000-0005-0000-0000-00002D260000}"/>
    <cellStyle name="Merknad 2 156" xfId="4441" xr:uid="{00000000-0005-0000-0000-00002E260000}"/>
    <cellStyle name="Merknad 2 157" xfId="4442" xr:uid="{00000000-0005-0000-0000-00002F260000}"/>
    <cellStyle name="Merknad 2 158" xfId="4443" xr:uid="{00000000-0005-0000-0000-000030260000}"/>
    <cellStyle name="Merknad 2 159" xfId="4444" xr:uid="{00000000-0005-0000-0000-000031260000}"/>
    <cellStyle name="Merknad 2 16" xfId="4296" xr:uid="{00000000-0005-0000-0000-000032260000}"/>
    <cellStyle name="Merknad 2 160" xfId="4445" xr:uid="{00000000-0005-0000-0000-000033260000}"/>
    <cellStyle name="Merknad 2 161" xfId="4446" xr:uid="{00000000-0005-0000-0000-000034260000}"/>
    <cellStyle name="Merknad 2 162" xfId="4447" xr:uid="{00000000-0005-0000-0000-000035260000}"/>
    <cellStyle name="Merknad 2 163" xfId="4448" xr:uid="{00000000-0005-0000-0000-000036260000}"/>
    <cellStyle name="Merknad 2 164" xfId="4449" xr:uid="{00000000-0005-0000-0000-000037260000}"/>
    <cellStyle name="Merknad 2 165" xfId="4450" xr:uid="{00000000-0005-0000-0000-000038260000}"/>
    <cellStyle name="Merknad 2 166" xfId="4451" xr:uid="{00000000-0005-0000-0000-000039260000}"/>
    <cellStyle name="Merknad 2 167" xfId="4452" xr:uid="{00000000-0005-0000-0000-00003A260000}"/>
    <cellStyle name="Merknad 2 168" xfId="4453" xr:uid="{00000000-0005-0000-0000-00003B260000}"/>
    <cellStyle name="Merknad 2 169" xfId="4454" xr:uid="{00000000-0005-0000-0000-00003C260000}"/>
    <cellStyle name="Merknad 2 17" xfId="4297" xr:uid="{00000000-0005-0000-0000-00003D260000}"/>
    <cellStyle name="Merknad 2 170" xfId="4455" xr:uid="{00000000-0005-0000-0000-00003E260000}"/>
    <cellStyle name="Merknad 2 171" xfId="4456" xr:uid="{00000000-0005-0000-0000-00003F260000}"/>
    <cellStyle name="Merknad 2 172" xfId="4457" xr:uid="{00000000-0005-0000-0000-000040260000}"/>
    <cellStyle name="Merknad 2 173" xfId="4458" xr:uid="{00000000-0005-0000-0000-000041260000}"/>
    <cellStyle name="Merknad 2 174" xfId="4459" xr:uid="{00000000-0005-0000-0000-000042260000}"/>
    <cellStyle name="Merknad 2 175" xfId="4460" xr:uid="{00000000-0005-0000-0000-000043260000}"/>
    <cellStyle name="Merknad 2 176" xfId="4461" xr:uid="{00000000-0005-0000-0000-000044260000}"/>
    <cellStyle name="Merknad 2 177" xfId="4462" xr:uid="{00000000-0005-0000-0000-000045260000}"/>
    <cellStyle name="Merknad 2 178" xfId="4463" xr:uid="{00000000-0005-0000-0000-000046260000}"/>
    <cellStyle name="Merknad 2 179" xfId="4464" xr:uid="{00000000-0005-0000-0000-000047260000}"/>
    <cellStyle name="Merknad 2 18" xfId="4298" xr:uid="{00000000-0005-0000-0000-000048260000}"/>
    <cellStyle name="Merknad 2 180" xfId="4465" xr:uid="{00000000-0005-0000-0000-000049260000}"/>
    <cellStyle name="Merknad 2 181" xfId="4466" xr:uid="{00000000-0005-0000-0000-00004A260000}"/>
    <cellStyle name="Merknad 2 182" xfId="4467" xr:uid="{00000000-0005-0000-0000-00004B260000}"/>
    <cellStyle name="Merknad 2 183" xfId="4468" xr:uid="{00000000-0005-0000-0000-00004C260000}"/>
    <cellStyle name="Merknad 2 184" xfId="4469" xr:uid="{00000000-0005-0000-0000-00004D260000}"/>
    <cellStyle name="Merknad 2 185" xfId="4470" xr:uid="{00000000-0005-0000-0000-00004E260000}"/>
    <cellStyle name="Merknad 2 186" xfId="4471" xr:uid="{00000000-0005-0000-0000-00004F260000}"/>
    <cellStyle name="Merknad 2 187" xfId="4472" xr:uid="{00000000-0005-0000-0000-000050260000}"/>
    <cellStyle name="Merknad 2 188" xfId="4473" xr:uid="{00000000-0005-0000-0000-000051260000}"/>
    <cellStyle name="Merknad 2 189" xfId="4474" xr:uid="{00000000-0005-0000-0000-000052260000}"/>
    <cellStyle name="Merknad 2 19" xfId="4299" xr:uid="{00000000-0005-0000-0000-000053260000}"/>
    <cellStyle name="Merknad 2 190" xfId="4475" xr:uid="{00000000-0005-0000-0000-000054260000}"/>
    <cellStyle name="Merknad 2 191" xfId="4476" xr:uid="{00000000-0005-0000-0000-000055260000}"/>
    <cellStyle name="Merknad 2 192" xfId="4477" xr:uid="{00000000-0005-0000-0000-000056260000}"/>
    <cellStyle name="Merknad 2 193" xfId="4478" xr:uid="{00000000-0005-0000-0000-000057260000}"/>
    <cellStyle name="Merknad 2 194" xfId="4479" xr:uid="{00000000-0005-0000-0000-000058260000}"/>
    <cellStyle name="Merknad 2 195" xfId="4480" xr:uid="{00000000-0005-0000-0000-000059260000}"/>
    <cellStyle name="Merknad 2 196" xfId="4481" xr:uid="{00000000-0005-0000-0000-00005A260000}"/>
    <cellStyle name="Merknad 2 197" xfId="4482" xr:uid="{00000000-0005-0000-0000-00005B260000}"/>
    <cellStyle name="Merknad 2 198" xfId="4483" xr:uid="{00000000-0005-0000-0000-00005C260000}"/>
    <cellStyle name="Merknad 2 199" xfId="4484" xr:uid="{00000000-0005-0000-0000-00005D260000}"/>
    <cellStyle name="Merknad 2 2" xfId="2365" xr:uid="{00000000-0005-0000-0000-00005E260000}"/>
    <cellStyle name="Merknad 2 2 2" xfId="10574" xr:uid="{00000000-0005-0000-0000-00005F260000}"/>
    <cellStyle name="Merknad 2 20" xfId="4301" xr:uid="{00000000-0005-0000-0000-000060260000}"/>
    <cellStyle name="Merknad 2 200" xfId="4485" xr:uid="{00000000-0005-0000-0000-000061260000}"/>
    <cellStyle name="Merknad 2 201" xfId="4486" xr:uid="{00000000-0005-0000-0000-000062260000}"/>
    <cellStyle name="Merknad 2 202" xfId="4487" xr:uid="{00000000-0005-0000-0000-000063260000}"/>
    <cellStyle name="Merknad 2 203" xfId="4488" xr:uid="{00000000-0005-0000-0000-000064260000}"/>
    <cellStyle name="Merknad 2 204" xfId="4489" xr:uid="{00000000-0005-0000-0000-000065260000}"/>
    <cellStyle name="Merknad 2 205" xfId="4490" xr:uid="{00000000-0005-0000-0000-000066260000}"/>
    <cellStyle name="Merknad 2 206" xfId="4491" xr:uid="{00000000-0005-0000-0000-000067260000}"/>
    <cellStyle name="Merknad 2 207" xfId="4492" xr:uid="{00000000-0005-0000-0000-000068260000}"/>
    <cellStyle name="Merknad 2 208" xfId="4493" xr:uid="{00000000-0005-0000-0000-000069260000}"/>
    <cellStyle name="Merknad 2 209" xfId="4494" xr:uid="{00000000-0005-0000-0000-00006A260000}"/>
    <cellStyle name="Merknad 2 21" xfId="4302" xr:uid="{00000000-0005-0000-0000-00006B260000}"/>
    <cellStyle name="Merknad 2 210" xfId="4495" xr:uid="{00000000-0005-0000-0000-00006C260000}"/>
    <cellStyle name="Merknad 2 211" xfId="4496" xr:uid="{00000000-0005-0000-0000-00006D260000}"/>
    <cellStyle name="Merknad 2 212" xfId="4497" xr:uid="{00000000-0005-0000-0000-00006E260000}"/>
    <cellStyle name="Merknad 2 213" xfId="4498" xr:uid="{00000000-0005-0000-0000-00006F260000}"/>
    <cellStyle name="Merknad 2 214" xfId="4499" xr:uid="{00000000-0005-0000-0000-000070260000}"/>
    <cellStyle name="Merknad 2 215" xfId="4500" xr:uid="{00000000-0005-0000-0000-000071260000}"/>
    <cellStyle name="Merknad 2 216" xfId="4501" xr:uid="{00000000-0005-0000-0000-000072260000}"/>
    <cellStyle name="Merknad 2 217" xfId="4502" xr:uid="{00000000-0005-0000-0000-000073260000}"/>
    <cellStyle name="Merknad 2 218" xfId="4503" xr:uid="{00000000-0005-0000-0000-000074260000}"/>
    <cellStyle name="Merknad 2 219" xfId="4504" xr:uid="{00000000-0005-0000-0000-000075260000}"/>
    <cellStyle name="Merknad 2 22" xfId="4303" xr:uid="{00000000-0005-0000-0000-000076260000}"/>
    <cellStyle name="Merknad 2 220" xfId="4505" xr:uid="{00000000-0005-0000-0000-000077260000}"/>
    <cellStyle name="Merknad 2 221" xfId="4506" xr:uid="{00000000-0005-0000-0000-000078260000}"/>
    <cellStyle name="Merknad 2 222" xfId="4507" xr:uid="{00000000-0005-0000-0000-000079260000}"/>
    <cellStyle name="Merknad 2 223" xfId="4508" xr:uid="{00000000-0005-0000-0000-00007A260000}"/>
    <cellStyle name="Merknad 2 224" xfId="4509" xr:uid="{00000000-0005-0000-0000-00007B260000}"/>
    <cellStyle name="Merknad 2 225" xfId="4510" xr:uid="{00000000-0005-0000-0000-00007C260000}"/>
    <cellStyle name="Merknad 2 226" xfId="4511" xr:uid="{00000000-0005-0000-0000-00007D260000}"/>
    <cellStyle name="Merknad 2 227" xfId="4535" xr:uid="{00000000-0005-0000-0000-00007E260000}"/>
    <cellStyle name="Merknad 2 228" xfId="4536" xr:uid="{00000000-0005-0000-0000-00007F260000}"/>
    <cellStyle name="Merknad 2 229" xfId="4537" xr:uid="{00000000-0005-0000-0000-000080260000}"/>
    <cellStyle name="Merknad 2 23" xfId="4304" xr:uid="{00000000-0005-0000-0000-000081260000}"/>
    <cellStyle name="Merknad 2 230" xfId="4538" xr:uid="{00000000-0005-0000-0000-000082260000}"/>
    <cellStyle name="Merknad 2 231" xfId="4539" xr:uid="{00000000-0005-0000-0000-000083260000}"/>
    <cellStyle name="Merknad 2 232" xfId="4540" xr:uid="{00000000-0005-0000-0000-000084260000}"/>
    <cellStyle name="Merknad 2 233" xfId="4541" xr:uid="{00000000-0005-0000-0000-000085260000}"/>
    <cellStyle name="Merknad 2 234" xfId="4542" xr:uid="{00000000-0005-0000-0000-000086260000}"/>
    <cellStyle name="Merknad 2 235" xfId="4543" xr:uid="{00000000-0005-0000-0000-000087260000}"/>
    <cellStyle name="Merknad 2 236" xfId="4544" xr:uid="{00000000-0005-0000-0000-000088260000}"/>
    <cellStyle name="Merknad 2 237" xfId="4545" xr:uid="{00000000-0005-0000-0000-000089260000}"/>
    <cellStyle name="Merknad 2 238" xfId="4546" xr:uid="{00000000-0005-0000-0000-00008A260000}"/>
    <cellStyle name="Merknad 2 239" xfId="4547" xr:uid="{00000000-0005-0000-0000-00008B260000}"/>
    <cellStyle name="Merknad 2 24" xfId="4305" xr:uid="{00000000-0005-0000-0000-00008C260000}"/>
    <cellStyle name="Merknad 2 240" xfId="4548" xr:uid="{00000000-0005-0000-0000-00008D260000}"/>
    <cellStyle name="Merknad 2 241" xfId="4549" xr:uid="{00000000-0005-0000-0000-00008E260000}"/>
    <cellStyle name="Merknad 2 242" xfId="4550" xr:uid="{00000000-0005-0000-0000-00008F260000}"/>
    <cellStyle name="Merknad 2 243" xfId="4551" xr:uid="{00000000-0005-0000-0000-000090260000}"/>
    <cellStyle name="Merknad 2 244" xfId="4552" xr:uid="{00000000-0005-0000-0000-000091260000}"/>
    <cellStyle name="Merknad 2 245" xfId="4553" xr:uid="{00000000-0005-0000-0000-000092260000}"/>
    <cellStyle name="Merknad 2 246" xfId="4554" xr:uid="{00000000-0005-0000-0000-000093260000}"/>
    <cellStyle name="Merknad 2 247" xfId="5230" xr:uid="{00000000-0005-0000-0000-000094260000}"/>
    <cellStyle name="Merknad 2 248" xfId="5231" xr:uid="{00000000-0005-0000-0000-000095260000}"/>
    <cellStyle name="Merknad 2 249" xfId="5233" xr:uid="{00000000-0005-0000-0000-000096260000}"/>
    <cellStyle name="Merknad 2 25" xfId="4306" xr:uid="{00000000-0005-0000-0000-000097260000}"/>
    <cellStyle name="Merknad 2 250" xfId="5234" xr:uid="{00000000-0005-0000-0000-000098260000}"/>
    <cellStyle name="Merknad 2 251" xfId="5235" xr:uid="{00000000-0005-0000-0000-000099260000}"/>
    <cellStyle name="Merknad 2 252" xfId="5236" xr:uid="{00000000-0005-0000-0000-00009A260000}"/>
    <cellStyle name="Merknad 2 253" xfId="5237" xr:uid="{00000000-0005-0000-0000-00009B260000}"/>
    <cellStyle name="Merknad 2 254" xfId="5238" xr:uid="{00000000-0005-0000-0000-00009C260000}"/>
    <cellStyle name="Merknad 2 255" xfId="5239" xr:uid="{00000000-0005-0000-0000-00009D260000}"/>
    <cellStyle name="Merknad 2 256" xfId="5240" xr:uid="{00000000-0005-0000-0000-00009E260000}"/>
    <cellStyle name="Merknad 2 257" xfId="5241" xr:uid="{00000000-0005-0000-0000-00009F260000}"/>
    <cellStyle name="Merknad 2 258" xfId="5242" xr:uid="{00000000-0005-0000-0000-0000A0260000}"/>
    <cellStyle name="Merknad 2 259" xfId="5243" xr:uid="{00000000-0005-0000-0000-0000A1260000}"/>
    <cellStyle name="Merknad 2 26" xfId="4307" xr:uid="{00000000-0005-0000-0000-0000A2260000}"/>
    <cellStyle name="Merknad 2 260" xfId="5245" xr:uid="{00000000-0005-0000-0000-0000A3260000}"/>
    <cellStyle name="Merknad 2 261" xfId="5246" xr:uid="{00000000-0005-0000-0000-0000A4260000}"/>
    <cellStyle name="Merknad 2 262" xfId="5247" xr:uid="{00000000-0005-0000-0000-0000A5260000}"/>
    <cellStyle name="Merknad 2 263" xfId="5248" xr:uid="{00000000-0005-0000-0000-0000A6260000}"/>
    <cellStyle name="Merknad 2 264" xfId="5249" xr:uid="{00000000-0005-0000-0000-0000A7260000}"/>
    <cellStyle name="Merknad 2 265" xfId="5250" xr:uid="{00000000-0005-0000-0000-0000A8260000}"/>
    <cellStyle name="Merknad 2 266" xfId="5251" xr:uid="{00000000-0005-0000-0000-0000A9260000}"/>
    <cellStyle name="Merknad 2 267" xfId="5955" xr:uid="{00000000-0005-0000-0000-0000AA260000}"/>
    <cellStyle name="Merknad 2 268" xfId="5956" xr:uid="{00000000-0005-0000-0000-0000AB260000}"/>
    <cellStyle name="Merknad 2 269" xfId="5957" xr:uid="{00000000-0005-0000-0000-0000AC260000}"/>
    <cellStyle name="Merknad 2 27" xfId="4308" xr:uid="{00000000-0005-0000-0000-0000AD260000}"/>
    <cellStyle name="Merknad 2 270" xfId="5958" xr:uid="{00000000-0005-0000-0000-0000AE260000}"/>
    <cellStyle name="Merknad 2 271" xfId="5959" xr:uid="{00000000-0005-0000-0000-0000AF260000}"/>
    <cellStyle name="Merknad 2 272" xfId="5960" xr:uid="{00000000-0005-0000-0000-0000B0260000}"/>
    <cellStyle name="Merknad 2 273" xfId="5961" xr:uid="{00000000-0005-0000-0000-0000B1260000}"/>
    <cellStyle name="Merknad 2 274" xfId="5962" xr:uid="{00000000-0005-0000-0000-0000B2260000}"/>
    <cellStyle name="Merknad 2 275" xfId="5963" xr:uid="{00000000-0005-0000-0000-0000B3260000}"/>
    <cellStyle name="Merknad 2 276" xfId="5964" xr:uid="{00000000-0005-0000-0000-0000B4260000}"/>
    <cellStyle name="Merknad 2 277" xfId="5965" xr:uid="{00000000-0005-0000-0000-0000B5260000}"/>
    <cellStyle name="Merknad 2 278" xfId="5966" xr:uid="{00000000-0005-0000-0000-0000B6260000}"/>
    <cellStyle name="Merknad 2 279" xfId="5967" xr:uid="{00000000-0005-0000-0000-0000B7260000}"/>
    <cellStyle name="Merknad 2 28" xfId="4309" xr:uid="{00000000-0005-0000-0000-0000B8260000}"/>
    <cellStyle name="Merknad 2 280" xfId="5968" xr:uid="{00000000-0005-0000-0000-0000B9260000}"/>
    <cellStyle name="Merknad 2 281" xfId="5969" xr:uid="{00000000-0005-0000-0000-0000BA260000}"/>
    <cellStyle name="Merknad 2 282" xfId="5970" xr:uid="{00000000-0005-0000-0000-0000BB260000}"/>
    <cellStyle name="Merknad 2 283" xfId="5971" xr:uid="{00000000-0005-0000-0000-0000BC260000}"/>
    <cellStyle name="Merknad 2 284" xfId="5972" xr:uid="{00000000-0005-0000-0000-0000BD260000}"/>
    <cellStyle name="Merknad 2 285" xfId="5973" xr:uid="{00000000-0005-0000-0000-0000BE260000}"/>
    <cellStyle name="Merknad 2 286" xfId="5974" xr:uid="{00000000-0005-0000-0000-0000BF260000}"/>
    <cellStyle name="Merknad 2 287" xfId="5980" xr:uid="{00000000-0005-0000-0000-0000C0260000}"/>
    <cellStyle name="Merknad 2 288" xfId="5979" xr:uid="{00000000-0005-0000-0000-0000C1260000}"/>
    <cellStyle name="Merknad 2 289" xfId="5978" xr:uid="{00000000-0005-0000-0000-0000C2260000}"/>
    <cellStyle name="Merknad 2 29" xfId="4310" xr:uid="{00000000-0005-0000-0000-0000C3260000}"/>
    <cellStyle name="Merknad 2 290" xfId="5977" xr:uid="{00000000-0005-0000-0000-0000C4260000}"/>
    <cellStyle name="Merknad 2 291" xfId="5976" xr:uid="{00000000-0005-0000-0000-0000C5260000}"/>
    <cellStyle name="Merknad 2 292" xfId="5975" xr:uid="{00000000-0005-0000-0000-0000C6260000}"/>
    <cellStyle name="Merknad 2 293" xfId="5981" xr:uid="{00000000-0005-0000-0000-0000C7260000}"/>
    <cellStyle name="Merknad 2 294" xfId="5982" xr:uid="{00000000-0005-0000-0000-0000C8260000}"/>
    <cellStyle name="Merknad 2 295" xfId="5983" xr:uid="{00000000-0005-0000-0000-0000C9260000}"/>
    <cellStyle name="Merknad 2 296" xfId="5984" xr:uid="{00000000-0005-0000-0000-0000CA260000}"/>
    <cellStyle name="Merknad 2 297" xfId="5985" xr:uid="{00000000-0005-0000-0000-0000CB260000}"/>
    <cellStyle name="Merknad 2 298" xfId="5986" xr:uid="{00000000-0005-0000-0000-0000CC260000}"/>
    <cellStyle name="Merknad 2 299" xfId="5987" xr:uid="{00000000-0005-0000-0000-0000CD260000}"/>
    <cellStyle name="Merknad 2 3" xfId="4273" xr:uid="{00000000-0005-0000-0000-0000CE260000}"/>
    <cellStyle name="Merknad 2 3 2" xfId="10155" xr:uid="{00000000-0005-0000-0000-0000CF260000}"/>
    <cellStyle name="Merknad 2 30" xfId="4311" xr:uid="{00000000-0005-0000-0000-0000D0260000}"/>
    <cellStyle name="Merknad 2 300" xfId="5988" xr:uid="{00000000-0005-0000-0000-0000D1260000}"/>
    <cellStyle name="Merknad 2 301" xfId="5989" xr:uid="{00000000-0005-0000-0000-0000D2260000}"/>
    <cellStyle name="Merknad 2 302" xfId="5990" xr:uid="{00000000-0005-0000-0000-0000D3260000}"/>
    <cellStyle name="Merknad 2 303" xfId="5991" xr:uid="{00000000-0005-0000-0000-0000D4260000}"/>
    <cellStyle name="Merknad 2 304" xfId="5992" xr:uid="{00000000-0005-0000-0000-0000D5260000}"/>
    <cellStyle name="Merknad 2 305" xfId="5993" xr:uid="{00000000-0005-0000-0000-0000D6260000}"/>
    <cellStyle name="Merknad 2 306" xfId="5994" xr:uid="{00000000-0005-0000-0000-0000D7260000}"/>
    <cellStyle name="Merknad 2 307" xfId="6000" xr:uid="{00000000-0005-0000-0000-0000D8260000}"/>
    <cellStyle name="Merknad 2 308" xfId="5999" xr:uid="{00000000-0005-0000-0000-0000D9260000}"/>
    <cellStyle name="Merknad 2 309" xfId="5998" xr:uid="{00000000-0005-0000-0000-0000DA260000}"/>
    <cellStyle name="Merknad 2 31" xfId="4312" xr:uid="{00000000-0005-0000-0000-0000DB260000}"/>
    <cellStyle name="Merknad 2 310" xfId="5997" xr:uid="{00000000-0005-0000-0000-0000DC260000}"/>
    <cellStyle name="Merknad 2 311" xfId="5996" xr:uid="{00000000-0005-0000-0000-0000DD260000}"/>
    <cellStyle name="Merknad 2 312" xfId="5995" xr:uid="{00000000-0005-0000-0000-0000DE260000}"/>
    <cellStyle name="Merknad 2 313" xfId="6001" xr:uid="{00000000-0005-0000-0000-0000DF260000}"/>
    <cellStyle name="Merknad 2 314" xfId="6002" xr:uid="{00000000-0005-0000-0000-0000E0260000}"/>
    <cellStyle name="Merknad 2 315" xfId="6003" xr:uid="{00000000-0005-0000-0000-0000E1260000}"/>
    <cellStyle name="Merknad 2 316" xfId="6004" xr:uid="{00000000-0005-0000-0000-0000E2260000}"/>
    <cellStyle name="Merknad 2 317" xfId="6005" xr:uid="{00000000-0005-0000-0000-0000E3260000}"/>
    <cellStyle name="Merknad 2 318" xfId="6006" xr:uid="{00000000-0005-0000-0000-0000E4260000}"/>
    <cellStyle name="Merknad 2 319" xfId="6007" xr:uid="{00000000-0005-0000-0000-0000E5260000}"/>
    <cellStyle name="Merknad 2 32" xfId="4313" xr:uid="{00000000-0005-0000-0000-0000E6260000}"/>
    <cellStyle name="Merknad 2 320" xfId="6008" xr:uid="{00000000-0005-0000-0000-0000E7260000}"/>
    <cellStyle name="Merknad 2 321" xfId="6009" xr:uid="{00000000-0005-0000-0000-0000E8260000}"/>
    <cellStyle name="Merknad 2 322" xfId="6010" xr:uid="{00000000-0005-0000-0000-0000E9260000}"/>
    <cellStyle name="Merknad 2 323" xfId="6011" xr:uid="{00000000-0005-0000-0000-0000EA260000}"/>
    <cellStyle name="Merknad 2 324" xfId="6012" xr:uid="{00000000-0005-0000-0000-0000EB260000}"/>
    <cellStyle name="Merknad 2 325" xfId="6013" xr:uid="{00000000-0005-0000-0000-0000EC260000}"/>
    <cellStyle name="Merknad 2 326" xfId="6014" xr:uid="{00000000-0005-0000-0000-0000ED260000}"/>
    <cellStyle name="Merknad 2 327" xfId="10096" xr:uid="{00000000-0005-0000-0000-0000EE260000}"/>
    <cellStyle name="Merknad 2 33" xfId="4314" xr:uid="{00000000-0005-0000-0000-0000EF260000}"/>
    <cellStyle name="Merknad 2 34" xfId="4315" xr:uid="{00000000-0005-0000-0000-0000F0260000}"/>
    <cellStyle name="Merknad 2 35" xfId="4316" xr:uid="{00000000-0005-0000-0000-0000F1260000}"/>
    <cellStyle name="Merknad 2 36" xfId="4317" xr:uid="{00000000-0005-0000-0000-0000F2260000}"/>
    <cellStyle name="Merknad 2 37" xfId="4318" xr:uid="{00000000-0005-0000-0000-0000F3260000}"/>
    <cellStyle name="Merknad 2 38" xfId="4319" xr:uid="{00000000-0005-0000-0000-0000F4260000}"/>
    <cellStyle name="Merknad 2 39" xfId="4320" xr:uid="{00000000-0005-0000-0000-0000F5260000}"/>
    <cellStyle name="Merknad 2 4" xfId="4274" xr:uid="{00000000-0005-0000-0000-0000F6260000}"/>
    <cellStyle name="Merknad 2 40" xfId="4321" xr:uid="{00000000-0005-0000-0000-0000F7260000}"/>
    <cellStyle name="Merknad 2 41" xfId="4322" xr:uid="{00000000-0005-0000-0000-0000F8260000}"/>
    <cellStyle name="Merknad 2 42" xfId="4323" xr:uid="{00000000-0005-0000-0000-0000F9260000}"/>
    <cellStyle name="Merknad 2 43" xfId="4324" xr:uid="{00000000-0005-0000-0000-0000FA260000}"/>
    <cellStyle name="Merknad 2 44" xfId="4325" xr:uid="{00000000-0005-0000-0000-0000FB260000}"/>
    <cellStyle name="Merknad 2 45" xfId="4326" xr:uid="{00000000-0005-0000-0000-0000FC260000}"/>
    <cellStyle name="Merknad 2 46" xfId="4327" xr:uid="{00000000-0005-0000-0000-0000FD260000}"/>
    <cellStyle name="Merknad 2 47" xfId="4330" xr:uid="{00000000-0005-0000-0000-0000FE260000}"/>
    <cellStyle name="Merknad 2 48" xfId="4331" xr:uid="{00000000-0005-0000-0000-0000FF260000}"/>
    <cellStyle name="Merknad 2 49" xfId="4333" xr:uid="{00000000-0005-0000-0000-000000270000}"/>
    <cellStyle name="Merknad 2 5" xfId="4278" xr:uid="{00000000-0005-0000-0000-000001270000}"/>
    <cellStyle name="Merknad 2 50" xfId="4334" xr:uid="{00000000-0005-0000-0000-000002270000}"/>
    <cellStyle name="Merknad 2 51" xfId="4335" xr:uid="{00000000-0005-0000-0000-000003270000}"/>
    <cellStyle name="Merknad 2 52" xfId="4336" xr:uid="{00000000-0005-0000-0000-000004270000}"/>
    <cellStyle name="Merknad 2 53" xfId="4337" xr:uid="{00000000-0005-0000-0000-000005270000}"/>
    <cellStyle name="Merknad 2 54" xfId="4338" xr:uid="{00000000-0005-0000-0000-000006270000}"/>
    <cellStyle name="Merknad 2 55" xfId="4339" xr:uid="{00000000-0005-0000-0000-000007270000}"/>
    <cellStyle name="Merknad 2 56" xfId="4340" xr:uid="{00000000-0005-0000-0000-000008270000}"/>
    <cellStyle name="Merknad 2 57" xfId="4341" xr:uid="{00000000-0005-0000-0000-000009270000}"/>
    <cellStyle name="Merknad 2 58" xfId="4342" xr:uid="{00000000-0005-0000-0000-00000A270000}"/>
    <cellStyle name="Merknad 2 59" xfId="4343" xr:uid="{00000000-0005-0000-0000-00000B270000}"/>
    <cellStyle name="Merknad 2 6" xfId="4279" xr:uid="{00000000-0005-0000-0000-00000C270000}"/>
    <cellStyle name="Merknad 2 60" xfId="4345" xr:uid="{00000000-0005-0000-0000-00000D270000}"/>
    <cellStyle name="Merknad 2 61" xfId="4346" xr:uid="{00000000-0005-0000-0000-00000E270000}"/>
    <cellStyle name="Merknad 2 62" xfId="4347" xr:uid="{00000000-0005-0000-0000-00000F270000}"/>
    <cellStyle name="Merknad 2 63" xfId="4348" xr:uid="{00000000-0005-0000-0000-000010270000}"/>
    <cellStyle name="Merknad 2 64" xfId="4349" xr:uid="{00000000-0005-0000-0000-000011270000}"/>
    <cellStyle name="Merknad 2 65" xfId="4350" xr:uid="{00000000-0005-0000-0000-000012270000}"/>
    <cellStyle name="Merknad 2 66" xfId="4351" xr:uid="{00000000-0005-0000-0000-000013270000}"/>
    <cellStyle name="Merknad 2 67" xfId="4352" xr:uid="{00000000-0005-0000-0000-000014270000}"/>
    <cellStyle name="Merknad 2 68" xfId="4353" xr:uid="{00000000-0005-0000-0000-000015270000}"/>
    <cellStyle name="Merknad 2 69" xfId="4354" xr:uid="{00000000-0005-0000-0000-000016270000}"/>
    <cellStyle name="Merknad 2 7" xfId="4286" xr:uid="{00000000-0005-0000-0000-000017270000}"/>
    <cellStyle name="Merknad 2 70" xfId="4355" xr:uid="{00000000-0005-0000-0000-000018270000}"/>
    <cellStyle name="Merknad 2 71" xfId="4356" xr:uid="{00000000-0005-0000-0000-000019270000}"/>
    <cellStyle name="Merknad 2 72" xfId="4357" xr:uid="{00000000-0005-0000-0000-00001A270000}"/>
    <cellStyle name="Merknad 2 73" xfId="4358" xr:uid="{00000000-0005-0000-0000-00001B270000}"/>
    <cellStyle name="Merknad 2 74" xfId="4359" xr:uid="{00000000-0005-0000-0000-00001C270000}"/>
    <cellStyle name="Merknad 2 75" xfId="4360" xr:uid="{00000000-0005-0000-0000-00001D270000}"/>
    <cellStyle name="Merknad 2 76" xfId="4361" xr:uid="{00000000-0005-0000-0000-00001E270000}"/>
    <cellStyle name="Merknad 2 77" xfId="4362" xr:uid="{00000000-0005-0000-0000-00001F270000}"/>
    <cellStyle name="Merknad 2 78" xfId="4363" xr:uid="{00000000-0005-0000-0000-000020270000}"/>
    <cellStyle name="Merknad 2 79" xfId="4364" xr:uid="{00000000-0005-0000-0000-000021270000}"/>
    <cellStyle name="Merknad 2 8" xfId="4287" xr:uid="{00000000-0005-0000-0000-000022270000}"/>
    <cellStyle name="Merknad 2 80" xfId="4365" xr:uid="{00000000-0005-0000-0000-000023270000}"/>
    <cellStyle name="Merknad 2 81" xfId="4366" xr:uid="{00000000-0005-0000-0000-000024270000}"/>
    <cellStyle name="Merknad 2 82" xfId="4367" xr:uid="{00000000-0005-0000-0000-000025270000}"/>
    <cellStyle name="Merknad 2 83" xfId="4368" xr:uid="{00000000-0005-0000-0000-000026270000}"/>
    <cellStyle name="Merknad 2 84" xfId="4369" xr:uid="{00000000-0005-0000-0000-000027270000}"/>
    <cellStyle name="Merknad 2 85" xfId="4370" xr:uid="{00000000-0005-0000-0000-000028270000}"/>
    <cellStyle name="Merknad 2 86" xfId="4371" xr:uid="{00000000-0005-0000-0000-000029270000}"/>
    <cellStyle name="Merknad 2 87" xfId="4372" xr:uid="{00000000-0005-0000-0000-00002A270000}"/>
    <cellStyle name="Merknad 2 88" xfId="4373" xr:uid="{00000000-0005-0000-0000-00002B270000}"/>
    <cellStyle name="Merknad 2 89" xfId="4374" xr:uid="{00000000-0005-0000-0000-00002C270000}"/>
    <cellStyle name="Merknad 2 9" xfId="4289" xr:uid="{00000000-0005-0000-0000-00002D270000}"/>
    <cellStyle name="Merknad 2 90" xfId="4375" xr:uid="{00000000-0005-0000-0000-00002E270000}"/>
    <cellStyle name="Merknad 2 91" xfId="4376" xr:uid="{00000000-0005-0000-0000-00002F270000}"/>
    <cellStyle name="Merknad 2 92" xfId="4377" xr:uid="{00000000-0005-0000-0000-000030270000}"/>
    <cellStyle name="Merknad 2 93" xfId="4378" xr:uid="{00000000-0005-0000-0000-000031270000}"/>
    <cellStyle name="Merknad 2 94" xfId="4379" xr:uid="{00000000-0005-0000-0000-000032270000}"/>
    <cellStyle name="Merknad 2 95" xfId="4380" xr:uid="{00000000-0005-0000-0000-000033270000}"/>
    <cellStyle name="Merknad 2 96" xfId="4381" xr:uid="{00000000-0005-0000-0000-000034270000}"/>
    <cellStyle name="Merknad 2 97" xfId="4382" xr:uid="{00000000-0005-0000-0000-000035270000}"/>
    <cellStyle name="Merknad 2 98" xfId="4383" xr:uid="{00000000-0005-0000-0000-000036270000}"/>
    <cellStyle name="Merknad 2 99" xfId="4384" xr:uid="{00000000-0005-0000-0000-000037270000}"/>
    <cellStyle name="Merknad 20" xfId="2366" xr:uid="{00000000-0005-0000-0000-000038270000}"/>
    <cellStyle name="Merknad 20 2" xfId="2367" xr:uid="{00000000-0005-0000-0000-000039270000}"/>
    <cellStyle name="Merknad 21" xfId="2368" xr:uid="{00000000-0005-0000-0000-00003A270000}"/>
    <cellStyle name="Merknad 21 2" xfId="2369" xr:uid="{00000000-0005-0000-0000-00003B270000}"/>
    <cellStyle name="Merknad 22" xfId="2370" xr:uid="{00000000-0005-0000-0000-00003C270000}"/>
    <cellStyle name="Merknad 22 2" xfId="2371" xr:uid="{00000000-0005-0000-0000-00003D270000}"/>
    <cellStyle name="Merknad 23" xfId="2372" xr:uid="{00000000-0005-0000-0000-00003E270000}"/>
    <cellStyle name="Merknad 23 2" xfId="2373" xr:uid="{00000000-0005-0000-0000-00003F270000}"/>
    <cellStyle name="Merknad 24" xfId="2374" xr:uid="{00000000-0005-0000-0000-000040270000}"/>
    <cellStyle name="Merknad 24 2" xfId="2375" xr:uid="{00000000-0005-0000-0000-000041270000}"/>
    <cellStyle name="Merknad 25" xfId="2376" xr:uid="{00000000-0005-0000-0000-000042270000}"/>
    <cellStyle name="Merknad 25 2" xfId="2377" xr:uid="{00000000-0005-0000-0000-000043270000}"/>
    <cellStyle name="Merknad 26" xfId="2378" xr:uid="{00000000-0005-0000-0000-000044270000}"/>
    <cellStyle name="Merknad 26 2" xfId="2379" xr:uid="{00000000-0005-0000-0000-000045270000}"/>
    <cellStyle name="Merknad 27" xfId="2380" xr:uid="{00000000-0005-0000-0000-000046270000}"/>
    <cellStyle name="Merknad 27 2" xfId="2381" xr:uid="{00000000-0005-0000-0000-000047270000}"/>
    <cellStyle name="Merknad 28" xfId="2382" xr:uid="{00000000-0005-0000-0000-000048270000}"/>
    <cellStyle name="Merknad 28 2" xfId="2383" xr:uid="{00000000-0005-0000-0000-000049270000}"/>
    <cellStyle name="Merknad 29" xfId="2384" xr:uid="{00000000-0005-0000-0000-00004A270000}"/>
    <cellStyle name="Merknad 29 2" xfId="2385" xr:uid="{00000000-0005-0000-0000-00004B270000}"/>
    <cellStyle name="Merknad 3" xfId="2386" xr:uid="{00000000-0005-0000-0000-00004C270000}"/>
    <cellStyle name="Merknad 3 2" xfId="2387" xr:uid="{00000000-0005-0000-0000-00004D270000}"/>
    <cellStyle name="Merknad 30" xfId="2388" xr:uid="{00000000-0005-0000-0000-00004E270000}"/>
    <cellStyle name="Merknad 30 2" xfId="2389" xr:uid="{00000000-0005-0000-0000-00004F270000}"/>
    <cellStyle name="Merknad 31" xfId="2390" xr:uid="{00000000-0005-0000-0000-000050270000}"/>
    <cellStyle name="Merknad 31 2" xfId="2391" xr:uid="{00000000-0005-0000-0000-000051270000}"/>
    <cellStyle name="Merknad 32" xfId="2392" xr:uid="{00000000-0005-0000-0000-000052270000}"/>
    <cellStyle name="Merknad 32 2" xfId="2393" xr:uid="{00000000-0005-0000-0000-000053270000}"/>
    <cellStyle name="Merknad 33" xfId="2394" xr:uid="{00000000-0005-0000-0000-000054270000}"/>
    <cellStyle name="Merknad 33 2" xfId="2395" xr:uid="{00000000-0005-0000-0000-000055270000}"/>
    <cellStyle name="Merknad 34" xfId="2396" xr:uid="{00000000-0005-0000-0000-000056270000}"/>
    <cellStyle name="Merknad 34 2" xfId="2397" xr:uid="{00000000-0005-0000-0000-000057270000}"/>
    <cellStyle name="Merknad 35" xfId="2398" xr:uid="{00000000-0005-0000-0000-000058270000}"/>
    <cellStyle name="Merknad 35 2" xfId="2399" xr:uid="{00000000-0005-0000-0000-000059270000}"/>
    <cellStyle name="Merknad 36" xfId="2400" xr:uid="{00000000-0005-0000-0000-00005A270000}"/>
    <cellStyle name="Merknad 36 2" xfId="2401" xr:uid="{00000000-0005-0000-0000-00005B270000}"/>
    <cellStyle name="Merknad 37" xfId="2402" xr:uid="{00000000-0005-0000-0000-00005C270000}"/>
    <cellStyle name="Merknad 37 2" xfId="2403" xr:uid="{00000000-0005-0000-0000-00005D270000}"/>
    <cellStyle name="Merknad 38" xfId="2404" xr:uid="{00000000-0005-0000-0000-00005E270000}"/>
    <cellStyle name="Merknad 38 2" xfId="2405" xr:uid="{00000000-0005-0000-0000-00005F270000}"/>
    <cellStyle name="Merknad 39" xfId="2406" xr:uid="{00000000-0005-0000-0000-000060270000}"/>
    <cellStyle name="Merknad 39 2" xfId="2407" xr:uid="{00000000-0005-0000-0000-000061270000}"/>
    <cellStyle name="Merknad 4" xfId="2408" xr:uid="{00000000-0005-0000-0000-000062270000}"/>
    <cellStyle name="Merknad 4 2" xfId="2409" xr:uid="{00000000-0005-0000-0000-000063270000}"/>
    <cellStyle name="Merknad 40" xfId="2410" xr:uid="{00000000-0005-0000-0000-000064270000}"/>
    <cellStyle name="Merknad 40 2" xfId="2411" xr:uid="{00000000-0005-0000-0000-000065270000}"/>
    <cellStyle name="Merknad 41" xfId="2412" xr:uid="{00000000-0005-0000-0000-000066270000}"/>
    <cellStyle name="Merknad 41 2" xfId="2413" xr:uid="{00000000-0005-0000-0000-000067270000}"/>
    <cellStyle name="Merknad 42" xfId="2414" xr:uid="{00000000-0005-0000-0000-000068270000}"/>
    <cellStyle name="Merknad 42 2" xfId="2415" xr:uid="{00000000-0005-0000-0000-000069270000}"/>
    <cellStyle name="Merknad 43" xfId="2416" xr:uid="{00000000-0005-0000-0000-00006A270000}"/>
    <cellStyle name="Merknad 43 2" xfId="2417" xr:uid="{00000000-0005-0000-0000-00006B270000}"/>
    <cellStyle name="Merknad 44" xfId="2418" xr:uid="{00000000-0005-0000-0000-00006C270000}"/>
    <cellStyle name="Merknad 44 2" xfId="2419" xr:uid="{00000000-0005-0000-0000-00006D270000}"/>
    <cellStyle name="Merknad 45" xfId="2420" xr:uid="{00000000-0005-0000-0000-00006E270000}"/>
    <cellStyle name="Merknad 45 2" xfId="2421" xr:uid="{00000000-0005-0000-0000-00006F270000}"/>
    <cellStyle name="Merknad 46" xfId="2422" xr:uid="{00000000-0005-0000-0000-000070270000}"/>
    <cellStyle name="Merknad 46 2" xfId="2423" xr:uid="{00000000-0005-0000-0000-000071270000}"/>
    <cellStyle name="Merknad 47" xfId="2424" xr:uid="{00000000-0005-0000-0000-000072270000}"/>
    <cellStyle name="Merknad 47 2" xfId="2425" xr:uid="{00000000-0005-0000-0000-000073270000}"/>
    <cellStyle name="Merknad 48" xfId="2426" xr:uid="{00000000-0005-0000-0000-000074270000}"/>
    <cellStyle name="Merknad 48 2" xfId="2427" xr:uid="{00000000-0005-0000-0000-000075270000}"/>
    <cellStyle name="Merknad 49" xfId="2428" xr:uid="{00000000-0005-0000-0000-000076270000}"/>
    <cellStyle name="Merknad 49 2" xfId="2429" xr:uid="{00000000-0005-0000-0000-000077270000}"/>
    <cellStyle name="Merknad 5" xfId="2430" xr:uid="{00000000-0005-0000-0000-000078270000}"/>
    <cellStyle name="Merknad 5 2" xfId="2431" xr:uid="{00000000-0005-0000-0000-000079270000}"/>
    <cellStyle name="Merknad 50" xfId="2432" xr:uid="{00000000-0005-0000-0000-00007A270000}"/>
    <cellStyle name="Merknad 50 2" xfId="2433" xr:uid="{00000000-0005-0000-0000-00007B270000}"/>
    <cellStyle name="Merknad 51" xfId="2434" xr:uid="{00000000-0005-0000-0000-00007C270000}"/>
    <cellStyle name="Merknad 51 2" xfId="2435" xr:uid="{00000000-0005-0000-0000-00007D270000}"/>
    <cellStyle name="Merknad 52" xfId="2436" xr:uid="{00000000-0005-0000-0000-00007E270000}"/>
    <cellStyle name="Merknad 52 2" xfId="2437" xr:uid="{00000000-0005-0000-0000-00007F270000}"/>
    <cellStyle name="Merknad 53" xfId="2438" xr:uid="{00000000-0005-0000-0000-000080270000}"/>
    <cellStyle name="Merknad 53 2" xfId="2439" xr:uid="{00000000-0005-0000-0000-000081270000}"/>
    <cellStyle name="Merknad 54" xfId="2440" xr:uid="{00000000-0005-0000-0000-000082270000}"/>
    <cellStyle name="Merknad 54 2" xfId="2441" xr:uid="{00000000-0005-0000-0000-000083270000}"/>
    <cellStyle name="Merknad 55" xfId="2442" xr:uid="{00000000-0005-0000-0000-000084270000}"/>
    <cellStyle name="Merknad 55 2" xfId="2443" xr:uid="{00000000-0005-0000-0000-000085270000}"/>
    <cellStyle name="Merknad 56" xfId="2444" xr:uid="{00000000-0005-0000-0000-000086270000}"/>
    <cellStyle name="Merknad 56 2" xfId="2445" xr:uid="{00000000-0005-0000-0000-000087270000}"/>
    <cellStyle name="Merknad 57" xfId="2446" xr:uid="{00000000-0005-0000-0000-000088270000}"/>
    <cellStyle name="Merknad 57 2" xfId="2447" xr:uid="{00000000-0005-0000-0000-000089270000}"/>
    <cellStyle name="Merknad 58" xfId="2448" xr:uid="{00000000-0005-0000-0000-00008A270000}"/>
    <cellStyle name="Merknad 58 2" xfId="2449" xr:uid="{00000000-0005-0000-0000-00008B270000}"/>
    <cellStyle name="Merknad 59" xfId="2450" xr:uid="{00000000-0005-0000-0000-00008C270000}"/>
    <cellStyle name="Merknad 59 2" xfId="2451" xr:uid="{00000000-0005-0000-0000-00008D270000}"/>
    <cellStyle name="Merknad 6" xfId="2452" xr:uid="{00000000-0005-0000-0000-00008E270000}"/>
    <cellStyle name="Merknad 6 2" xfId="2453" xr:uid="{00000000-0005-0000-0000-00008F270000}"/>
    <cellStyle name="Merknad 60" xfId="2454" xr:uid="{00000000-0005-0000-0000-000090270000}"/>
    <cellStyle name="Merknad 60 2" xfId="2455" xr:uid="{00000000-0005-0000-0000-000091270000}"/>
    <cellStyle name="Merknad 61" xfId="2456" xr:uid="{00000000-0005-0000-0000-000092270000}"/>
    <cellStyle name="Merknad 61 2" xfId="2457" xr:uid="{00000000-0005-0000-0000-000093270000}"/>
    <cellStyle name="Merknad 62" xfId="2458" xr:uid="{00000000-0005-0000-0000-000094270000}"/>
    <cellStyle name="Merknad 62 2" xfId="2459" xr:uid="{00000000-0005-0000-0000-000095270000}"/>
    <cellStyle name="Merknad 63" xfId="2460" xr:uid="{00000000-0005-0000-0000-000096270000}"/>
    <cellStyle name="Merknad 63 2" xfId="2461" xr:uid="{00000000-0005-0000-0000-000097270000}"/>
    <cellStyle name="Merknad 64" xfId="2462" xr:uid="{00000000-0005-0000-0000-000098270000}"/>
    <cellStyle name="Merknad 64 2" xfId="2463" xr:uid="{00000000-0005-0000-0000-000099270000}"/>
    <cellStyle name="Merknad 65" xfId="2464" xr:uid="{00000000-0005-0000-0000-00009A270000}"/>
    <cellStyle name="Merknad 65 2" xfId="2465" xr:uid="{00000000-0005-0000-0000-00009B270000}"/>
    <cellStyle name="Merknad 66" xfId="2466" xr:uid="{00000000-0005-0000-0000-00009C270000}"/>
    <cellStyle name="Merknad 66 2" xfId="2467" xr:uid="{00000000-0005-0000-0000-00009D270000}"/>
    <cellStyle name="Merknad 67" xfId="2468" xr:uid="{00000000-0005-0000-0000-00009E270000}"/>
    <cellStyle name="Merknad 67 2" xfId="2469" xr:uid="{00000000-0005-0000-0000-00009F270000}"/>
    <cellStyle name="Merknad 68" xfId="2470" xr:uid="{00000000-0005-0000-0000-0000A0270000}"/>
    <cellStyle name="Merknad 68 2" xfId="2471" xr:uid="{00000000-0005-0000-0000-0000A1270000}"/>
    <cellStyle name="Merknad 69" xfId="2472" xr:uid="{00000000-0005-0000-0000-0000A2270000}"/>
    <cellStyle name="Merknad 69 2" xfId="2473" xr:uid="{00000000-0005-0000-0000-0000A3270000}"/>
    <cellStyle name="Merknad 7" xfId="2474" xr:uid="{00000000-0005-0000-0000-0000A4270000}"/>
    <cellStyle name="Merknad 7 2" xfId="2475" xr:uid="{00000000-0005-0000-0000-0000A5270000}"/>
    <cellStyle name="Merknad 70" xfId="2476" xr:uid="{00000000-0005-0000-0000-0000A6270000}"/>
    <cellStyle name="Merknad 70 2" xfId="2477" xr:uid="{00000000-0005-0000-0000-0000A7270000}"/>
    <cellStyle name="Merknad 71" xfId="2478" xr:uid="{00000000-0005-0000-0000-0000A8270000}"/>
    <cellStyle name="Merknad 71 2" xfId="2479" xr:uid="{00000000-0005-0000-0000-0000A9270000}"/>
    <cellStyle name="Merknad 72" xfId="2480" xr:uid="{00000000-0005-0000-0000-0000AA270000}"/>
    <cellStyle name="Merknad 72 2" xfId="2481" xr:uid="{00000000-0005-0000-0000-0000AB270000}"/>
    <cellStyle name="Merknad 73" xfId="2482" xr:uid="{00000000-0005-0000-0000-0000AC270000}"/>
    <cellStyle name="Merknad 73 2" xfId="2483" xr:uid="{00000000-0005-0000-0000-0000AD270000}"/>
    <cellStyle name="Merknad 74" xfId="2484" xr:uid="{00000000-0005-0000-0000-0000AE270000}"/>
    <cellStyle name="Merknad 74 2" xfId="2485" xr:uid="{00000000-0005-0000-0000-0000AF270000}"/>
    <cellStyle name="Merknad 75" xfId="2486" xr:uid="{00000000-0005-0000-0000-0000B0270000}"/>
    <cellStyle name="Merknad 75 2" xfId="2487" xr:uid="{00000000-0005-0000-0000-0000B1270000}"/>
    <cellStyle name="Merknad 76" xfId="2488" xr:uid="{00000000-0005-0000-0000-0000B2270000}"/>
    <cellStyle name="Merknad 76 2" xfId="2489" xr:uid="{00000000-0005-0000-0000-0000B3270000}"/>
    <cellStyle name="Merknad 77" xfId="2490" xr:uid="{00000000-0005-0000-0000-0000B4270000}"/>
    <cellStyle name="Merknad 77 2" xfId="2491" xr:uid="{00000000-0005-0000-0000-0000B5270000}"/>
    <cellStyle name="Merknad 78" xfId="2492" xr:uid="{00000000-0005-0000-0000-0000B6270000}"/>
    <cellStyle name="Merknad 78 2" xfId="2493" xr:uid="{00000000-0005-0000-0000-0000B7270000}"/>
    <cellStyle name="Merknad 79" xfId="2494" xr:uid="{00000000-0005-0000-0000-0000B8270000}"/>
    <cellStyle name="Merknad 79 2" xfId="2495" xr:uid="{00000000-0005-0000-0000-0000B9270000}"/>
    <cellStyle name="Merknad 8" xfId="2496" xr:uid="{00000000-0005-0000-0000-0000BA270000}"/>
    <cellStyle name="Merknad 8 2" xfId="2497" xr:uid="{00000000-0005-0000-0000-0000BB270000}"/>
    <cellStyle name="Merknad 80" xfId="2498" xr:uid="{00000000-0005-0000-0000-0000BC270000}"/>
    <cellStyle name="Merknad 80 2" xfId="2499" xr:uid="{00000000-0005-0000-0000-0000BD270000}"/>
    <cellStyle name="Merknad 81" xfId="2500" xr:uid="{00000000-0005-0000-0000-0000BE270000}"/>
    <cellStyle name="Merknad 81 2" xfId="2501" xr:uid="{00000000-0005-0000-0000-0000BF270000}"/>
    <cellStyle name="Merknad 82" xfId="2502" xr:uid="{00000000-0005-0000-0000-0000C0270000}"/>
    <cellStyle name="Merknad 82 2" xfId="2503" xr:uid="{00000000-0005-0000-0000-0000C1270000}"/>
    <cellStyle name="Merknad 83" xfId="2504" xr:uid="{00000000-0005-0000-0000-0000C2270000}"/>
    <cellStyle name="Merknad 83 2" xfId="2505" xr:uid="{00000000-0005-0000-0000-0000C3270000}"/>
    <cellStyle name="Merknad 84" xfId="2506" xr:uid="{00000000-0005-0000-0000-0000C4270000}"/>
    <cellStyle name="Merknad 84 2" xfId="2507" xr:uid="{00000000-0005-0000-0000-0000C5270000}"/>
    <cellStyle name="Merknad 85" xfId="2508" xr:uid="{00000000-0005-0000-0000-0000C6270000}"/>
    <cellStyle name="Merknad 85 2" xfId="2509" xr:uid="{00000000-0005-0000-0000-0000C7270000}"/>
    <cellStyle name="Merknad 86" xfId="2510" xr:uid="{00000000-0005-0000-0000-0000C8270000}"/>
    <cellStyle name="Merknad 86 2" xfId="2511" xr:uid="{00000000-0005-0000-0000-0000C9270000}"/>
    <cellStyle name="Merknad 87" xfId="2512" xr:uid="{00000000-0005-0000-0000-0000CA270000}"/>
    <cellStyle name="Merknad 87 2" xfId="2513" xr:uid="{00000000-0005-0000-0000-0000CB270000}"/>
    <cellStyle name="Merknad 88" xfId="2514" xr:uid="{00000000-0005-0000-0000-0000CC270000}"/>
    <cellStyle name="Merknad 88 2" xfId="2515" xr:uid="{00000000-0005-0000-0000-0000CD270000}"/>
    <cellStyle name="Merknad 89" xfId="2516" xr:uid="{00000000-0005-0000-0000-0000CE270000}"/>
    <cellStyle name="Merknad 9" xfId="2517" xr:uid="{00000000-0005-0000-0000-0000CF270000}"/>
    <cellStyle name="Merknad 9 2" xfId="2518" xr:uid="{00000000-0005-0000-0000-0000D0270000}"/>
    <cellStyle name="Merknad 90" xfId="2519" xr:uid="{00000000-0005-0000-0000-0000D1270000}"/>
    <cellStyle name="Merknad 91" xfId="2520" xr:uid="{00000000-0005-0000-0000-0000D2270000}"/>
    <cellStyle name="Merknad 92" xfId="2521" xr:uid="{00000000-0005-0000-0000-0000D3270000}"/>
    <cellStyle name="Merknad 93" xfId="2522" xr:uid="{00000000-0005-0000-0000-0000D4270000}"/>
    <cellStyle name="Merknad 94" xfId="2523" xr:uid="{00000000-0005-0000-0000-0000D5270000}"/>
    <cellStyle name="Merknad 95" xfId="2524" xr:uid="{00000000-0005-0000-0000-0000D6270000}"/>
    <cellStyle name="Merknad 96" xfId="2525" xr:uid="{00000000-0005-0000-0000-0000D7270000}"/>
    <cellStyle name="Merknad 97" xfId="2526" xr:uid="{00000000-0005-0000-0000-0000D8270000}"/>
    <cellStyle name="Merknad 98" xfId="2527" xr:uid="{00000000-0005-0000-0000-0000D9270000}"/>
    <cellStyle name="Merknad 99" xfId="2528" xr:uid="{00000000-0005-0000-0000-0000DA270000}"/>
    <cellStyle name="Millares 2" xfId="10810" xr:uid="{00000000-0005-0000-0000-0000DB270000}"/>
    <cellStyle name="Millares 2 2" xfId="10811" xr:uid="{00000000-0005-0000-0000-0000DC270000}"/>
    <cellStyle name="Millares 3" xfId="10812" xr:uid="{00000000-0005-0000-0000-0000DD270000}"/>
    <cellStyle name="Millares 3 2" xfId="10813" xr:uid="{00000000-0005-0000-0000-0000DE270000}"/>
    <cellStyle name="Millares 3 2 2" xfId="11010" xr:uid="{00000000-0005-0000-0000-0000DF270000}"/>
    <cellStyle name="Millares 3 2 3" xfId="10886" xr:uid="{00000000-0005-0000-0000-0000E0270000}"/>
    <cellStyle name="Millares 3 3" xfId="11009" xr:uid="{00000000-0005-0000-0000-0000E1270000}"/>
    <cellStyle name="Millares 3 4" xfId="10885" xr:uid="{00000000-0005-0000-0000-0000E2270000}"/>
    <cellStyle name="Milliers [0]_3A_NumeratorReport_Option1_040611" xfId="4168" xr:uid="{00000000-0005-0000-0000-0000E3270000}"/>
    <cellStyle name="Milliers_3A_NumeratorReport_Option1_040611" xfId="4169" xr:uid="{00000000-0005-0000-0000-0000E4270000}"/>
    <cellStyle name="Monétaire [0]_3A_NumeratorReport_Option1_040611" xfId="4170" xr:uid="{00000000-0005-0000-0000-0000E5270000}"/>
    <cellStyle name="Monétaire_3A_NumeratorReport_Option1_040611" xfId="4171" xr:uid="{00000000-0005-0000-0000-0000E6270000}"/>
    <cellStyle name="Navadno_List1" xfId="4246" xr:uid="{00000000-0005-0000-0000-0000E7270000}"/>
    <cellStyle name="Neutral" xfId="42" xr:uid="{00000000-0005-0000-0000-0000E8270000}"/>
    <cellStyle name="Neutral 2" xfId="10154" xr:uid="{00000000-0005-0000-0000-0000E9270000}"/>
    <cellStyle name="Normal" xfId="0" builtinId="0"/>
    <cellStyle name="Normal 10" xfId="2529" xr:uid="{00000000-0005-0000-0000-0000EB270000}"/>
    <cellStyle name="Normal 10 2" xfId="2530" xr:uid="{00000000-0005-0000-0000-0000EC270000}"/>
    <cellStyle name="Normal 10 3" xfId="3591" xr:uid="{00000000-0005-0000-0000-0000ED270000}"/>
    <cellStyle name="Normal 100" xfId="2531" xr:uid="{00000000-0005-0000-0000-0000EE270000}"/>
    <cellStyle name="Normal 100 2" xfId="2989" xr:uid="{00000000-0005-0000-0000-0000EF270000}"/>
    <cellStyle name="Normal 100 2 2" xfId="3539" xr:uid="{00000000-0005-0000-0000-0000F0270000}"/>
    <cellStyle name="Normal 100 2 2 2" xfId="7124" xr:uid="{00000000-0005-0000-0000-0000F1270000}"/>
    <cellStyle name="Normal 100 2 3" xfId="3951" xr:uid="{00000000-0005-0000-0000-0000F2270000}"/>
    <cellStyle name="Normal 100 2 4" xfId="6562" xr:uid="{00000000-0005-0000-0000-0000F3270000}"/>
    <cellStyle name="Normal 100 2 5" xfId="9124" xr:uid="{00000000-0005-0000-0000-0000F4270000}"/>
    <cellStyle name="Normal 100 3" xfId="3538" xr:uid="{00000000-0005-0000-0000-0000F5270000}"/>
    <cellStyle name="Normal 100 3 2" xfId="7123" xr:uid="{00000000-0005-0000-0000-0000F6270000}"/>
    <cellStyle name="Normal 100 4" xfId="3679" xr:uid="{00000000-0005-0000-0000-0000F7270000}"/>
    <cellStyle name="Normal 100 5" xfId="6277" xr:uid="{00000000-0005-0000-0000-0000F8270000}"/>
    <cellStyle name="Normal 100 6" xfId="9123" xr:uid="{00000000-0005-0000-0000-0000F9270000}"/>
    <cellStyle name="Normal 101" xfId="2532" xr:uid="{00000000-0005-0000-0000-0000FA270000}"/>
    <cellStyle name="Normal 101 2" xfId="2990" xr:uid="{00000000-0005-0000-0000-0000FB270000}"/>
    <cellStyle name="Normal 101 2 2" xfId="3541" xr:uid="{00000000-0005-0000-0000-0000FC270000}"/>
    <cellStyle name="Normal 101 2 2 2" xfId="7126" xr:uid="{00000000-0005-0000-0000-0000FD270000}"/>
    <cellStyle name="Normal 101 2 3" xfId="4049" xr:uid="{00000000-0005-0000-0000-0000FE270000}"/>
    <cellStyle name="Normal 101 2 4" xfId="6563" xr:uid="{00000000-0005-0000-0000-0000FF270000}"/>
    <cellStyle name="Normal 101 2 5" xfId="9126" xr:uid="{00000000-0005-0000-0000-000000280000}"/>
    <cellStyle name="Normal 101 3" xfId="3540" xr:uid="{00000000-0005-0000-0000-000001280000}"/>
    <cellStyle name="Normal 101 3 2" xfId="7125" xr:uid="{00000000-0005-0000-0000-000002280000}"/>
    <cellStyle name="Normal 101 4" xfId="3621" xr:uid="{00000000-0005-0000-0000-000003280000}"/>
    <cellStyle name="Normal 101 5" xfId="6278" xr:uid="{00000000-0005-0000-0000-000004280000}"/>
    <cellStyle name="Normal 101 6" xfId="9125" xr:uid="{00000000-0005-0000-0000-000005280000}"/>
    <cellStyle name="Normal 102" xfId="2533" xr:uid="{00000000-0005-0000-0000-000006280000}"/>
    <cellStyle name="Normal 102 2" xfId="2991" xr:uid="{00000000-0005-0000-0000-000007280000}"/>
    <cellStyle name="Normal 102 2 2" xfId="3543" xr:uid="{00000000-0005-0000-0000-000008280000}"/>
    <cellStyle name="Normal 102 2 2 2" xfId="7128" xr:uid="{00000000-0005-0000-0000-000009280000}"/>
    <cellStyle name="Normal 102 2 3" xfId="3903" xr:uid="{00000000-0005-0000-0000-00000A280000}"/>
    <cellStyle name="Normal 102 2 4" xfId="6564" xr:uid="{00000000-0005-0000-0000-00000B280000}"/>
    <cellStyle name="Normal 102 2 5" xfId="9128" xr:uid="{00000000-0005-0000-0000-00000C280000}"/>
    <cellStyle name="Normal 102 3" xfId="3542" xr:uid="{00000000-0005-0000-0000-00000D280000}"/>
    <cellStyle name="Normal 102 3 2" xfId="7127" xr:uid="{00000000-0005-0000-0000-00000E280000}"/>
    <cellStyle name="Normal 102 4" xfId="3762" xr:uid="{00000000-0005-0000-0000-00000F280000}"/>
    <cellStyle name="Normal 102 5" xfId="6279" xr:uid="{00000000-0005-0000-0000-000010280000}"/>
    <cellStyle name="Normal 102 6" xfId="9127" xr:uid="{00000000-0005-0000-0000-000011280000}"/>
    <cellStyle name="Normal 103" xfId="2534" xr:uid="{00000000-0005-0000-0000-000012280000}"/>
    <cellStyle name="Normal 103 2" xfId="2992" xr:uid="{00000000-0005-0000-0000-000013280000}"/>
    <cellStyle name="Normal 103 2 2" xfId="3545" xr:uid="{00000000-0005-0000-0000-000014280000}"/>
    <cellStyle name="Normal 103 2 2 2" xfId="7130" xr:uid="{00000000-0005-0000-0000-000015280000}"/>
    <cellStyle name="Normal 103 2 3" xfId="3685" xr:uid="{00000000-0005-0000-0000-000016280000}"/>
    <cellStyle name="Normal 103 2 4" xfId="6565" xr:uid="{00000000-0005-0000-0000-000017280000}"/>
    <cellStyle name="Normal 103 2 5" xfId="9130" xr:uid="{00000000-0005-0000-0000-000018280000}"/>
    <cellStyle name="Normal 103 3" xfId="3544" xr:uid="{00000000-0005-0000-0000-000019280000}"/>
    <cellStyle name="Normal 103 3 2" xfId="7129" xr:uid="{00000000-0005-0000-0000-00001A280000}"/>
    <cellStyle name="Normal 103 4" xfId="3654" xr:uid="{00000000-0005-0000-0000-00001B280000}"/>
    <cellStyle name="Normal 103 5" xfId="6280" xr:uid="{00000000-0005-0000-0000-00001C280000}"/>
    <cellStyle name="Normal 103 6" xfId="9129" xr:uid="{00000000-0005-0000-0000-00001D280000}"/>
    <cellStyle name="Normal 104" xfId="2535" xr:uid="{00000000-0005-0000-0000-00001E280000}"/>
    <cellStyle name="Normal 104 2" xfId="2993" xr:uid="{00000000-0005-0000-0000-00001F280000}"/>
    <cellStyle name="Normal 104 2 2" xfId="3547" xr:uid="{00000000-0005-0000-0000-000020280000}"/>
    <cellStyle name="Normal 104 2 2 2" xfId="7132" xr:uid="{00000000-0005-0000-0000-000021280000}"/>
    <cellStyle name="Normal 104 2 3" xfId="4151" xr:uid="{00000000-0005-0000-0000-000022280000}"/>
    <cellStyle name="Normal 104 2 4" xfId="6566" xr:uid="{00000000-0005-0000-0000-000023280000}"/>
    <cellStyle name="Normal 104 2 5" xfId="9132" xr:uid="{00000000-0005-0000-0000-000024280000}"/>
    <cellStyle name="Normal 104 3" xfId="3546" xr:uid="{00000000-0005-0000-0000-000025280000}"/>
    <cellStyle name="Normal 104 3 2" xfId="7131" xr:uid="{00000000-0005-0000-0000-000026280000}"/>
    <cellStyle name="Normal 104 4" xfId="3618" xr:uid="{00000000-0005-0000-0000-000027280000}"/>
    <cellStyle name="Normal 104 5" xfId="6281" xr:uid="{00000000-0005-0000-0000-000028280000}"/>
    <cellStyle name="Normal 104 6" xfId="9131" xr:uid="{00000000-0005-0000-0000-000029280000}"/>
    <cellStyle name="Normal 105" xfId="2536" xr:uid="{00000000-0005-0000-0000-00002A280000}"/>
    <cellStyle name="Normal 105 2" xfId="2994" xr:uid="{00000000-0005-0000-0000-00002B280000}"/>
    <cellStyle name="Normal 105 2 2" xfId="3549" xr:uid="{00000000-0005-0000-0000-00002C280000}"/>
    <cellStyle name="Normal 105 2 2 2" xfId="7134" xr:uid="{00000000-0005-0000-0000-00002D280000}"/>
    <cellStyle name="Normal 105 2 3" xfId="4150" xr:uid="{00000000-0005-0000-0000-00002E280000}"/>
    <cellStyle name="Normal 105 2 4" xfId="6567" xr:uid="{00000000-0005-0000-0000-00002F280000}"/>
    <cellStyle name="Normal 105 2 5" xfId="9134" xr:uid="{00000000-0005-0000-0000-000030280000}"/>
    <cellStyle name="Normal 105 3" xfId="3548" xr:uid="{00000000-0005-0000-0000-000031280000}"/>
    <cellStyle name="Normal 105 3 2" xfId="7133" xr:uid="{00000000-0005-0000-0000-000032280000}"/>
    <cellStyle name="Normal 105 4" xfId="3619" xr:uid="{00000000-0005-0000-0000-000033280000}"/>
    <cellStyle name="Normal 105 5" xfId="6282" xr:uid="{00000000-0005-0000-0000-000034280000}"/>
    <cellStyle name="Normal 105 6" xfId="9133" xr:uid="{00000000-0005-0000-0000-000035280000}"/>
    <cellStyle name="Normal 106" xfId="2537" xr:uid="{00000000-0005-0000-0000-000036280000}"/>
    <cellStyle name="Normal 106 2" xfId="2995" xr:uid="{00000000-0005-0000-0000-000037280000}"/>
    <cellStyle name="Normal 106 2 2" xfId="3551" xr:uid="{00000000-0005-0000-0000-000038280000}"/>
    <cellStyle name="Normal 106 2 2 2" xfId="7136" xr:uid="{00000000-0005-0000-0000-000039280000}"/>
    <cellStyle name="Normal 106 2 3" xfId="3902" xr:uid="{00000000-0005-0000-0000-00003A280000}"/>
    <cellStyle name="Normal 106 2 4" xfId="6568" xr:uid="{00000000-0005-0000-0000-00003B280000}"/>
    <cellStyle name="Normal 106 2 5" xfId="9136" xr:uid="{00000000-0005-0000-0000-00003C280000}"/>
    <cellStyle name="Normal 106 3" xfId="3550" xr:uid="{00000000-0005-0000-0000-00003D280000}"/>
    <cellStyle name="Normal 106 3 2" xfId="7135" xr:uid="{00000000-0005-0000-0000-00003E280000}"/>
    <cellStyle name="Normal 106 4" xfId="3761" xr:uid="{00000000-0005-0000-0000-00003F280000}"/>
    <cellStyle name="Normal 106 5" xfId="6283" xr:uid="{00000000-0005-0000-0000-000040280000}"/>
    <cellStyle name="Normal 106 6" xfId="9135" xr:uid="{00000000-0005-0000-0000-000041280000}"/>
    <cellStyle name="Normal 107" xfId="2538" xr:uid="{00000000-0005-0000-0000-000042280000}"/>
    <cellStyle name="Normal 107 2" xfId="2996" xr:uid="{00000000-0005-0000-0000-000043280000}"/>
    <cellStyle name="Normal 107 2 2" xfId="3553" xr:uid="{00000000-0005-0000-0000-000044280000}"/>
    <cellStyle name="Normal 107 2 2 2" xfId="7138" xr:uid="{00000000-0005-0000-0000-000045280000}"/>
    <cellStyle name="Normal 107 2 3" xfId="3684" xr:uid="{00000000-0005-0000-0000-000046280000}"/>
    <cellStyle name="Normal 107 2 4" xfId="6569" xr:uid="{00000000-0005-0000-0000-000047280000}"/>
    <cellStyle name="Normal 107 2 5" xfId="9138" xr:uid="{00000000-0005-0000-0000-000048280000}"/>
    <cellStyle name="Normal 107 3" xfId="3552" xr:uid="{00000000-0005-0000-0000-000049280000}"/>
    <cellStyle name="Normal 107 3 2" xfId="7137" xr:uid="{00000000-0005-0000-0000-00004A280000}"/>
    <cellStyle name="Normal 107 4" xfId="3653" xr:uid="{00000000-0005-0000-0000-00004B280000}"/>
    <cellStyle name="Normal 107 5" xfId="6284" xr:uid="{00000000-0005-0000-0000-00004C280000}"/>
    <cellStyle name="Normal 107 6" xfId="9137" xr:uid="{00000000-0005-0000-0000-00004D280000}"/>
    <cellStyle name="Normal 108" xfId="125" xr:uid="{00000000-0005-0000-0000-00004E280000}"/>
    <cellStyle name="Normal 108 2" xfId="2997" xr:uid="{00000000-0005-0000-0000-00004F280000}"/>
    <cellStyle name="Normal 108 2 2" xfId="3555" xr:uid="{00000000-0005-0000-0000-000050280000}"/>
    <cellStyle name="Normal 108 2 2 2" xfId="7140" xr:uid="{00000000-0005-0000-0000-000051280000}"/>
    <cellStyle name="Normal 108 2 3" xfId="3950" xr:uid="{00000000-0005-0000-0000-000052280000}"/>
    <cellStyle name="Normal 108 2 4" xfId="6570" xr:uid="{00000000-0005-0000-0000-000053280000}"/>
    <cellStyle name="Normal 108 2 5" xfId="9140" xr:uid="{00000000-0005-0000-0000-000054280000}"/>
    <cellStyle name="Normal 108 3" xfId="3554" xr:uid="{00000000-0005-0000-0000-000055280000}"/>
    <cellStyle name="Normal 108 3 2" xfId="7139" xr:uid="{00000000-0005-0000-0000-000056280000}"/>
    <cellStyle name="Normal 108 4" xfId="3616" xr:uid="{00000000-0005-0000-0000-000057280000}"/>
    <cellStyle name="Normal 108 5" xfId="6285" xr:uid="{00000000-0005-0000-0000-000058280000}"/>
    <cellStyle name="Normal 108 6" xfId="9139" xr:uid="{00000000-0005-0000-0000-000059280000}"/>
    <cellStyle name="Normal 109" xfId="124" xr:uid="{00000000-0005-0000-0000-00005A280000}"/>
    <cellStyle name="Normal 109 2" xfId="2998" xr:uid="{00000000-0005-0000-0000-00005B280000}"/>
    <cellStyle name="Normal 109 2 2" xfId="3557" xr:uid="{00000000-0005-0000-0000-00005C280000}"/>
    <cellStyle name="Normal 109 2 2 2" xfId="7142" xr:uid="{00000000-0005-0000-0000-00005D280000}"/>
    <cellStyle name="Normal 109 2 3" xfId="4048" xr:uid="{00000000-0005-0000-0000-00005E280000}"/>
    <cellStyle name="Normal 109 2 4" xfId="6571" xr:uid="{00000000-0005-0000-0000-00005F280000}"/>
    <cellStyle name="Normal 109 2 5" xfId="9142" xr:uid="{00000000-0005-0000-0000-000060280000}"/>
    <cellStyle name="Normal 109 3" xfId="3556" xr:uid="{00000000-0005-0000-0000-000061280000}"/>
    <cellStyle name="Normal 109 3 2" xfId="7141" xr:uid="{00000000-0005-0000-0000-000062280000}"/>
    <cellStyle name="Normal 109 4" xfId="3617" xr:uid="{00000000-0005-0000-0000-000063280000}"/>
    <cellStyle name="Normal 109 5" xfId="6286" xr:uid="{00000000-0005-0000-0000-000064280000}"/>
    <cellStyle name="Normal 109 6" xfId="9141" xr:uid="{00000000-0005-0000-0000-000065280000}"/>
    <cellStyle name="Normal 11" xfId="2539" xr:uid="{00000000-0005-0000-0000-000066280000}"/>
    <cellStyle name="Normal 11 2" xfId="2540" xr:uid="{00000000-0005-0000-0000-000067280000}"/>
    <cellStyle name="Normal 11 3" xfId="9264" xr:uid="{00000000-0005-0000-0000-000068280000}"/>
    <cellStyle name="Normal 110" xfId="2541" xr:uid="{00000000-0005-0000-0000-000069280000}"/>
    <cellStyle name="Normal 110 2" xfId="2999" xr:uid="{00000000-0005-0000-0000-00006A280000}"/>
    <cellStyle name="Normal 110 2 2" xfId="3559" xr:uid="{00000000-0005-0000-0000-00006B280000}"/>
    <cellStyle name="Normal 110 2 2 2" xfId="7144" xr:uid="{00000000-0005-0000-0000-00006C280000}"/>
    <cellStyle name="Normal 110 2 3" xfId="3901" xr:uid="{00000000-0005-0000-0000-00006D280000}"/>
    <cellStyle name="Normal 110 2 4" xfId="6572" xr:uid="{00000000-0005-0000-0000-00006E280000}"/>
    <cellStyle name="Normal 110 2 5" xfId="9144" xr:uid="{00000000-0005-0000-0000-00006F280000}"/>
    <cellStyle name="Normal 110 3" xfId="3558" xr:uid="{00000000-0005-0000-0000-000070280000}"/>
    <cellStyle name="Normal 110 3 2" xfId="7143" xr:uid="{00000000-0005-0000-0000-000071280000}"/>
    <cellStyle name="Normal 110 4" xfId="3760" xr:uid="{00000000-0005-0000-0000-000072280000}"/>
    <cellStyle name="Normal 110 5" xfId="6287" xr:uid="{00000000-0005-0000-0000-000073280000}"/>
    <cellStyle name="Normal 110 6" xfId="9143" xr:uid="{00000000-0005-0000-0000-000074280000}"/>
    <cellStyle name="Normal 111" xfId="2721" xr:uid="{00000000-0005-0000-0000-000075280000}"/>
    <cellStyle name="Normal 111 2" xfId="2728" xr:uid="{00000000-0005-0000-0000-000076280000}"/>
    <cellStyle name="Normal 111 2 2" xfId="3013" xr:uid="{00000000-0005-0000-0000-000077280000}"/>
    <cellStyle name="Normal 111 2 2 2" xfId="3589" xr:uid="{00000000-0005-0000-0000-000078280000}"/>
    <cellStyle name="Normal 111 2 2 2 2" xfId="7172" xr:uid="{00000000-0005-0000-0000-000079280000}"/>
    <cellStyle name="Normal 111 2 2 3" xfId="6586" xr:uid="{00000000-0005-0000-0000-00007A280000}"/>
    <cellStyle name="Normal 111 2 2 4" xfId="9172" xr:uid="{00000000-0005-0000-0000-00007B280000}"/>
    <cellStyle name="Normal 111 2 3" xfId="3017" xr:uid="{00000000-0005-0000-0000-00007C280000}"/>
    <cellStyle name="Normal 111 2 3 2" xfId="6602" xr:uid="{00000000-0005-0000-0000-00007D280000}"/>
    <cellStyle name="Normal 111 2 4" xfId="3610" xr:uid="{00000000-0005-0000-0000-00007E280000}"/>
    <cellStyle name="Normal 111 2 5" xfId="6301" xr:uid="{00000000-0005-0000-0000-00007F280000}"/>
    <cellStyle name="Normal 111 2 6" xfId="8603" xr:uid="{00000000-0005-0000-0000-000080280000}"/>
    <cellStyle name="Normal 111 3" xfId="3560" xr:uid="{00000000-0005-0000-0000-000081280000}"/>
    <cellStyle name="Normal 111 3 2" xfId="7145" xr:uid="{00000000-0005-0000-0000-000082280000}"/>
    <cellStyle name="Normal 111 4" xfId="4146" xr:uid="{00000000-0005-0000-0000-000083280000}"/>
    <cellStyle name="Normal 111 5" xfId="6017" xr:uid="{00000000-0005-0000-0000-000084280000}"/>
    <cellStyle name="Normal 111 6" xfId="9145" xr:uid="{00000000-0005-0000-0000-000085280000}"/>
    <cellStyle name="Normal 112" xfId="123" xr:uid="{00000000-0005-0000-0000-000086280000}"/>
    <cellStyle name="Normal 112 2" xfId="2725" xr:uid="{00000000-0005-0000-0000-000087280000}"/>
    <cellStyle name="Normal 113" xfId="3014" xr:uid="{00000000-0005-0000-0000-000088280000}"/>
    <cellStyle name="Normal 113 2" xfId="6599" xr:uid="{00000000-0005-0000-0000-000089280000}"/>
    <cellStyle name="Normal 114" xfId="2722" xr:uid="{00000000-0005-0000-0000-00008A280000}"/>
    <cellStyle name="Normal 114 2" xfId="3590" xr:uid="{00000000-0005-0000-0000-00008B280000}"/>
    <cellStyle name="Normal 114 2 2" xfId="7173" xr:uid="{00000000-0005-0000-0000-00008C280000}"/>
    <cellStyle name="Normal 114 3" xfId="4167" xr:uid="{00000000-0005-0000-0000-00008D280000}"/>
    <cellStyle name="Normal 115" xfId="8588" xr:uid="{00000000-0005-0000-0000-00008E280000}"/>
    <cellStyle name="Normal 116" xfId="9186" xr:uid="{00000000-0005-0000-0000-00008F280000}"/>
    <cellStyle name="Normal 116 2" xfId="9201" xr:uid="{00000000-0005-0000-0000-000090280000}"/>
    <cellStyle name="Normal 117" xfId="9188" xr:uid="{00000000-0005-0000-0000-000091280000}"/>
    <cellStyle name="Normal 117 2" xfId="9203" xr:uid="{00000000-0005-0000-0000-000092280000}"/>
    <cellStyle name="Normal 118" xfId="34" xr:uid="{00000000-0005-0000-0000-00002C280000}"/>
    <cellStyle name="Normal 119" xfId="11324" xr:uid="{C07951A4-783E-4812-91AF-C00D4AC0437E}"/>
    <cellStyle name="Normal 12" xfId="2542" xr:uid="{00000000-0005-0000-0000-000093280000}"/>
    <cellStyle name="Normal 12 2" xfId="2543" xr:uid="{00000000-0005-0000-0000-000094280000}"/>
    <cellStyle name="Normal 12 3" xfId="10481" xr:uid="{00000000-0005-0000-0000-000095280000}"/>
    <cellStyle name="Normal 13" xfId="2544" xr:uid="{00000000-0005-0000-0000-000096280000}"/>
    <cellStyle name="Normal 13 2" xfId="2545" xr:uid="{00000000-0005-0000-0000-000097280000}"/>
    <cellStyle name="Normal 13 2 2" xfId="10573" xr:uid="{00000000-0005-0000-0000-000098280000}"/>
    <cellStyle name="Normal 13 3" xfId="10153" xr:uid="{00000000-0005-0000-0000-000099280000}"/>
    <cellStyle name="Normal 13 4" xfId="10095" xr:uid="{00000000-0005-0000-0000-00009A280000}"/>
    <cellStyle name="Normal 14" xfId="2546" xr:uid="{00000000-0005-0000-0000-00009B280000}"/>
    <cellStyle name="Normal 14 2" xfId="2547" xr:uid="{00000000-0005-0000-0000-00009C280000}"/>
    <cellStyle name="Normal 14 2 2" xfId="9262" xr:uid="{00000000-0005-0000-0000-00009D280000}"/>
    <cellStyle name="Normal 14 3" xfId="10480" xr:uid="{00000000-0005-0000-0000-00009E280000}"/>
    <cellStyle name="Normal 14 4" xfId="9263" xr:uid="{00000000-0005-0000-0000-00009F280000}"/>
    <cellStyle name="Normal 15" xfId="2548" xr:uid="{00000000-0005-0000-0000-0000A0280000}"/>
    <cellStyle name="Normal 15 2" xfId="2549" xr:uid="{00000000-0005-0000-0000-0000A1280000}"/>
    <cellStyle name="Normal 15 2 2" xfId="10572" xr:uid="{00000000-0005-0000-0000-0000A2280000}"/>
    <cellStyle name="Normal 15 3" xfId="10152" xr:uid="{00000000-0005-0000-0000-0000A3280000}"/>
    <cellStyle name="Normal 15 4" xfId="10094" xr:uid="{00000000-0005-0000-0000-0000A4280000}"/>
    <cellStyle name="Normal 16" xfId="2550" xr:uid="{00000000-0005-0000-0000-0000A5280000}"/>
    <cellStyle name="Normal 16 2" xfId="2551" xr:uid="{00000000-0005-0000-0000-0000A6280000}"/>
    <cellStyle name="Normal 16 2 2" xfId="9260" xr:uid="{00000000-0005-0000-0000-0000A7280000}"/>
    <cellStyle name="Normal 16 3" xfId="10479" xr:uid="{00000000-0005-0000-0000-0000A8280000}"/>
    <cellStyle name="Normal 16 4" xfId="9261" xr:uid="{00000000-0005-0000-0000-0000A9280000}"/>
    <cellStyle name="Normal 17" xfId="2552" xr:uid="{00000000-0005-0000-0000-0000AA280000}"/>
    <cellStyle name="Normal 17 2" xfId="2553" xr:uid="{00000000-0005-0000-0000-0000AB280000}"/>
    <cellStyle name="Normal 18" xfId="2554" xr:uid="{00000000-0005-0000-0000-0000AC280000}"/>
    <cellStyle name="Normal 18 2" xfId="2555" xr:uid="{00000000-0005-0000-0000-0000AD280000}"/>
    <cellStyle name="Normal 18 2 2" xfId="10463" xr:uid="{00000000-0005-0000-0000-0000AE280000}"/>
    <cellStyle name="Normal 18 3" xfId="10554" xr:uid="{00000000-0005-0000-0000-0000AF280000}"/>
    <cellStyle name="Normal 19" xfId="2556" xr:uid="{00000000-0005-0000-0000-0000B0280000}"/>
    <cellStyle name="Normal 19 2" xfId="2557" xr:uid="{00000000-0005-0000-0000-0000B1280000}"/>
    <cellStyle name="Normal 19 3" xfId="9225" xr:uid="{00000000-0005-0000-0000-0000B2280000}"/>
    <cellStyle name="Normal 2" xfId="7" xr:uid="{00000000-0005-0000-0000-000005000000}"/>
    <cellStyle name="Normal 2 10" xfId="3656" xr:uid="{00000000-0005-0000-0000-0000B4280000}"/>
    <cellStyle name="Normal 2 11" xfId="6016" xr:uid="{00000000-0005-0000-0000-0000B5280000}"/>
    <cellStyle name="Normal 2 12" xfId="9146" xr:uid="{00000000-0005-0000-0000-0000B6280000}"/>
    <cellStyle name="Normal 2 13" xfId="10735" xr:uid="{00000000-0005-0000-0000-0000B7280000}"/>
    <cellStyle name="Normal 2 14" xfId="10732" xr:uid="{00000000-0005-0000-0000-0000B8280000}"/>
    <cellStyle name="Normal 2 2" xfId="13" xr:uid="{00000000-0005-0000-0000-000006000000}"/>
    <cellStyle name="Normal 2 2 2" xfId="4247" xr:uid="{00000000-0005-0000-0000-0000BA280000}"/>
    <cellStyle name="Normal 2 2 3" xfId="4248" xr:uid="{00000000-0005-0000-0000-0000BB280000}"/>
    <cellStyle name="Normal 2 2 3 2" xfId="10814" xr:uid="{00000000-0005-0000-0000-0000BC280000}"/>
    <cellStyle name="Normal 2 2_COREP GL04rev3" xfId="4249" xr:uid="{00000000-0005-0000-0000-0000BD280000}"/>
    <cellStyle name="Normal 2 3" xfId="2727" xr:uid="{00000000-0005-0000-0000-0000BE280000}"/>
    <cellStyle name="Normal 2 3 2" xfId="3012" xr:uid="{00000000-0005-0000-0000-0000BF280000}"/>
    <cellStyle name="Normal 2 3 2 2" xfId="3588" xr:uid="{00000000-0005-0000-0000-0000C0280000}"/>
    <cellStyle name="Normal 2 3 2 2 2" xfId="7171" xr:uid="{00000000-0005-0000-0000-0000C1280000}"/>
    <cellStyle name="Normal 2 3 2 3" xfId="4276" xr:uid="{00000000-0005-0000-0000-0000C2280000}"/>
    <cellStyle name="Normal 2 3 2 4" xfId="6585" xr:uid="{00000000-0005-0000-0000-0000C3280000}"/>
    <cellStyle name="Normal 2 3 2 5" xfId="9171" xr:uid="{00000000-0005-0000-0000-0000C4280000}"/>
    <cellStyle name="Normal 2 3 3" xfId="3016" xr:uid="{00000000-0005-0000-0000-0000C5280000}"/>
    <cellStyle name="Normal 2 3 3 2" xfId="6601" xr:uid="{00000000-0005-0000-0000-0000C6280000}"/>
    <cellStyle name="Normal 2 3 4" xfId="4250" xr:uid="{00000000-0005-0000-0000-0000C7280000}"/>
    <cellStyle name="Normal 2 3 5" xfId="3928" xr:uid="{00000000-0005-0000-0000-0000C8280000}"/>
    <cellStyle name="Normal 2 3 6" xfId="6300" xr:uid="{00000000-0005-0000-0000-0000C9280000}"/>
    <cellStyle name="Normal 2 3 7" xfId="8602" xr:uid="{00000000-0005-0000-0000-0000CA280000}"/>
    <cellStyle name="Normal 2 4" xfId="3561" xr:uid="{00000000-0005-0000-0000-0000CB280000}"/>
    <cellStyle name="Normal 2 4 2" xfId="7146" xr:uid="{00000000-0005-0000-0000-0000CC280000}"/>
    <cellStyle name="Normal 2 5" xfId="2724" xr:uid="{00000000-0005-0000-0000-0000CD280000}"/>
    <cellStyle name="Normal 2 6" xfId="3978" xr:uid="{00000000-0005-0000-0000-0000CE280000}"/>
    <cellStyle name="Normal 2 7" xfId="6015" xr:uid="{00000000-0005-0000-0000-0000CF280000}"/>
    <cellStyle name="Normal 2 8" xfId="4118" xr:uid="{00000000-0005-0000-0000-0000D0280000}"/>
    <cellStyle name="Normal 2 9" xfId="3652" xr:uid="{00000000-0005-0000-0000-0000D1280000}"/>
    <cellStyle name="Normal 2_~0149226" xfId="10815" xr:uid="{00000000-0005-0000-0000-0000D2280000}"/>
    <cellStyle name="Normal 20" xfId="2558" xr:uid="{00000000-0005-0000-0000-0000D3280000}"/>
    <cellStyle name="Normal 20 2" xfId="11" xr:uid="{00000000-0005-0000-0000-000007000000}"/>
    <cellStyle name="Normal 20 2 2" xfId="2559" xr:uid="{00000000-0005-0000-0000-0000D4280000}"/>
    <cellStyle name="Normal 20 3" xfId="10137" xr:uid="{00000000-0005-0000-0000-0000D5280000}"/>
    <cellStyle name="Normal 21" xfId="2560" xr:uid="{00000000-0005-0000-0000-0000D6280000}"/>
    <cellStyle name="Normal 21 2" xfId="2561" xr:uid="{00000000-0005-0000-0000-0000D7280000}"/>
    <cellStyle name="Normal 22" xfId="2562" xr:uid="{00000000-0005-0000-0000-0000D8280000}"/>
    <cellStyle name="Normal 22 2" xfId="2563" xr:uid="{00000000-0005-0000-0000-0000D9280000}"/>
    <cellStyle name="Normal 23" xfId="2564" xr:uid="{00000000-0005-0000-0000-0000DA280000}"/>
    <cellStyle name="Normal 23 2" xfId="2565" xr:uid="{00000000-0005-0000-0000-0000DB280000}"/>
    <cellStyle name="Normal 24" xfId="2566" xr:uid="{00000000-0005-0000-0000-0000DC280000}"/>
    <cellStyle name="Normal 24 2" xfId="2567" xr:uid="{00000000-0005-0000-0000-0000DD280000}"/>
    <cellStyle name="Normal 25" xfId="2568" xr:uid="{00000000-0005-0000-0000-0000DE280000}"/>
    <cellStyle name="Normal 25 2" xfId="2569" xr:uid="{00000000-0005-0000-0000-0000DF280000}"/>
    <cellStyle name="Normal 26" xfId="2570" xr:uid="{00000000-0005-0000-0000-0000E0280000}"/>
    <cellStyle name="Normal 26 2" xfId="2571" xr:uid="{00000000-0005-0000-0000-0000E1280000}"/>
    <cellStyle name="Normal 27" xfId="2572" xr:uid="{00000000-0005-0000-0000-0000E2280000}"/>
    <cellStyle name="Normal 27 2" xfId="2573" xr:uid="{00000000-0005-0000-0000-0000E3280000}"/>
    <cellStyle name="Normal 28" xfId="2574" xr:uid="{00000000-0005-0000-0000-0000E4280000}"/>
    <cellStyle name="Normal 28 2" xfId="2575" xr:uid="{00000000-0005-0000-0000-0000E5280000}"/>
    <cellStyle name="Normal 29" xfId="2576" xr:uid="{00000000-0005-0000-0000-0000E6280000}"/>
    <cellStyle name="Normal 29 2" xfId="2577" xr:uid="{00000000-0005-0000-0000-0000E7280000}"/>
    <cellStyle name="Normal 3" xfId="16" xr:uid="{00000000-0005-0000-0000-000008000000}"/>
    <cellStyle name="Normal 3 10" xfId="96" xr:uid="{00000000-0005-0000-0000-0000E8280000}"/>
    <cellStyle name="Normal 3 2" xfId="97" xr:uid="{00000000-0005-0000-0000-0000E9280000}"/>
    <cellStyle name="Normal 3 2 2" xfId="2578" xr:uid="{00000000-0005-0000-0000-0000EA280000}"/>
    <cellStyle name="Normal 3 2 3" xfId="3001" xr:uid="{00000000-0005-0000-0000-0000EB280000}"/>
    <cellStyle name="Normal 3 2 3 2" xfId="3564" xr:uid="{00000000-0005-0000-0000-0000EC280000}"/>
    <cellStyle name="Normal 3 2 3 2 2" xfId="7149" xr:uid="{00000000-0005-0000-0000-0000ED280000}"/>
    <cellStyle name="Normal 3 2 3 3" xfId="4149" xr:uid="{00000000-0005-0000-0000-0000EE280000}"/>
    <cellStyle name="Normal 3 2 3 4" xfId="6574" xr:uid="{00000000-0005-0000-0000-0000EF280000}"/>
    <cellStyle name="Normal 3 2 3 5" xfId="9149" xr:uid="{00000000-0005-0000-0000-0000F0280000}"/>
    <cellStyle name="Normal 3 2 4" xfId="3563" xr:uid="{00000000-0005-0000-0000-0000F1280000}"/>
    <cellStyle name="Normal 3 2 4 2" xfId="7148" xr:uid="{00000000-0005-0000-0000-0000F2280000}"/>
    <cellStyle name="Normal 3 2 5" xfId="4252" xr:uid="{00000000-0005-0000-0000-0000F3280000}"/>
    <cellStyle name="Normal 3 2 6" xfId="3615" xr:uid="{00000000-0005-0000-0000-0000F4280000}"/>
    <cellStyle name="Normal 3 2 7" xfId="6289" xr:uid="{00000000-0005-0000-0000-0000F5280000}"/>
    <cellStyle name="Normal 3 2 8" xfId="9148" xr:uid="{00000000-0005-0000-0000-0000F6280000}"/>
    <cellStyle name="Normal 3 3" xfId="98" xr:uid="{00000000-0005-0000-0000-0000F7280000}"/>
    <cellStyle name="Normal 3 3 2" xfId="4253" xr:uid="{00000000-0005-0000-0000-0000F8280000}"/>
    <cellStyle name="Normal 3 3_Balanse" xfId="11254" xr:uid="{00000000-0005-0000-0000-0000F9280000}"/>
    <cellStyle name="Normal 3 4" xfId="3000" xr:uid="{00000000-0005-0000-0000-0000FA280000}"/>
    <cellStyle name="Normal 3 4 2" xfId="3565" xr:uid="{00000000-0005-0000-0000-0000FB280000}"/>
    <cellStyle name="Normal 3 4 2 2" xfId="7150" xr:uid="{00000000-0005-0000-0000-0000FC280000}"/>
    <cellStyle name="Normal 3 4 3" xfId="3683" xr:uid="{00000000-0005-0000-0000-0000FD280000}"/>
    <cellStyle name="Normal 3 4 4" xfId="6573" xr:uid="{00000000-0005-0000-0000-0000FE280000}"/>
    <cellStyle name="Normal 3 4 5" xfId="9150" xr:uid="{00000000-0005-0000-0000-0000FF280000}"/>
    <cellStyle name="Normal 3 4 6" xfId="10478" xr:uid="{00000000-0005-0000-0000-000000290000}"/>
    <cellStyle name="Normal 3 5" xfId="3562" xr:uid="{00000000-0005-0000-0000-000001290000}"/>
    <cellStyle name="Normal 3 5 2" xfId="7147" xr:uid="{00000000-0005-0000-0000-000002290000}"/>
    <cellStyle name="Normal 3 5 3" xfId="10093" xr:uid="{00000000-0005-0000-0000-000003290000}"/>
    <cellStyle name="Normal 3 6" xfId="4251" xr:uid="{00000000-0005-0000-0000-000004290000}"/>
    <cellStyle name="Normal 3 7" xfId="3614" xr:uid="{00000000-0005-0000-0000-000005290000}"/>
    <cellStyle name="Normal 3 8" xfId="6288" xr:uid="{00000000-0005-0000-0000-000006290000}"/>
    <cellStyle name="Normal 3 9" xfId="9147" xr:uid="{00000000-0005-0000-0000-000007290000}"/>
    <cellStyle name="Normal 3_~1520012" xfId="4254" xr:uid="{00000000-0005-0000-0000-000008290000}"/>
    <cellStyle name="Normal 30" xfId="2579" xr:uid="{00000000-0005-0000-0000-000009290000}"/>
    <cellStyle name="Normal 30 2" xfId="2580" xr:uid="{00000000-0005-0000-0000-00000A290000}"/>
    <cellStyle name="Normal 31" xfId="2581" xr:uid="{00000000-0005-0000-0000-00000B290000}"/>
    <cellStyle name="Normal 31 2" xfId="2582" xr:uid="{00000000-0005-0000-0000-00000C290000}"/>
    <cellStyle name="Normal 32" xfId="2583" xr:uid="{00000000-0005-0000-0000-00000D290000}"/>
    <cellStyle name="Normal 32 2" xfId="2584" xr:uid="{00000000-0005-0000-0000-00000E290000}"/>
    <cellStyle name="Normal 33" xfId="2585" xr:uid="{00000000-0005-0000-0000-00000F290000}"/>
    <cellStyle name="Normal 33 2" xfId="2586" xr:uid="{00000000-0005-0000-0000-000010290000}"/>
    <cellStyle name="Normal 34" xfId="2587" xr:uid="{00000000-0005-0000-0000-000011290000}"/>
    <cellStyle name="Normal 34 2" xfId="2588" xr:uid="{00000000-0005-0000-0000-000012290000}"/>
    <cellStyle name="Normal 35" xfId="3" xr:uid="{00000000-0005-0000-0000-000009000000}"/>
    <cellStyle name="Normal 35 2" xfId="8" xr:uid="{00000000-0005-0000-0000-00000A000000}"/>
    <cellStyle name="Normal 35 2 2" xfId="2590" xr:uid="{00000000-0005-0000-0000-000014290000}"/>
    <cellStyle name="Normal 35 3" xfId="10" xr:uid="{00000000-0005-0000-0000-00000B000000}"/>
    <cellStyle name="Normal 35 4" xfId="2589" xr:uid="{00000000-0005-0000-0000-000013290000}"/>
    <cellStyle name="Normal 36" xfId="2591" xr:uid="{00000000-0005-0000-0000-000015290000}"/>
    <cellStyle name="Normal 36 2" xfId="2592" xr:uid="{00000000-0005-0000-0000-000016290000}"/>
    <cellStyle name="Normal 37" xfId="2593" xr:uid="{00000000-0005-0000-0000-000017290000}"/>
    <cellStyle name="Normal 37 2" xfId="2594" xr:uid="{00000000-0005-0000-0000-000018290000}"/>
    <cellStyle name="Normal 38" xfId="2595" xr:uid="{00000000-0005-0000-0000-000019290000}"/>
    <cellStyle name="Normal 38 2" xfId="2596" xr:uid="{00000000-0005-0000-0000-00001A290000}"/>
    <cellStyle name="Normal 39" xfId="2597" xr:uid="{00000000-0005-0000-0000-00001B290000}"/>
    <cellStyle name="Normal 39 2" xfId="2598" xr:uid="{00000000-0005-0000-0000-00001C290000}"/>
    <cellStyle name="Normal 4" xfId="99" xr:uid="{00000000-0005-0000-0000-00001D290000}"/>
    <cellStyle name="Normal 4 2" xfId="2599" xr:uid="{00000000-0005-0000-0000-00001E290000}"/>
    <cellStyle name="Normal 4 2 2" xfId="9259" xr:uid="{00000000-0005-0000-0000-00001F290000}"/>
    <cellStyle name="Normal 4 2_Balanse" xfId="11255" xr:uid="{00000000-0005-0000-0000-000020290000}"/>
    <cellStyle name="Normal 4 3" xfId="3002" xr:uid="{00000000-0005-0000-0000-000021290000}"/>
    <cellStyle name="Normal 4 3 2" xfId="3567" xr:uid="{00000000-0005-0000-0000-000022290000}"/>
    <cellStyle name="Normal 4 3 2 2" xfId="7152" xr:uid="{00000000-0005-0000-0000-000023290000}"/>
    <cellStyle name="Normal 4 3 3" xfId="4148" xr:uid="{00000000-0005-0000-0000-000024290000}"/>
    <cellStyle name="Normal 4 3 4" xfId="6575" xr:uid="{00000000-0005-0000-0000-000025290000}"/>
    <cellStyle name="Normal 4 3 5" xfId="9152" xr:uid="{00000000-0005-0000-0000-000026290000}"/>
    <cellStyle name="Normal 4 4" xfId="3566" xr:uid="{00000000-0005-0000-0000-000027290000}"/>
    <cellStyle name="Normal 4 4 2" xfId="7151" xr:uid="{00000000-0005-0000-0000-000028290000}"/>
    <cellStyle name="Normal 4 4 3" xfId="9258" xr:uid="{00000000-0005-0000-0000-000029290000}"/>
    <cellStyle name="Normal 4 5" xfId="4255" xr:uid="{00000000-0005-0000-0000-00002A290000}"/>
    <cellStyle name="Normal 4 5 2" xfId="10477" xr:uid="{00000000-0005-0000-0000-00002B290000}"/>
    <cellStyle name="Normal 4 5 3" xfId="10092" xr:uid="{00000000-0005-0000-0000-00002C290000}"/>
    <cellStyle name="Normal 4 5 4" xfId="9257" xr:uid="{00000000-0005-0000-0000-00002D290000}"/>
    <cellStyle name="Normal 4 6" xfId="3759" xr:uid="{00000000-0005-0000-0000-00002E290000}"/>
    <cellStyle name="Normal 4 6 2" xfId="10151" xr:uid="{00000000-0005-0000-0000-00002F290000}"/>
    <cellStyle name="Normal 4 6 3" xfId="9256" xr:uid="{00000000-0005-0000-0000-000030290000}"/>
    <cellStyle name="Normal 4 7" xfId="6290" xr:uid="{00000000-0005-0000-0000-000031290000}"/>
    <cellStyle name="Normal 4 8" xfId="9151" xr:uid="{00000000-0005-0000-0000-000032290000}"/>
    <cellStyle name="Normal 4 9" xfId="10833" xr:uid="{00000000-0005-0000-0000-000033290000}"/>
    <cellStyle name="Normal 40" xfId="2600" xr:uid="{00000000-0005-0000-0000-000034290000}"/>
    <cellStyle name="Normal 40 2" xfId="2601" xr:uid="{00000000-0005-0000-0000-000035290000}"/>
    <cellStyle name="Normal 41" xfId="2602" xr:uid="{00000000-0005-0000-0000-000036290000}"/>
    <cellStyle name="Normal 41 2" xfId="2603" xr:uid="{00000000-0005-0000-0000-000037290000}"/>
    <cellStyle name="Normal 42" xfId="2604" xr:uid="{00000000-0005-0000-0000-000038290000}"/>
    <cellStyle name="Normal 42 2" xfId="2605" xr:uid="{00000000-0005-0000-0000-000039290000}"/>
    <cellStyle name="Normal 43" xfId="2606" xr:uid="{00000000-0005-0000-0000-00003A290000}"/>
    <cellStyle name="Normal 43 2" xfId="2607" xr:uid="{00000000-0005-0000-0000-00003B290000}"/>
    <cellStyle name="Normal 44" xfId="2608" xr:uid="{00000000-0005-0000-0000-00003C290000}"/>
    <cellStyle name="Normal 44 2" xfId="2609" xr:uid="{00000000-0005-0000-0000-00003D290000}"/>
    <cellStyle name="Normal 45" xfId="2610" xr:uid="{00000000-0005-0000-0000-00003E290000}"/>
    <cellStyle name="Normal 45 2" xfId="2611" xr:uid="{00000000-0005-0000-0000-00003F290000}"/>
    <cellStyle name="Normal 46" xfId="2612" xr:uid="{00000000-0005-0000-0000-000040290000}"/>
    <cellStyle name="Normal 46 2" xfId="2613" xr:uid="{00000000-0005-0000-0000-000041290000}"/>
    <cellStyle name="Normal 47" xfId="2614" xr:uid="{00000000-0005-0000-0000-000042290000}"/>
    <cellStyle name="Normal 47 2" xfId="2615" xr:uid="{00000000-0005-0000-0000-000043290000}"/>
    <cellStyle name="Normal 48" xfId="2616" xr:uid="{00000000-0005-0000-0000-000044290000}"/>
    <cellStyle name="Normal 48 2" xfId="2617" xr:uid="{00000000-0005-0000-0000-000045290000}"/>
    <cellStyle name="Normal 49" xfId="2618" xr:uid="{00000000-0005-0000-0000-000046290000}"/>
    <cellStyle name="Normal 49 2" xfId="2619" xr:uid="{00000000-0005-0000-0000-000047290000}"/>
    <cellStyle name="Normal 5" xfId="119" xr:uid="{00000000-0005-0000-0000-000048290000}"/>
    <cellStyle name="Normal 5 2" xfId="2621" xr:uid="{00000000-0005-0000-0000-000049290000}"/>
    <cellStyle name="Normal 5 2 2" xfId="5949" xr:uid="{00000000-0005-0000-0000-00004A290000}"/>
    <cellStyle name="Normal 5 2 2 2" xfId="8582" xr:uid="{00000000-0005-0000-0000-00004B290000}"/>
    <cellStyle name="Normal 5 2 2 3" xfId="9255" xr:uid="{00000000-0005-0000-0000-00004C290000}"/>
    <cellStyle name="Normal 5 2 3" xfId="4284" xr:uid="{00000000-0005-0000-0000-00004D290000}"/>
    <cellStyle name="Normal 5 2 3 2" xfId="7177" xr:uid="{00000000-0005-0000-0000-00004E290000}"/>
    <cellStyle name="Normal 5 2 4" xfId="10091" xr:uid="{00000000-0005-0000-0000-00004F290000}"/>
    <cellStyle name="Normal 5 2 5" xfId="10816" xr:uid="{00000000-0005-0000-0000-000050290000}"/>
    <cellStyle name="Normal 5 3" xfId="2620" xr:uid="{00000000-0005-0000-0000-000051290000}"/>
    <cellStyle name="Normal 5 3 2" xfId="5252" xr:uid="{00000000-0005-0000-0000-000052290000}"/>
    <cellStyle name="Normal 5 3 2 2" xfId="7885" xr:uid="{00000000-0005-0000-0000-000053290000}"/>
    <cellStyle name="Normal 5 3 2 3" xfId="9254" xr:uid="{00000000-0005-0000-0000-000054290000}"/>
    <cellStyle name="Normal 5 3 3" xfId="4328" xr:uid="{00000000-0005-0000-0000-000055290000}"/>
    <cellStyle name="Normal 5 3 3 2" xfId="7181" xr:uid="{00000000-0005-0000-0000-000056290000}"/>
    <cellStyle name="Normal 5 3 4" xfId="10090" xr:uid="{00000000-0005-0000-0000-000057290000}"/>
    <cellStyle name="Normal 5 4" xfId="2726" xr:uid="{00000000-0005-0000-0000-000058290000}"/>
    <cellStyle name="Normal 5 4 2" xfId="7881" xr:uid="{00000000-0005-0000-0000-000059290000}"/>
    <cellStyle name="Normal 5 4 3" xfId="5228" xr:uid="{00000000-0005-0000-0000-00005A290000}"/>
    <cellStyle name="Normal 5 5" xfId="4172" xr:uid="{00000000-0005-0000-0000-00005B290000}"/>
    <cellStyle name="Normal 5 5 2" xfId="7174" xr:uid="{00000000-0005-0000-0000-00005C290000}"/>
    <cellStyle name="Normal 5 5 3" xfId="9253" xr:uid="{00000000-0005-0000-0000-00005D290000}"/>
    <cellStyle name="Normal 5 6" xfId="10476" xr:uid="{00000000-0005-0000-0000-00005E290000}"/>
    <cellStyle name="Normal 5 7" xfId="10089" xr:uid="{00000000-0005-0000-0000-00005F290000}"/>
    <cellStyle name="Normal 5_20130128_ITS on reporting_Annex I_CA" xfId="10817" xr:uid="{00000000-0005-0000-0000-000060290000}"/>
    <cellStyle name="Normal 50" xfId="2622" xr:uid="{00000000-0005-0000-0000-000061290000}"/>
    <cellStyle name="Normal 50 2" xfId="2623" xr:uid="{00000000-0005-0000-0000-000062290000}"/>
    <cellStyle name="Normal 51" xfId="2624" xr:uid="{00000000-0005-0000-0000-000063290000}"/>
    <cellStyle name="Normal 51 2" xfId="2625" xr:uid="{00000000-0005-0000-0000-000064290000}"/>
    <cellStyle name="Normal 52" xfId="2626" xr:uid="{00000000-0005-0000-0000-000065290000}"/>
    <cellStyle name="Normal 52 2" xfId="2627" xr:uid="{00000000-0005-0000-0000-000066290000}"/>
    <cellStyle name="Normal 53" xfId="2628" xr:uid="{00000000-0005-0000-0000-000067290000}"/>
    <cellStyle name="Normal 53 2" xfId="2629" xr:uid="{00000000-0005-0000-0000-000068290000}"/>
    <cellStyle name="Normal 54" xfId="2630" xr:uid="{00000000-0005-0000-0000-000069290000}"/>
    <cellStyle name="Normal 54 2" xfId="2631" xr:uid="{00000000-0005-0000-0000-00006A290000}"/>
    <cellStyle name="Normal 55" xfId="2632" xr:uid="{00000000-0005-0000-0000-00006B290000}"/>
    <cellStyle name="Normal 55 2" xfId="2633" xr:uid="{00000000-0005-0000-0000-00006C290000}"/>
    <cellStyle name="Normal 56" xfId="2634" xr:uid="{00000000-0005-0000-0000-00006D290000}"/>
    <cellStyle name="Normal 56 2" xfId="2635" xr:uid="{00000000-0005-0000-0000-00006E290000}"/>
    <cellStyle name="Normal 57" xfId="2636" xr:uid="{00000000-0005-0000-0000-00006F290000}"/>
    <cellStyle name="Normal 57 2" xfId="2637" xr:uid="{00000000-0005-0000-0000-000070290000}"/>
    <cellStyle name="Normal 58" xfId="2638" xr:uid="{00000000-0005-0000-0000-000071290000}"/>
    <cellStyle name="Normal 58 2" xfId="2639" xr:uid="{00000000-0005-0000-0000-000072290000}"/>
    <cellStyle name="Normal 59" xfId="2640" xr:uid="{00000000-0005-0000-0000-000073290000}"/>
    <cellStyle name="Normal 59 2" xfId="2641" xr:uid="{00000000-0005-0000-0000-000074290000}"/>
    <cellStyle name="Normal 6" xfId="2642" xr:uid="{00000000-0005-0000-0000-000075290000}"/>
    <cellStyle name="Normal 6 2" xfId="2643" xr:uid="{00000000-0005-0000-0000-000076290000}"/>
    <cellStyle name="Normal 6 2 2" xfId="5950" xr:uid="{00000000-0005-0000-0000-000077290000}"/>
    <cellStyle name="Normal 6 2 2 2" xfId="8583" xr:uid="{00000000-0005-0000-0000-000078290000}"/>
    <cellStyle name="Normal 6 2 2 3" xfId="10475" xr:uid="{00000000-0005-0000-0000-000079290000}"/>
    <cellStyle name="Normal 6 2 3" xfId="4285" xr:uid="{00000000-0005-0000-0000-00007A290000}"/>
    <cellStyle name="Normal 6 2 3 2" xfId="7178" xr:uid="{00000000-0005-0000-0000-00007B290000}"/>
    <cellStyle name="Normal 6 2 4" xfId="10570" xr:uid="{00000000-0005-0000-0000-00007C290000}"/>
    <cellStyle name="Normal 6 3" xfId="4329" xr:uid="{00000000-0005-0000-0000-00007D290000}"/>
    <cellStyle name="Normal 6 3 2" xfId="5951" xr:uid="{00000000-0005-0000-0000-00007E290000}"/>
    <cellStyle name="Normal 6 3 2 2" xfId="8584" xr:uid="{00000000-0005-0000-0000-00007F290000}"/>
    <cellStyle name="Normal 6 3 2 3" xfId="10474" xr:uid="{00000000-0005-0000-0000-000080290000}"/>
    <cellStyle name="Normal 6 3 3" xfId="7182" xr:uid="{00000000-0005-0000-0000-000081290000}"/>
    <cellStyle name="Normal 6 3 4" xfId="10569" xr:uid="{00000000-0005-0000-0000-000082290000}"/>
    <cellStyle name="Normal 6 4" xfId="5229" xr:uid="{00000000-0005-0000-0000-000083290000}"/>
    <cellStyle name="Normal 6 4 2" xfId="7882" xr:uid="{00000000-0005-0000-0000-000084290000}"/>
    <cellStyle name="Normal 6 4 3" xfId="9252" xr:uid="{00000000-0005-0000-0000-000085290000}"/>
    <cellStyle name="Normal 6 5" xfId="4173" xr:uid="{00000000-0005-0000-0000-000086290000}"/>
    <cellStyle name="Normal 6 5 2" xfId="7175" xr:uid="{00000000-0005-0000-0000-000087290000}"/>
    <cellStyle name="Normal 6 6" xfId="10088" xr:uid="{00000000-0005-0000-0000-000088290000}"/>
    <cellStyle name="Normal 6 7" xfId="10571" xr:uid="{00000000-0005-0000-0000-000089290000}"/>
    <cellStyle name="Normal 6 8" xfId="10818" xr:uid="{00000000-0005-0000-0000-00008A290000}"/>
    <cellStyle name="Normal 6_Balanse" xfId="11256" xr:uid="{00000000-0005-0000-0000-00008B290000}"/>
    <cellStyle name="Normal 60" xfId="2644" xr:uid="{00000000-0005-0000-0000-00008C290000}"/>
    <cellStyle name="Normal 60 2" xfId="2645" xr:uid="{00000000-0005-0000-0000-00008D290000}"/>
    <cellStyle name="Normal 61" xfId="2646" xr:uid="{00000000-0005-0000-0000-00008E290000}"/>
    <cellStyle name="Normal 61 2" xfId="2647" xr:uid="{00000000-0005-0000-0000-00008F290000}"/>
    <cellStyle name="Normal 62" xfId="2648" xr:uid="{00000000-0005-0000-0000-000090290000}"/>
    <cellStyle name="Normal 62 2" xfId="2649" xr:uid="{00000000-0005-0000-0000-000091290000}"/>
    <cellStyle name="Normal 63" xfId="2650" xr:uid="{00000000-0005-0000-0000-000092290000}"/>
    <cellStyle name="Normal 63 2" xfId="2651" xr:uid="{00000000-0005-0000-0000-000093290000}"/>
    <cellStyle name="Normal 64" xfId="2652" xr:uid="{00000000-0005-0000-0000-000094290000}"/>
    <cellStyle name="Normal 64 2" xfId="2653" xr:uid="{00000000-0005-0000-0000-000095290000}"/>
    <cellStyle name="Normal 65" xfId="2654" xr:uid="{00000000-0005-0000-0000-000096290000}"/>
    <cellStyle name="Normal 65 2" xfId="2655" xr:uid="{00000000-0005-0000-0000-000097290000}"/>
    <cellStyle name="Normal 66" xfId="2656" xr:uid="{00000000-0005-0000-0000-000098290000}"/>
    <cellStyle name="Normal 66 2" xfId="2657" xr:uid="{00000000-0005-0000-0000-000099290000}"/>
    <cellStyle name="Normal 67" xfId="2658" xr:uid="{00000000-0005-0000-0000-00009A290000}"/>
    <cellStyle name="Normal 67 2" xfId="2659" xr:uid="{00000000-0005-0000-0000-00009B290000}"/>
    <cellStyle name="Normal 68" xfId="2660" xr:uid="{00000000-0005-0000-0000-00009C290000}"/>
    <cellStyle name="Normal 68 2" xfId="2661" xr:uid="{00000000-0005-0000-0000-00009D290000}"/>
    <cellStyle name="Normal 69" xfId="2662" xr:uid="{00000000-0005-0000-0000-00009E290000}"/>
    <cellStyle name="Normal 69 2" xfId="2663" xr:uid="{00000000-0005-0000-0000-00009F290000}"/>
    <cellStyle name="Normal 7" xfId="2664" xr:uid="{00000000-0005-0000-0000-0000A0290000}"/>
    <cellStyle name="Normal 7 2" xfId="2665" xr:uid="{00000000-0005-0000-0000-0000A1290000}"/>
    <cellStyle name="Normal 7 2 2" xfId="5952" xr:uid="{00000000-0005-0000-0000-0000A2290000}"/>
    <cellStyle name="Normal 7 2 2 2" xfId="8585" xr:uid="{00000000-0005-0000-0000-0000A3290000}"/>
    <cellStyle name="Normal 7 2 2 3" xfId="10473" xr:uid="{00000000-0005-0000-0000-0000A4290000}"/>
    <cellStyle name="Normal 7 2 3" xfId="4288" xr:uid="{00000000-0005-0000-0000-0000A5290000}"/>
    <cellStyle name="Normal 7 2 3 2" xfId="7179" xr:uid="{00000000-0005-0000-0000-0000A6290000}"/>
    <cellStyle name="Normal 7 2 4" xfId="10568" xr:uid="{00000000-0005-0000-0000-0000A7290000}"/>
    <cellStyle name="Normal 7 2 5" xfId="10820" xr:uid="{00000000-0005-0000-0000-0000A8290000}"/>
    <cellStyle name="Normal 7 3" xfId="4332" xr:uid="{00000000-0005-0000-0000-0000A9290000}"/>
    <cellStyle name="Normal 7 3 2" xfId="5953" xr:uid="{00000000-0005-0000-0000-0000AA290000}"/>
    <cellStyle name="Normal 7 3 2 2" xfId="8586" xr:uid="{00000000-0005-0000-0000-0000AB290000}"/>
    <cellStyle name="Normal 7 3 2 3" xfId="10472" xr:uid="{00000000-0005-0000-0000-0000AC290000}"/>
    <cellStyle name="Normal 7 3 3" xfId="7183" xr:uid="{00000000-0005-0000-0000-0000AD290000}"/>
    <cellStyle name="Normal 7 3 4" xfId="10567" xr:uid="{00000000-0005-0000-0000-0000AE290000}"/>
    <cellStyle name="Normal 7 4" xfId="5232" xr:uid="{00000000-0005-0000-0000-0000AF290000}"/>
    <cellStyle name="Normal 7 4 2" xfId="7883" xr:uid="{00000000-0005-0000-0000-0000B0290000}"/>
    <cellStyle name="Normal 7 4 3" xfId="9251" xr:uid="{00000000-0005-0000-0000-0000B1290000}"/>
    <cellStyle name="Normal 7 5" xfId="4277" xr:uid="{00000000-0005-0000-0000-0000B2290000}"/>
    <cellStyle name="Normal 7 5 2" xfId="7176" xr:uid="{00000000-0005-0000-0000-0000B3290000}"/>
    <cellStyle name="Normal 7 6" xfId="10087" xr:uid="{00000000-0005-0000-0000-0000B4290000}"/>
    <cellStyle name="Normal 7 7" xfId="10819" xr:uid="{00000000-0005-0000-0000-0000B5290000}"/>
    <cellStyle name="Normal 7_Balanse" xfId="11257" xr:uid="{00000000-0005-0000-0000-0000B6290000}"/>
    <cellStyle name="Normal 70" xfId="2666" xr:uid="{00000000-0005-0000-0000-0000B7290000}"/>
    <cellStyle name="Normal 70 2" xfId="2667" xr:uid="{00000000-0005-0000-0000-0000B8290000}"/>
    <cellStyle name="Normal 71" xfId="2668" xr:uid="{00000000-0005-0000-0000-0000B9290000}"/>
    <cellStyle name="Normal 71 2" xfId="2669" xr:uid="{00000000-0005-0000-0000-0000BA290000}"/>
    <cellStyle name="Normal 72" xfId="2670" xr:uid="{00000000-0005-0000-0000-0000BB290000}"/>
    <cellStyle name="Normal 72 2" xfId="2671" xr:uid="{00000000-0005-0000-0000-0000BC290000}"/>
    <cellStyle name="Normal 73" xfId="2672" xr:uid="{00000000-0005-0000-0000-0000BD290000}"/>
    <cellStyle name="Normal 73 2" xfId="2673" xr:uid="{00000000-0005-0000-0000-0000BE290000}"/>
    <cellStyle name="Normal 74" xfId="2674" xr:uid="{00000000-0005-0000-0000-0000BF290000}"/>
    <cellStyle name="Normal 74 2" xfId="2675" xr:uid="{00000000-0005-0000-0000-0000C0290000}"/>
    <cellStyle name="Normal 75" xfId="2676" xr:uid="{00000000-0005-0000-0000-0000C1290000}"/>
    <cellStyle name="Normal 75 2" xfId="2677" xr:uid="{00000000-0005-0000-0000-0000C2290000}"/>
    <cellStyle name="Normal 76" xfId="2678" xr:uid="{00000000-0005-0000-0000-0000C3290000}"/>
    <cellStyle name="Normal 76 2" xfId="2679" xr:uid="{00000000-0005-0000-0000-0000C4290000}"/>
    <cellStyle name="Normal 77" xfId="126" xr:uid="{00000000-0005-0000-0000-0000C5290000}"/>
    <cellStyle name="Normal 77 2" xfId="2680" xr:uid="{00000000-0005-0000-0000-0000C6290000}"/>
    <cellStyle name="Normal 78" xfId="2681" xr:uid="{00000000-0005-0000-0000-0000C7290000}"/>
    <cellStyle name="Normal 79" xfId="2682" xr:uid="{00000000-0005-0000-0000-0000C8290000}"/>
    <cellStyle name="Normal 8" xfId="2683" xr:uid="{00000000-0005-0000-0000-0000C9290000}"/>
    <cellStyle name="Normal 8 2" xfId="2684" xr:uid="{00000000-0005-0000-0000-0000CA290000}"/>
    <cellStyle name="Normal 8 2 2" xfId="10150" xr:uid="{00000000-0005-0000-0000-0000CB290000}"/>
    <cellStyle name="Normal 8 3" xfId="4281" xr:uid="{00000000-0005-0000-0000-0000CC290000}"/>
    <cellStyle name="Normal 8 3 2" xfId="9250" xr:uid="{00000000-0005-0000-0000-0000CD290000}"/>
    <cellStyle name="Normal 8 4" xfId="10566" xr:uid="{00000000-0005-0000-0000-0000CE290000}"/>
    <cellStyle name="Normal 8 5" xfId="10821" xr:uid="{00000000-0005-0000-0000-0000CF290000}"/>
    <cellStyle name="Normal 8_Balanse" xfId="11258" xr:uid="{00000000-0005-0000-0000-0000D0290000}"/>
    <cellStyle name="Normal 80" xfId="2685" xr:uid="{00000000-0005-0000-0000-0000D1290000}"/>
    <cellStyle name="Normal 81" xfId="2686" xr:uid="{00000000-0005-0000-0000-0000D2290000}"/>
    <cellStyle name="Normal 82" xfId="2687" xr:uid="{00000000-0005-0000-0000-0000D3290000}"/>
    <cellStyle name="Normal 83" xfId="2688" xr:uid="{00000000-0005-0000-0000-0000D4290000}"/>
    <cellStyle name="Normal 84" xfId="2689" xr:uid="{00000000-0005-0000-0000-0000D5290000}"/>
    <cellStyle name="Normal 85" xfId="2690" xr:uid="{00000000-0005-0000-0000-0000D6290000}"/>
    <cellStyle name="Normal 86" xfId="2691" xr:uid="{00000000-0005-0000-0000-0000D7290000}"/>
    <cellStyle name="Normal 87" xfId="2692" xr:uid="{00000000-0005-0000-0000-0000D8290000}"/>
    <cellStyle name="Normal 88" xfId="2693" xr:uid="{00000000-0005-0000-0000-0000D9290000}"/>
    <cellStyle name="Normal 89" xfId="2694" xr:uid="{00000000-0005-0000-0000-0000DA290000}"/>
    <cellStyle name="Normal 9" xfId="2695" xr:uid="{00000000-0005-0000-0000-0000DB290000}"/>
    <cellStyle name="Normal 9 2" xfId="2696" xr:uid="{00000000-0005-0000-0000-0000DC290000}"/>
    <cellStyle name="Normal 9 2 2" xfId="5954" xr:uid="{00000000-0005-0000-0000-0000DD290000}"/>
    <cellStyle name="Normal 9 2 2 2" xfId="8587" xr:uid="{00000000-0005-0000-0000-0000DE290000}"/>
    <cellStyle name="Normal 9 2 2 3" xfId="10149" xr:uid="{00000000-0005-0000-0000-0000DF290000}"/>
    <cellStyle name="Normal 9 2 3" xfId="4344" xr:uid="{00000000-0005-0000-0000-0000E0290000}"/>
    <cellStyle name="Normal 9 2 3 2" xfId="7184" xr:uid="{00000000-0005-0000-0000-0000E1290000}"/>
    <cellStyle name="Normal 9 2 4" xfId="9249" xr:uid="{00000000-0005-0000-0000-0000E2290000}"/>
    <cellStyle name="Normal 9 3" xfId="5244" xr:uid="{00000000-0005-0000-0000-0000E3290000}"/>
    <cellStyle name="Normal 9 3 2" xfId="7884" xr:uid="{00000000-0005-0000-0000-0000E4290000}"/>
    <cellStyle name="Normal 9 3 3" xfId="10565" xr:uid="{00000000-0005-0000-0000-0000E5290000}"/>
    <cellStyle name="Normal 9 4" xfId="4300" xr:uid="{00000000-0005-0000-0000-0000E6290000}"/>
    <cellStyle name="Normal 9 4 2" xfId="7180" xr:uid="{00000000-0005-0000-0000-0000E7290000}"/>
    <cellStyle name="Normal 9 5" xfId="9248" xr:uid="{00000000-0005-0000-0000-0000E8290000}"/>
    <cellStyle name="Normal 90" xfId="2697" xr:uid="{00000000-0005-0000-0000-0000E9290000}"/>
    <cellStyle name="Normal 91" xfId="2698" xr:uid="{00000000-0005-0000-0000-0000EA290000}"/>
    <cellStyle name="Normal 91 2" xfId="3003" xr:uid="{00000000-0005-0000-0000-0000EB290000}"/>
    <cellStyle name="Normal 91 2 2" xfId="3569" xr:uid="{00000000-0005-0000-0000-0000EC290000}"/>
    <cellStyle name="Normal 91 2 2 2" xfId="7154" xr:uid="{00000000-0005-0000-0000-0000ED290000}"/>
    <cellStyle name="Normal 91 2 3" xfId="3900" xr:uid="{00000000-0005-0000-0000-0000EE290000}"/>
    <cellStyle name="Normal 91 2 4" xfId="6576" xr:uid="{00000000-0005-0000-0000-0000EF290000}"/>
    <cellStyle name="Normal 91 2 5" xfId="9154" xr:uid="{00000000-0005-0000-0000-0000F0290000}"/>
    <cellStyle name="Normal 91 3" xfId="3568" xr:uid="{00000000-0005-0000-0000-0000F1290000}"/>
    <cellStyle name="Normal 91 3 2" xfId="7153" xr:uid="{00000000-0005-0000-0000-0000F2290000}"/>
    <cellStyle name="Normal 91 4" xfId="3651" xr:uid="{00000000-0005-0000-0000-0000F3290000}"/>
    <cellStyle name="Normal 91 5" xfId="6291" xr:uid="{00000000-0005-0000-0000-0000F4290000}"/>
    <cellStyle name="Normal 91 6" xfId="9153" xr:uid="{00000000-0005-0000-0000-0000F5290000}"/>
    <cellStyle name="Normal 92" xfId="2699" xr:uid="{00000000-0005-0000-0000-0000F6290000}"/>
    <cellStyle name="Normal 92 2" xfId="3004" xr:uid="{00000000-0005-0000-0000-0000F7290000}"/>
    <cellStyle name="Normal 92 2 2" xfId="3571" xr:uid="{00000000-0005-0000-0000-0000F8290000}"/>
    <cellStyle name="Normal 92 2 2 2" xfId="7156" xr:uid="{00000000-0005-0000-0000-0000F9290000}"/>
    <cellStyle name="Normal 92 2 3" xfId="3682" xr:uid="{00000000-0005-0000-0000-0000FA290000}"/>
    <cellStyle name="Normal 92 2 4" xfId="6577" xr:uid="{00000000-0005-0000-0000-0000FB290000}"/>
    <cellStyle name="Normal 92 2 5" xfId="9156" xr:uid="{00000000-0005-0000-0000-0000FC290000}"/>
    <cellStyle name="Normal 92 3" xfId="3570" xr:uid="{00000000-0005-0000-0000-0000FD290000}"/>
    <cellStyle name="Normal 92 3 2" xfId="7155" xr:uid="{00000000-0005-0000-0000-0000FE290000}"/>
    <cellStyle name="Normal 92 4" xfId="3612" xr:uid="{00000000-0005-0000-0000-0000FF290000}"/>
    <cellStyle name="Normal 92 5" xfId="6292" xr:uid="{00000000-0005-0000-0000-0000002A0000}"/>
    <cellStyle name="Normal 92 6" xfId="9155" xr:uid="{00000000-0005-0000-0000-0000012A0000}"/>
    <cellStyle name="Normal 93" xfId="2700" xr:uid="{00000000-0005-0000-0000-0000022A0000}"/>
    <cellStyle name="Normal 93 2" xfId="3005" xr:uid="{00000000-0005-0000-0000-0000032A0000}"/>
    <cellStyle name="Normal 93 2 2" xfId="3573" xr:uid="{00000000-0005-0000-0000-0000042A0000}"/>
    <cellStyle name="Normal 93 2 2 2" xfId="7158" xr:uid="{00000000-0005-0000-0000-0000052A0000}"/>
    <cellStyle name="Normal 93 2 3" xfId="3681" xr:uid="{00000000-0005-0000-0000-0000062A0000}"/>
    <cellStyle name="Normal 93 2 4" xfId="6578" xr:uid="{00000000-0005-0000-0000-0000072A0000}"/>
    <cellStyle name="Normal 93 2 5" xfId="9158" xr:uid="{00000000-0005-0000-0000-0000082A0000}"/>
    <cellStyle name="Normal 93 3" xfId="3572" xr:uid="{00000000-0005-0000-0000-0000092A0000}"/>
    <cellStyle name="Normal 93 3 2" xfId="7157" xr:uid="{00000000-0005-0000-0000-00000A2A0000}"/>
    <cellStyle name="Normal 93 4" xfId="3613" xr:uid="{00000000-0005-0000-0000-00000B2A0000}"/>
    <cellStyle name="Normal 93 5" xfId="6293" xr:uid="{00000000-0005-0000-0000-00000C2A0000}"/>
    <cellStyle name="Normal 93 6" xfId="9157" xr:uid="{00000000-0005-0000-0000-00000D2A0000}"/>
    <cellStyle name="Normal 94" xfId="2701" xr:uid="{00000000-0005-0000-0000-00000E2A0000}"/>
    <cellStyle name="Normal 94 2" xfId="3006" xr:uid="{00000000-0005-0000-0000-00000F2A0000}"/>
    <cellStyle name="Normal 94 2 2" xfId="3575" xr:uid="{00000000-0005-0000-0000-0000102A0000}"/>
    <cellStyle name="Normal 94 2 2 2" xfId="7160" xr:uid="{00000000-0005-0000-0000-0000112A0000}"/>
    <cellStyle name="Normal 94 2 3" xfId="3680" xr:uid="{00000000-0005-0000-0000-0000122A0000}"/>
    <cellStyle name="Normal 94 2 4" xfId="6579" xr:uid="{00000000-0005-0000-0000-0000132A0000}"/>
    <cellStyle name="Normal 94 2 5" xfId="9160" xr:uid="{00000000-0005-0000-0000-0000142A0000}"/>
    <cellStyle name="Normal 94 3" xfId="3574" xr:uid="{00000000-0005-0000-0000-0000152A0000}"/>
    <cellStyle name="Normal 94 3 2" xfId="7159" xr:uid="{00000000-0005-0000-0000-0000162A0000}"/>
    <cellStyle name="Normal 94 4" xfId="3758" xr:uid="{00000000-0005-0000-0000-0000172A0000}"/>
    <cellStyle name="Normal 94 5" xfId="6294" xr:uid="{00000000-0005-0000-0000-0000182A0000}"/>
    <cellStyle name="Normal 94 6" xfId="9159" xr:uid="{00000000-0005-0000-0000-0000192A0000}"/>
    <cellStyle name="Normal 95" xfId="2702" xr:uid="{00000000-0005-0000-0000-00001A2A0000}"/>
    <cellStyle name="Normal 95 2" xfId="3007" xr:uid="{00000000-0005-0000-0000-00001B2A0000}"/>
    <cellStyle name="Normal 95 2 2" xfId="3577" xr:uid="{00000000-0005-0000-0000-00001C2A0000}"/>
    <cellStyle name="Normal 95 2 2 2" xfId="7162" xr:uid="{00000000-0005-0000-0000-00001D2A0000}"/>
    <cellStyle name="Normal 95 2 3" xfId="3994" xr:uid="{00000000-0005-0000-0000-00001E2A0000}"/>
    <cellStyle name="Normal 95 2 4" xfId="6580" xr:uid="{00000000-0005-0000-0000-00001F2A0000}"/>
    <cellStyle name="Normal 95 2 5" xfId="9162" xr:uid="{00000000-0005-0000-0000-0000202A0000}"/>
    <cellStyle name="Normal 95 3" xfId="3576" xr:uid="{00000000-0005-0000-0000-0000212A0000}"/>
    <cellStyle name="Normal 95 3 2" xfId="7161" xr:uid="{00000000-0005-0000-0000-0000222A0000}"/>
    <cellStyle name="Normal 95 4" xfId="4069" xr:uid="{00000000-0005-0000-0000-0000232A0000}"/>
    <cellStyle name="Normal 95 5" xfId="6295" xr:uid="{00000000-0005-0000-0000-0000242A0000}"/>
    <cellStyle name="Normal 95 6" xfId="9161" xr:uid="{00000000-0005-0000-0000-0000252A0000}"/>
    <cellStyle name="Normal 96" xfId="2703" xr:uid="{00000000-0005-0000-0000-0000262A0000}"/>
    <cellStyle name="Normal 96 2" xfId="3008" xr:uid="{00000000-0005-0000-0000-0000272A0000}"/>
    <cellStyle name="Normal 96 2 2" xfId="3579" xr:uid="{00000000-0005-0000-0000-0000282A0000}"/>
    <cellStyle name="Normal 96 2 2 2" xfId="7164" xr:uid="{00000000-0005-0000-0000-0000292A0000}"/>
    <cellStyle name="Normal 96 2 3" xfId="4163" xr:uid="{00000000-0005-0000-0000-00002A2A0000}"/>
    <cellStyle name="Normal 96 2 4" xfId="6581" xr:uid="{00000000-0005-0000-0000-00002B2A0000}"/>
    <cellStyle name="Normal 96 2 5" xfId="9164" xr:uid="{00000000-0005-0000-0000-00002C2A0000}"/>
    <cellStyle name="Normal 96 3" xfId="3578" xr:uid="{00000000-0005-0000-0000-00002D2A0000}"/>
    <cellStyle name="Normal 96 3 2" xfId="7163" xr:uid="{00000000-0005-0000-0000-00002E2A0000}"/>
    <cellStyle name="Normal 96 4" xfId="4007" xr:uid="{00000000-0005-0000-0000-00002F2A0000}"/>
    <cellStyle name="Normal 96 5" xfId="6296" xr:uid="{00000000-0005-0000-0000-0000302A0000}"/>
    <cellStyle name="Normal 96 6" xfId="9163" xr:uid="{00000000-0005-0000-0000-0000312A0000}"/>
    <cellStyle name="Normal 97" xfId="2704" xr:uid="{00000000-0005-0000-0000-0000322A0000}"/>
    <cellStyle name="Normal 97 2" xfId="3009" xr:uid="{00000000-0005-0000-0000-0000332A0000}"/>
    <cellStyle name="Normal 97 2 2" xfId="3581" xr:uid="{00000000-0005-0000-0000-0000342A0000}"/>
    <cellStyle name="Normal 97 2 2 2" xfId="7166" xr:uid="{00000000-0005-0000-0000-0000352A0000}"/>
    <cellStyle name="Normal 97 2 3" xfId="4164" xr:uid="{00000000-0005-0000-0000-0000362A0000}"/>
    <cellStyle name="Normal 97 2 4" xfId="6582" xr:uid="{00000000-0005-0000-0000-0000372A0000}"/>
    <cellStyle name="Normal 97 2 5" xfId="9166" xr:uid="{00000000-0005-0000-0000-0000382A0000}"/>
    <cellStyle name="Normal 97 3" xfId="3580" xr:uid="{00000000-0005-0000-0000-0000392A0000}"/>
    <cellStyle name="Normal 97 3 2" xfId="7165" xr:uid="{00000000-0005-0000-0000-00003A2A0000}"/>
    <cellStyle name="Normal 97 4" xfId="3929" xr:uid="{00000000-0005-0000-0000-00003B2A0000}"/>
    <cellStyle name="Normal 97 5" xfId="6297" xr:uid="{00000000-0005-0000-0000-00003C2A0000}"/>
    <cellStyle name="Normal 97 6" xfId="9165" xr:uid="{00000000-0005-0000-0000-00003D2A0000}"/>
    <cellStyle name="Normal 98" xfId="2705" xr:uid="{00000000-0005-0000-0000-00003E2A0000}"/>
    <cellStyle name="Normal 98 2" xfId="3010" xr:uid="{00000000-0005-0000-0000-00003F2A0000}"/>
    <cellStyle name="Normal 98 2 2" xfId="3583" xr:uid="{00000000-0005-0000-0000-0000402A0000}"/>
    <cellStyle name="Normal 98 2 2 2" xfId="7168" xr:uid="{00000000-0005-0000-0000-0000412A0000}"/>
    <cellStyle name="Normal 98 2 3" xfId="4165" xr:uid="{00000000-0005-0000-0000-0000422A0000}"/>
    <cellStyle name="Normal 98 2 4" xfId="6583" xr:uid="{00000000-0005-0000-0000-0000432A0000}"/>
    <cellStyle name="Normal 98 2 5" xfId="9168" xr:uid="{00000000-0005-0000-0000-0000442A0000}"/>
    <cellStyle name="Normal 98 3" xfId="3582" xr:uid="{00000000-0005-0000-0000-0000452A0000}"/>
    <cellStyle name="Normal 98 3 2" xfId="7167" xr:uid="{00000000-0005-0000-0000-0000462A0000}"/>
    <cellStyle name="Normal 98 4" xfId="3650" xr:uid="{00000000-0005-0000-0000-0000472A0000}"/>
    <cellStyle name="Normal 98 5" xfId="6298" xr:uid="{00000000-0005-0000-0000-0000482A0000}"/>
    <cellStyle name="Normal 98 6" xfId="9167" xr:uid="{00000000-0005-0000-0000-0000492A0000}"/>
    <cellStyle name="Normal 99" xfId="2706" xr:uid="{00000000-0005-0000-0000-00004A2A0000}"/>
    <cellStyle name="Normal 99 2" xfId="3011" xr:uid="{00000000-0005-0000-0000-00004B2A0000}"/>
    <cellStyle name="Normal 99 2 2" xfId="3585" xr:uid="{00000000-0005-0000-0000-00004C2A0000}"/>
    <cellStyle name="Normal 99 2 2 2" xfId="7170" xr:uid="{00000000-0005-0000-0000-00004D2A0000}"/>
    <cellStyle name="Normal 99 2 3" xfId="4166" xr:uid="{00000000-0005-0000-0000-00004E2A0000}"/>
    <cellStyle name="Normal 99 2 4" xfId="6584" xr:uid="{00000000-0005-0000-0000-00004F2A0000}"/>
    <cellStyle name="Normal 99 2 5" xfId="9170" xr:uid="{00000000-0005-0000-0000-0000502A0000}"/>
    <cellStyle name="Normal 99 3" xfId="3584" xr:uid="{00000000-0005-0000-0000-0000512A0000}"/>
    <cellStyle name="Normal 99 3 2" xfId="7169" xr:uid="{00000000-0005-0000-0000-0000522A0000}"/>
    <cellStyle name="Normal 99 4" xfId="3661" xr:uid="{00000000-0005-0000-0000-0000532A0000}"/>
    <cellStyle name="Normal 99 5" xfId="6299" xr:uid="{00000000-0005-0000-0000-0000542A0000}"/>
    <cellStyle name="Normal 99 6" xfId="9169" xr:uid="{00000000-0005-0000-0000-0000552A0000}"/>
    <cellStyle name="Normal_Note 5 til 7" xfId="15" xr:uid="{00000000-0005-0000-0000-00000C000000}"/>
    <cellStyle name="Normal_Noter" xfId="14" xr:uid="{00000000-0005-0000-0000-00000D000000}"/>
    <cellStyle name="Normal_tabeller.xls 2 2" xfId="12" xr:uid="{00000000-0005-0000-0000-00000E000000}"/>
    <cellStyle name="Normale_2011 04 14 Templates for stress test_bcl" xfId="10822" xr:uid="{00000000-0005-0000-0000-0000602A0000}"/>
    <cellStyle name="Notas" xfId="4256" xr:uid="{00000000-0005-0000-0000-0000612A0000}"/>
    <cellStyle name="Notas 2" xfId="9180" xr:uid="{00000000-0005-0000-0000-0000622A0000}"/>
    <cellStyle name="Notas 2 2" xfId="10948" xr:uid="{00000000-0005-0000-0000-0000632A0000}"/>
    <cellStyle name="Notas 2 3" xfId="10963" xr:uid="{00000000-0005-0000-0000-0000642A0000}"/>
    <cellStyle name="Notas 2 4" xfId="10969" xr:uid="{00000000-0005-0000-0000-0000652A0000}"/>
    <cellStyle name="Notas 2 5" xfId="10899" xr:uid="{00000000-0005-0000-0000-0000662A0000}"/>
    <cellStyle name="Notas 2 6" xfId="10856" xr:uid="{00000000-0005-0000-0000-0000672A0000}"/>
    <cellStyle name="Notas 3" xfId="10941" xr:uid="{00000000-0005-0000-0000-0000682A0000}"/>
    <cellStyle name="Notas 4" xfId="10894" xr:uid="{00000000-0005-0000-0000-0000692A0000}"/>
    <cellStyle name="Notas 5" xfId="10924" xr:uid="{00000000-0005-0000-0000-00006A2A0000}"/>
    <cellStyle name="Notas 6" xfId="10943" xr:uid="{00000000-0005-0000-0000-00006B2A0000}"/>
    <cellStyle name="Notas 7" xfId="10845" xr:uid="{00000000-0005-0000-0000-00006C2A0000}"/>
    <cellStyle name="Note" xfId="9189" xr:uid="{00000000-0005-0000-0000-00006D2A0000}"/>
    <cellStyle name="Note 2" xfId="10823" xr:uid="{00000000-0005-0000-0000-00006E2A0000}"/>
    <cellStyle name="Note 2 2" xfId="11011" xr:uid="{00000000-0005-0000-0000-00006F2A0000}"/>
    <cellStyle name="Note 2 3" xfId="10966" xr:uid="{00000000-0005-0000-0000-0000702A0000}"/>
    <cellStyle name="Note 2 4" xfId="11008" xr:uid="{00000000-0005-0000-0000-0000712A0000}"/>
    <cellStyle name="Note 2 5" xfId="10951" xr:uid="{00000000-0005-0000-0000-0000722A0000}"/>
    <cellStyle name="Note 2 6" xfId="10887" xr:uid="{00000000-0005-0000-0000-0000732A0000}"/>
    <cellStyle name="Nøytral 2" xfId="100" xr:uid="{00000000-0005-0000-0000-0000742A0000}"/>
    <cellStyle name="Nøytral 2 2" xfId="2707" xr:uid="{00000000-0005-0000-0000-0000752A0000}"/>
    <cellStyle name="Nøytral 2_Balanse" xfId="11259" xr:uid="{00000000-0005-0000-0000-0000762A0000}"/>
    <cellStyle name="Output" xfId="43" xr:uid="{00000000-0005-0000-0000-0000772A0000}"/>
    <cellStyle name="Output 2" xfId="9181" xr:uid="{00000000-0005-0000-0000-0000782A0000}"/>
    <cellStyle name="Output 2 2" xfId="10915" xr:uid="{00000000-0005-0000-0000-0000792A0000}"/>
    <cellStyle name="Output 2 3" xfId="10910" xr:uid="{00000000-0005-0000-0000-00007A2A0000}"/>
    <cellStyle name="Output 2 4" xfId="10987" xr:uid="{00000000-0005-0000-0000-00007B2A0000}"/>
    <cellStyle name="Output 2 5" xfId="10891" xr:uid="{00000000-0005-0000-0000-00007C2A0000}"/>
    <cellStyle name="Output 2 6" xfId="10857" xr:uid="{00000000-0005-0000-0000-00007D2A0000}"/>
    <cellStyle name="Overskrift" xfId="6" xr:uid="{00000000-0005-0000-0000-00000F000000}"/>
    <cellStyle name="Overskrift 1 2" xfId="101" xr:uid="{00000000-0005-0000-0000-00007F2A0000}"/>
    <cellStyle name="Overskrift 1 2 2" xfId="2708" xr:uid="{00000000-0005-0000-0000-0000802A0000}"/>
    <cellStyle name="Overskrift 1 2_Balanse" xfId="11260" xr:uid="{00000000-0005-0000-0000-0000812A0000}"/>
    <cellStyle name="Overskrift 10" xfId="10086" xr:uid="{00000000-0005-0000-0000-00007E2A0000}"/>
    <cellStyle name="Overskrift 2 2" xfId="102" xr:uid="{00000000-0005-0000-0000-0000822A0000}"/>
    <cellStyle name="Overskrift 2 2 2" xfId="2709" xr:uid="{00000000-0005-0000-0000-0000832A0000}"/>
    <cellStyle name="Overskrift 2 2_Balanse" xfId="11261" xr:uid="{00000000-0005-0000-0000-0000842A0000}"/>
    <cellStyle name="Overskrift 3 2" xfId="103" xr:uid="{00000000-0005-0000-0000-0000852A0000}"/>
    <cellStyle name="Overskrift 3 2 2" xfId="2710" xr:uid="{00000000-0005-0000-0000-0000862A0000}"/>
    <cellStyle name="Overskrift 3 2_Balanse" xfId="11262" xr:uid="{00000000-0005-0000-0000-0000872A0000}"/>
    <cellStyle name="Overskrift 4 2" xfId="104" xr:uid="{00000000-0005-0000-0000-0000882A0000}"/>
    <cellStyle name="Overskrift 4 2 2" xfId="2711" xr:uid="{00000000-0005-0000-0000-0000892A0000}"/>
    <cellStyle name="Overskrift 4 2_Balanse" xfId="11263" xr:uid="{00000000-0005-0000-0000-00008A2A0000}"/>
    <cellStyle name="Overskrift 5" xfId="10914" xr:uid="{00000000-0005-0000-0000-00008B2A0000}"/>
    <cellStyle name="Overskrift 6" xfId="10962" xr:uid="{00000000-0005-0000-0000-00008C2A0000}"/>
    <cellStyle name="Overskrift 7" xfId="10922" xr:uid="{00000000-0005-0000-0000-00008D2A0000}"/>
    <cellStyle name="Overskrift 8" xfId="10936" xr:uid="{00000000-0005-0000-0000-00008E2A0000}"/>
    <cellStyle name="Overskrift 9" xfId="10866" xr:uid="{00000000-0005-0000-0000-00008F2A0000}"/>
    <cellStyle name="Percent 2" xfId="10824" xr:uid="{00000000-0005-0000-0000-0000902A0000}"/>
    <cellStyle name="Porcentual 2" xfId="10825" xr:uid="{00000000-0005-0000-0000-0000912A0000}"/>
    <cellStyle name="Porcentual 2 2" xfId="10826" xr:uid="{00000000-0005-0000-0000-0000922A0000}"/>
    <cellStyle name="Prosent" xfId="2" builtinId="5"/>
    <cellStyle name="Prosent 10" xfId="10148" xr:uid="{00000000-0005-0000-0000-0000942A0000}"/>
    <cellStyle name="Prosent 11" xfId="3592" xr:uid="{00000000-0005-0000-0000-0000D22A0000}"/>
    <cellStyle name="Prosent 2" xfId="58" xr:uid="{00000000-0005-0000-0000-0000952A0000}"/>
    <cellStyle name="Prosent 2 2" xfId="9247" xr:uid="{00000000-0005-0000-0000-0000962A0000}"/>
    <cellStyle name="Prosent 3" xfId="4283" xr:uid="{00000000-0005-0000-0000-0000972A0000}"/>
    <cellStyle name="Prosent 3 2" xfId="10085" xr:uid="{00000000-0005-0000-0000-0000982A0000}"/>
    <cellStyle name="Prosent 4" xfId="10564" xr:uid="{00000000-0005-0000-0000-0000992A0000}"/>
    <cellStyle name="Prosent 5" xfId="10147" xr:uid="{00000000-0005-0000-0000-00009A2A0000}"/>
    <cellStyle name="Prosent 5 2" xfId="9246" xr:uid="{00000000-0005-0000-0000-00009B2A0000}"/>
    <cellStyle name="Prosent 5 3" xfId="9245" xr:uid="{00000000-0005-0000-0000-00009C2A0000}"/>
    <cellStyle name="Prosent 6" xfId="10471" xr:uid="{00000000-0005-0000-0000-00009D2A0000}"/>
    <cellStyle name="Prosent 6 2" xfId="10084" xr:uid="{00000000-0005-0000-0000-00009E2A0000}"/>
    <cellStyle name="Prosent 6 3" xfId="10563" xr:uid="{00000000-0005-0000-0000-00009F2A0000}"/>
    <cellStyle name="Prosent 7" xfId="10146" xr:uid="{00000000-0005-0000-0000-0000A02A0000}"/>
    <cellStyle name="Prosent 7 2" xfId="9244" xr:uid="{00000000-0005-0000-0000-0000A12A0000}"/>
    <cellStyle name="Prosent 7 3" xfId="9243" xr:uid="{00000000-0005-0000-0000-0000A22A0000}"/>
    <cellStyle name="Prosent 8" xfId="10470" xr:uid="{00000000-0005-0000-0000-0000A32A0000}"/>
    <cellStyle name="Prosent 8 2" xfId="10083" xr:uid="{00000000-0005-0000-0000-0000A42A0000}"/>
    <cellStyle name="Prosent 8 3" xfId="10562" xr:uid="{00000000-0005-0000-0000-0000A52A0000}"/>
    <cellStyle name="Prosent 9" xfId="10145" xr:uid="{00000000-0005-0000-0000-0000A62A0000}"/>
    <cellStyle name="Prosent 9 2" xfId="9242" xr:uid="{00000000-0005-0000-0000-0000A72A0000}"/>
    <cellStyle name="Prosent 9 3" xfId="9241" xr:uid="{00000000-0005-0000-0000-0000A82A0000}"/>
    <cellStyle name="Prozent 2" xfId="10827" xr:uid="{00000000-0005-0000-0000-0000A92A0000}"/>
    <cellStyle name="Rossz" xfId="4257" xr:uid="{00000000-0005-0000-0000-0000AA2A0000}"/>
    <cellStyle name="Salida" xfId="4258" xr:uid="{00000000-0005-0000-0000-0000AB2A0000}"/>
    <cellStyle name="Salida 2" xfId="9182" xr:uid="{00000000-0005-0000-0000-0000AC2A0000}"/>
    <cellStyle name="Salida 2 2" xfId="10968" xr:uid="{00000000-0005-0000-0000-0000AD2A0000}"/>
    <cellStyle name="Salida 2 3" xfId="10897" xr:uid="{00000000-0005-0000-0000-0000AE2A0000}"/>
    <cellStyle name="Salida 2 4" xfId="10944" xr:uid="{00000000-0005-0000-0000-0000AF2A0000}"/>
    <cellStyle name="Salida 2 5" xfId="10908" xr:uid="{00000000-0005-0000-0000-0000B02A0000}"/>
    <cellStyle name="Salida 2 6" xfId="10858" xr:uid="{00000000-0005-0000-0000-0000B12A0000}"/>
    <cellStyle name="Salida 3" xfId="10902" xr:uid="{00000000-0005-0000-0000-0000B22A0000}"/>
    <cellStyle name="Salida 4" xfId="10990" xr:uid="{00000000-0005-0000-0000-0000B32A0000}"/>
    <cellStyle name="Salida 5" xfId="10919" xr:uid="{00000000-0005-0000-0000-0000B42A0000}"/>
    <cellStyle name="Salida 6" xfId="10991" xr:uid="{00000000-0005-0000-0000-0000B52A0000}"/>
    <cellStyle name="Salida 7" xfId="10846" xr:uid="{00000000-0005-0000-0000-0000B62A0000}"/>
    <cellStyle name="Semleges" xfId="4259" xr:uid="{00000000-0005-0000-0000-0000B72A0000}"/>
    <cellStyle name="showExposure" xfId="10828" xr:uid="{00000000-0005-0000-0000-0000B82A0000}"/>
    <cellStyle name="Skrift" xfId="10144" xr:uid="{00000000-0005-0000-0000-0000B92A0000}"/>
    <cellStyle name="Skrift 2" xfId="10921" xr:uid="{00000000-0005-0000-0000-0000BA2A0000}"/>
    <cellStyle name="Skrift 3" xfId="10906" xr:uid="{00000000-0005-0000-0000-0000BB2A0000}"/>
    <cellStyle name="Skrift 4" xfId="10928" xr:uid="{00000000-0005-0000-0000-0000BC2A0000}"/>
    <cellStyle name="Skrift 5" xfId="10970" xr:uid="{00000000-0005-0000-0000-0000BD2A0000}"/>
    <cellStyle name="Skrift 6" xfId="10868" xr:uid="{00000000-0005-0000-0000-0000BE2A0000}"/>
    <cellStyle name="Standard 2" xfId="4260" xr:uid="{00000000-0005-0000-0000-0000BF2A0000}"/>
    <cellStyle name="Standard 3" xfId="4261" xr:uid="{00000000-0005-0000-0000-0000C02A0000}"/>
    <cellStyle name="Standard 3 2" xfId="4275" xr:uid="{00000000-0005-0000-0000-0000C12A0000}"/>
    <cellStyle name="Standard 3 2 2" xfId="10829" xr:uid="{00000000-0005-0000-0000-0000C22A0000}"/>
    <cellStyle name="Standard 4" xfId="10830" xr:uid="{00000000-0005-0000-0000-0000C32A0000}"/>
    <cellStyle name="Standard_20100106 GL04rev2 Documentation of changes 2 2" xfId="4262" xr:uid="{00000000-0005-0000-0000-0000C42A0000}"/>
    <cellStyle name="Számítás" xfId="4263" xr:uid="{00000000-0005-0000-0000-0000C52A0000}"/>
    <cellStyle name="Számítás 2" xfId="9183" xr:uid="{00000000-0005-0000-0000-0000C62A0000}"/>
    <cellStyle name="Számítás 2 2" xfId="10946" xr:uid="{00000000-0005-0000-0000-0000C72A0000}"/>
    <cellStyle name="Számítás 2 3" xfId="10937" xr:uid="{00000000-0005-0000-0000-0000C82A0000}"/>
    <cellStyle name="Számítás 2 4" xfId="10956" xr:uid="{00000000-0005-0000-0000-0000C92A0000}"/>
    <cellStyle name="Számítás 2 5" xfId="10984" xr:uid="{00000000-0005-0000-0000-0000CA2A0000}"/>
    <cellStyle name="Számítás 2 6" xfId="10859" xr:uid="{00000000-0005-0000-0000-0000CB2A0000}"/>
    <cellStyle name="Számítás 3" xfId="10965" xr:uid="{00000000-0005-0000-0000-0000CC2A0000}"/>
    <cellStyle name="Számítás 4" xfId="10889" xr:uid="{00000000-0005-0000-0000-0000CD2A0000}"/>
    <cellStyle name="Számítás 5" xfId="10930" xr:uid="{00000000-0005-0000-0000-0000CE2A0000}"/>
    <cellStyle name="Számítás 6" xfId="10896" xr:uid="{00000000-0005-0000-0000-0000CF2A0000}"/>
    <cellStyle name="Számítás 7" xfId="10847" xr:uid="{00000000-0005-0000-0000-0000D02A0000}"/>
    <cellStyle name="Texto de advertencia" xfId="4264" xr:uid="{00000000-0005-0000-0000-0000D12A0000}"/>
    <cellStyle name="Texto explicativo" xfId="4265" xr:uid="{00000000-0005-0000-0000-0000D22A0000}"/>
    <cellStyle name="Title" xfId="36" xr:uid="{00000000-0005-0000-0000-0000D32A0000}"/>
    <cellStyle name="Title 2" xfId="9193" xr:uid="{00000000-0005-0000-0000-0000D42A0000}"/>
    <cellStyle name="Title 2 2" xfId="10831" xr:uid="{00000000-0005-0000-0000-0000D52A0000}"/>
    <cellStyle name="Title 3" xfId="9191" xr:uid="{00000000-0005-0000-0000-0000D62A0000}"/>
    <cellStyle name="Title_Ark3" xfId="10738" xr:uid="{00000000-0005-0000-0000-0000D72A0000}"/>
    <cellStyle name="Tittel 2" xfId="11094" xr:uid="{00000000-0005-0000-0000-0000D82A0000}"/>
    <cellStyle name="Título" xfId="4266" xr:uid="{00000000-0005-0000-0000-0000D92A0000}"/>
    <cellStyle name="Título 1" xfId="4267" xr:uid="{00000000-0005-0000-0000-0000DA2A0000}"/>
    <cellStyle name="Título 2" xfId="4268" xr:uid="{00000000-0005-0000-0000-0000DB2A0000}"/>
    <cellStyle name="Título 3" xfId="4269" xr:uid="{00000000-0005-0000-0000-0000DC2A0000}"/>
    <cellStyle name="Título_20091015 DE_Proposed amendments to CR SEC_MKR" xfId="4270" xr:uid="{00000000-0005-0000-0000-0000DD2A0000}"/>
    <cellStyle name="Total" xfId="46" xr:uid="{00000000-0005-0000-0000-0000DE2A0000}"/>
    <cellStyle name="Total 2" xfId="10832" xr:uid="{00000000-0005-0000-0000-0000DF2A0000}"/>
    <cellStyle name="Total 2 2" xfId="11012" xr:uid="{00000000-0005-0000-0000-0000E02A0000}"/>
    <cellStyle name="Total 2 3" xfId="11013" xr:uid="{00000000-0005-0000-0000-0000E12A0000}"/>
    <cellStyle name="Total 2 4" xfId="11014" xr:uid="{00000000-0005-0000-0000-0000E22A0000}"/>
    <cellStyle name="Total 2 5" xfId="11015" xr:uid="{00000000-0005-0000-0000-0000E32A0000}"/>
    <cellStyle name="Total 2 6" xfId="10888" xr:uid="{00000000-0005-0000-0000-0000E42A0000}"/>
    <cellStyle name="Totalt 2" xfId="105" xr:uid="{00000000-0005-0000-0000-0000E52A0000}"/>
    <cellStyle name="Totalt 2 2" xfId="2712" xr:uid="{00000000-0005-0000-0000-0000E62A0000}"/>
    <cellStyle name="Totalt 2_Balanse" xfId="11264" xr:uid="{00000000-0005-0000-0000-0000E72A0000}"/>
    <cellStyle name="Tusenskille [0] 2" xfId="106" xr:uid="{00000000-0005-0000-0000-0000E82A0000}"/>
    <cellStyle name="Tusenskille 10" xfId="122" xr:uid="{00000000-0005-0000-0000-0000E92A0000}"/>
    <cellStyle name="Tusenskille 10 2" xfId="9239" xr:uid="{00000000-0005-0000-0000-0000EA2A0000}"/>
    <cellStyle name="Tusenskille 10 3" xfId="10469" xr:uid="{00000000-0005-0000-0000-0000EB2A0000}"/>
    <cellStyle name="Tusenskille 10 4" xfId="9240" xr:uid="{00000000-0005-0000-0000-0000EC2A0000}"/>
    <cellStyle name="Tusenskille 11" xfId="3586" xr:uid="{00000000-0005-0000-0000-0000ED2A0000}"/>
    <cellStyle name="Tusenskille 11 2" xfId="10561" xr:uid="{00000000-0005-0000-0000-0000EE2A0000}"/>
    <cellStyle name="Tusenskille 11 3" xfId="10143" xr:uid="{00000000-0005-0000-0000-0000EF2A0000}"/>
    <cellStyle name="Tusenskille 11 4" xfId="10082" xr:uid="{00000000-0005-0000-0000-0000F02A0000}"/>
    <cellStyle name="Tusenskille 12" xfId="3587" xr:uid="{00000000-0005-0000-0000-0000F12A0000}"/>
    <cellStyle name="Tusenskille 12 2" xfId="9237" xr:uid="{00000000-0005-0000-0000-0000F22A0000}"/>
    <cellStyle name="Tusenskille 12 3" xfId="10468" xr:uid="{00000000-0005-0000-0000-0000F32A0000}"/>
    <cellStyle name="Tusenskille 12 4" xfId="9238" xr:uid="{00000000-0005-0000-0000-0000F42A0000}"/>
    <cellStyle name="Tusenskille 13" xfId="2723" xr:uid="{00000000-0005-0000-0000-0000F52A0000}"/>
    <cellStyle name="Tusenskille 13 2" xfId="10560" xr:uid="{00000000-0005-0000-0000-0000F62A0000}"/>
    <cellStyle name="Tusenskille 13 3" xfId="10142" xr:uid="{00000000-0005-0000-0000-0000F72A0000}"/>
    <cellStyle name="Tusenskille 13 4" xfId="10081" xr:uid="{00000000-0005-0000-0000-0000F82A0000}"/>
    <cellStyle name="Tusenskille 14" xfId="9236" xr:uid="{00000000-0005-0000-0000-0000F92A0000}"/>
    <cellStyle name="Tusenskille 16" xfId="9235" xr:uid="{00000000-0005-0000-0000-0000FA2A0000}"/>
    <cellStyle name="Tusenskille 2" xfId="59" xr:uid="{00000000-0005-0000-0000-0000FB2A0000}"/>
    <cellStyle name="Tusenskille 2 10" xfId="11095" xr:uid="{00000000-0005-0000-0000-0000FC2A0000}"/>
    <cellStyle name="Tusenskille 2 2" xfId="9195" xr:uid="{00000000-0005-0000-0000-0000FD2A0000}"/>
    <cellStyle name="Tusenskille 2 2 2" xfId="10730" xr:uid="{00000000-0005-0000-0000-0000FE2A0000}"/>
    <cellStyle name="Tusenskille 2 2 2 2" xfId="10746" xr:uid="{00000000-0005-0000-0000-0000FF2A0000}"/>
    <cellStyle name="Tusenskille 2 2 2 2 2" xfId="11006" xr:uid="{00000000-0005-0000-0000-0000002B0000}"/>
    <cellStyle name="Tusenskille 2 2 2 2 3" xfId="10883" xr:uid="{00000000-0005-0000-0000-0000012B0000}"/>
    <cellStyle name="Tusenskille 2 2 2 2_Balanse" xfId="11267" xr:uid="{00000000-0005-0000-0000-0000022B0000}"/>
    <cellStyle name="Tusenskille 2 2 2 3" xfId="10994" xr:uid="{00000000-0005-0000-0000-0000032B0000}"/>
    <cellStyle name="Tusenskille 2 2 2 3 2" xfId="11096" xr:uid="{00000000-0005-0000-0000-0000042B0000}"/>
    <cellStyle name="Tusenskille 2 2 2 3_Balanse" xfId="11268" xr:uid="{00000000-0005-0000-0000-0000052B0000}"/>
    <cellStyle name="Tusenskille 2 2 2 4" xfId="10871" xr:uid="{00000000-0005-0000-0000-0000062B0000}"/>
    <cellStyle name="Tusenskille 2 2 2 5" xfId="11097" xr:uid="{00000000-0005-0000-0000-0000072B0000}"/>
    <cellStyle name="Tusenskille 2 2 2_Balanse" xfId="11266" xr:uid="{00000000-0005-0000-0000-0000082B0000}"/>
    <cellStyle name="Tusenskille 2 2 3" xfId="10080" xr:uid="{00000000-0005-0000-0000-0000092B0000}"/>
    <cellStyle name="Tusenskille 2 2 3 2" xfId="11098" xr:uid="{00000000-0005-0000-0000-00000A2B0000}"/>
    <cellStyle name="Tusenskille 2 2 3 2 2" xfId="11099" xr:uid="{00000000-0005-0000-0000-00000B2B0000}"/>
    <cellStyle name="Tusenskille 2 2 3 3" xfId="11100" xr:uid="{00000000-0005-0000-0000-00000C2B0000}"/>
    <cellStyle name="Tusenskille 2 2 3 3 2" xfId="11101" xr:uid="{00000000-0005-0000-0000-00000D2B0000}"/>
    <cellStyle name="Tusenskille 2 2 3 4" xfId="11102" xr:uid="{00000000-0005-0000-0000-00000E2B0000}"/>
    <cellStyle name="Tusenskille 2 2 3 5" xfId="11103" xr:uid="{00000000-0005-0000-0000-00000F2B0000}"/>
    <cellStyle name="Tusenskille 2 2 3_Balanse" xfId="11269" xr:uid="{00000000-0005-0000-0000-0000102B0000}"/>
    <cellStyle name="Tusenskille 2 2 4" xfId="10740" xr:uid="{00000000-0005-0000-0000-0000112B0000}"/>
    <cellStyle name="Tusenskille 2 2 4 2" xfId="11000" xr:uid="{00000000-0005-0000-0000-0000122B0000}"/>
    <cellStyle name="Tusenskille 2 2 4 2 2" xfId="11104" xr:uid="{00000000-0005-0000-0000-0000132B0000}"/>
    <cellStyle name="Tusenskille 2 2 4 2_Balanse" xfId="11271" xr:uid="{00000000-0005-0000-0000-0000142B0000}"/>
    <cellStyle name="Tusenskille 2 2 4 3" xfId="10877" xr:uid="{00000000-0005-0000-0000-0000152B0000}"/>
    <cellStyle name="Tusenskille 2 2 4 3 2" xfId="11105" xr:uid="{00000000-0005-0000-0000-0000162B0000}"/>
    <cellStyle name="Tusenskille 2 2 4 3_Balanse" xfId="11272" xr:uid="{00000000-0005-0000-0000-0000172B0000}"/>
    <cellStyle name="Tusenskille 2 2 4 4" xfId="11106" xr:uid="{00000000-0005-0000-0000-0000182B0000}"/>
    <cellStyle name="Tusenskille 2 2 4 5" xfId="11107" xr:uid="{00000000-0005-0000-0000-0000192B0000}"/>
    <cellStyle name="Tusenskille 2 2 4_Balanse" xfId="11270" xr:uid="{00000000-0005-0000-0000-00001A2B0000}"/>
    <cellStyle name="Tusenskille 2 2 5" xfId="10974" xr:uid="{00000000-0005-0000-0000-00001B2B0000}"/>
    <cellStyle name="Tusenskille 2 2 5 2" xfId="11108" xr:uid="{00000000-0005-0000-0000-00001C2B0000}"/>
    <cellStyle name="Tusenskille 2 2 5_Balanse" xfId="11273" xr:uid="{00000000-0005-0000-0000-00001D2B0000}"/>
    <cellStyle name="Tusenskille 2 2 6" xfId="10862" xr:uid="{00000000-0005-0000-0000-00001E2B0000}"/>
    <cellStyle name="Tusenskille 2 2 6 2" xfId="11109" xr:uid="{00000000-0005-0000-0000-00001F2B0000}"/>
    <cellStyle name="Tusenskille 2 2 6_Balanse" xfId="11274" xr:uid="{00000000-0005-0000-0000-0000202B0000}"/>
    <cellStyle name="Tusenskille 2 2 7" xfId="11110" xr:uid="{00000000-0005-0000-0000-0000212B0000}"/>
    <cellStyle name="Tusenskille 2 2 8" xfId="11111" xr:uid="{00000000-0005-0000-0000-0000222B0000}"/>
    <cellStyle name="Tusenskille 2 2_Balanse" xfId="11265" xr:uid="{00000000-0005-0000-0000-0000232B0000}"/>
    <cellStyle name="Tusenskille 2 3" xfId="10559" xr:uid="{00000000-0005-0000-0000-0000242B0000}"/>
    <cellStyle name="Tusenskille 2 3 2" xfId="11112" xr:uid="{00000000-0005-0000-0000-0000252B0000}"/>
    <cellStyle name="Tusenskille 2 3 2 2" xfId="11113" xr:uid="{00000000-0005-0000-0000-0000262B0000}"/>
    <cellStyle name="Tusenskille 2 3 2 2 2" xfId="11114" xr:uid="{00000000-0005-0000-0000-0000272B0000}"/>
    <cellStyle name="Tusenskille 2 3 2 3" xfId="11115" xr:uid="{00000000-0005-0000-0000-0000282B0000}"/>
    <cellStyle name="Tusenskille 2 3 2 3 2" xfId="11116" xr:uid="{00000000-0005-0000-0000-0000292B0000}"/>
    <cellStyle name="Tusenskille 2 3 2 4" xfId="11117" xr:uid="{00000000-0005-0000-0000-00002A2B0000}"/>
    <cellStyle name="Tusenskille 2 3 2 5" xfId="11118" xr:uid="{00000000-0005-0000-0000-00002B2B0000}"/>
    <cellStyle name="Tusenskille 2 3 3" xfId="11119" xr:uid="{00000000-0005-0000-0000-00002C2B0000}"/>
    <cellStyle name="Tusenskille 2 3 3 2" xfId="11120" xr:uid="{00000000-0005-0000-0000-00002D2B0000}"/>
    <cellStyle name="Tusenskille 2 3 3 2 2" xfId="11121" xr:uid="{00000000-0005-0000-0000-00002E2B0000}"/>
    <cellStyle name="Tusenskille 2 3 3 3" xfId="11122" xr:uid="{00000000-0005-0000-0000-00002F2B0000}"/>
    <cellStyle name="Tusenskille 2 3 3 3 2" xfId="11123" xr:uid="{00000000-0005-0000-0000-0000302B0000}"/>
    <cellStyle name="Tusenskille 2 3 3 4" xfId="11124" xr:uid="{00000000-0005-0000-0000-0000312B0000}"/>
    <cellStyle name="Tusenskille 2 3 3 5" xfId="11125" xr:uid="{00000000-0005-0000-0000-0000322B0000}"/>
    <cellStyle name="Tusenskille 2 3 4" xfId="11126" xr:uid="{00000000-0005-0000-0000-0000332B0000}"/>
    <cellStyle name="Tusenskille 2 3 4 2" xfId="11127" xr:uid="{00000000-0005-0000-0000-0000342B0000}"/>
    <cellStyle name="Tusenskille 2 3 4 2 2" xfId="11128" xr:uid="{00000000-0005-0000-0000-0000352B0000}"/>
    <cellStyle name="Tusenskille 2 3 4 3" xfId="11129" xr:uid="{00000000-0005-0000-0000-0000362B0000}"/>
    <cellStyle name="Tusenskille 2 3 4 3 2" xfId="11130" xr:uid="{00000000-0005-0000-0000-0000372B0000}"/>
    <cellStyle name="Tusenskille 2 3 4 4" xfId="11131" xr:uid="{00000000-0005-0000-0000-0000382B0000}"/>
    <cellStyle name="Tusenskille 2 3 4 5" xfId="11132" xr:uid="{00000000-0005-0000-0000-0000392B0000}"/>
    <cellStyle name="Tusenskille 2 3 5" xfId="11133" xr:uid="{00000000-0005-0000-0000-00003A2B0000}"/>
    <cellStyle name="Tusenskille 2 3 5 2" xfId="11134" xr:uid="{00000000-0005-0000-0000-00003B2B0000}"/>
    <cellStyle name="Tusenskille 2 3 6" xfId="11135" xr:uid="{00000000-0005-0000-0000-00003C2B0000}"/>
    <cellStyle name="Tusenskille 2 3 6 2" xfId="11136" xr:uid="{00000000-0005-0000-0000-00003D2B0000}"/>
    <cellStyle name="Tusenskille 2 3 7" xfId="11137" xr:uid="{00000000-0005-0000-0000-00003E2B0000}"/>
    <cellStyle name="Tusenskille 2 3 8" xfId="11138" xr:uid="{00000000-0005-0000-0000-00003F2B0000}"/>
    <cellStyle name="Tusenskille 2 3_Balanse" xfId="11275" xr:uid="{00000000-0005-0000-0000-0000402B0000}"/>
    <cellStyle name="Tusenskille 2 4" xfId="10141" xr:uid="{00000000-0005-0000-0000-0000412B0000}"/>
    <cellStyle name="Tusenskille 2 4 2" xfId="10744" xr:uid="{00000000-0005-0000-0000-0000422B0000}"/>
    <cellStyle name="Tusenskille 2 4 2 2" xfId="11004" xr:uid="{00000000-0005-0000-0000-0000432B0000}"/>
    <cellStyle name="Tusenskille 2 4 2 3" xfId="10881" xr:uid="{00000000-0005-0000-0000-0000442B0000}"/>
    <cellStyle name="Tusenskille 2 4 2_Balanse" xfId="11277" xr:uid="{00000000-0005-0000-0000-0000452B0000}"/>
    <cellStyle name="Tusenskille 2 4 3" xfId="10988" xr:uid="{00000000-0005-0000-0000-0000462B0000}"/>
    <cellStyle name="Tusenskille 2 4 3 2" xfId="11139" xr:uid="{00000000-0005-0000-0000-0000472B0000}"/>
    <cellStyle name="Tusenskille 2 4 3_Balanse" xfId="11278" xr:uid="{00000000-0005-0000-0000-0000482B0000}"/>
    <cellStyle name="Tusenskille 2 4 4" xfId="10867" xr:uid="{00000000-0005-0000-0000-0000492B0000}"/>
    <cellStyle name="Tusenskille 2 4 5" xfId="11140" xr:uid="{00000000-0005-0000-0000-00004A2B0000}"/>
    <cellStyle name="Tusenskille 2 4_Balanse" xfId="11276" xr:uid="{00000000-0005-0000-0000-00004B2B0000}"/>
    <cellStyle name="Tusenskille 2 5" xfId="10736" xr:uid="{00000000-0005-0000-0000-00004C2B0000}"/>
    <cellStyle name="Tusenskille 2 5 2" xfId="10997" xr:uid="{00000000-0005-0000-0000-00004D2B0000}"/>
    <cellStyle name="Tusenskille 2 5 2 2" xfId="11141" xr:uid="{00000000-0005-0000-0000-00004E2B0000}"/>
    <cellStyle name="Tusenskille 2 5 2_Balanse" xfId="11280" xr:uid="{00000000-0005-0000-0000-00004F2B0000}"/>
    <cellStyle name="Tusenskille 2 5 3" xfId="10874" xr:uid="{00000000-0005-0000-0000-0000502B0000}"/>
    <cellStyle name="Tusenskille 2 5 3 2" xfId="11142" xr:uid="{00000000-0005-0000-0000-0000512B0000}"/>
    <cellStyle name="Tusenskille 2 5 3_Balanse" xfId="11281" xr:uid="{00000000-0005-0000-0000-0000522B0000}"/>
    <cellStyle name="Tusenskille 2 5 4" xfId="11143" xr:uid="{00000000-0005-0000-0000-0000532B0000}"/>
    <cellStyle name="Tusenskille 2 5 5" xfId="11144" xr:uid="{00000000-0005-0000-0000-0000542B0000}"/>
    <cellStyle name="Tusenskille 2 5_Balanse" xfId="11279" xr:uid="{00000000-0005-0000-0000-0000552B0000}"/>
    <cellStyle name="Tusenskille 2 6" xfId="10837" xr:uid="{00000000-0005-0000-0000-0000562B0000}"/>
    <cellStyle name="Tusenskille 2 6 2" xfId="11145" xr:uid="{00000000-0005-0000-0000-0000572B0000}"/>
    <cellStyle name="Tusenskille 2 6 2 2" xfId="11146" xr:uid="{00000000-0005-0000-0000-0000582B0000}"/>
    <cellStyle name="Tusenskille 2 6 3" xfId="11147" xr:uid="{00000000-0005-0000-0000-0000592B0000}"/>
    <cellStyle name="Tusenskille 2 6 3 2" xfId="11148" xr:uid="{00000000-0005-0000-0000-00005A2B0000}"/>
    <cellStyle name="Tusenskille 2 6 4" xfId="11149" xr:uid="{00000000-0005-0000-0000-00005B2B0000}"/>
    <cellStyle name="Tusenskille 2 6 5" xfId="11150" xr:uid="{00000000-0005-0000-0000-00005C2B0000}"/>
    <cellStyle name="Tusenskille 2 6_Balanse" xfId="11282" xr:uid="{00000000-0005-0000-0000-00005D2B0000}"/>
    <cellStyle name="Tusenskille 2 7" xfId="11151" xr:uid="{00000000-0005-0000-0000-00005E2B0000}"/>
    <cellStyle name="Tusenskille 2 7 2" xfId="11152" xr:uid="{00000000-0005-0000-0000-00005F2B0000}"/>
    <cellStyle name="Tusenskille 2 8" xfId="11153" xr:uid="{00000000-0005-0000-0000-0000602B0000}"/>
    <cellStyle name="Tusenskille 2 8 2" xfId="11154" xr:uid="{00000000-0005-0000-0000-0000612B0000}"/>
    <cellStyle name="Tusenskille 2 9" xfId="11155" xr:uid="{00000000-0005-0000-0000-0000622B0000}"/>
    <cellStyle name="Tusenskille 3" xfId="107" xr:uid="{00000000-0005-0000-0000-0000632B0000}"/>
    <cellStyle name="Tusenskille 3 2" xfId="9196" xr:uid="{00000000-0005-0000-0000-0000642B0000}"/>
    <cellStyle name="Tusenskille 3 2 2" xfId="10731" xr:uid="{00000000-0005-0000-0000-0000652B0000}"/>
    <cellStyle name="Tusenskille 3 2 2 2" xfId="10747" xr:uid="{00000000-0005-0000-0000-0000662B0000}"/>
    <cellStyle name="Tusenskille 3 2 2 2 2" xfId="11007" xr:uid="{00000000-0005-0000-0000-0000672B0000}"/>
    <cellStyle name="Tusenskille 3 2 2 2 3" xfId="10884" xr:uid="{00000000-0005-0000-0000-0000682B0000}"/>
    <cellStyle name="Tusenskille 3 2 2 2_Balanse" xfId="11285" xr:uid="{00000000-0005-0000-0000-0000692B0000}"/>
    <cellStyle name="Tusenskille 3 2 2 3" xfId="10995" xr:uid="{00000000-0005-0000-0000-00006A2B0000}"/>
    <cellStyle name="Tusenskille 3 2 2 4" xfId="10872" xr:uid="{00000000-0005-0000-0000-00006B2B0000}"/>
    <cellStyle name="Tusenskille 3 2 2_Balanse" xfId="11284" xr:uid="{00000000-0005-0000-0000-00006C2B0000}"/>
    <cellStyle name="Tusenskille 3 2 3" xfId="10741" xr:uid="{00000000-0005-0000-0000-00006D2B0000}"/>
    <cellStyle name="Tusenskille 3 2 3 2" xfId="11001" xr:uid="{00000000-0005-0000-0000-00006E2B0000}"/>
    <cellStyle name="Tusenskille 3 2 3 3" xfId="10878" xr:uid="{00000000-0005-0000-0000-00006F2B0000}"/>
    <cellStyle name="Tusenskille 3 2 3_Balanse" xfId="11286" xr:uid="{00000000-0005-0000-0000-0000702B0000}"/>
    <cellStyle name="Tusenskille 3 2 4" xfId="10975" xr:uid="{00000000-0005-0000-0000-0000712B0000}"/>
    <cellStyle name="Tusenskille 3 2 5" xfId="10863" xr:uid="{00000000-0005-0000-0000-0000722B0000}"/>
    <cellStyle name="Tusenskille 3 2_Balanse" xfId="11283" xr:uid="{00000000-0005-0000-0000-0000732B0000}"/>
    <cellStyle name="Tusenskille 3 3" xfId="10467" xr:uid="{00000000-0005-0000-0000-0000742B0000}"/>
    <cellStyle name="Tusenskille 3 3 2" xfId="10745" xr:uid="{00000000-0005-0000-0000-0000752B0000}"/>
    <cellStyle name="Tusenskille 3 3 2 2" xfId="11005" xr:uid="{00000000-0005-0000-0000-0000762B0000}"/>
    <cellStyle name="Tusenskille 3 3 2 3" xfId="10882" xr:uid="{00000000-0005-0000-0000-0000772B0000}"/>
    <cellStyle name="Tusenskille 3 3 2_Balanse" xfId="11288" xr:uid="{00000000-0005-0000-0000-0000782B0000}"/>
    <cellStyle name="Tusenskille 3 3 3" xfId="10993" xr:uid="{00000000-0005-0000-0000-0000792B0000}"/>
    <cellStyle name="Tusenskille 3 3 3 2" xfId="11156" xr:uid="{00000000-0005-0000-0000-00007A2B0000}"/>
    <cellStyle name="Tusenskille 3 3 3_Balanse" xfId="11289" xr:uid="{00000000-0005-0000-0000-00007B2B0000}"/>
    <cellStyle name="Tusenskille 3 3 4" xfId="10869" xr:uid="{00000000-0005-0000-0000-00007C2B0000}"/>
    <cellStyle name="Tusenskille 3 3 5" xfId="11157" xr:uid="{00000000-0005-0000-0000-00007D2B0000}"/>
    <cellStyle name="Tusenskille 3 3_Balanse" xfId="11287" xr:uid="{00000000-0005-0000-0000-00007E2B0000}"/>
    <cellStyle name="Tusenskille 3 4" xfId="9234" xr:uid="{00000000-0005-0000-0000-00007F2B0000}"/>
    <cellStyle name="Tusenskille 3 4 2" xfId="11158" xr:uid="{00000000-0005-0000-0000-0000802B0000}"/>
    <cellStyle name="Tusenskille 3 4 2 2" xfId="11159" xr:uid="{00000000-0005-0000-0000-0000812B0000}"/>
    <cellStyle name="Tusenskille 3 4 3" xfId="11160" xr:uid="{00000000-0005-0000-0000-0000822B0000}"/>
    <cellStyle name="Tusenskille 3 4 3 2" xfId="11161" xr:uid="{00000000-0005-0000-0000-0000832B0000}"/>
    <cellStyle name="Tusenskille 3 4 4" xfId="11162" xr:uid="{00000000-0005-0000-0000-0000842B0000}"/>
    <cellStyle name="Tusenskille 3 4 5" xfId="11163" xr:uid="{00000000-0005-0000-0000-0000852B0000}"/>
    <cellStyle name="Tusenskille 3 4_Balanse" xfId="11290" xr:uid="{00000000-0005-0000-0000-0000862B0000}"/>
    <cellStyle name="Tusenskille 3 5" xfId="10737" xr:uid="{00000000-0005-0000-0000-0000872B0000}"/>
    <cellStyle name="Tusenskille 3 5 2" xfId="10998" xr:uid="{00000000-0005-0000-0000-0000882B0000}"/>
    <cellStyle name="Tusenskille 3 5 3" xfId="10875" xr:uid="{00000000-0005-0000-0000-0000892B0000}"/>
    <cellStyle name="Tusenskille 3 5_Balanse" xfId="11291" xr:uid="{00000000-0005-0000-0000-00008A2B0000}"/>
    <cellStyle name="Tusenskille 3 6" xfId="10838" xr:uid="{00000000-0005-0000-0000-00008B2B0000}"/>
    <cellStyle name="Tusenskille 3 6 2" xfId="11164" xr:uid="{00000000-0005-0000-0000-00008C2B0000}"/>
    <cellStyle name="Tusenskille 3 6_Balanse" xfId="11292" xr:uid="{00000000-0005-0000-0000-00008D2B0000}"/>
    <cellStyle name="Tusenskille 3 7" xfId="11165" xr:uid="{00000000-0005-0000-0000-00008E2B0000}"/>
    <cellStyle name="Tusenskille 3 8" xfId="11166" xr:uid="{00000000-0005-0000-0000-00008F2B0000}"/>
    <cellStyle name="Tusenskille 4" xfId="60" xr:uid="{00000000-0005-0000-0000-0000902B0000}"/>
    <cellStyle name="Tusenskille 4 10" xfId="11167" xr:uid="{00000000-0005-0000-0000-0000912B0000}"/>
    <cellStyle name="Tusenskille 4 2" xfId="10558" xr:uid="{00000000-0005-0000-0000-0000922B0000}"/>
    <cellStyle name="Tusenskille 4 2 2" xfId="11168" xr:uid="{00000000-0005-0000-0000-0000932B0000}"/>
    <cellStyle name="Tusenskille 4 2 2 2" xfId="11169" xr:uid="{00000000-0005-0000-0000-0000942B0000}"/>
    <cellStyle name="Tusenskille 4 2 2 2 2" xfId="11170" xr:uid="{00000000-0005-0000-0000-0000952B0000}"/>
    <cellStyle name="Tusenskille 4 2 2 3" xfId="11171" xr:uid="{00000000-0005-0000-0000-0000962B0000}"/>
    <cellStyle name="Tusenskille 4 2 2 3 2" xfId="11172" xr:uid="{00000000-0005-0000-0000-0000972B0000}"/>
    <cellStyle name="Tusenskille 4 2 2 4" xfId="11173" xr:uid="{00000000-0005-0000-0000-0000982B0000}"/>
    <cellStyle name="Tusenskille 4 2 2 5" xfId="11174" xr:uid="{00000000-0005-0000-0000-0000992B0000}"/>
    <cellStyle name="Tusenskille 4 2 3" xfId="11175" xr:uid="{00000000-0005-0000-0000-00009A2B0000}"/>
    <cellStyle name="Tusenskille 4 2 3 2" xfId="11176" xr:uid="{00000000-0005-0000-0000-00009B2B0000}"/>
    <cellStyle name="Tusenskille 4 2 3 2 2" xfId="11177" xr:uid="{00000000-0005-0000-0000-00009C2B0000}"/>
    <cellStyle name="Tusenskille 4 2 3 3" xfId="11178" xr:uid="{00000000-0005-0000-0000-00009D2B0000}"/>
    <cellStyle name="Tusenskille 4 2 3 3 2" xfId="11179" xr:uid="{00000000-0005-0000-0000-00009E2B0000}"/>
    <cellStyle name="Tusenskille 4 2 3 4" xfId="11180" xr:uid="{00000000-0005-0000-0000-00009F2B0000}"/>
    <cellStyle name="Tusenskille 4 2 3 5" xfId="11181" xr:uid="{00000000-0005-0000-0000-0000A02B0000}"/>
    <cellStyle name="Tusenskille 4 2 4" xfId="11182" xr:uid="{00000000-0005-0000-0000-0000A12B0000}"/>
    <cellStyle name="Tusenskille 4 2 4 2" xfId="11183" xr:uid="{00000000-0005-0000-0000-0000A22B0000}"/>
    <cellStyle name="Tusenskille 4 2 4 2 2" xfId="11184" xr:uid="{00000000-0005-0000-0000-0000A32B0000}"/>
    <cellStyle name="Tusenskille 4 2 4 3" xfId="11185" xr:uid="{00000000-0005-0000-0000-0000A42B0000}"/>
    <cellStyle name="Tusenskille 4 2 4 3 2" xfId="11186" xr:uid="{00000000-0005-0000-0000-0000A52B0000}"/>
    <cellStyle name="Tusenskille 4 2 4 4" xfId="11187" xr:uid="{00000000-0005-0000-0000-0000A62B0000}"/>
    <cellStyle name="Tusenskille 4 2 4 5" xfId="11188" xr:uid="{00000000-0005-0000-0000-0000A72B0000}"/>
    <cellStyle name="Tusenskille 4 2 5" xfId="11189" xr:uid="{00000000-0005-0000-0000-0000A82B0000}"/>
    <cellStyle name="Tusenskille 4 2 5 2" xfId="11190" xr:uid="{00000000-0005-0000-0000-0000A92B0000}"/>
    <cellStyle name="Tusenskille 4 2 6" xfId="11191" xr:uid="{00000000-0005-0000-0000-0000AA2B0000}"/>
    <cellStyle name="Tusenskille 4 2 6 2" xfId="11192" xr:uid="{00000000-0005-0000-0000-0000AB2B0000}"/>
    <cellStyle name="Tusenskille 4 2 7" xfId="11193" xr:uid="{00000000-0005-0000-0000-0000AC2B0000}"/>
    <cellStyle name="Tusenskille 4 2 8" xfId="11194" xr:uid="{00000000-0005-0000-0000-0000AD2B0000}"/>
    <cellStyle name="Tusenskille 4 2_Balanse" xfId="11294" xr:uid="{00000000-0005-0000-0000-0000AE2B0000}"/>
    <cellStyle name="Tusenskille 4 3" xfId="10140" xr:uid="{00000000-0005-0000-0000-0000AF2B0000}"/>
    <cellStyle name="Tusenskille 4 3 2" xfId="11195" xr:uid="{00000000-0005-0000-0000-0000B02B0000}"/>
    <cellStyle name="Tusenskille 4 3 2 2" xfId="11196" xr:uid="{00000000-0005-0000-0000-0000B12B0000}"/>
    <cellStyle name="Tusenskille 4 3 2 2 2" xfId="11197" xr:uid="{00000000-0005-0000-0000-0000B22B0000}"/>
    <cellStyle name="Tusenskille 4 3 2 3" xfId="11198" xr:uid="{00000000-0005-0000-0000-0000B32B0000}"/>
    <cellStyle name="Tusenskille 4 3 2 3 2" xfId="11199" xr:uid="{00000000-0005-0000-0000-0000B42B0000}"/>
    <cellStyle name="Tusenskille 4 3 2 4" xfId="11200" xr:uid="{00000000-0005-0000-0000-0000B52B0000}"/>
    <cellStyle name="Tusenskille 4 3 2 5" xfId="11201" xr:uid="{00000000-0005-0000-0000-0000B62B0000}"/>
    <cellStyle name="Tusenskille 4 3 3" xfId="11202" xr:uid="{00000000-0005-0000-0000-0000B72B0000}"/>
    <cellStyle name="Tusenskille 4 3 3 2" xfId="11203" xr:uid="{00000000-0005-0000-0000-0000B82B0000}"/>
    <cellStyle name="Tusenskille 4 3 3 2 2" xfId="11204" xr:uid="{00000000-0005-0000-0000-0000B92B0000}"/>
    <cellStyle name="Tusenskille 4 3 3 3" xfId="11205" xr:uid="{00000000-0005-0000-0000-0000BA2B0000}"/>
    <cellStyle name="Tusenskille 4 3 3 3 2" xfId="11206" xr:uid="{00000000-0005-0000-0000-0000BB2B0000}"/>
    <cellStyle name="Tusenskille 4 3 3 4" xfId="11207" xr:uid="{00000000-0005-0000-0000-0000BC2B0000}"/>
    <cellStyle name="Tusenskille 4 3 3 5" xfId="11208" xr:uid="{00000000-0005-0000-0000-0000BD2B0000}"/>
    <cellStyle name="Tusenskille 4 3 4" xfId="11209" xr:uid="{00000000-0005-0000-0000-0000BE2B0000}"/>
    <cellStyle name="Tusenskille 4 3 4 2" xfId="11210" xr:uid="{00000000-0005-0000-0000-0000BF2B0000}"/>
    <cellStyle name="Tusenskille 4 3 4 2 2" xfId="11211" xr:uid="{00000000-0005-0000-0000-0000C02B0000}"/>
    <cellStyle name="Tusenskille 4 3 4 3" xfId="11212" xr:uid="{00000000-0005-0000-0000-0000C12B0000}"/>
    <cellStyle name="Tusenskille 4 3 4 3 2" xfId="11213" xr:uid="{00000000-0005-0000-0000-0000C22B0000}"/>
    <cellStyle name="Tusenskille 4 3 4 4" xfId="11214" xr:uid="{00000000-0005-0000-0000-0000C32B0000}"/>
    <cellStyle name="Tusenskille 4 3 4 5" xfId="11215" xr:uid="{00000000-0005-0000-0000-0000C42B0000}"/>
    <cellStyle name="Tusenskille 4 3 5" xfId="11216" xr:uid="{00000000-0005-0000-0000-0000C52B0000}"/>
    <cellStyle name="Tusenskille 4 3 5 2" xfId="11217" xr:uid="{00000000-0005-0000-0000-0000C62B0000}"/>
    <cellStyle name="Tusenskille 4 3 6" xfId="11218" xr:uid="{00000000-0005-0000-0000-0000C72B0000}"/>
    <cellStyle name="Tusenskille 4 3 6 2" xfId="11219" xr:uid="{00000000-0005-0000-0000-0000C82B0000}"/>
    <cellStyle name="Tusenskille 4 3 7" xfId="11220" xr:uid="{00000000-0005-0000-0000-0000C92B0000}"/>
    <cellStyle name="Tusenskille 4 3 8" xfId="11221" xr:uid="{00000000-0005-0000-0000-0000CA2B0000}"/>
    <cellStyle name="Tusenskille 4 3_Balanse" xfId="11295" xr:uid="{00000000-0005-0000-0000-0000CB2B0000}"/>
    <cellStyle name="Tusenskille 4 4" xfId="9233" xr:uid="{00000000-0005-0000-0000-0000CC2B0000}"/>
    <cellStyle name="Tusenskille 4 4 2" xfId="11222" xr:uid="{00000000-0005-0000-0000-0000CD2B0000}"/>
    <cellStyle name="Tusenskille 4 4 2 2" xfId="11223" xr:uid="{00000000-0005-0000-0000-0000CE2B0000}"/>
    <cellStyle name="Tusenskille 4 4 3" xfId="11224" xr:uid="{00000000-0005-0000-0000-0000CF2B0000}"/>
    <cellStyle name="Tusenskille 4 4 3 2" xfId="11225" xr:uid="{00000000-0005-0000-0000-0000D02B0000}"/>
    <cellStyle name="Tusenskille 4 4 4" xfId="11226" xr:uid="{00000000-0005-0000-0000-0000D12B0000}"/>
    <cellStyle name="Tusenskille 4 4 5" xfId="11227" xr:uid="{00000000-0005-0000-0000-0000D22B0000}"/>
    <cellStyle name="Tusenskille 4 4_Balanse" xfId="11296" xr:uid="{00000000-0005-0000-0000-0000D32B0000}"/>
    <cellStyle name="Tusenskille 4 5" xfId="11228" xr:uid="{00000000-0005-0000-0000-0000D42B0000}"/>
    <cellStyle name="Tusenskille 4 5 2" xfId="11229" xr:uid="{00000000-0005-0000-0000-0000D52B0000}"/>
    <cellStyle name="Tusenskille 4 5 2 2" xfId="11230" xr:uid="{00000000-0005-0000-0000-0000D62B0000}"/>
    <cellStyle name="Tusenskille 4 5 3" xfId="11231" xr:uid="{00000000-0005-0000-0000-0000D72B0000}"/>
    <cellStyle name="Tusenskille 4 5 3 2" xfId="11232" xr:uid="{00000000-0005-0000-0000-0000D82B0000}"/>
    <cellStyle name="Tusenskille 4 5 4" xfId="11233" xr:uid="{00000000-0005-0000-0000-0000D92B0000}"/>
    <cellStyle name="Tusenskille 4 5 5" xfId="11234" xr:uid="{00000000-0005-0000-0000-0000DA2B0000}"/>
    <cellStyle name="Tusenskille 4 6" xfId="11235" xr:uid="{00000000-0005-0000-0000-0000DB2B0000}"/>
    <cellStyle name="Tusenskille 4 6 2" xfId="11236" xr:uid="{00000000-0005-0000-0000-0000DC2B0000}"/>
    <cellStyle name="Tusenskille 4 6 2 2" xfId="11237" xr:uid="{00000000-0005-0000-0000-0000DD2B0000}"/>
    <cellStyle name="Tusenskille 4 6 3" xfId="11238" xr:uid="{00000000-0005-0000-0000-0000DE2B0000}"/>
    <cellStyle name="Tusenskille 4 6 3 2" xfId="11239" xr:uid="{00000000-0005-0000-0000-0000DF2B0000}"/>
    <cellStyle name="Tusenskille 4 6 4" xfId="11240" xr:uid="{00000000-0005-0000-0000-0000E02B0000}"/>
    <cellStyle name="Tusenskille 4 6 5" xfId="11241" xr:uid="{00000000-0005-0000-0000-0000E12B0000}"/>
    <cellStyle name="Tusenskille 4 7" xfId="11242" xr:uid="{00000000-0005-0000-0000-0000E22B0000}"/>
    <cellStyle name="Tusenskille 4 7 2" xfId="11243" xr:uid="{00000000-0005-0000-0000-0000E32B0000}"/>
    <cellStyle name="Tusenskille 4 8" xfId="11244" xr:uid="{00000000-0005-0000-0000-0000E42B0000}"/>
    <cellStyle name="Tusenskille 4 8 2" xfId="11245" xr:uid="{00000000-0005-0000-0000-0000E52B0000}"/>
    <cellStyle name="Tusenskille 4 9" xfId="11246" xr:uid="{00000000-0005-0000-0000-0000E62B0000}"/>
    <cellStyle name="Tusenskille 4_Balanse" xfId="11293" xr:uid="{00000000-0005-0000-0000-0000E72B0000}"/>
    <cellStyle name="Tusenskille 5" xfId="108" xr:uid="{00000000-0005-0000-0000-0000E82B0000}"/>
    <cellStyle name="Tusenskille 5 2" xfId="10466" xr:uid="{00000000-0005-0000-0000-0000E92B0000}"/>
    <cellStyle name="Tusenskille 5 3" xfId="10079" xr:uid="{00000000-0005-0000-0000-0000EA2B0000}"/>
    <cellStyle name="Tusenskille 5 4" xfId="9232" xr:uid="{00000000-0005-0000-0000-0000EB2B0000}"/>
    <cellStyle name="Tusenskille 6" xfId="109" xr:uid="{00000000-0005-0000-0000-0000EC2B0000}"/>
    <cellStyle name="Tusenskille 6 2" xfId="10139" xr:uid="{00000000-0005-0000-0000-0000ED2B0000}"/>
    <cellStyle name="Tusenskille 6 3" xfId="9231" xr:uid="{00000000-0005-0000-0000-0000EE2B0000}"/>
    <cellStyle name="Tusenskille 6 4" xfId="10557" xr:uid="{00000000-0005-0000-0000-0000EF2B0000}"/>
    <cellStyle name="Tusenskille 7" xfId="110" xr:uid="{00000000-0005-0000-0000-0000F02B0000}"/>
    <cellStyle name="Tusenskille 7 2" xfId="10465" xr:uid="{00000000-0005-0000-0000-0000F12B0000}"/>
    <cellStyle name="Tusenskille 7 3" xfId="10078" xr:uid="{00000000-0005-0000-0000-0000F22B0000}"/>
    <cellStyle name="Tusenskille 7 4" xfId="9230" xr:uid="{00000000-0005-0000-0000-0000F32B0000}"/>
    <cellStyle name="Tusenskille 8" xfId="121" xr:uid="{00000000-0005-0000-0000-0000F42B0000}"/>
    <cellStyle name="Tusenskille 8 2" xfId="10138" xr:uid="{00000000-0005-0000-0000-0000F52B0000}"/>
    <cellStyle name="Tusenskille 8 3" xfId="9229" xr:uid="{00000000-0005-0000-0000-0000F62B0000}"/>
    <cellStyle name="Tusenskille 8 4" xfId="10556" xr:uid="{00000000-0005-0000-0000-0000F72B0000}"/>
    <cellStyle name="Tusenskille 9" xfId="120" xr:uid="{00000000-0005-0000-0000-0000F82B0000}"/>
    <cellStyle name="Tusenskille 9 2" xfId="10464" xr:uid="{00000000-0005-0000-0000-0000F92B0000}"/>
    <cellStyle name="Tusenskille 9 3" xfId="10077" xr:uid="{00000000-0005-0000-0000-0000FA2B0000}"/>
    <cellStyle name="Tusenskille 9 4" xfId="9228" xr:uid="{00000000-0005-0000-0000-0000FB2B0000}"/>
    <cellStyle name="Udefinert" xfId="10555" xr:uid="{00000000-0005-0000-0000-0000FC2B0000}"/>
    <cellStyle name="Utdata 2" xfId="111" xr:uid="{00000000-0005-0000-0000-0000FD2B0000}"/>
    <cellStyle name="Utdata 2 2" xfId="2713" xr:uid="{00000000-0005-0000-0000-0000FE2B0000}"/>
    <cellStyle name="Utdata 2_Balanse" xfId="11297" xr:uid="{00000000-0005-0000-0000-0000FF2B0000}"/>
    <cellStyle name="Uthevingsfarge1 2" xfId="112" xr:uid="{00000000-0005-0000-0000-0000002C0000}"/>
    <cellStyle name="Uthevingsfarge1 2 2" xfId="2714" xr:uid="{00000000-0005-0000-0000-0000012C0000}"/>
    <cellStyle name="Uthevingsfarge1 2_Balanse" xfId="11298" xr:uid="{00000000-0005-0000-0000-0000022C0000}"/>
    <cellStyle name="Uthevingsfarge2 2" xfId="113" xr:uid="{00000000-0005-0000-0000-0000032C0000}"/>
    <cellStyle name="Uthevingsfarge2 2 2" xfId="2715" xr:uid="{00000000-0005-0000-0000-0000042C0000}"/>
    <cellStyle name="Uthevingsfarge2 2_Balanse" xfId="11299" xr:uid="{00000000-0005-0000-0000-0000052C0000}"/>
    <cellStyle name="Uthevingsfarge3 2" xfId="114" xr:uid="{00000000-0005-0000-0000-0000062C0000}"/>
    <cellStyle name="Uthevingsfarge3 2 2" xfId="2716" xr:uid="{00000000-0005-0000-0000-0000072C0000}"/>
    <cellStyle name="Uthevingsfarge3 2_Balanse" xfId="11300" xr:uid="{00000000-0005-0000-0000-0000082C0000}"/>
    <cellStyle name="Uthevingsfarge4 2" xfId="115" xr:uid="{00000000-0005-0000-0000-0000092C0000}"/>
    <cellStyle name="Uthevingsfarge4 2 2" xfId="2717" xr:uid="{00000000-0005-0000-0000-00000A2C0000}"/>
    <cellStyle name="Uthevingsfarge4 2_Balanse" xfId="11301" xr:uid="{00000000-0005-0000-0000-00000B2C0000}"/>
    <cellStyle name="Uthevingsfarge5 2" xfId="116" xr:uid="{00000000-0005-0000-0000-00000C2C0000}"/>
    <cellStyle name="Uthevingsfarge5 2 2" xfId="2718" xr:uid="{00000000-0005-0000-0000-00000D2C0000}"/>
    <cellStyle name="Uthevingsfarge5 2_Balanse" xfId="11302" xr:uid="{00000000-0005-0000-0000-00000E2C0000}"/>
    <cellStyle name="Uthevingsfarge6 2" xfId="117" xr:uid="{00000000-0005-0000-0000-00000F2C0000}"/>
    <cellStyle name="Uthevingsfarge6 2 2" xfId="2719" xr:uid="{00000000-0005-0000-0000-0000102C0000}"/>
    <cellStyle name="Uthevingsfarge6 2_Balanse" xfId="11303" xr:uid="{00000000-0005-0000-0000-0000112C0000}"/>
    <cellStyle name="Valuta 2" xfId="4280" xr:uid="{00000000-0005-0000-0000-0000122C0000}"/>
    <cellStyle name="Vanlig" xfId="5" xr:uid="{00000000-0005-0000-0000-000011000000}"/>
    <cellStyle name="vanlig skrift" xfId="9227" xr:uid="{00000000-0005-0000-0000-0000132C0000}"/>
    <cellStyle name="Varseltekst" xfId="21" builtinId="11" customBuiltin="1"/>
    <cellStyle name="Varseltekst 2" xfId="118" xr:uid="{00000000-0005-0000-0000-0000152C0000}"/>
    <cellStyle name="Varseltekst 2 2" xfId="2720" xr:uid="{00000000-0005-0000-0000-0000162C0000}"/>
    <cellStyle name="Varseltekst 2_Balanse" xfId="11304" xr:uid="{00000000-0005-0000-0000-0000172C0000}"/>
    <cellStyle name="Warning Text 2" xfId="9226" xr:uid="{00000000-0005-0000-0000-0000182C0000}"/>
    <cellStyle name="Összesen" xfId="4271" xr:uid="{00000000-0005-0000-0000-0000192C0000}"/>
    <cellStyle name="Összesen 2" xfId="9184" xr:uid="{00000000-0005-0000-0000-00001A2C0000}"/>
    <cellStyle name="Összesen 2 2" xfId="10926" xr:uid="{00000000-0005-0000-0000-00001B2C0000}"/>
    <cellStyle name="Összesen 2 3" xfId="10918" xr:uid="{00000000-0005-0000-0000-00001C2C0000}"/>
    <cellStyle name="Összesen 2 4" xfId="10907" xr:uid="{00000000-0005-0000-0000-00001D2C0000}"/>
    <cellStyle name="Összesen 2 5" xfId="10935" xr:uid="{00000000-0005-0000-0000-00001E2C0000}"/>
    <cellStyle name="Összesen 2 6" xfId="10860" xr:uid="{00000000-0005-0000-0000-00001F2C0000}"/>
    <cellStyle name="Összesen 3" xfId="10964" xr:uid="{00000000-0005-0000-0000-0000202C0000}"/>
    <cellStyle name="Összesen 4" xfId="10890" xr:uid="{00000000-0005-0000-0000-0000212C0000}"/>
    <cellStyle name="Összesen 5" xfId="10929" xr:uid="{00000000-0005-0000-0000-0000222C0000}"/>
    <cellStyle name="Összesen 6" xfId="10979" xr:uid="{00000000-0005-0000-0000-0000232C0000}"/>
    <cellStyle name="Összesen 7" xfId="10848" xr:uid="{00000000-0005-0000-0000-0000242C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2798138452588714E-2"/>
          <c:y val="3.3371251228429918E-2"/>
          <c:w val="0.61759922679822088"/>
          <c:h val="0.88779185512147185"/>
        </c:manualLayout>
      </c:layout>
      <c:barChart>
        <c:barDir val="col"/>
        <c:grouping val="stacked"/>
        <c:varyColors val="0"/>
        <c:ser>
          <c:idx val="0"/>
          <c:order val="0"/>
          <c:tx>
            <c:strRef>
              <c:f>'5 Income'!$C$5</c:f>
              <c:strCache>
                <c:ptCount val="1"/>
                <c:pt idx="0">
                  <c:v>Net interest income</c:v>
                </c:pt>
              </c:strCache>
            </c:strRef>
          </c:tx>
          <c:spPr>
            <a:solidFill>
              <a:schemeClr val="accent1"/>
            </a:solidFill>
            <a:ln>
              <a:noFill/>
            </a:ln>
            <a:effectLst/>
          </c:spPr>
          <c:invertIfNegative val="0"/>
          <c:dLbls>
            <c:dLbl>
              <c:idx val="0"/>
              <c:layout>
                <c:manualLayout>
                  <c:x val="1.1842561812810872E-3"/>
                  <c:y val="-6.37087523451843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82-400A-B5FB-03AD43FA3D74}"/>
                </c:ext>
              </c:extLst>
            </c:dLbl>
            <c:dLbl>
              <c:idx val="1"/>
              <c:layout>
                <c:manualLayout>
                  <c:x val="9.3248518211109239E-8"/>
                  <c:y val="6.37087523451843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82-400A-B5FB-03AD43FA3D74}"/>
                </c:ext>
              </c:extLst>
            </c:dLbl>
            <c:dLbl>
              <c:idx val="2"/>
              <c:layout>
                <c:manualLayout>
                  <c:x val="1.1842561812810872E-3"/>
                  <c:y val="9.70800035736143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8B-4FDF-9757-F7696799684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Income'!$D$4:$H$4</c:f>
              <c:strCache>
                <c:ptCount val="5"/>
                <c:pt idx="0">
                  <c:v>2Q-21</c:v>
                </c:pt>
                <c:pt idx="1">
                  <c:v>1Q-21</c:v>
                </c:pt>
                <c:pt idx="2">
                  <c:v>4Q-20</c:v>
                </c:pt>
                <c:pt idx="3">
                  <c:v>3Q-20</c:v>
                </c:pt>
                <c:pt idx="4">
                  <c:v>2Q-20</c:v>
                </c:pt>
              </c:strCache>
            </c:strRef>
          </c:cat>
          <c:val>
            <c:numRef>
              <c:f>'5 Income'!$D$5:$H$5</c:f>
              <c:numCache>
                <c:formatCode>0</c:formatCode>
                <c:ptCount val="5"/>
                <c:pt idx="0">
                  <c:v>541.89793853999947</c:v>
                </c:pt>
                <c:pt idx="1">
                  <c:v>534.88565628000003</c:v>
                </c:pt>
                <c:pt idx="2">
                  <c:v>549.13812258000019</c:v>
                </c:pt>
                <c:pt idx="3">
                  <c:v>535.78626426999972</c:v>
                </c:pt>
                <c:pt idx="4">
                  <c:v>498.0970762</c:v>
                </c:pt>
              </c:numCache>
            </c:numRef>
          </c:val>
          <c:extLst>
            <c:ext xmlns:c16="http://schemas.microsoft.com/office/drawing/2014/chart" uri="{C3380CC4-5D6E-409C-BE32-E72D297353CC}">
              <c16:uniqueId val="{00000002-2282-400A-B5FB-03AD43FA3D74}"/>
            </c:ext>
          </c:extLst>
        </c:ser>
        <c:ser>
          <c:idx val="1"/>
          <c:order val="1"/>
          <c:tx>
            <c:strRef>
              <c:f>'5 Income'!$C$6</c:f>
              <c:strCache>
                <c:ptCount val="1"/>
                <c:pt idx="0">
                  <c:v>Commission fees from covered bond companies</c:v>
                </c:pt>
              </c:strCache>
            </c:strRef>
          </c:tx>
          <c:spPr>
            <a:solidFill>
              <a:schemeClr val="accent3"/>
            </a:solidFill>
            <a:ln>
              <a:noFill/>
            </a:ln>
            <a:effectLst/>
          </c:spPr>
          <c:invertIfNegative val="0"/>
          <c:dLbls>
            <c:dLbl>
              <c:idx val="0"/>
              <c:layout>
                <c:manualLayout>
                  <c:x val="8.6844450059448592E-17"/>
                  <c:y val="-2.12362507817281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82-400A-B5FB-03AD43FA3D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Income'!$D$4:$H$4</c:f>
              <c:strCache>
                <c:ptCount val="5"/>
                <c:pt idx="0">
                  <c:v>2Q-21</c:v>
                </c:pt>
                <c:pt idx="1">
                  <c:v>1Q-21</c:v>
                </c:pt>
                <c:pt idx="2">
                  <c:v>4Q-20</c:v>
                </c:pt>
                <c:pt idx="3">
                  <c:v>3Q-20</c:v>
                </c:pt>
                <c:pt idx="4">
                  <c:v>2Q-20</c:v>
                </c:pt>
              </c:strCache>
            </c:strRef>
          </c:cat>
          <c:val>
            <c:numRef>
              <c:f>'5 Income'!$D$6:$H$6</c:f>
              <c:numCache>
                <c:formatCode>0</c:formatCode>
                <c:ptCount val="5"/>
                <c:pt idx="0">
                  <c:v>113.28816130000001</c:v>
                </c:pt>
                <c:pt idx="1">
                  <c:v>107.95459314999997</c:v>
                </c:pt>
                <c:pt idx="2">
                  <c:v>131.01541984000002</c:v>
                </c:pt>
                <c:pt idx="3">
                  <c:v>116.03408038000002</c:v>
                </c:pt>
                <c:pt idx="4">
                  <c:v>41.550429529999995</c:v>
                </c:pt>
              </c:numCache>
            </c:numRef>
          </c:val>
          <c:extLst>
            <c:ext xmlns:c16="http://schemas.microsoft.com/office/drawing/2014/chart" uri="{C3380CC4-5D6E-409C-BE32-E72D297353CC}">
              <c16:uniqueId val="{00000004-2282-400A-B5FB-03AD43FA3D74}"/>
            </c:ext>
          </c:extLst>
        </c:ser>
        <c:dLbls>
          <c:showLegendKey val="0"/>
          <c:showVal val="0"/>
          <c:showCatName val="0"/>
          <c:showSerName val="0"/>
          <c:showPercent val="0"/>
          <c:showBubbleSize val="0"/>
        </c:dLbls>
        <c:gapWidth val="150"/>
        <c:overlap val="100"/>
        <c:axId val="801519984"/>
        <c:axId val="801518024"/>
      </c:barChart>
      <c:lineChart>
        <c:grouping val="stacked"/>
        <c:varyColors val="0"/>
        <c:ser>
          <c:idx val="2"/>
          <c:order val="2"/>
          <c:tx>
            <c:strRef>
              <c:f>'5 Income'!$C$7</c:f>
              <c:strCache>
                <c:ptCount val="1"/>
                <c:pt idx="0">
                  <c:v>Net interest income an commission fees from covered bond companies (MNOK)</c:v>
                </c:pt>
              </c:strCache>
            </c:strRef>
          </c:tx>
          <c:spPr>
            <a:ln w="28575" cap="rnd">
              <a:noFill/>
              <a:round/>
            </a:ln>
            <a:effectLst/>
          </c:spPr>
          <c:marker>
            <c:symbol val="none"/>
          </c:marker>
          <c:dLbls>
            <c:dLbl>
              <c:idx val="0"/>
              <c:layout>
                <c:manualLayout>
                  <c:x val="-1.6579586537935308E-2"/>
                  <c:y val="-3.03375011167544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82-400A-B5FB-03AD43FA3D74}"/>
                </c:ext>
              </c:extLst>
            </c:dLbl>
            <c:dLbl>
              <c:idx val="1"/>
              <c:layout>
                <c:manualLayout>
                  <c:x val="-2.0132355081778484E-2"/>
                  <c:y val="-3.0337501116754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282-400A-B5FB-03AD43FA3D74}"/>
                </c:ext>
              </c:extLst>
            </c:dLbl>
            <c:dLbl>
              <c:idx val="2"/>
              <c:layout>
                <c:manualLayout>
                  <c:x val="-1.8948098900497441E-2"/>
                  <c:y val="-3.64050013401053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282-400A-B5FB-03AD43FA3D74}"/>
                </c:ext>
              </c:extLst>
            </c:dLbl>
            <c:dLbl>
              <c:idx val="3"/>
              <c:layout>
                <c:manualLayout>
                  <c:x val="-1.7763842719216352E-2"/>
                  <c:y val="-2.73037510050790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282-400A-B5FB-03AD43FA3D74}"/>
                </c:ext>
              </c:extLst>
            </c:dLbl>
            <c:dLbl>
              <c:idx val="4"/>
              <c:layout>
                <c:manualLayout>
                  <c:x val="-9.4740494502486977E-3"/>
                  <c:y val="-4.55062516751317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282-400A-B5FB-03AD43FA3D74}"/>
                </c:ext>
              </c:extLst>
            </c:dLbl>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noFill/>
                      <a:round/>
                    </a:ln>
                    <a:effectLst/>
                  </c:spPr>
                </c15:leaderLines>
              </c:ext>
            </c:extLst>
          </c:dLbls>
          <c:cat>
            <c:strRef>
              <c:f>'5 Income'!$D$4:$H$4</c:f>
              <c:strCache>
                <c:ptCount val="5"/>
                <c:pt idx="0">
                  <c:v>2Q-21</c:v>
                </c:pt>
                <c:pt idx="1">
                  <c:v>1Q-21</c:v>
                </c:pt>
                <c:pt idx="2">
                  <c:v>4Q-20</c:v>
                </c:pt>
                <c:pt idx="3">
                  <c:v>3Q-20</c:v>
                </c:pt>
                <c:pt idx="4">
                  <c:v>2Q-20</c:v>
                </c:pt>
              </c:strCache>
            </c:strRef>
          </c:cat>
          <c:val>
            <c:numRef>
              <c:f>'5 Income'!$D$7:$H$7</c:f>
              <c:numCache>
                <c:formatCode>0</c:formatCode>
                <c:ptCount val="5"/>
                <c:pt idx="0">
                  <c:v>655.18609983999954</c:v>
                </c:pt>
                <c:pt idx="1">
                  <c:v>642.84024942999997</c:v>
                </c:pt>
                <c:pt idx="2">
                  <c:v>680.15354242000024</c:v>
                </c:pt>
                <c:pt idx="3">
                  <c:v>651.8203446499997</c:v>
                </c:pt>
                <c:pt idx="4">
                  <c:v>673.45152168000004</c:v>
                </c:pt>
              </c:numCache>
            </c:numRef>
          </c:val>
          <c:smooth val="0"/>
          <c:extLst>
            <c:ext xmlns:c16="http://schemas.microsoft.com/office/drawing/2014/chart" uri="{C3380CC4-5D6E-409C-BE32-E72D297353CC}">
              <c16:uniqueId val="{0000000A-2282-400A-B5FB-03AD43FA3D74}"/>
            </c:ext>
          </c:extLst>
        </c:ser>
        <c:dLbls>
          <c:showLegendKey val="0"/>
          <c:showVal val="0"/>
          <c:showCatName val="0"/>
          <c:showSerName val="0"/>
          <c:showPercent val="0"/>
          <c:showBubbleSize val="0"/>
        </c:dLbls>
        <c:marker val="1"/>
        <c:smooth val="0"/>
        <c:axId val="801519984"/>
        <c:axId val="801518024"/>
      </c:lineChart>
      <c:lineChart>
        <c:grouping val="standard"/>
        <c:varyColors val="0"/>
        <c:ser>
          <c:idx val="3"/>
          <c:order val="3"/>
          <c:tx>
            <c:strRef>
              <c:f>'5 Income'!$C$8</c:f>
              <c:strCache>
                <c:ptCount val="1"/>
                <c:pt idx="0">
                  <c:v>Net interest income in % of average of average total assets </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Income'!$D$4:$H$4</c:f>
              <c:strCache>
                <c:ptCount val="5"/>
                <c:pt idx="0">
                  <c:v>2Q-21</c:v>
                </c:pt>
                <c:pt idx="1">
                  <c:v>1Q-21</c:v>
                </c:pt>
                <c:pt idx="2">
                  <c:v>4Q-20</c:v>
                </c:pt>
                <c:pt idx="3">
                  <c:v>3Q-20</c:v>
                </c:pt>
                <c:pt idx="4">
                  <c:v>2Q-20</c:v>
                </c:pt>
              </c:strCache>
            </c:strRef>
          </c:cat>
          <c:val>
            <c:numRef>
              <c:f>'5 Income'!$D$9:$H$9</c:f>
              <c:numCache>
                <c:formatCode>0.00%</c:formatCode>
                <c:ptCount val="5"/>
                <c:pt idx="0">
                  <c:v>1.38E-2</c:v>
                </c:pt>
                <c:pt idx="1">
                  <c:v>1.44E-2</c:v>
                </c:pt>
                <c:pt idx="2">
                  <c:v>1.4800000000000001E-2</c:v>
                </c:pt>
                <c:pt idx="3">
                  <c:v>1.46E-2</c:v>
                </c:pt>
                <c:pt idx="4">
                  <c:v>1.44E-2</c:v>
                </c:pt>
              </c:numCache>
            </c:numRef>
          </c:val>
          <c:smooth val="0"/>
          <c:extLst>
            <c:ext xmlns:c16="http://schemas.microsoft.com/office/drawing/2014/chart" uri="{C3380CC4-5D6E-409C-BE32-E72D297353CC}">
              <c16:uniqueId val="{0000000B-2282-400A-B5FB-03AD43FA3D74}"/>
            </c:ext>
          </c:extLst>
        </c:ser>
        <c:dLbls>
          <c:showLegendKey val="0"/>
          <c:showVal val="1"/>
          <c:showCatName val="0"/>
          <c:showSerName val="0"/>
          <c:showPercent val="0"/>
          <c:showBubbleSize val="0"/>
        </c:dLbls>
        <c:marker val="1"/>
        <c:smooth val="0"/>
        <c:axId val="801518808"/>
        <c:axId val="801521160"/>
      </c:lineChart>
      <c:catAx>
        <c:axId val="80151998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nb-NO"/>
          </a:p>
        </c:txPr>
        <c:crossAx val="801518024"/>
        <c:crosses val="autoZero"/>
        <c:auto val="1"/>
        <c:lblAlgn val="ctr"/>
        <c:lblOffset val="100"/>
        <c:noMultiLvlLbl val="0"/>
      </c:catAx>
      <c:valAx>
        <c:axId val="801518024"/>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1"/>
                </a:solidFill>
                <a:latin typeface="+mn-lt"/>
                <a:ea typeface="+mn-ea"/>
                <a:cs typeface="+mn-cs"/>
              </a:defRPr>
            </a:pPr>
            <a:endParaRPr lang="nb-NO"/>
          </a:p>
        </c:txPr>
        <c:crossAx val="801519984"/>
        <c:crosses val="autoZero"/>
        <c:crossBetween val="between"/>
      </c:valAx>
      <c:valAx>
        <c:axId val="801521160"/>
        <c:scaling>
          <c:orientation val="minMax"/>
          <c:max val="1.8800000000000001E-2"/>
          <c:min val="1.2500000000000002E-2"/>
        </c:scaling>
        <c:delete val="0"/>
        <c:axPos val="l"/>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801518808"/>
        <c:crosses val="autoZero"/>
        <c:crossBetween val="between"/>
      </c:valAx>
      <c:catAx>
        <c:axId val="801518808"/>
        <c:scaling>
          <c:orientation val="minMax"/>
        </c:scaling>
        <c:delete val="1"/>
        <c:axPos val="b"/>
        <c:numFmt formatCode="General" sourceLinked="1"/>
        <c:majorTickMark val="out"/>
        <c:minorTickMark val="none"/>
        <c:tickLblPos val="nextTo"/>
        <c:crossAx val="801521160"/>
        <c:crosses val="autoZero"/>
        <c:auto val="1"/>
        <c:lblAlgn val="ctr"/>
        <c:lblOffset val="100"/>
        <c:noMultiLvlLbl val="0"/>
      </c:catAx>
      <c:spPr>
        <a:noFill/>
        <a:ln>
          <a:noFill/>
        </a:ln>
        <a:effectLst/>
      </c:spPr>
    </c:plotArea>
    <c:legend>
      <c:legendPos val="r"/>
      <c:layout>
        <c:manualLayout>
          <c:xMode val="edge"/>
          <c:yMode val="edge"/>
          <c:x val="0.65503199534613143"/>
          <c:y val="0.3316254355342434"/>
          <c:w val="0.30419913929752718"/>
          <c:h val="0.3367491289315132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658170183806762E-2"/>
          <c:y val="5.1171920963561879E-2"/>
          <c:w val="0.66160866056775125"/>
          <c:h val="0.86141925838325928"/>
        </c:manualLayout>
      </c:layout>
      <c:barChart>
        <c:barDir val="col"/>
        <c:grouping val="stacked"/>
        <c:varyColors val="0"/>
        <c:ser>
          <c:idx val="0"/>
          <c:order val="0"/>
          <c:tx>
            <c:strRef>
              <c:f>'5 Income'!$C$46</c:f>
              <c:strCache>
                <c:ptCount val="1"/>
                <c:pt idx="0">
                  <c:v>Commission fees from covered bond companies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Income'!$D$45:$H$45</c:f>
              <c:strCache>
                <c:ptCount val="5"/>
                <c:pt idx="0">
                  <c:v>2Q-21</c:v>
                </c:pt>
                <c:pt idx="1">
                  <c:v>1Q-21</c:v>
                </c:pt>
                <c:pt idx="2">
                  <c:v>4Q-20</c:v>
                </c:pt>
                <c:pt idx="3">
                  <c:v>3Q-20</c:v>
                </c:pt>
                <c:pt idx="4">
                  <c:v>2Q-20</c:v>
                </c:pt>
              </c:strCache>
            </c:strRef>
          </c:cat>
          <c:val>
            <c:numRef>
              <c:f>'5 Income'!$D$46:$H$46</c:f>
              <c:numCache>
                <c:formatCode>0</c:formatCode>
                <c:ptCount val="5"/>
                <c:pt idx="0">
                  <c:v>113.28816130000001</c:v>
                </c:pt>
                <c:pt idx="1">
                  <c:v>107.95459314999997</c:v>
                </c:pt>
                <c:pt idx="2">
                  <c:v>131.01541984000002</c:v>
                </c:pt>
                <c:pt idx="3">
                  <c:v>116.03408038000002</c:v>
                </c:pt>
                <c:pt idx="4">
                  <c:v>41.550429529999995</c:v>
                </c:pt>
              </c:numCache>
            </c:numRef>
          </c:val>
          <c:extLst>
            <c:ext xmlns:c16="http://schemas.microsoft.com/office/drawing/2014/chart" uri="{C3380CC4-5D6E-409C-BE32-E72D297353CC}">
              <c16:uniqueId val="{00000000-8D10-4A41-B0FB-4CA233B614A1}"/>
            </c:ext>
          </c:extLst>
        </c:ser>
        <c:ser>
          <c:idx val="1"/>
          <c:order val="1"/>
          <c:tx>
            <c:strRef>
              <c:f>'5 Income'!$C$47</c:f>
              <c:strCache>
                <c:ptCount val="1"/>
                <c:pt idx="0">
                  <c:v>Commission income from credit cards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Income'!$D$45:$H$45</c:f>
              <c:strCache>
                <c:ptCount val="5"/>
                <c:pt idx="0">
                  <c:v>2Q-21</c:v>
                </c:pt>
                <c:pt idx="1">
                  <c:v>1Q-21</c:v>
                </c:pt>
                <c:pt idx="2">
                  <c:v>4Q-20</c:v>
                </c:pt>
                <c:pt idx="3">
                  <c:v>3Q-20</c:v>
                </c:pt>
                <c:pt idx="4">
                  <c:v>2Q-20</c:v>
                </c:pt>
              </c:strCache>
            </c:strRef>
          </c:cat>
          <c:val>
            <c:numRef>
              <c:f>'5 Income'!$D$47:$H$47</c:f>
              <c:numCache>
                <c:formatCode>0</c:formatCode>
                <c:ptCount val="5"/>
                <c:pt idx="0">
                  <c:v>11.051273999999999</c:v>
                </c:pt>
                <c:pt idx="1">
                  <c:v>15.25033047</c:v>
                </c:pt>
                <c:pt idx="2">
                  <c:v>13.687484</c:v>
                </c:pt>
                <c:pt idx="3">
                  <c:v>14.295226000000001</c:v>
                </c:pt>
                <c:pt idx="4">
                  <c:v>14.097383799999999</c:v>
                </c:pt>
              </c:numCache>
            </c:numRef>
          </c:val>
          <c:extLst>
            <c:ext xmlns:c16="http://schemas.microsoft.com/office/drawing/2014/chart" uri="{C3380CC4-5D6E-409C-BE32-E72D297353CC}">
              <c16:uniqueId val="{00000001-8D10-4A41-B0FB-4CA233B614A1}"/>
            </c:ext>
          </c:extLst>
        </c:ser>
        <c:ser>
          <c:idx val="2"/>
          <c:order val="2"/>
          <c:tx>
            <c:strRef>
              <c:f>'5 Income'!$C$48</c:f>
              <c:strCache>
                <c:ptCount val="1"/>
                <c:pt idx="0">
                  <c:v>Payment transmission</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Income'!$D$45:$H$45</c:f>
              <c:strCache>
                <c:ptCount val="5"/>
                <c:pt idx="0">
                  <c:v>2Q-21</c:v>
                </c:pt>
                <c:pt idx="1">
                  <c:v>1Q-21</c:v>
                </c:pt>
                <c:pt idx="2">
                  <c:v>4Q-20</c:v>
                </c:pt>
                <c:pt idx="3">
                  <c:v>3Q-20</c:v>
                </c:pt>
                <c:pt idx="4">
                  <c:v>2Q-20</c:v>
                </c:pt>
              </c:strCache>
            </c:strRef>
          </c:cat>
          <c:val>
            <c:numRef>
              <c:f>'5 Income'!$D$48:$H$48</c:f>
              <c:numCache>
                <c:formatCode>0</c:formatCode>
                <c:ptCount val="5"/>
                <c:pt idx="0">
                  <c:v>32.38791719000001</c:v>
                </c:pt>
                <c:pt idx="1">
                  <c:v>23.942271430000016</c:v>
                </c:pt>
                <c:pt idx="2">
                  <c:v>38.872279470000009</c:v>
                </c:pt>
                <c:pt idx="3">
                  <c:v>27.183375469999991</c:v>
                </c:pt>
                <c:pt idx="4">
                  <c:v>23.26165228</c:v>
                </c:pt>
              </c:numCache>
            </c:numRef>
          </c:val>
          <c:extLst>
            <c:ext xmlns:c16="http://schemas.microsoft.com/office/drawing/2014/chart" uri="{C3380CC4-5D6E-409C-BE32-E72D297353CC}">
              <c16:uniqueId val="{00000002-8D10-4A41-B0FB-4CA233B614A1}"/>
            </c:ext>
          </c:extLst>
        </c:ser>
        <c:ser>
          <c:idx val="3"/>
          <c:order val="3"/>
          <c:tx>
            <c:strRef>
              <c:f>'5 Income'!$C$49</c:f>
              <c:strCache>
                <c:ptCount val="1"/>
                <c:pt idx="0">
                  <c:v>Mutual fund and insurance commisions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Income'!$D$45:$H$45</c:f>
              <c:strCache>
                <c:ptCount val="5"/>
                <c:pt idx="0">
                  <c:v>2Q-21</c:v>
                </c:pt>
                <c:pt idx="1">
                  <c:v>1Q-21</c:v>
                </c:pt>
                <c:pt idx="2">
                  <c:v>4Q-20</c:v>
                </c:pt>
                <c:pt idx="3">
                  <c:v>3Q-20</c:v>
                </c:pt>
                <c:pt idx="4">
                  <c:v>2Q-20</c:v>
                </c:pt>
              </c:strCache>
            </c:strRef>
          </c:cat>
          <c:val>
            <c:numRef>
              <c:f>'5 Income'!$D$49:$H$49</c:f>
              <c:numCache>
                <c:formatCode>0</c:formatCode>
                <c:ptCount val="5"/>
                <c:pt idx="0">
                  <c:v>64.605286939999999</c:v>
                </c:pt>
                <c:pt idx="1">
                  <c:v>65.463808380000017</c:v>
                </c:pt>
                <c:pt idx="2">
                  <c:v>64.050199190000015</c:v>
                </c:pt>
                <c:pt idx="3">
                  <c:v>57.627777260000023</c:v>
                </c:pt>
                <c:pt idx="4">
                  <c:v>55.386316669999992</c:v>
                </c:pt>
              </c:numCache>
            </c:numRef>
          </c:val>
          <c:extLst>
            <c:ext xmlns:c16="http://schemas.microsoft.com/office/drawing/2014/chart" uri="{C3380CC4-5D6E-409C-BE32-E72D297353CC}">
              <c16:uniqueId val="{00000003-8D10-4A41-B0FB-4CA233B614A1}"/>
            </c:ext>
          </c:extLst>
        </c:ser>
        <c:ser>
          <c:idx val="4"/>
          <c:order val="4"/>
          <c:tx>
            <c:strRef>
              <c:f>'5 Income'!$C$50</c:f>
              <c:strCache>
                <c:ptCount val="1"/>
                <c:pt idx="0">
                  <c:v>Income from real estate brokerage</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Income'!$D$45:$H$45</c:f>
              <c:strCache>
                <c:ptCount val="5"/>
                <c:pt idx="0">
                  <c:v>2Q-21</c:v>
                </c:pt>
                <c:pt idx="1">
                  <c:v>1Q-21</c:v>
                </c:pt>
                <c:pt idx="2">
                  <c:v>4Q-20</c:v>
                </c:pt>
                <c:pt idx="3">
                  <c:v>3Q-20</c:v>
                </c:pt>
                <c:pt idx="4">
                  <c:v>2Q-20</c:v>
                </c:pt>
              </c:strCache>
            </c:strRef>
          </c:cat>
          <c:val>
            <c:numRef>
              <c:f>'5 Income'!$D$50:$H$50</c:f>
              <c:numCache>
                <c:formatCode>0</c:formatCode>
                <c:ptCount val="5"/>
                <c:pt idx="0">
                  <c:v>106.23761298000001</c:v>
                </c:pt>
                <c:pt idx="1">
                  <c:v>80.888476979999993</c:v>
                </c:pt>
                <c:pt idx="2">
                  <c:v>77.588826149999989</c:v>
                </c:pt>
                <c:pt idx="3">
                  <c:v>101.95162042999999</c:v>
                </c:pt>
                <c:pt idx="4">
                  <c:v>84.016227420000007</c:v>
                </c:pt>
              </c:numCache>
            </c:numRef>
          </c:val>
          <c:extLst>
            <c:ext xmlns:c16="http://schemas.microsoft.com/office/drawing/2014/chart" uri="{C3380CC4-5D6E-409C-BE32-E72D297353CC}">
              <c16:uniqueId val="{00000004-8D10-4A41-B0FB-4CA233B614A1}"/>
            </c:ext>
          </c:extLst>
        </c:ser>
        <c:ser>
          <c:idx val="5"/>
          <c:order val="5"/>
          <c:tx>
            <c:strRef>
              <c:f>'5 Income'!$C$51</c:f>
              <c:strCache>
                <c:ptCount val="1"/>
                <c:pt idx="0">
                  <c:v>Income from accounting services</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Income'!$D$45:$H$45</c:f>
              <c:strCache>
                <c:ptCount val="5"/>
                <c:pt idx="0">
                  <c:v>2Q-21</c:v>
                </c:pt>
                <c:pt idx="1">
                  <c:v>1Q-21</c:v>
                </c:pt>
                <c:pt idx="2">
                  <c:v>4Q-20</c:v>
                </c:pt>
                <c:pt idx="3">
                  <c:v>3Q-20</c:v>
                </c:pt>
                <c:pt idx="4">
                  <c:v>2Q-20</c:v>
                </c:pt>
              </c:strCache>
            </c:strRef>
          </c:cat>
          <c:val>
            <c:numRef>
              <c:f>'5 Income'!$D$51:$H$51</c:f>
              <c:numCache>
                <c:formatCode>0</c:formatCode>
                <c:ptCount val="5"/>
                <c:pt idx="0">
                  <c:v>50.875800630000008</c:v>
                </c:pt>
                <c:pt idx="1">
                  <c:v>52.215935049999999</c:v>
                </c:pt>
                <c:pt idx="2">
                  <c:v>43.623899200000011</c:v>
                </c:pt>
                <c:pt idx="3">
                  <c:v>39.804018680000006</c:v>
                </c:pt>
                <c:pt idx="4">
                  <c:v>49.477726210000007</c:v>
                </c:pt>
              </c:numCache>
            </c:numRef>
          </c:val>
          <c:extLst>
            <c:ext xmlns:c16="http://schemas.microsoft.com/office/drawing/2014/chart" uri="{C3380CC4-5D6E-409C-BE32-E72D297353CC}">
              <c16:uniqueId val="{00000005-8D10-4A41-B0FB-4CA233B614A1}"/>
            </c:ext>
          </c:extLst>
        </c:ser>
        <c:ser>
          <c:idx val="6"/>
          <c:order val="6"/>
          <c:tx>
            <c:strRef>
              <c:f>'5 Income'!$C$52</c:f>
              <c:strCache>
                <c:ptCount val="1"/>
                <c:pt idx="0">
                  <c:v>Other income</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'5 Income'!$D$45:$H$45</c:f>
              <c:strCache>
                <c:ptCount val="5"/>
                <c:pt idx="0">
                  <c:v>2Q-21</c:v>
                </c:pt>
                <c:pt idx="1">
                  <c:v>1Q-21</c:v>
                </c:pt>
                <c:pt idx="2">
                  <c:v>4Q-20</c:v>
                </c:pt>
                <c:pt idx="3">
                  <c:v>3Q-20</c:v>
                </c:pt>
                <c:pt idx="4">
                  <c:v>2Q-20</c:v>
                </c:pt>
              </c:strCache>
            </c:strRef>
          </c:cat>
          <c:val>
            <c:numRef>
              <c:f>'5 Income'!$D$52:$H$52</c:f>
              <c:numCache>
                <c:formatCode>0</c:formatCode>
                <c:ptCount val="5"/>
                <c:pt idx="0">
                  <c:v>37.170782560000013</c:v>
                </c:pt>
                <c:pt idx="1">
                  <c:v>32.873121000000026</c:v>
                </c:pt>
                <c:pt idx="2">
                  <c:v>37.224553380000003</c:v>
                </c:pt>
                <c:pt idx="3">
                  <c:v>35.241983420000004</c:v>
                </c:pt>
                <c:pt idx="4">
                  <c:v>32.501328249999979</c:v>
                </c:pt>
              </c:numCache>
            </c:numRef>
          </c:val>
          <c:extLst>
            <c:ext xmlns:c16="http://schemas.microsoft.com/office/drawing/2014/chart" uri="{C3380CC4-5D6E-409C-BE32-E72D297353CC}">
              <c16:uniqueId val="{00000006-8D10-4A41-B0FB-4CA233B614A1}"/>
            </c:ext>
          </c:extLst>
        </c:ser>
        <c:dLbls>
          <c:showLegendKey val="0"/>
          <c:showVal val="0"/>
          <c:showCatName val="0"/>
          <c:showSerName val="0"/>
          <c:showPercent val="0"/>
          <c:showBubbleSize val="0"/>
        </c:dLbls>
        <c:gapWidth val="150"/>
        <c:overlap val="100"/>
        <c:axId val="801521944"/>
        <c:axId val="801519200"/>
      </c:barChart>
      <c:lineChart>
        <c:grouping val="standard"/>
        <c:varyColors val="0"/>
        <c:ser>
          <c:idx val="7"/>
          <c:order val="7"/>
          <c:tx>
            <c:strRef>
              <c:f>'5 Income'!$C$53</c:f>
              <c:strCache>
                <c:ptCount val="1"/>
                <c:pt idx="0">
                  <c:v>Sum</c:v>
                </c:pt>
              </c:strCache>
            </c:strRef>
          </c:tx>
          <c:spPr>
            <a:ln w="25400" cap="rnd">
              <a:noFill/>
              <a:round/>
            </a:ln>
            <a:effectLst/>
          </c:spPr>
          <c:marker>
            <c:symbol val="none"/>
          </c:marker>
          <c:dLbls>
            <c:dLbl>
              <c:idx val="0"/>
              <c:layout>
                <c:manualLayout>
                  <c:x val="0.50738761726486836"/>
                  <c:y val="-2.81305102213099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10-4A41-B0FB-4CA233B614A1}"/>
                </c:ext>
              </c:extLst>
            </c:dLbl>
            <c:dLbl>
              <c:idx val="1"/>
              <c:layout>
                <c:manualLayout>
                  <c:x val="0.23940867857833889"/>
                  <c:y val="-4.84228329851534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D10-4A41-B0FB-4CA233B614A1}"/>
                </c:ext>
              </c:extLst>
            </c:dLbl>
            <c:dLbl>
              <c:idx val="2"/>
              <c:layout>
                <c:manualLayout>
                  <c:x val="-2.3858627450782176E-2"/>
                  <c:y val="-1.96533083629395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D10-4A41-B0FB-4CA233B614A1}"/>
                </c:ext>
              </c:extLst>
            </c:dLbl>
            <c:dLbl>
              <c:idx val="3"/>
              <c:layout>
                <c:manualLayout>
                  <c:x val="-0.28723006283005814"/>
                  <c:y val="-4.45114024269508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D10-4A41-B0FB-4CA233B614A1}"/>
                </c:ext>
              </c:extLst>
            </c:dLbl>
            <c:dLbl>
              <c:idx val="4"/>
              <c:layout>
                <c:manualLayout>
                  <c:x val="-0.55220679394844785"/>
                  <c:y val="-3.31466733311530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10-4A41-B0FB-4CA233B614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'5 Income'!$D$45:$H$45</c:f>
              <c:strCache>
                <c:ptCount val="5"/>
                <c:pt idx="0">
                  <c:v>2Q-21</c:v>
                </c:pt>
                <c:pt idx="1">
                  <c:v>1Q-21</c:v>
                </c:pt>
                <c:pt idx="2">
                  <c:v>4Q-20</c:v>
                </c:pt>
                <c:pt idx="3">
                  <c:v>3Q-20</c:v>
                </c:pt>
                <c:pt idx="4">
                  <c:v>2Q-20</c:v>
                </c:pt>
              </c:strCache>
            </c:strRef>
          </c:cat>
          <c:val>
            <c:numRef>
              <c:f>'5 Income'!$D$53:$H$53</c:f>
              <c:numCache>
                <c:formatCode>0</c:formatCode>
                <c:ptCount val="5"/>
                <c:pt idx="0">
                  <c:v>415.61683560000006</c:v>
                </c:pt>
                <c:pt idx="1">
                  <c:v>378.58853646</c:v>
                </c:pt>
                <c:pt idx="2">
                  <c:v>406.06266123</c:v>
                </c:pt>
                <c:pt idx="3">
                  <c:v>392.13808164</c:v>
                </c:pt>
                <c:pt idx="4">
                  <c:v>300.29106415999996</c:v>
                </c:pt>
              </c:numCache>
            </c:numRef>
          </c:val>
          <c:smooth val="0"/>
          <c:extLst>
            <c:ext xmlns:c16="http://schemas.microsoft.com/office/drawing/2014/chart" uri="{C3380CC4-5D6E-409C-BE32-E72D297353CC}">
              <c16:uniqueId val="{0000000C-8D10-4A41-B0FB-4CA233B614A1}"/>
            </c:ext>
          </c:extLst>
        </c:ser>
        <c:dLbls>
          <c:showLegendKey val="0"/>
          <c:showVal val="1"/>
          <c:showCatName val="0"/>
          <c:showSerName val="0"/>
          <c:showPercent val="0"/>
          <c:showBubbleSize val="0"/>
        </c:dLbls>
        <c:marker val="1"/>
        <c:smooth val="0"/>
        <c:axId val="801520376"/>
        <c:axId val="801519592"/>
      </c:lineChart>
      <c:catAx>
        <c:axId val="801521944"/>
        <c:scaling>
          <c:orientation val="maxMin"/>
        </c:scaling>
        <c:delete val="0"/>
        <c:axPos val="b"/>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nb-NO"/>
          </a:p>
        </c:txPr>
        <c:crossAx val="801519200"/>
        <c:crosses val="autoZero"/>
        <c:auto val="1"/>
        <c:lblAlgn val="ctr"/>
        <c:lblOffset val="100"/>
        <c:noMultiLvlLbl val="0"/>
      </c:catAx>
      <c:valAx>
        <c:axId val="801519200"/>
        <c:scaling>
          <c:orientation val="minMax"/>
        </c:scaling>
        <c:delete val="1"/>
        <c:axPos val="r"/>
        <c:numFmt formatCode="0" sourceLinked="1"/>
        <c:majorTickMark val="out"/>
        <c:minorTickMark val="none"/>
        <c:tickLblPos val="nextTo"/>
        <c:crossAx val="801521944"/>
        <c:crosses val="autoZero"/>
        <c:crossBetween val="between"/>
      </c:valAx>
      <c:valAx>
        <c:axId val="801519592"/>
        <c:scaling>
          <c:orientation val="minMax"/>
          <c:max val="380"/>
        </c:scaling>
        <c:delete val="1"/>
        <c:axPos val="r"/>
        <c:numFmt formatCode="0" sourceLinked="1"/>
        <c:majorTickMark val="out"/>
        <c:minorTickMark val="none"/>
        <c:tickLblPos val="nextTo"/>
        <c:crossAx val="801520376"/>
        <c:crosses val="max"/>
        <c:crossBetween val="between"/>
      </c:valAx>
      <c:catAx>
        <c:axId val="801520376"/>
        <c:scaling>
          <c:orientation val="minMax"/>
        </c:scaling>
        <c:delete val="1"/>
        <c:axPos val="t"/>
        <c:numFmt formatCode="General" sourceLinked="1"/>
        <c:majorTickMark val="out"/>
        <c:minorTickMark val="none"/>
        <c:tickLblPos val="nextTo"/>
        <c:crossAx val="801519592"/>
        <c:crosses val="max"/>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658170183806762E-2"/>
          <c:y val="3.9812644412269234E-2"/>
          <c:w val="0.6992606320639001"/>
          <c:h val="0.89369585062379409"/>
        </c:manualLayout>
      </c:layout>
      <c:barChart>
        <c:barDir val="col"/>
        <c:grouping val="stacked"/>
        <c:varyColors val="0"/>
        <c:ser>
          <c:idx val="0"/>
          <c:order val="0"/>
          <c:tx>
            <c:strRef>
              <c:f>'6 Expences'!$B$6</c:f>
              <c:strCache>
                <c:ptCount val="1"/>
                <c:pt idx="0">
                  <c:v>Payrolls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Expences'!$C$5:$G$5</c:f>
              <c:strCache>
                <c:ptCount val="5"/>
                <c:pt idx="0">
                  <c:v>2Q-21</c:v>
                </c:pt>
                <c:pt idx="1">
                  <c:v>1Q-21</c:v>
                </c:pt>
                <c:pt idx="2">
                  <c:v>4Q-20</c:v>
                </c:pt>
                <c:pt idx="3">
                  <c:v>3Q-20</c:v>
                </c:pt>
                <c:pt idx="4">
                  <c:v>2Q-20</c:v>
                </c:pt>
              </c:strCache>
            </c:strRef>
          </c:cat>
          <c:val>
            <c:numRef>
              <c:f>'6 Expences'!$C$6:$G$6</c:f>
              <c:numCache>
                <c:formatCode>0</c:formatCode>
                <c:ptCount val="5"/>
                <c:pt idx="0">
                  <c:v>210.96077891000004</c:v>
                </c:pt>
                <c:pt idx="1">
                  <c:v>215.82430793000006</c:v>
                </c:pt>
                <c:pt idx="2">
                  <c:v>210.62304950999999</c:v>
                </c:pt>
                <c:pt idx="3">
                  <c:v>206.72702903999996</c:v>
                </c:pt>
                <c:pt idx="4">
                  <c:v>196.66001699999995</c:v>
                </c:pt>
              </c:numCache>
            </c:numRef>
          </c:val>
          <c:extLst>
            <c:ext xmlns:c16="http://schemas.microsoft.com/office/drawing/2014/chart" uri="{C3380CC4-5D6E-409C-BE32-E72D297353CC}">
              <c16:uniqueId val="{00000000-AA42-4FF4-8759-D802366370C8}"/>
            </c:ext>
          </c:extLst>
        </c:ser>
        <c:ser>
          <c:idx val="1"/>
          <c:order val="1"/>
          <c:tx>
            <c:strRef>
              <c:f>'6 Expences'!$B$7</c:f>
              <c:strCache>
                <c:ptCount val="1"/>
                <c:pt idx="0">
                  <c:v>Pensions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Expences'!$C$5:$G$5</c:f>
              <c:strCache>
                <c:ptCount val="5"/>
                <c:pt idx="0">
                  <c:v>2Q-21</c:v>
                </c:pt>
                <c:pt idx="1">
                  <c:v>1Q-21</c:v>
                </c:pt>
                <c:pt idx="2">
                  <c:v>4Q-20</c:v>
                </c:pt>
                <c:pt idx="3">
                  <c:v>3Q-20</c:v>
                </c:pt>
                <c:pt idx="4">
                  <c:v>2Q-20</c:v>
                </c:pt>
              </c:strCache>
            </c:strRef>
          </c:cat>
          <c:val>
            <c:numRef>
              <c:f>'6 Expences'!$C$7:$G$7</c:f>
              <c:numCache>
                <c:formatCode>0</c:formatCode>
                <c:ptCount val="5"/>
                <c:pt idx="0">
                  <c:v>18.61079208</c:v>
                </c:pt>
                <c:pt idx="1">
                  <c:v>19.857984680000001</c:v>
                </c:pt>
                <c:pt idx="2">
                  <c:v>19.853931010000004</c:v>
                </c:pt>
                <c:pt idx="3">
                  <c:v>18.585068439999997</c:v>
                </c:pt>
                <c:pt idx="4">
                  <c:v>17.386254319999999</c:v>
                </c:pt>
              </c:numCache>
            </c:numRef>
          </c:val>
          <c:extLst>
            <c:ext xmlns:c16="http://schemas.microsoft.com/office/drawing/2014/chart" uri="{C3380CC4-5D6E-409C-BE32-E72D297353CC}">
              <c16:uniqueId val="{00000001-AA42-4FF4-8759-D802366370C8}"/>
            </c:ext>
          </c:extLst>
        </c:ser>
        <c:ser>
          <c:idx val="2"/>
          <c:order val="2"/>
          <c:tx>
            <c:strRef>
              <c:f>'6 Expences'!$B$8</c:f>
              <c:strCache>
                <c:ptCount val="1"/>
                <c:pt idx="0">
                  <c:v>Social security</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Expences'!$C$5:$G$5</c:f>
              <c:strCache>
                <c:ptCount val="5"/>
                <c:pt idx="0">
                  <c:v>2Q-21</c:v>
                </c:pt>
                <c:pt idx="1">
                  <c:v>1Q-21</c:v>
                </c:pt>
                <c:pt idx="2">
                  <c:v>4Q-20</c:v>
                </c:pt>
                <c:pt idx="3">
                  <c:v>3Q-20</c:v>
                </c:pt>
                <c:pt idx="4">
                  <c:v>2Q-20</c:v>
                </c:pt>
              </c:strCache>
            </c:strRef>
          </c:cat>
          <c:val>
            <c:numRef>
              <c:f>'6 Expences'!$C$8:$G$8</c:f>
              <c:numCache>
                <c:formatCode>0</c:formatCode>
                <c:ptCount val="5"/>
                <c:pt idx="0">
                  <c:v>53.457604590000003</c:v>
                </c:pt>
                <c:pt idx="1">
                  <c:v>48.708868240000008</c:v>
                </c:pt>
                <c:pt idx="2">
                  <c:v>54.351419790000008</c:v>
                </c:pt>
                <c:pt idx="3">
                  <c:v>43.951699499999997</c:v>
                </c:pt>
                <c:pt idx="4">
                  <c:v>40.656165760000007</c:v>
                </c:pt>
              </c:numCache>
            </c:numRef>
          </c:val>
          <c:extLst>
            <c:ext xmlns:c16="http://schemas.microsoft.com/office/drawing/2014/chart" uri="{C3380CC4-5D6E-409C-BE32-E72D297353CC}">
              <c16:uniqueId val="{00000002-AA42-4FF4-8759-D802366370C8}"/>
            </c:ext>
          </c:extLst>
        </c:ser>
        <c:ser>
          <c:idx val="3"/>
          <c:order val="3"/>
          <c:tx>
            <c:strRef>
              <c:f>'6 Expences'!$B$9</c:f>
              <c:strCache>
                <c:ptCount val="1"/>
                <c:pt idx="0">
                  <c:v>Admin. and other operating costs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Expences'!$C$5:$G$5</c:f>
              <c:strCache>
                <c:ptCount val="5"/>
                <c:pt idx="0">
                  <c:v>2Q-21</c:v>
                </c:pt>
                <c:pt idx="1">
                  <c:v>1Q-21</c:v>
                </c:pt>
                <c:pt idx="2">
                  <c:v>4Q-20</c:v>
                </c:pt>
                <c:pt idx="3">
                  <c:v>3Q-20</c:v>
                </c:pt>
                <c:pt idx="4">
                  <c:v>2Q-20</c:v>
                </c:pt>
              </c:strCache>
            </c:strRef>
          </c:cat>
          <c:val>
            <c:numRef>
              <c:f>'6 Expences'!$C$9:$G$9</c:f>
              <c:numCache>
                <c:formatCode>0</c:formatCode>
                <c:ptCount val="5"/>
                <c:pt idx="0">
                  <c:v>136.38353751</c:v>
                </c:pt>
                <c:pt idx="1">
                  <c:v>133.75509148999998</c:v>
                </c:pt>
                <c:pt idx="2">
                  <c:v>140.35072704000001</c:v>
                </c:pt>
                <c:pt idx="3">
                  <c:v>129.28761779000001</c:v>
                </c:pt>
                <c:pt idx="4">
                  <c:v>132.40783217000001</c:v>
                </c:pt>
              </c:numCache>
            </c:numRef>
          </c:val>
          <c:extLst>
            <c:ext xmlns:c16="http://schemas.microsoft.com/office/drawing/2014/chart" uri="{C3380CC4-5D6E-409C-BE32-E72D297353CC}">
              <c16:uniqueId val="{00000003-AA42-4FF4-8759-D802366370C8}"/>
            </c:ext>
          </c:extLst>
        </c:ser>
        <c:ser>
          <c:idx val="4"/>
          <c:order val="4"/>
          <c:tx>
            <c:strRef>
              <c:f>'6 Expences'!$B$10</c:f>
              <c:strCache>
                <c:ptCount val="1"/>
                <c:pt idx="0">
                  <c:v>Depreciation</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Expences'!$C$5:$G$5</c:f>
              <c:strCache>
                <c:ptCount val="5"/>
                <c:pt idx="0">
                  <c:v>2Q-21</c:v>
                </c:pt>
                <c:pt idx="1">
                  <c:v>1Q-21</c:v>
                </c:pt>
                <c:pt idx="2">
                  <c:v>4Q-20</c:v>
                </c:pt>
                <c:pt idx="3">
                  <c:v>3Q-20</c:v>
                </c:pt>
                <c:pt idx="4">
                  <c:v>2Q-20</c:v>
                </c:pt>
              </c:strCache>
            </c:strRef>
          </c:cat>
          <c:val>
            <c:numRef>
              <c:f>'6 Expences'!$C$10:$G$10</c:f>
              <c:numCache>
                <c:formatCode>0</c:formatCode>
                <c:ptCount val="5"/>
                <c:pt idx="0">
                  <c:v>30.262111280000003</c:v>
                </c:pt>
                <c:pt idx="1">
                  <c:v>30.808035570000001</c:v>
                </c:pt>
                <c:pt idx="2">
                  <c:v>32.717754999999997</c:v>
                </c:pt>
                <c:pt idx="3">
                  <c:v>32.697304769999995</c:v>
                </c:pt>
                <c:pt idx="4">
                  <c:v>31.770954060000001</c:v>
                </c:pt>
              </c:numCache>
            </c:numRef>
          </c:val>
          <c:extLst>
            <c:ext xmlns:c16="http://schemas.microsoft.com/office/drawing/2014/chart" uri="{C3380CC4-5D6E-409C-BE32-E72D297353CC}">
              <c16:uniqueId val="{00000004-AA42-4FF4-8759-D802366370C8}"/>
            </c:ext>
          </c:extLst>
        </c:ser>
        <c:ser>
          <c:idx val="5"/>
          <c:order val="5"/>
          <c:tx>
            <c:strRef>
              <c:f>'6 Expences'!$B$11</c:f>
              <c:strCache>
                <c:ptCount val="1"/>
                <c:pt idx="0">
                  <c:v>Other operating expenses</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Expences'!$C$5:$G$5</c:f>
              <c:strCache>
                <c:ptCount val="5"/>
                <c:pt idx="0">
                  <c:v>2Q-21</c:v>
                </c:pt>
                <c:pt idx="1">
                  <c:v>1Q-21</c:v>
                </c:pt>
                <c:pt idx="2">
                  <c:v>4Q-20</c:v>
                </c:pt>
                <c:pt idx="3">
                  <c:v>3Q-20</c:v>
                </c:pt>
                <c:pt idx="4">
                  <c:v>2Q-20</c:v>
                </c:pt>
              </c:strCache>
            </c:strRef>
          </c:cat>
          <c:val>
            <c:numRef>
              <c:f>'6 Expences'!$C$11:$G$11</c:f>
              <c:numCache>
                <c:formatCode>0</c:formatCode>
                <c:ptCount val="5"/>
                <c:pt idx="0">
                  <c:v>41.880769170000001</c:v>
                </c:pt>
                <c:pt idx="1">
                  <c:v>35.900344940000004</c:v>
                </c:pt>
                <c:pt idx="2">
                  <c:v>45.631550800000007</c:v>
                </c:pt>
                <c:pt idx="3">
                  <c:v>34.05680121000001</c:v>
                </c:pt>
                <c:pt idx="4">
                  <c:v>27.996099580000003</c:v>
                </c:pt>
              </c:numCache>
            </c:numRef>
          </c:val>
          <c:extLst>
            <c:ext xmlns:c16="http://schemas.microsoft.com/office/drawing/2014/chart" uri="{C3380CC4-5D6E-409C-BE32-E72D297353CC}">
              <c16:uniqueId val="{00000005-AA42-4FF4-8759-D802366370C8}"/>
            </c:ext>
          </c:extLst>
        </c:ser>
        <c:dLbls>
          <c:showLegendKey val="0"/>
          <c:showVal val="1"/>
          <c:showCatName val="0"/>
          <c:showSerName val="0"/>
          <c:showPercent val="0"/>
          <c:showBubbleSize val="0"/>
        </c:dLbls>
        <c:gapWidth val="100"/>
        <c:overlap val="100"/>
        <c:axId val="801522728"/>
        <c:axId val="801523120"/>
      </c:barChart>
      <c:lineChart>
        <c:grouping val="standard"/>
        <c:varyColors val="0"/>
        <c:ser>
          <c:idx val="6"/>
          <c:order val="6"/>
          <c:tx>
            <c:strRef>
              <c:f>'6 Expences'!$B$12</c:f>
              <c:strCache>
                <c:ptCount val="1"/>
                <c:pt idx="0">
                  <c:v>Total operating expences</c:v>
                </c:pt>
              </c:strCache>
            </c:strRef>
          </c:tx>
          <c:spPr>
            <a:ln w="25400" cap="rnd">
              <a:noFill/>
              <a:round/>
            </a:ln>
            <a:effectLst/>
          </c:spPr>
          <c:marker>
            <c:symbol val="none"/>
          </c:marker>
          <c:dLbls>
            <c:dLbl>
              <c:idx val="0"/>
              <c:layout>
                <c:manualLayout>
                  <c:x val="0.52996580104133906"/>
                  <c:y val="-3.3747747085003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A42-4FF4-8759-D802366370C8}"/>
                </c:ext>
              </c:extLst>
            </c:dLbl>
            <c:dLbl>
              <c:idx val="1"/>
              <c:layout>
                <c:manualLayout>
                  <c:x val="0.25385623089454235"/>
                  <c:y val="-3.10935707908526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A42-4FF4-8759-D802366370C8}"/>
                </c:ext>
              </c:extLst>
            </c:dLbl>
            <c:dLbl>
              <c:idx val="3"/>
              <c:layout>
                <c:manualLayout>
                  <c:x val="-0.30478406219316245"/>
                  <c:y val="-3.3747747085003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A42-4FF4-8759-D802366370C8}"/>
                </c:ext>
              </c:extLst>
            </c:dLbl>
            <c:dLbl>
              <c:idx val="4"/>
              <c:layout>
                <c:manualLayout>
                  <c:x val="-0.58410420873701485"/>
                  <c:y val="-6.82520389089705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A42-4FF4-8759-D802366370C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nb-N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'6 Expences'!$C$5:$G$5</c:f>
              <c:strCache>
                <c:ptCount val="5"/>
                <c:pt idx="0">
                  <c:v>2Q-21</c:v>
                </c:pt>
                <c:pt idx="1">
                  <c:v>1Q-21</c:v>
                </c:pt>
                <c:pt idx="2">
                  <c:v>4Q-20</c:v>
                </c:pt>
                <c:pt idx="3">
                  <c:v>3Q-20</c:v>
                </c:pt>
                <c:pt idx="4">
                  <c:v>2Q-20</c:v>
                </c:pt>
              </c:strCache>
            </c:strRef>
          </c:cat>
          <c:val>
            <c:numRef>
              <c:f>'6 Expences'!$C$12:$G$12</c:f>
              <c:numCache>
                <c:formatCode>0</c:formatCode>
                <c:ptCount val="5"/>
                <c:pt idx="0">
                  <c:v>491.55559354000007</c:v>
                </c:pt>
                <c:pt idx="1">
                  <c:v>484.85463285000009</c:v>
                </c:pt>
                <c:pt idx="2">
                  <c:v>503.52843315000007</c:v>
                </c:pt>
                <c:pt idx="3">
                  <c:v>465.30552074999997</c:v>
                </c:pt>
                <c:pt idx="4">
                  <c:v>446.87732289000002</c:v>
                </c:pt>
              </c:numCache>
            </c:numRef>
          </c:val>
          <c:smooth val="0"/>
          <c:extLst>
            <c:ext xmlns:c16="http://schemas.microsoft.com/office/drawing/2014/chart" uri="{C3380CC4-5D6E-409C-BE32-E72D297353CC}">
              <c16:uniqueId val="{0000000A-AA42-4FF4-8759-D802366370C8}"/>
            </c:ext>
          </c:extLst>
        </c:ser>
        <c:dLbls>
          <c:showLegendKey val="0"/>
          <c:showVal val="1"/>
          <c:showCatName val="0"/>
          <c:showSerName val="0"/>
          <c:showPercent val="0"/>
          <c:showBubbleSize val="0"/>
        </c:dLbls>
        <c:marker val="1"/>
        <c:smooth val="0"/>
        <c:axId val="883218768"/>
        <c:axId val="801523904"/>
      </c:lineChart>
      <c:catAx>
        <c:axId val="801522728"/>
        <c:scaling>
          <c:orientation val="maxMin"/>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nb-NO"/>
          </a:p>
        </c:txPr>
        <c:crossAx val="801523120"/>
        <c:crosses val="autoZero"/>
        <c:auto val="1"/>
        <c:lblAlgn val="ctr"/>
        <c:lblOffset val="100"/>
        <c:noMultiLvlLbl val="0"/>
      </c:catAx>
      <c:valAx>
        <c:axId val="801523120"/>
        <c:scaling>
          <c:orientation val="minMax"/>
        </c:scaling>
        <c:delete val="1"/>
        <c:axPos val="r"/>
        <c:numFmt formatCode="0" sourceLinked="1"/>
        <c:majorTickMark val="none"/>
        <c:minorTickMark val="none"/>
        <c:tickLblPos val="nextTo"/>
        <c:crossAx val="801522728"/>
        <c:crosses val="autoZero"/>
        <c:crossBetween val="between"/>
      </c:valAx>
      <c:valAx>
        <c:axId val="801523904"/>
        <c:scaling>
          <c:orientation val="minMax"/>
          <c:min val="-100"/>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400" b="0" i="0" u="none" strike="noStrike" kern="1200" baseline="0">
                <a:solidFill>
                  <a:schemeClr val="bg1"/>
                </a:solidFill>
                <a:latin typeface="+mn-lt"/>
                <a:ea typeface="+mn-ea"/>
                <a:cs typeface="+mn-cs"/>
              </a:defRPr>
            </a:pPr>
            <a:endParaRPr lang="nb-NO"/>
          </a:p>
        </c:txPr>
        <c:crossAx val="883218768"/>
        <c:crosses val="max"/>
        <c:crossBetween val="between"/>
      </c:valAx>
      <c:catAx>
        <c:axId val="883218768"/>
        <c:scaling>
          <c:orientation val="minMax"/>
        </c:scaling>
        <c:delete val="1"/>
        <c:axPos val="b"/>
        <c:numFmt formatCode="General" sourceLinked="1"/>
        <c:majorTickMark val="out"/>
        <c:minorTickMark val="none"/>
        <c:tickLblPos val="nextTo"/>
        <c:crossAx val="801523904"/>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'6 Expences'!$B$48</c:f>
              <c:strCache>
                <c:ptCount val="1"/>
                <c:pt idx="0">
                  <c:v>Payrolls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Expences'!$C$47:$G$47</c:f>
              <c:strCache>
                <c:ptCount val="5"/>
                <c:pt idx="0">
                  <c:v>2Q-21</c:v>
                </c:pt>
                <c:pt idx="1">
                  <c:v>1Q-21</c:v>
                </c:pt>
                <c:pt idx="2">
                  <c:v>4Q-20</c:v>
                </c:pt>
                <c:pt idx="3">
                  <c:v>3Q-20</c:v>
                </c:pt>
                <c:pt idx="4">
                  <c:v>2Q-20</c:v>
                </c:pt>
              </c:strCache>
            </c:strRef>
          </c:cat>
          <c:val>
            <c:numRef>
              <c:f>'6 Expences'!$C$48:$G$48</c:f>
              <c:numCache>
                <c:formatCode>0</c:formatCode>
                <c:ptCount val="5"/>
                <c:pt idx="0">
                  <c:v>127.06792889000005</c:v>
                </c:pt>
                <c:pt idx="1">
                  <c:v>129.2262176400001</c:v>
                </c:pt>
                <c:pt idx="2">
                  <c:v>122.32515493999998</c:v>
                </c:pt>
                <c:pt idx="3">
                  <c:v>124.92186161999997</c:v>
                </c:pt>
                <c:pt idx="4">
                  <c:v>121.29159531999996</c:v>
                </c:pt>
              </c:numCache>
            </c:numRef>
          </c:val>
          <c:extLst>
            <c:ext xmlns:c16="http://schemas.microsoft.com/office/drawing/2014/chart" uri="{C3380CC4-5D6E-409C-BE32-E72D297353CC}">
              <c16:uniqueId val="{00000000-BEB8-439E-88D4-48E5830188A3}"/>
            </c:ext>
          </c:extLst>
        </c:ser>
        <c:ser>
          <c:idx val="1"/>
          <c:order val="1"/>
          <c:tx>
            <c:strRef>
              <c:f>'6 Expences'!$B$49</c:f>
              <c:strCache>
                <c:ptCount val="1"/>
                <c:pt idx="0">
                  <c:v>Pensions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Expences'!$C$47:$G$47</c:f>
              <c:strCache>
                <c:ptCount val="5"/>
                <c:pt idx="0">
                  <c:v>2Q-21</c:v>
                </c:pt>
                <c:pt idx="1">
                  <c:v>1Q-21</c:v>
                </c:pt>
                <c:pt idx="2">
                  <c:v>4Q-20</c:v>
                </c:pt>
                <c:pt idx="3">
                  <c:v>3Q-20</c:v>
                </c:pt>
                <c:pt idx="4">
                  <c:v>2Q-20</c:v>
                </c:pt>
              </c:strCache>
            </c:strRef>
          </c:cat>
          <c:val>
            <c:numRef>
              <c:f>'6 Expences'!$C$49:$G$49</c:f>
              <c:numCache>
                <c:formatCode>0</c:formatCode>
                <c:ptCount val="5"/>
                <c:pt idx="0">
                  <c:v>13.76487131</c:v>
                </c:pt>
                <c:pt idx="1">
                  <c:v>14.477990009999999</c:v>
                </c:pt>
                <c:pt idx="2">
                  <c:v>13.852754250000002</c:v>
                </c:pt>
                <c:pt idx="3">
                  <c:v>13.510188289999999</c:v>
                </c:pt>
                <c:pt idx="4">
                  <c:v>13.369673149999999</c:v>
                </c:pt>
              </c:numCache>
            </c:numRef>
          </c:val>
          <c:extLst>
            <c:ext xmlns:c16="http://schemas.microsoft.com/office/drawing/2014/chart" uri="{C3380CC4-5D6E-409C-BE32-E72D297353CC}">
              <c16:uniqueId val="{00000001-BEB8-439E-88D4-48E5830188A3}"/>
            </c:ext>
          </c:extLst>
        </c:ser>
        <c:ser>
          <c:idx val="2"/>
          <c:order val="2"/>
          <c:tx>
            <c:strRef>
              <c:f>'6 Expences'!$B$50</c:f>
              <c:strCache>
                <c:ptCount val="1"/>
                <c:pt idx="0">
                  <c:v>Social security</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Expences'!$C$47:$G$47</c:f>
              <c:strCache>
                <c:ptCount val="5"/>
                <c:pt idx="0">
                  <c:v>2Q-21</c:v>
                </c:pt>
                <c:pt idx="1">
                  <c:v>1Q-21</c:v>
                </c:pt>
                <c:pt idx="2">
                  <c:v>4Q-20</c:v>
                </c:pt>
                <c:pt idx="3">
                  <c:v>3Q-20</c:v>
                </c:pt>
                <c:pt idx="4">
                  <c:v>2Q-20</c:v>
                </c:pt>
              </c:strCache>
            </c:strRef>
          </c:cat>
          <c:val>
            <c:numRef>
              <c:f>'6 Expences'!$C$50:$G$50</c:f>
              <c:numCache>
                <c:formatCode>0</c:formatCode>
                <c:ptCount val="5"/>
                <c:pt idx="0">
                  <c:v>33.197228190000004</c:v>
                </c:pt>
                <c:pt idx="1">
                  <c:v>34.637202510000009</c:v>
                </c:pt>
                <c:pt idx="2">
                  <c:v>37.120216680000006</c:v>
                </c:pt>
                <c:pt idx="3">
                  <c:v>28.235707649999995</c:v>
                </c:pt>
                <c:pt idx="4">
                  <c:v>31.265969170000002</c:v>
                </c:pt>
              </c:numCache>
            </c:numRef>
          </c:val>
          <c:extLst>
            <c:ext xmlns:c16="http://schemas.microsoft.com/office/drawing/2014/chart" uri="{C3380CC4-5D6E-409C-BE32-E72D297353CC}">
              <c16:uniqueId val="{00000002-BEB8-439E-88D4-48E5830188A3}"/>
            </c:ext>
          </c:extLst>
        </c:ser>
        <c:ser>
          <c:idx val="3"/>
          <c:order val="3"/>
          <c:tx>
            <c:strRef>
              <c:f>'6 Expences'!$B$51</c:f>
              <c:strCache>
                <c:ptCount val="1"/>
                <c:pt idx="0">
                  <c:v>Admin. and other operating costs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Expences'!$C$47:$G$47</c:f>
              <c:strCache>
                <c:ptCount val="5"/>
                <c:pt idx="0">
                  <c:v>2Q-21</c:v>
                </c:pt>
                <c:pt idx="1">
                  <c:v>1Q-21</c:v>
                </c:pt>
                <c:pt idx="2">
                  <c:v>4Q-20</c:v>
                </c:pt>
                <c:pt idx="3">
                  <c:v>3Q-20</c:v>
                </c:pt>
                <c:pt idx="4">
                  <c:v>2Q-20</c:v>
                </c:pt>
              </c:strCache>
            </c:strRef>
          </c:cat>
          <c:val>
            <c:numRef>
              <c:f>'6 Expences'!$C$51:$G$51</c:f>
              <c:numCache>
                <c:formatCode>0</c:formatCode>
                <c:ptCount val="5"/>
                <c:pt idx="0">
                  <c:v>119.90131547</c:v>
                </c:pt>
                <c:pt idx="1">
                  <c:v>119.10458761999999</c:v>
                </c:pt>
                <c:pt idx="2">
                  <c:v>120.43420377</c:v>
                </c:pt>
                <c:pt idx="3">
                  <c:v>117.06646393999999</c:v>
                </c:pt>
                <c:pt idx="4">
                  <c:v>117.40324782999998</c:v>
                </c:pt>
              </c:numCache>
            </c:numRef>
          </c:val>
          <c:extLst>
            <c:ext xmlns:c16="http://schemas.microsoft.com/office/drawing/2014/chart" uri="{C3380CC4-5D6E-409C-BE32-E72D297353CC}">
              <c16:uniqueId val="{00000003-BEB8-439E-88D4-48E5830188A3}"/>
            </c:ext>
          </c:extLst>
        </c:ser>
        <c:ser>
          <c:idx val="4"/>
          <c:order val="4"/>
          <c:tx>
            <c:strRef>
              <c:f>'6 Expences'!$B$52</c:f>
              <c:strCache>
                <c:ptCount val="1"/>
                <c:pt idx="0">
                  <c:v>Depreciation</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Expences'!$C$47:$G$47</c:f>
              <c:strCache>
                <c:ptCount val="5"/>
                <c:pt idx="0">
                  <c:v>2Q-21</c:v>
                </c:pt>
                <c:pt idx="1">
                  <c:v>1Q-21</c:v>
                </c:pt>
                <c:pt idx="2">
                  <c:v>4Q-20</c:v>
                </c:pt>
                <c:pt idx="3">
                  <c:v>3Q-20</c:v>
                </c:pt>
                <c:pt idx="4">
                  <c:v>2Q-20</c:v>
                </c:pt>
              </c:strCache>
            </c:strRef>
          </c:cat>
          <c:val>
            <c:numRef>
              <c:f>'6 Expences'!$C$52:$G$52</c:f>
              <c:numCache>
                <c:formatCode>0</c:formatCode>
                <c:ptCount val="5"/>
                <c:pt idx="0">
                  <c:v>23.042718109999999</c:v>
                </c:pt>
                <c:pt idx="1">
                  <c:v>23.715811049999996</c:v>
                </c:pt>
                <c:pt idx="2">
                  <c:v>24.617477449999996</c:v>
                </c:pt>
                <c:pt idx="3">
                  <c:v>26.116332279999998</c:v>
                </c:pt>
                <c:pt idx="4">
                  <c:v>26.31442869</c:v>
                </c:pt>
              </c:numCache>
            </c:numRef>
          </c:val>
          <c:extLst>
            <c:ext xmlns:c16="http://schemas.microsoft.com/office/drawing/2014/chart" uri="{C3380CC4-5D6E-409C-BE32-E72D297353CC}">
              <c16:uniqueId val="{00000004-BEB8-439E-88D4-48E5830188A3}"/>
            </c:ext>
          </c:extLst>
        </c:ser>
        <c:ser>
          <c:idx val="5"/>
          <c:order val="5"/>
          <c:tx>
            <c:strRef>
              <c:f>'6 Expences'!$B$53</c:f>
              <c:strCache>
                <c:ptCount val="1"/>
                <c:pt idx="0">
                  <c:v>Other operating expenses</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Expences'!$C$47:$G$47</c:f>
              <c:strCache>
                <c:ptCount val="5"/>
                <c:pt idx="0">
                  <c:v>2Q-21</c:v>
                </c:pt>
                <c:pt idx="1">
                  <c:v>1Q-21</c:v>
                </c:pt>
                <c:pt idx="2">
                  <c:v>4Q-20</c:v>
                </c:pt>
                <c:pt idx="3">
                  <c:v>3Q-20</c:v>
                </c:pt>
                <c:pt idx="4">
                  <c:v>2Q-20</c:v>
                </c:pt>
              </c:strCache>
            </c:strRef>
          </c:cat>
          <c:val>
            <c:numRef>
              <c:f>'6 Expences'!$C$53:$G$53</c:f>
              <c:numCache>
                <c:formatCode>0</c:formatCode>
                <c:ptCount val="5"/>
                <c:pt idx="0">
                  <c:v>22.058478770000001</c:v>
                </c:pt>
                <c:pt idx="1">
                  <c:v>20.337863169999999</c:v>
                </c:pt>
                <c:pt idx="2">
                  <c:v>31.657779219999995</c:v>
                </c:pt>
                <c:pt idx="3">
                  <c:v>18.311324510000002</c:v>
                </c:pt>
                <c:pt idx="4">
                  <c:v>17.51436833</c:v>
                </c:pt>
              </c:numCache>
            </c:numRef>
          </c:val>
          <c:extLst>
            <c:ext xmlns:c16="http://schemas.microsoft.com/office/drawing/2014/chart" uri="{C3380CC4-5D6E-409C-BE32-E72D297353CC}">
              <c16:uniqueId val="{00000005-BEB8-439E-88D4-48E5830188A3}"/>
            </c:ext>
          </c:extLst>
        </c:ser>
        <c:dLbls>
          <c:showLegendKey val="0"/>
          <c:showVal val="1"/>
          <c:showCatName val="0"/>
          <c:showSerName val="0"/>
          <c:showPercent val="0"/>
          <c:showBubbleSize val="0"/>
        </c:dLbls>
        <c:gapWidth val="100"/>
        <c:overlap val="100"/>
        <c:axId val="883217592"/>
        <c:axId val="883219944"/>
      </c:barChart>
      <c:lineChart>
        <c:grouping val="standard"/>
        <c:varyColors val="0"/>
        <c:ser>
          <c:idx val="6"/>
          <c:order val="6"/>
          <c:tx>
            <c:strRef>
              <c:f>'6 Expences'!$B$54</c:f>
              <c:strCache>
                <c:ptCount val="1"/>
                <c:pt idx="0">
                  <c:v>Total operating expences</c:v>
                </c:pt>
              </c:strCache>
            </c:strRef>
          </c:tx>
          <c:spPr>
            <a:ln w="25400" cap="rnd">
              <a:noFill/>
              <a:round/>
            </a:ln>
            <a:effectLst/>
          </c:spPr>
          <c:marker>
            <c:symbol val="none"/>
          </c:marker>
          <c:dLbls>
            <c:dLbl>
              <c:idx val="0"/>
              <c:layout>
                <c:manualLayout>
                  <c:x val="0.56852588237651236"/>
                  <c:y val="-3.90560915109637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EB8-439E-88D4-48E5830188A3}"/>
                </c:ext>
              </c:extLst>
            </c:dLbl>
            <c:dLbl>
              <c:idx val="1"/>
              <c:layout>
                <c:manualLayout>
                  <c:x val="0.26188267188718178"/>
                  <c:y val="-3.90560915109637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EB8-439E-88D4-48E5830188A3}"/>
                </c:ext>
              </c:extLst>
            </c:dLbl>
            <c:dLbl>
              <c:idx val="3"/>
              <c:layout>
                <c:manualLayout>
                  <c:x val="-0.31441579138432973"/>
                  <c:y val="-4.1710267250418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EB8-439E-88D4-48E5830188A3}"/>
                </c:ext>
              </c:extLst>
            </c:dLbl>
            <c:dLbl>
              <c:idx val="4"/>
              <c:layout>
                <c:manualLayout>
                  <c:x val="-0.60976632059855251"/>
                  <c:y val="-8.94854305605974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EB8-439E-88D4-48E5830188A3}"/>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nb-N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'6 Expences'!$C$47:$G$47</c:f>
              <c:strCache>
                <c:ptCount val="5"/>
                <c:pt idx="0">
                  <c:v>2Q-21</c:v>
                </c:pt>
                <c:pt idx="1">
                  <c:v>1Q-21</c:v>
                </c:pt>
                <c:pt idx="2">
                  <c:v>4Q-20</c:v>
                </c:pt>
                <c:pt idx="3">
                  <c:v>3Q-20</c:v>
                </c:pt>
                <c:pt idx="4">
                  <c:v>2Q-20</c:v>
                </c:pt>
              </c:strCache>
            </c:strRef>
          </c:cat>
          <c:val>
            <c:numRef>
              <c:f>'6 Expences'!$C$54:$G$54</c:f>
              <c:numCache>
                <c:formatCode>0</c:formatCode>
                <c:ptCount val="5"/>
                <c:pt idx="0">
                  <c:v>339.03254074000006</c:v>
                </c:pt>
                <c:pt idx="1">
                  <c:v>341.49967200000009</c:v>
                </c:pt>
                <c:pt idx="2">
                  <c:v>350.00758631000002</c:v>
                </c:pt>
                <c:pt idx="3">
                  <c:v>328.16187828999995</c:v>
                </c:pt>
                <c:pt idx="4">
                  <c:v>327.15928248999995</c:v>
                </c:pt>
              </c:numCache>
            </c:numRef>
          </c:val>
          <c:smooth val="0"/>
          <c:extLst>
            <c:ext xmlns:c16="http://schemas.microsoft.com/office/drawing/2014/chart" uri="{C3380CC4-5D6E-409C-BE32-E72D297353CC}">
              <c16:uniqueId val="{0000000A-BEB8-439E-88D4-48E5830188A3}"/>
            </c:ext>
          </c:extLst>
        </c:ser>
        <c:dLbls>
          <c:showLegendKey val="0"/>
          <c:showVal val="1"/>
          <c:showCatName val="0"/>
          <c:showSerName val="0"/>
          <c:showPercent val="0"/>
          <c:showBubbleSize val="0"/>
        </c:dLbls>
        <c:marker val="1"/>
        <c:smooth val="0"/>
        <c:axId val="883219552"/>
        <c:axId val="883216416"/>
      </c:lineChart>
      <c:catAx>
        <c:axId val="883217592"/>
        <c:scaling>
          <c:orientation val="maxMin"/>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nb-NO"/>
          </a:p>
        </c:txPr>
        <c:crossAx val="883219944"/>
        <c:crosses val="autoZero"/>
        <c:auto val="1"/>
        <c:lblAlgn val="ctr"/>
        <c:lblOffset val="100"/>
        <c:noMultiLvlLbl val="0"/>
      </c:catAx>
      <c:valAx>
        <c:axId val="883219944"/>
        <c:scaling>
          <c:orientation val="minMax"/>
        </c:scaling>
        <c:delete val="1"/>
        <c:axPos val="r"/>
        <c:numFmt formatCode="0" sourceLinked="1"/>
        <c:majorTickMark val="none"/>
        <c:minorTickMark val="none"/>
        <c:tickLblPos val="nextTo"/>
        <c:crossAx val="883217592"/>
        <c:crosses val="autoZero"/>
        <c:crossBetween val="between"/>
      </c:valAx>
      <c:valAx>
        <c:axId val="883216416"/>
        <c:scaling>
          <c:orientation val="minMax"/>
          <c:min val="-100"/>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400" b="0" i="0" u="none" strike="noStrike" kern="1200" baseline="0">
                <a:solidFill>
                  <a:schemeClr val="bg1"/>
                </a:solidFill>
                <a:latin typeface="+mn-lt"/>
                <a:ea typeface="+mn-ea"/>
                <a:cs typeface="+mn-cs"/>
              </a:defRPr>
            </a:pPr>
            <a:endParaRPr lang="nb-NO"/>
          </a:p>
        </c:txPr>
        <c:crossAx val="883219552"/>
        <c:crosses val="max"/>
        <c:crossBetween val="between"/>
      </c:valAx>
      <c:catAx>
        <c:axId val="883219552"/>
        <c:scaling>
          <c:orientation val="minMax"/>
        </c:scaling>
        <c:delete val="1"/>
        <c:axPos val="b"/>
        <c:numFmt formatCode="General" sourceLinked="1"/>
        <c:majorTickMark val="out"/>
        <c:minorTickMark val="none"/>
        <c:tickLblPos val="nextTo"/>
        <c:crossAx val="883216416"/>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lineChart>
        <c:grouping val="standard"/>
        <c:varyColors val="0"/>
        <c:ser>
          <c:idx val="0"/>
          <c:order val="0"/>
          <c:tx>
            <c:strRef>
              <c:f>'7 Margins'!$D$6</c:f>
              <c:strCache>
                <c:ptCount val="1"/>
                <c:pt idx="0">
                  <c:v>Deposit margin RM</c:v>
                </c:pt>
              </c:strCache>
            </c:strRef>
          </c:tx>
          <c:spPr>
            <a:ln w="28575" cap="rnd">
              <a:solidFill>
                <a:schemeClr val="accent1">
                  <a:shade val="76000"/>
                </a:schemeClr>
              </a:solidFill>
              <a:round/>
            </a:ln>
            <a:effectLst/>
          </c:spPr>
          <c:marker>
            <c:symbol val="square"/>
            <c:size val="8"/>
            <c:spPr>
              <a:solidFill>
                <a:schemeClr val="accent1">
                  <a:shade val="76000"/>
                </a:schemeClr>
              </a:solidFill>
              <a:ln w="9525">
                <a:solidFill>
                  <a:schemeClr val="accent1">
                    <a:shade val="76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Margins'!$E$5:$I$5</c:f>
              <c:strCache>
                <c:ptCount val="5"/>
                <c:pt idx="0">
                  <c:v>2Q-21</c:v>
                </c:pt>
                <c:pt idx="1">
                  <c:v>1Q-21</c:v>
                </c:pt>
                <c:pt idx="2">
                  <c:v>4Q-20</c:v>
                </c:pt>
                <c:pt idx="3">
                  <c:v>3Q-20</c:v>
                </c:pt>
                <c:pt idx="4">
                  <c:v>2Q-20</c:v>
                </c:pt>
              </c:strCache>
            </c:strRef>
          </c:cat>
          <c:val>
            <c:numRef>
              <c:f>'7 Margins'!$E$6:$I$6</c:f>
              <c:numCache>
                <c:formatCode>0.00%</c:formatCode>
                <c:ptCount val="5"/>
                <c:pt idx="0">
                  <c:v>-2.0000000000000001E-4</c:v>
                </c:pt>
                <c:pt idx="1">
                  <c:v>1.1000000000000001E-3</c:v>
                </c:pt>
                <c:pt idx="2">
                  <c:v>2.9999999999999997E-4</c:v>
                </c:pt>
                <c:pt idx="3">
                  <c:v>-2.3999999999999998E-3</c:v>
                </c:pt>
                <c:pt idx="4">
                  <c:v>-5.4999999999999997E-3</c:v>
                </c:pt>
              </c:numCache>
            </c:numRef>
          </c:val>
          <c:smooth val="0"/>
          <c:extLst>
            <c:ext xmlns:c16="http://schemas.microsoft.com/office/drawing/2014/chart" uri="{C3380CC4-5D6E-409C-BE32-E72D297353CC}">
              <c16:uniqueId val="{00000001-E3D4-4A46-A451-2C4564FAA753}"/>
            </c:ext>
          </c:extLst>
        </c:ser>
        <c:ser>
          <c:idx val="1"/>
          <c:order val="1"/>
          <c:tx>
            <c:strRef>
              <c:f>'7 Margins'!$D$7</c:f>
              <c:strCache>
                <c:ptCount val="1"/>
                <c:pt idx="0">
                  <c:v>Deposit margin CM</c:v>
                </c:pt>
              </c:strCache>
            </c:strRef>
          </c:tx>
          <c:spPr>
            <a:ln w="28575" cap="rnd">
              <a:solidFill>
                <a:schemeClr val="accent1">
                  <a:tint val="77000"/>
                </a:schemeClr>
              </a:solidFill>
              <a:round/>
            </a:ln>
            <a:effectLst/>
          </c:spPr>
          <c:marker>
            <c:symbol val="square"/>
            <c:size val="8"/>
            <c:spPr>
              <a:solidFill>
                <a:schemeClr val="accent1">
                  <a:tint val="77000"/>
                </a:schemeClr>
              </a:solidFill>
              <a:ln w="9525">
                <a:solidFill>
                  <a:schemeClr val="accent1">
                    <a:tint val="77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Margins'!$E$5:$I$5</c:f>
              <c:strCache>
                <c:ptCount val="5"/>
                <c:pt idx="0">
                  <c:v>2Q-21</c:v>
                </c:pt>
                <c:pt idx="1">
                  <c:v>1Q-21</c:v>
                </c:pt>
                <c:pt idx="2">
                  <c:v>4Q-20</c:v>
                </c:pt>
                <c:pt idx="3">
                  <c:v>3Q-20</c:v>
                </c:pt>
                <c:pt idx="4">
                  <c:v>2Q-20</c:v>
                </c:pt>
              </c:strCache>
            </c:strRef>
          </c:cat>
          <c:val>
            <c:numRef>
              <c:f>'7 Margins'!$E$7:$I$7</c:f>
              <c:numCache>
                <c:formatCode>0.00%</c:formatCode>
                <c:ptCount val="5"/>
                <c:pt idx="0">
                  <c:v>-5.0000000000000001E-4</c:v>
                </c:pt>
                <c:pt idx="1">
                  <c:v>8.9999999999999998E-4</c:v>
                </c:pt>
                <c:pt idx="2">
                  <c:v>0</c:v>
                </c:pt>
                <c:pt idx="3">
                  <c:v>-4.0000000000000002E-4</c:v>
                </c:pt>
                <c:pt idx="4">
                  <c:v>-5.9999999999999995E-4</c:v>
                </c:pt>
              </c:numCache>
            </c:numRef>
          </c:val>
          <c:smooth val="0"/>
          <c:extLst>
            <c:ext xmlns:c16="http://schemas.microsoft.com/office/drawing/2014/chart" uri="{C3380CC4-5D6E-409C-BE32-E72D297353CC}">
              <c16:uniqueId val="{00000003-E3D4-4A46-A451-2C4564FAA753}"/>
            </c:ext>
          </c:extLst>
        </c:ser>
        <c:dLbls>
          <c:dLblPos val="t"/>
          <c:showLegendKey val="0"/>
          <c:showVal val="1"/>
          <c:showCatName val="0"/>
          <c:showSerName val="0"/>
          <c:showPercent val="0"/>
          <c:showBubbleSize val="0"/>
        </c:dLbls>
        <c:marker val="1"/>
        <c:smooth val="0"/>
        <c:axId val="883218376"/>
        <c:axId val="883212888"/>
      </c:lineChart>
      <c:catAx>
        <c:axId val="883218376"/>
        <c:scaling>
          <c:orientation val="maxMin"/>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b-NO"/>
          </a:p>
        </c:txPr>
        <c:crossAx val="883212888"/>
        <c:crosses val="autoZero"/>
        <c:auto val="1"/>
        <c:lblAlgn val="ctr"/>
        <c:lblOffset val="100"/>
        <c:noMultiLvlLbl val="0"/>
      </c:catAx>
      <c:valAx>
        <c:axId val="883212888"/>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mn-lt"/>
                <a:ea typeface="+mn-ea"/>
                <a:cs typeface="+mn-cs"/>
              </a:defRPr>
            </a:pPr>
            <a:endParaRPr lang="nb-NO"/>
          </a:p>
        </c:txPr>
        <c:crossAx val="883218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lineChart>
        <c:grouping val="standard"/>
        <c:varyColors val="0"/>
        <c:ser>
          <c:idx val="0"/>
          <c:order val="0"/>
          <c:tx>
            <c:strRef>
              <c:f>'7 Margins'!$D$35</c:f>
              <c:strCache>
                <c:ptCount val="1"/>
                <c:pt idx="0">
                  <c:v>Lending margin, RM, incl. covered bond companies</c:v>
                </c:pt>
              </c:strCache>
            </c:strRef>
          </c:tx>
          <c:spPr>
            <a:ln w="28575" cap="rnd">
              <a:solidFill>
                <a:schemeClr val="accent1">
                  <a:shade val="76000"/>
                </a:schemeClr>
              </a:solidFill>
              <a:round/>
            </a:ln>
            <a:effectLst/>
          </c:spPr>
          <c:marker>
            <c:symbol val="square"/>
            <c:size val="8"/>
            <c:spPr>
              <a:solidFill>
                <a:schemeClr val="accent1">
                  <a:shade val="76000"/>
                </a:schemeClr>
              </a:solidFill>
              <a:ln w="9525">
                <a:solidFill>
                  <a:schemeClr val="accent1">
                    <a:shade val="76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Margins'!$E$5:$I$5</c:f>
              <c:strCache>
                <c:ptCount val="5"/>
                <c:pt idx="0">
                  <c:v>2Q-21</c:v>
                </c:pt>
                <c:pt idx="1">
                  <c:v>1Q-21</c:v>
                </c:pt>
                <c:pt idx="2">
                  <c:v>4Q-20</c:v>
                </c:pt>
                <c:pt idx="3">
                  <c:v>3Q-20</c:v>
                </c:pt>
                <c:pt idx="4">
                  <c:v>2Q-20</c:v>
                </c:pt>
              </c:strCache>
            </c:strRef>
          </c:cat>
          <c:val>
            <c:numRef>
              <c:f>'7 Margins'!$E$35:$I$35</c:f>
              <c:numCache>
                <c:formatCode>0.00%</c:formatCode>
                <c:ptCount val="5"/>
                <c:pt idx="0">
                  <c:v>1.6899999999999998E-2</c:v>
                </c:pt>
                <c:pt idx="1">
                  <c:v>1.5299999999999999E-2</c:v>
                </c:pt>
                <c:pt idx="2">
                  <c:v>1.66E-2</c:v>
                </c:pt>
                <c:pt idx="3">
                  <c:v>1.7399999999999999E-2</c:v>
                </c:pt>
                <c:pt idx="4">
                  <c:v>1.8100000000000002E-2</c:v>
                </c:pt>
              </c:numCache>
            </c:numRef>
          </c:val>
          <c:smooth val="0"/>
          <c:extLst>
            <c:ext xmlns:c16="http://schemas.microsoft.com/office/drawing/2014/chart" uri="{C3380CC4-5D6E-409C-BE32-E72D297353CC}">
              <c16:uniqueId val="{00000000-1038-4907-AE07-482B7A443143}"/>
            </c:ext>
          </c:extLst>
        </c:ser>
        <c:ser>
          <c:idx val="1"/>
          <c:order val="1"/>
          <c:tx>
            <c:strRef>
              <c:f>'7 Margins'!$D$36</c:f>
              <c:strCache>
                <c:ptCount val="1"/>
                <c:pt idx="0">
                  <c:v>Lending margin, CM, incl. covered bond companies</c:v>
                </c:pt>
              </c:strCache>
            </c:strRef>
          </c:tx>
          <c:spPr>
            <a:ln w="28575" cap="rnd">
              <a:solidFill>
                <a:schemeClr val="accent1">
                  <a:tint val="77000"/>
                </a:schemeClr>
              </a:solidFill>
              <a:round/>
            </a:ln>
            <a:effectLst/>
          </c:spPr>
          <c:marker>
            <c:symbol val="square"/>
            <c:size val="8"/>
            <c:spPr>
              <a:solidFill>
                <a:schemeClr val="accent1">
                  <a:tint val="77000"/>
                </a:schemeClr>
              </a:solidFill>
              <a:ln w="9525">
                <a:solidFill>
                  <a:schemeClr val="accent1">
                    <a:tint val="77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Margins'!$E$5:$I$5</c:f>
              <c:strCache>
                <c:ptCount val="5"/>
                <c:pt idx="0">
                  <c:v>2Q-21</c:v>
                </c:pt>
                <c:pt idx="1">
                  <c:v>1Q-21</c:v>
                </c:pt>
                <c:pt idx="2">
                  <c:v>4Q-20</c:v>
                </c:pt>
                <c:pt idx="3">
                  <c:v>3Q-20</c:v>
                </c:pt>
                <c:pt idx="4">
                  <c:v>2Q-20</c:v>
                </c:pt>
              </c:strCache>
            </c:strRef>
          </c:cat>
          <c:val>
            <c:numRef>
              <c:f>'7 Margins'!$E$36:$I$36</c:f>
              <c:numCache>
                <c:formatCode>0.00%</c:formatCode>
                <c:ptCount val="5"/>
                <c:pt idx="0">
                  <c:v>2.64E-2</c:v>
                </c:pt>
                <c:pt idx="1">
                  <c:v>2.6100000000000002E-2</c:v>
                </c:pt>
                <c:pt idx="2">
                  <c:v>2.6700000000000002E-2</c:v>
                </c:pt>
                <c:pt idx="3">
                  <c:v>2.7900000000000001E-2</c:v>
                </c:pt>
                <c:pt idx="4">
                  <c:v>3.0599999999999999E-2</c:v>
                </c:pt>
              </c:numCache>
            </c:numRef>
          </c:val>
          <c:smooth val="0"/>
          <c:extLst>
            <c:ext xmlns:c16="http://schemas.microsoft.com/office/drawing/2014/chart" uri="{C3380CC4-5D6E-409C-BE32-E72D297353CC}">
              <c16:uniqueId val="{00000001-1038-4907-AE07-482B7A443143}"/>
            </c:ext>
          </c:extLst>
        </c:ser>
        <c:dLbls>
          <c:dLblPos val="t"/>
          <c:showLegendKey val="0"/>
          <c:showVal val="1"/>
          <c:showCatName val="0"/>
          <c:showSerName val="0"/>
          <c:showPercent val="0"/>
          <c:showBubbleSize val="0"/>
        </c:dLbls>
        <c:marker val="1"/>
        <c:smooth val="0"/>
        <c:axId val="883213280"/>
        <c:axId val="883214064"/>
      </c:lineChart>
      <c:catAx>
        <c:axId val="883213280"/>
        <c:scaling>
          <c:orientation val="maxMin"/>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b-NO"/>
          </a:p>
        </c:txPr>
        <c:crossAx val="883214064"/>
        <c:crosses val="autoZero"/>
        <c:auto val="1"/>
        <c:lblAlgn val="ctr"/>
        <c:lblOffset val="100"/>
        <c:noMultiLvlLbl val="0"/>
      </c:catAx>
      <c:valAx>
        <c:axId val="883214064"/>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mn-lt"/>
                <a:ea typeface="+mn-ea"/>
                <a:cs typeface="+mn-cs"/>
              </a:defRPr>
            </a:pPr>
            <a:endParaRPr lang="nb-NO"/>
          </a:p>
        </c:txPr>
        <c:crossAx val="883213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Contents!A1"/><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180975</xdr:colOff>
      <xdr:row>1</xdr:row>
      <xdr:rowOff>101909</xdr:rowOff>
    </xdr:from>
    <xdr:to>
      <xdr:col>5</xdr:col>
      <xdr:colOff>164514</xdr:colOff>
      <xdr:row>3</xdr:row>
      <xdr:rowOff>40194</xdr:rowOff>
    </xdr:to>
    <xdr:sp macro="" textlink="">
      <xdr:nvSpPr>
        <xdr:cNvPr id="5" name="TekstSylinder 4">
          <a:extLst>
            <a:ext uri="{FF2B5EF4-FFF2-40B4-BE49-F238E27FC236}">
              <a16:creationId xmlns:a16="http://schemas.microsoft.com/office/drawing/2014/main" id="{00000000-0008-0000-0000-000005000000}"/>
            </a:ext>
          </a:extLst>
        </xdr:cNvPr>
        <xdr:cNvSpPr txBox="1"/>
      </xdr:nvSpPr>
      <xdr:spPr>
        <a:xfrm>
          <a:off x="180975" y="258791"/>
          <a:ext cx="3793539" cy="341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600" b="1">
              <a:solidFill>
                <a:schemeClr val="bg1"/>
              </a:solidFill>
              <a:latin typeface="Verdana" panose="020B0604030504040204" pitchFamily="34" charset="0"/>
              <a:ea typeface="Verdana" panose="020B0604030504040204" pitchFamily="34" charset="0"/>
              <a:cs typeface="Verdana" panose="020B0604030504040204" pitchFamily="34" charset="0"/>
            </a:rPr>
            <a:t>Additional</a:t>
          </a:r>
          <a:r>
            <a:rPr lang="nb-NO" sz="1600" b="1" baseline="0">
              <a:solidFill>
                <a:schemeClr val="bg1"/>
              </a:solidFill>
              <a:latin typeface="Verdana" panose="020B0604030504040204" pitchFamily="34" charset="0"/>
              <a:ea typeface="Verdana" panose="020B0604030504040204" pitchFamily="34" charset="0"/>
              <a:cs typeface="Verdana" panose="020B0604030504040204" pitchFamily="34" charset="0"/>
            </a:rPr>
            <a:t> financial information</a:t>
          </a:r>
          <a:endParaRPr lang="nb-NO" sz="1600" b="1">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200025</xdr:colOff>
      <xdr:row>4</xdr:row>
      <xdr:rowOff>49954</xdr:rowOff>
    </xdr:from>
    <xdr:to>
      <xdr:col>2</xdr:col>
      <xdr:colOff>705107</xdr:colOff>
      <xdr:row>5</xdr:row>
      <xdr:rowOff>110117</xdr:rowOff>
    </xdr:to>
    <xdr:sp macro="" textlink="">
      <xdr:nvSpPr>
        <xdr:cNvPr id="7" name="TekstSylinder 6">
          <a:extLst>
            <a:ext uri="{FF2B5EF4-FFF2-40B4-BE49-F238E27FC236}">
              <a16:creationId xmlns:a16="http://schemas.microsoft.com/office/drawing/2014/main" id="{00000000-0008-0000-0000-000007000000}"/>
            </a:ext>
          </a:extLst>
        </xdr:cNvPr>
        <xdr:cNvSpPr txBox="1"/>
      </xdr:nvSpPr>
      <xdr:spPr>
        <a:xfrm>
          <a:off x="200025" y="767130"/>
          <a:ext cx="2029082" cy="2170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800" b="1">
              <a:solidFill>
                <a:schemeClr val="bg1"/>
              </a:solidFill>
              <a:latin typeface="Verdana" panose="020B0604030504040204" pitchFamily="34" charset="0"/>
              <a:ea typeface="Verdana" panose="020B0604030504040204" pitchFamily="34" charset="0"/>
              <a:cs typeface="Verdana" panose="020B0604030504040204" pitchFamily="34" charset="0"/>
            </a:rPr>
            <a:t>SpareBank 1 Østlandet Q2 2021</a:t>
          </a:r>
        </a:p>
      </xdr:txBody>
    </xdr:sp>
    <xdr:clientData/>
  </xdr:twoCellAnchor>
  <xdr:twoCellAnchor>
    <xdr:from>
      <xdr:col>0</xdr:col>
      <xdr:colOff>190500</xdr:colOff>
      <xdr:row>7</xdr:row>
      <xdr:rowOff>22947</xdr:rowOff>
    </xdr:from>
    <xdr:to>
      <xdr:col>5</xdr:col>
      <xdr:colOff>157240</xdr:colOff>
      <xdr:row>8</xdr:row>
      <xdr:rowOff>114274</xdr:rowOff>
    </xdr:to>
    <xdr:sp macro="" textlink="">
      <xdr:nvSpPr>
        <xdr:cNvPr id="8" name="TekstSylinder 7">
          <a:extLst>
            <a:ext uri="{FF2B5EF4-FFF2-40B4-BE49-F238E27FC236}">
              <a16:creationId xmlns:a16="http://schemas.microsoft.com/office/drawing/2014/main" id="{00000000-0008-0000-0000-000008000000}"/>
            </a:ext>
          </a:extLst>
        </xdr:cNvPr>
        <xdr:cNvSpPr txBox="1"/>
      </xdr:nvSpPr>
      <xdr:spPr>
        <a:xfrm>
          <a:off x="190500" y="1210771"/>
          <a:ext cx="3776740" cy="24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000" b="0">
              <a:solidFill>
                <a:schemeClr val="bg1"/>
              </a:solidFill>
              <a:latin typeface="Verdana" panose="020B0604030504040204" pitchFamily="34" charset="0"/>
              <a:ea typeface="Verdana" panose="020B0604030504040204" pitchFamily="34" charset="0"/>
              <a:cs typeface="Verdana" panose="020B0604030504040204" pitchFamily="34" charset="0"/>
            </a:rPr>
            <a:t>All amounts are in NOK million unless otherwise stated.</a:t>
          </a:r>
        </a:p>
      </xdr:txBody>
    </xdr:sp>
    <xdr:clientData/>
  </xdr:twoCellAnchor>
  <xdr:twoCellAnchor editAs="oneCell">
    <xdr:from>
      <xdr:col>0</xdr:col>
      <xdr:colOff>257735</xdr:colOff>
      <xdr:row>12</xdr:row>
      <xdr:rowOff>44824</xdr:rowOff>
    </xdr:from>
    <xdr:to>
      <xdr:col>3</xdr:col>
      <xdr:colOff>387902</xdr:colOff>
      <xdr:row>16</xdr:row>
      <xdr:rowOff>44823</xdr:rowOff>
    </xdr:to>
    <xdr:pic>
      <xdr:nvPicPr>
        <xdr:cNvPr id="10" name="Bil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735" y="2196353"/>
          <a:ext cx="2416167" cy="7171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909357</xdr:colOff>
      <xdr:row>32</xdr:row>
      <xdr:rowOff>161365</xdr:rowOff>
    </xdr:from>
    <xdr:to>
      <xdr:col>8</xdr:col>
      <xdr:colOff>71717</xdr:colOff>
      <xdr:row>34</xdr:row>
      <xdr:rowOff>31375</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900-000006000000}"/>
            </a:ext>
          </a:extLst>
        </xdr:cNvPr>
        <xdr:cNvSpPr/>
      </xdr:nvSpPr>
      <xdr:spPr>
        <a:xfrm>
          <a:off x="6893298" y="6190130"/>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9</xdr:col>
      <xdr:colOff>56030</xdr:colOff>
      <xdr:row>4</xdr:row>
      <xdr:rowOff>33618</xdr:rowOff>
    </xdr:from>
    <xdr:to>
      <xdr:col>14</xdr:col>
      <xdr:colOff>403411</xdr:colOff>
      <xdr:row>29</xdr:row>
      <xdr:rowOff>168089</xdr:rowOff>
    </xdr:to>
    <xdr:sp macro="" textlink="">
      <xdr:nvSpPr>
        <xdr:cNvPr id="4" name="TekstSylinder 3">
          <a:extLst>
            <a:ext uri="{FF2B5EF4-FFF2-40B4-BE49-F238E27FC236}">
              <a16:creationId xmlns:a16="http://schemas.microsoft.com/office/drawing/2014/main" id="{00000000-0008-0000-0900-000004000000}"/>
            </a:ext>
          </a:extLst>
        </xdr:cNvPr>
        <xdr:cNvSpPr txBox="1"/>
      </xdr:nvSpPr>
      <xdr:spPr>
        <a:xfrm>
          <a:off x="9849971" y="862853"/>
          <a:ext cx="5109881" cy="4796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9</xdr:col>
      <xdr:colOff>112060</xdr:colOff>
      <xdr:row>37</xdr:row>
      <xdr:rowOff>89648</xdr:rowOff>
    </xdr:from>
    <xdr:to>
      <xdr:col>14</xdr:col>
      <xdr:colOff>459441</xdr:colOff>
      <xdr:row>67</xdr:row>
      <xdr:rowOff>33619</xdr:rowOff>
    </xdr:to>
    <xdr:sp macro="" textlink="">
      <xdr:nvSpPr>
        <xdr:cNvPr id="5" name="TekstSylinder 4">
          <a:extLst>
            <a:ext uri="{FF2B5EF4-FFF2-40B4-BE49-F238E27FC236}">
              <a16:creationId xmlns:a16="http://schemas.microsoft.com/office/drawing/2014/main" id="{00000000-0008-0000-0900-000005000000}"/>
            </a:ext>
          </a:extLst>
        </xdr:cNvPr>
        <xdr:cNvSpPr txBox="1"/>
      </xdr:nvSpPr>
      <xdr:spPr>
        <a:xfrm>
          <a:off x="9906001" y="7003677"/>
          <a:ext cx="5109881" cy="4796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6</xdr:col>
      <xdr:colOff>0</xdr:colOff>
      <xdr:row>50</xdr:row>
      <xdr:rowOff>0</xdr:rowOff>
    </xdr:from>
    <xdr:to>
      <xdr:col>8</xdr:col>
      <xdr:colOff>114860</xdr:colOff>
      <xdr:row>51</xdr:row>
      <xdr:rowOff>71716</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900-000007000000}"/>
            </a:ext>
          </a:extLst>
        </xdr:cNvPr>
        <xdr:cNvSpPr/>
      </xdr:nvSpPr>
      <xdr:spPr>
        <a:xfrm>
          <a:off x="6936441" y="9054353"/>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717175</xdr:colOff>
      <xdr:row>21</xdr:row>
      <xdr:rowOff>123265</xdr:rowOff>
    </xdr:from>
    <xdr:to>
      <xdr:col>8</xdr:col>
      <xdr:colOff>70035</xdr:colOff>
      <xdr:row>22</xdr:row>
      <xdr:rowOff>172569</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5333999" y="4000500"/>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10</xdr:col>
      <xdr:colOff>33618</xdr:colOff>
      <xdr:row>4</xdr:row>
      <xdr:rowOff>11206</xdr:rowOff>
    </xdr:from>
    <xdr:to>
      <xdr:col>16</xdr:col>
      <xdr:colOff>571499</xdr:colOff>
      <xdr:row>30</xdr:row>
      <xdr:rowOff>145677</xdr:rowOff>
    </xdr:to>
    <xdr:sp macro="" textlink="">
      <xdr:nvSpPr>
        <xdr:cNvPr id="7" name="TekstSylinder 6">
          <a:extLst>
            <a:ext uri="{FF2B5EF4-FFF2-40B4-BE49-F238E27FC236}">
              <a16:creationId xmlns:a16="http://schemas.microsoft.com/office/drawing/2014/main" id="{00000000-0008-0000-0A00-000007000000}"/>
            </a:ext>
          </a:extLst>
        </xdr:cNvPr>
        <xdr:cNvSpPr txBox="1"/>
      </xdr:nvSpPr>
      <xdr:spPr>
        <a:xfrm>
          <a:off x="8841442" y="840441"/>
          <a:ext cx="5109881" cy="4796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10</xdr:col>
      <xdr:colOff>56029</xdr:colOff>
      <xdr:row>36</xdr:row>
      <xdr:rowOff>0</xdr:rowOff>
    </xdr:from>
    <xdr:to>
      <xdr:col>16</xdr:col>
      <xdr:colOff>593910</xdr:colOff>
      <xdr:row>62</xdr:row>
      <xdr:rowOff>123265</xdr:rowOff>
    </xdr:to>
    <xdr:sp macro="" textlink="">
      <xdr:nvSpPr>
        <xdr:cNvPr id="5" name="TekstSylinder 4">
          <a:extLst>
            <a:ext uri="{FF2B5EF4-FFF2-40B4-BE49-F238E27FC236}">
              <a16:creationId xmlns:a16="http://schemas.microsoft.com/office/drawing/2014/main" id="{00000000-0008-0000-0A00-000005000000}"/>
            </a:ext>
          </a:extLst>
        </xdr:cNvPr>
        <xdr:cNvSpPr txBox="1"/>
      </xdr:nvSpPr>
      <xdr:spPr>
        <a:xfrm>
          <a:off x="10074088" y="6566647"/>
          <a:ext cx="5109881" cy="4796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p>
        <a:p>
          <a:endParaRPr lang="nb-NO" sz="1100"/>
        </a:p>
      </xdr:txBody>
    </xdr:sp>
    <xdr:clientData/>
  </xdr:twoCellAnchor>
  <xdr:twoCellAnchor>
    <xdr:from>
      <xdr:col>6</xdr:col>
      <xdr:colOff>0</xdr:colOff>
      <xdr:row>44</xdr:row>
      <xdr:rowOff>11208</xdr:rowOff>
    </xdr:from>
    <xdr:to>
      <xdr:col>8</xdr:col>
      <xdr:colOff>137272</xdr:colOff>
      <xdr:row>45</xdr:row>
      <xdr:rowOff>60512</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A00-000006000000}"/>
            </a:ext>
          </a:extLst>
        </xdr:cNvPr>
        <xdr:cNvSpPr/>
      </xdr:nvSpPr>
      <xdr:spPr>
        <a:xfrm>
          <a:off x="5995147" y="8023414"/>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11206</xdr:colOff>
      <xdr:row>3</xdr:row>
      <xdr:rowOff>179294</xdr:rowOff>
    </xdr:from>
    <xdr:to>
      <xdr:col>15</xdr:col>
      <xdr:colOff>549087</xdr:colOff>
      <xdr:row>33</xdr:row>
      <xdr:rowOff>56590</xdr:rowOff>
    </xdr:to>
    <xdr:sp macro="" textlink="">
      <xdr:nvSpPr>
        <xdr:cNvPr id="2" name="TekstSylinder 1">
          <a:extLst>
            <a:ext uri="{FF2B5EF4-FFF2-40B4-BE49-F238E27FC236}">
              <a16:creationId xmlns:a16="http://schemas.microsoft.com/office/drawing/2014/main" id="{00000000-0008-0000-0B00-000002000000}"/>
            </a:ext>
          </a:extLst>
        </xdr:cNvPr>
        <xdr:cNvSpPr txBox="1"/>
      </xdr:nvSpPr>
      <xdr:spPr>
        <a:xfrm>
          <a:off x="7115735" y="717176"/>
          <a:ext cx="5109881" cy="4673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6</xdr:col>
      <xdr:colOff>0</xdr:colOff>
      <xdr:row>11</xdr:row>
      <xdr:rowOff>123265</xdr:rowOff>
    </xdr:from>
    <xdr:to>
      <xdr:col>8</xdr:col>
      <xdr:colOff>70030</xdr:colOff>
      <xdr:row>13</xdr:row>
      <xdr:rowOff>71716</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4818529" y="2005853"/>
          <a:ext cx="1594030" cy="262216"/>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145676</xdr:colOff>
      <xdr:row>15</xdr:row>
      <xdr:rowOff>67236</xdr:rowOff>
    </xdr:from>
    <xdr:to>
      <xdr:col>7</xdr:col>
      <xdr:colOff>78440</xdr:colOff>
      <xdr:row>17</xdr:row>
      <xdr:rowOff>22412</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E87FF756-97A2-4F8B-9CB2-A94661F4428C}"/>
            </a:ext>
          </a:extLst>
        </xdr:cNvPr>
        <xdr:cNvSpPr/>
      </xdr:nvSpPr>
      <xdr:spPr>
        <a:xfrm>
          <a:off x="5468470" y="3171265"/>
          <a:ext cx="2173941"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8</xdr:col>
      <xdr:colOff>100852</xdr:colOff>
      <xdr:row>3</xdr:row>
      <xdr:rowOff>145674</xdr:rowOff>
    </xdr:from>
    <xdr:to>
      <xdr:col>17</xdr:col>
      <xdr:colOff>89646</xdr:colOff>
      <xdr:row>30</xdr:row>
      <xdr:rowOff>56028</xdr:rowOff>
    </xdr:to>
    <xdr:sp macro="" textlink="">
      <xdr:nvSpPr>
        <xdr:cNvPr id="3" name="TekstSylinder 2">
          <a:extLst>
            <a:ext uri="{FF2B5EF4-FFF2-40B4-BE49-F238E27FC236}">
              <a16:creationId xmlns:a16="http://schemas.microsoft.com/office/drawing/2014/main" id="{4D143D8F-80C0-44EE-B64E-6F8F8CC8C9B8}"/>
            </a:ext>
          </a:extLst>
        </xdr:cNvPr>
        <xdr:cNvSpPr txBox="1"/>
      </xdr:nvSpPr>
      <xdr:spPr>
        <a:xfrm>
          <a:off x="8426823" y="649939"/>
          <a:ext cx="6846794" cy="43927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r>
            <a:rPr lang="en-GB" sz="1100">
              <a:solidFill>
                <a:schemeClr val="dk1"/>
              </a:solidFill>
              <a:effectLst/>
              <a:latin typeface="+mn-lt"/>
              <a:ea typeface="+mn-ea"/>
              <a:cs typeface="+mn-cs"/>
            </a:rPr>
            <a:t>The table below shows the estimated ECLs in the three scenarios described above: expected scenario, downside scenario and upside scenario. The calculations are divided into the main segments retail customers and corporate customers, which are totalled for the Parent Bank. The table also shows corresponding ECL calculations for the subsidiary SpareBank 1 Finans Østlandet (SB1FØ). The ECLs of the Parent Bank and the subsidiary, adjusted for group eliminations, are totalled in the Group column. Besides the segment distributed ECLs with the scenario weighting applied, the table shows four alternative scenario weightings. The first two alternatives reflect previously applied scenario weightings. The last two alternatives show the sensitivity to a further deterioration in relation to the applied scenario weighting with a 60-65 per cent probability of the expected scenario, 25-30 per cent probability of the downside scenario and 10 per cent probability of the upside scenario (65/25/10 per cent and 60/30/10 per cent).   </a:t>
          </a:r>
        </a:p>
        <a:p>
          <a:endParaRPr lang="nb-NO" sz="1100"/>
        </a:p>
        <a:p>
          <a:r>
            <a:rPr lang="en-GB" sz="1100">
              <a:solidFill>
                <a:schemeClr val="dk1"/>
              </a:solidFill>
              <a:effectLst/>
              <a:latin typeface="+mn-lt"/>
              <a:ea typeface="+mn-ea"/>
              <a:cs typeface="+mn-cs"/>
            </a:rPr>
            <a:t>The table reflects the fact that there are some significant differences in underlying PD and LGD estimates in the various scenarios and that there are differentiated levels and level differences between the segments. At a group level, the ECL in the upside scenario is just over two-thirds of the ECL in the expected scenario, meanwhile, the downside scenario has an ECL around four times higher than in the expected scenario. The applied scenario weighting, with 20 per cent downside and 10 per cent upside, thereby results in an around 60 per cent higher ECL than in the expected scenario. A further 10-percentage point increase in the probability of the downside scenario would have increased the weighted ECL by around NOK 100 million (20 per cent). A 10-percentage point reduction in the probability of the downside scenario, the probability weightings the Bank used when introducing IFRS 9, would reduce the weighted ECL correspondingly.</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Reference is also made to Note 6 ‘Loan loss provisions’, where the first table shows the loss cost effects per segment of the various changes in the model assumptions in isolation. Note that the table above does not include loan loss impairments due to post model adjustments (PMA), NOK 5 million in SpareBank 1 Finans Østlandet.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5143501</xdr:colOff>
      <xdr:row>9</xdr:row>
      <xdr:rowOff>0</xdr:rowOff>
    </xdr:to>
    <xdr:sp macro="" textlink="">
      <xdr:nvSpPr>
        <xdr:cNvPr id="2" name="TekstSylinder 1">
          <a:extLst>
            <a:ext uri="{FF2B5EF4-FFF2-40B4-BE49-F238E27FC236}">
              <a16:creationId xmlns:a16="http://schemas.microsoft.com/office/drawing/2014/main" id="{0946B482-AACC-4E1B-A143-85AFD84BCE2B}"/>
            </a:ext>
          </a:extLst>
        </xdr:cNvPr>
        <xdr:cNvSpPr txBox="1"/>
      </xdr:nvSpPr>
      <xdr:spPr>
        <a:xfrm>
          <a:off x="28576" y="19050"/>
          <a:ext cx="7315200" cy="4438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800" b="1">
              <a:solidFill>
                <a:srgbClr val="002060"/>
              </a:solidFill>
              <a:effectLst/>
              <a:latin typeface="Variana"/>
              <a:ea typeface="+mn-ea"/>
              <a:cs typeface="+mn-cs"/>
            </a:rPr>
            <a:t>Alternative performance measures</a:t>
          </a:r>
          <a:endParaRPr lang="nb-NO" sz="1800">
            <a:solidFill>
              <a:srgbClr val="002060"/>
            </a:solidFill>
            <a:effectLst/>
            <a:latin typeface="Variana"/>
            <a:ea typeface="+mn-ea"/>
            <a:cs typeface="+mn-cs"/>
          </a:endParaRPr>
        </a:p>
        <a:p>
          <a:pPr marL="0" indent="0"/>
          <a:br>
            <a:rPr lang="nb-NO" sz="1200">
              <a:solidFill>
                <a:schemeClr val="dk1"/>
              </a:solidFill>
              <a:effectLst/>
              <a:latin typeface="Variana"/>
              <a:ea typeface="+mn-ea"/>
              <a:cs typeface="+mn-cs"/>
            </a:rPr>
          </a:br>
          <a:r>
            <a:rPr lang="nb-NO" sz="1200">
              <a:solidFill>
                <a:schemeClr val="dk1"/>
              </a:solidFill>
              <a:effectLst/>
              <a:latin typeface="Variana"/>
              <a:ea typeface="Verdana" panose="020B0604030504040204" pitchFamily="34" charset="0"/>
              <a:cs typeface="Verdana" panose="020B0604030504040204" pitchFamily="34" charset="0"/>
            </a:rPr>
            <a:t>SpareBank 1 Østlandet’s alternative performance measures (APMs) have been prepared in accordance with the ESMA guidelines on APMs and are indicators aimed at providing useful additional information to the financial statements. These performance measures are either adjusted indicators or measures that are not defined under IFRS or any other legislation and may not be directly comparable with the corresponding measures from other companies. The APMs are not intended to be a substitute for accounting figures drawn up according to IFRS and should not be given more emphasis than these accounting figures, but they have been included in financial reporting to give a fuller description of the Bank’s performance. The APMs also represent important metrics for how the management is running the business. </a:t>
          </a:r>
        </a:p>
        <a:p>
          <a:pPr marL="0" indent="0"/>
          <a:r>
            <a:rPr lang="nb-NO" sz="1200">
              <a:solidFill>
                <a:schemeClr val="dk1"/>
              </a:solidFill>
              <a:effectLst/>
              <a:latin typeface="Variana"/>
              <a:ea typeface="Verdana" panose="020B0604030504040204" pitchFamily="34" charset="0"/>
              <a:cs typeface="Verdana" panose="020B0604030504040204" pitchFamily="34" charset="0"/>
            </a:rPr>
            <a:t> </a:t>
          </a:r>
        </a:p>
        <a:p>
          <a:pPr marL="0" indent="0"/>
          <a:r>
            <a:rPr lang="nb-NO" sz="1200">
              <a:solidFill>
                <a:schemeClr val="dk1"/>
              </a:solidFill>
              <a:effectLst/>
              <a:latin typeface="Variana"/>
              <a:ea typeface="Verdana" panose="020B0604030504040204" pitchFamily="34" charset="0"/>
              <a:cs typeface="Verdana" panose="020B0604030504040204" pitchFamily="34" charset="0"/>
            </a:rPr>
            <a:t>Non-financial indicators and financial ratios defined by IFRS or other legislation are not defined as APMs. SpareBank 1 Østlandet’s APMs are used both in the overview of main figures and in the directors’ report, and in results presentations and prospectuses. All APMs are shown with corresponding comparative figures for previous periods.</a:t>
          </a:r>
        </a:p>
        <a:p>
          <a:pPr marL="0" indent="0"/>
          <a:r>
            <a:rPr lang="nb-NO" sz="1200">
              <a:solidFill>
                <a:schemeClr val="dk1"/>
              </a:solidFill>
              <a:effectLst/>
              <a:latin typeface="Variana"/>
              <a:ea typeface="Verdana" panose="020B0604030504040204" pitchFamily="34" charset="0"/>
              <a:cs typeface="Verdana" panose="020B0604030504040204" pitchFamily="34" charset="0"/>
            </a:rPr>
            <a:t> </a:t>
          </a:r>
        </a:p>
        <a:p>
          <a:pPr marL="0" indent="0"/>
          <a:r>
            <a:rPr lang="nb-NO" sz="1200">
              <a:solidFill>
                <a:schemeClr val="dk1"/>
              </a:solidFill>
              <a:effectLst/>
              <a:latin typeface="Variana"/>
              <a:ea typeface="Verdana" panose="020B0604030504040204" pitchFamily="34" charset="0"/>
              <a:cs typeface="Verdana" panose="020B0604030504040204" pitchFamily="34" charset="0"/>
            </a:rPr>
            <a:t>Lending and deposit margins for the Parent Bank are calculated in relation to the daily average of loans to and deposits from customers. For all other main figures and APMs that are calculated using average balances, the average balance is calculated as the average of the opening balance for the current period and the closing balance for each of the quarters in the period.</a:t>
          </a:r>
        </a:p>
        <a:p>
          <a:endParaRPr lang="nb-NO" sz="120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oneCellAnchor>
    <xdr:from>
      <xdr:col>1</xdr:col>
      <xdr:colOff>590550</xdr:colOff>
      <xdr:row>12</xdr:row>
      <xdr:rowOff>204787</xdr:rowOff>
    </xdr:from>
    <xdr:ext cx="3387338" cy="515975"/>
    <mc:AlternateContent xmlns:mc="http://schemas.openxmlformats.org/markup-compatibility/2006" xmlns:a14="http://schemas.microsoft.com/office/drawing/2010/main">
      <mc:Choice Requires="a14">
        <xdr:sp macro="" textlink="">
          <xdr:nvSpPr>
            <xdr:cNvPr id="3" name="TekstSylinder 2">
              <a:extLst>
                <a:ext uri="{FF2B5EF4-FFF2-40B4-BE49-F238E27FC236}">
                  <a16:creationId xmlns:a16="http://schemas.microsoft.com/office/drawing/2014/main" id="{1575F821-8F75-4D57-AAB8-B9C4B91314BB}"/>
                </a:ext>
              </a:extLst>
            </xdr:cNvPr>
            <xdr:cNvSpPr txBox="1"/>
          </xdr:nvSpPr>
          <xdr:spPr>
            <a:xfrm>
              <a:off x="2790825" y="6910387"/>
              <a:ext cx="3387338" cy="515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Profit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after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tax</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Interest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expenses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hybrid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capital</m:t>
                            </m:r>
                          </m:e>
                        </m:d>
                        <m:r>
                          <a:rPr lang="nb-NO" sz="900">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hybrid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capital</m:t>
                        </m:r>
                      </m:den>
                    </m:f>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3" name="TekstSylinder 2">
              <a:extLst>
                <a:ext uri="{FF2B5EF4-FFF2-40B4-BE49-F238E27FC236}">
                  <a16:creationId xmlns:a16="http://schemas.microsoft.com/office/drawing/2014/main" id="{1575F821-8F75-4D57-AAB8-B9C4B91314BB}"/>
                </a:ext>
              </a:extLst>
            </xdr:cNvPr>
            <xdr:cNvSpPr txBox="1"/>
          </xdr:nvSpPr>
          <xdr:spPr>
            <a:xfrm>
              <a:off x="2790825" y="6910387"/>
              <a:ext cx="3387338" cy="515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((Profit after tax−Interest expenses on hybrid capital)×(Act/Act) )/(Average equity−Average hybrid capital)</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600075</xdr:colOff>
      <xdr:row>14</xdr:row>
      <xdr:rowOff>90487</xdr:rowOff>
    </xdr:from>
    <xdr:ext cx="3800475" cy="414338"/>
    <mc:AlternateContent xmlns:mc="http://schemas.openxmlformats.org/markup-compatibility/2006" xmlns:a14="http://schemas.microsoft.com/office/drawing/2010/main">
      <mc:Choice Requires="a14">
        <xdr:sp macro="" textlink="">
          <xdr:nvSpPr>
            <xdr:cNvPr id="4" name="TekstSylinder 3">
              <a:extLst>
                <a:ext uri="{FF2B5EF4-FFF2-40B4-BE49-F238E27FC236}">
                  <a16:creationId xmlns:a16="http://schemas.microsoft.com/office/drawing/2014/main" id="{BF555B28-C7D5-4D53-BD20-6F994FDB3FB4}"/>
                </a:ext>
              </a:extLst>
            </xdr:cNvPr>
            <xdr:cNvSpPr txBox="1"/>
          </xdr:nvSpPr>
          <xdr:spPr>
            <a:xfrm>
              <a:off x="2800350" y="8548687"/>
              <a:ext cx="380047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𝑂𝑝𝑒𝑟𝑎𝑡𝑖𝑛𝑔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𝑝𝑟𝑜𝑓𝑖𝑡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𝑏𝑒𝑓𝑜𝑟𝑒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𝑙𝑜𝑠𝑠𝑒𝑠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𝑔𝑢𝑎𝑟𝑎𝑛𝑡𝑒𝑒𝑠</m:t>
                    </m:r>
                  </m:oMath>
                </m:oMathPara>
              </a14:m>
              <a:endParaRPr lang="nb-NO" sz="900" i="1">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𝑁𝑒𝑡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𝑖𝑛𝑐𝑜𝑚𝑒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𝑓𝑖𝑛𝑎𝑛𝑐𝑖𝑎𝑙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𝑎𝑠𝑠𝑒𝑡𝑠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𝑁𝑜𝑡𝑎𝑏𝑙𝑒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𝑖𝑡𝑒𝑚𝑠</m:t>
                    </m:r>
                  </m:oMath>
                </m:oMathPara>
              </a14:m>
              <a:endParaRPr lang="nb-NO" sz="900"/>
            </a:p>
          </xdr:txBody>
        </xdr:sp>
      </mc:Choice>
      <mc:Fallback xmlns="">
        <xdr:sp macro="" textlink="">
          <xdr:nvSpPr>
            <xdr:cNvPr id="4" name="TekstSylinder 3">
              <a:extLst>
                <a:ext uri="{FF2B5EF4-FFF2-40B4-BE49-F238E27FC236}">
                  <a16:creationId xmlns:a16="http://schemas.microsoft.com/office/drawing/2014/main" id="{BF555B28-C7D5-4D53-BD20-6F994FDB3FB4}"/>
                </a:ext>
              </a:extLst>
            </xdr:cNvPr>
            <xdr:cNvSpPr txBox="1"/>
          </xdr:nvSpPr>
          <xdr:spPr>
            <a:xfrm>
              <a:off x="2800350" y="8548687"/>
              <a:ext cx="380047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900" i="0">
                  <a:solidFill>
                    <a:schemeClr val="tx1"/>
                  </a:solidFill>
                  <a:effectLst/>
                  <a:latin typeface="Cambria Math" panose="02040503050406030204" pitchFamily="18" charset="0"/>
                  <a:ea typeface="+mn-ea"/>
                  <a:cs typeface="+mn-cs"/>
                </a:rPr>
                <a:t>𝑂𝑝𝑒𝑟𝑎𝑡𝑖𝑛𝑔 𝑝𝑟𝑜𝑓𝑖𝑡 𝑏𝑒𝑓𝑜𝑟𝑒 𝑙𝑜𝑠𝑠𝑒𝑠 𝑜𝑛 𝑙𝑜𝑎𝑛𝑠 𝑎𝑛𝑑 𝑔𝑢𝑎𝑟𝑎𝑛𝑡𝑒𝑒𝑠</a:t>
              </a:r>
              <a:endParaRPr lang="nb-NO" sz="900" i="1">
                <a:solidFill>
                  <a:schemeClr val="tx1"/>
                </a:solidFill>
                <a:effectLst/>
                <a:latin typeface="+mn-lt"/>
                <a:ea typeface="+mn-ea"/>
                <a:cs typeface="+mn-cs"/>
              </a:endParaRPr>
            </a:p>
            <a:p>
              <a:pPr/>
              <a:r>
                <a:rPr lang="en-GB" sz="900" i="0">
                  <a:solidFill>
                    <a:schemeClr val="tx1"/>
                  </a:solidFill>
                  <a:effectLst/>
                  <a:latin typeface="Cambria Math" panose="02040503050406030204" pitchFamily="18" charset="0"/>
                  <a:ea typeface="+mn-ea"/>
                  <a:cs typeface="+mn-cs"/>
                </a:rPr>
                <a:t>−𝑁𝑒𝑡 𝑖𝑛𝑐𝑜𝑚𝑒 𝑓𝑟𝑜𝑚 𝑓𝑖𝑛𝑎𝑛𝑐𝑖𝑎𝑙 𝑎𝑠𝑠𝑒𝑡𝑠 𝑎𝑛𝑑 𝑙𝑖𝑎𝑏𝑖𝑙𝑖𝑡𝑖𝑒𝑠−𝑁𝑜𝑡𝑎𝑏𝑙𝑒 𝑖𝑡𝑒𝑚𝑠</a:t>
              </a:r>
              <a:endParaRPr lang="nb-NO" sz="900"/>
            </a:p>
          </xdr:txBody>
        </xdr:sp>
      </mc:Fallback>
    </mc:AlternateContent>
    <xdr:clientData/>
  </xdr:oneCellAnchor>
  <xdr:oneCellAnchor>
    <xdr:from>
      <xdr:col>1</xdr:col>
      <xdr:colOff>1924050</xdr:colOff>
      <xdr:row>16</xdr:row>
      <xdr:rowOff>128587</xdr:rowOff>
    </xdr:from>
    <xdr:ext cx="1061957" cy="263021"/>
    <mc:AlternateContent xmlns:mc="http://schemas.openxmlformats.org/markup-compatibility/2006" xmlns:a14="http://schemas.microsoft.com/office/drawing/2010/main">
      <mc:Choice Requires="a14">
        <xdr:sp macro="" textlink="">
          <xdr:nvSpPr>
            <xdr:cNvPr id="5" name="TekstSylinder 4">
              <a:extLst>
                <a:ext uri="{FF2B5EF4-FFF2-40B4-BE49-F238E27FC236}">
                  <a16:creationId xmlns:a16="http://schemas.microsoft.com/office/drawing/2014/main" id="{95ABD01E-B42F-4832-804C-0F5FDAA5A986}"/>
                </a:ext>
              </a:extLst>
            </xdr:cNvPr>
            <xdr:cNvSpPr txBox="1"/>
          </xdr:nvSpPr>
          <xdr:spPr>
            <a:xfrm>
              <a:off x="4124325" y="9577387"/>
              <a:ext cx="1061957"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Total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operating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costs</m:t>
                        </m:r>
                      </m:num>
                      <m:den>
                        <m:r>
                          <m:rPr>
                            <m:sty m:val="p"/>
                          </m:rPr>
                          <a:rPr lang="en-GB" sz="900">
                            <a:solidFill>
                              <a:schemeClr val="tx1"/>
                            </a:solidFill>
                            <a:effectLst/>
                            <a:latin typeface="Cambria Math" panose="02040503050406030204" pitchFamily="18" charset="0"/>
                            <a:ea typeface="+mn-ea"/>
                            <a:cs typeface="+mn-cs"/>
                          </a:rPr>
                          <m:t>Total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net</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income</m:t>
                        </m:r>
                      </m:den>
                    </m:f>
                  </m:oMath>
                </m:oMathPara>
              </a14:m>
              <a:endParaRPr lang="nb-NO" sz="900"/>
            </a:p>
          </xdr:txBody>
        </xdr:sp>
      </mc:Choice>
      <mc:Fallback xmlns="">
        <xdr:sp macro="" textlink="">
          <xdr:nvSpPr>
            <xdr:cNvPr id="5" name="TekstSylinder 4">
              <a:extLst>
                <a:ext uri="{FF2B5EF4-FFF2-40B4-BE49-F238E27FC236}">
                  <a16:creationId xmlns:a16="http://schemas.microsoft.com/office/drawing/2014/main" id="{95ABD01E-B42F-4832-804C-0F5FDAA5A986}"/>
                </a:ext>
              </a:extLst>
            </xdr:cNvPr>
            <xdr:cNvSpPr txBox="1"/>
          </xdr:nvSpPr>
          <xdr:spPr>
            <a:xfrm>
              <a:off x="4124325" y="9577387"/>
              <a:ext cx="1061957"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Total operating costs</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Total net income</a:t>
              </a:r>
              <a:r>
                <a:rPr lang="nb-NO" sz="900" i="0">
                  <a:solidFill>
                    <a:schemeClr val="tx1"/>
                  </a:solidFill>
                  <a:effectLst/>
                  <a:latin typeface="Cambria Math" panose="02040503050406030204" pitchFamily="18" charset="0"/>
                  <a:ea typeface="+mn-ea"/>
                  <a:cs typeface="+mn-cs"/>
                </a:rPr>
                <a:t>)</a:t>
              </a:r>
              <a:endParaRPr lang="nb-NO" sz="900"/>
            </a:p>
          </xdr:txBody>
        </xdr:sp>
      </mc:Fallback>
    </mc:AlternateContent>
    <xdr:clientData/>
  </xdr:oneCellAnchor>
  <xdr:oneCellAnchor>
    <xdr:from>
      <xdr:col>1</xdr:col>
      <xdr:colOff>571500</xdr:colOff>
      <xdr:row>18</xdr:row>
      <xdr:rowOff>100012</xdr:rowOff>
    </xdr:from>
    <xdr:ext cx="4070794" cy="422616"/>
    <mc:AlternateContent xmlns:mc="http://schemas.openxmlformats.org/markup-compatibility/2006" xmlns:a14="http://schemas.microsoft.com/office/drawing/2010/main">
      <mc:Choice Requires="a14">
        <xdr:sp macro="" textlink="">
          <xdr:nvSpPr>
            <xdr:cNvPr id="6" name="TekstSylinder 5">
              <a:extLst>
                <a:ext uri="{FF2B5EF4-FFF2-40B4-BE49-F238E27FC236}">
                  <a16:creationId xmlns:a16="http://schemas.microsoft.com/office/drawing/2014/main" id="{22A31318-D42A-482B-84B2-5BC09972E1DE}"/>
                </a:ext>
              </a:extLst>
            </xdr:cNvPr>
            <xdr:cNvSpPr txBox="1"/>
          </xdr:nvSpPr>
          <xdr:spPr>
            <a:xfrm>
              <a:off x="2771775" y="10539412"/>
              <a:ext cx="4070794" cy="4226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lang="nb-NO" sz="900" b="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𝑊𝑒𝑖𝑔h𝑡𝑒𝑑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𝑖𝑛𝑡𝑒𝑟𝑒𝑠𝑡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𝑟𝑎𝑡𝑒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𝑙𝑒𝑛𝑑𝑖𝑛𝑔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oMath>
              </a14:m>
              <a:r>
                <a:rPr lang="nb-NO" sz="900">
                  <a:solidFill>
                    <a:schemeClr val="tx1"/>
                  </a:solidFill>
                  <a:effectLst/>
                  <a:latin typeface="+mn-lt"/>
                  <a:ea typeface="+mn-ea"/>
                  <a:cs typeface="+mn-cs"/>
                </a:rPr>
                <a:t> and</a:t>
              </a:r>
              <a:br>
                <a:rPr lang="nb-NO" sz="900">
                  <a:solidFill>
                    <a:schemeClr val="tx1"/>
                  </a:solidFill>
                  <a:effectLst/>
                  <a:latin typeface="+mn-lt"/>
                  <a:ea typeface="+mn-ea"/>
                  <a:cs typeface="+mn-cs"/>
                </a:rPr>
              </a:b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𝑡𝑟𝑎𝑛𝑠𝑓𝑒𝑟𝑟𝑒𝑑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𝑐𝑜𝑣𝑒𝑟𝑒𝑑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𝑏𝑜𝑛𝑑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𝑐𝑜𝑚𝑝𝑎𝑛𝑖𝑒𝑠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𝐴𝑣𝑒𝑟𝑎𝑔𝑒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𝑁𝐼𝐵𝑂𝑅</m:t>
                    </m:r>
                    <m:r>
                      <a:rPr lang="en-GB" sz="900" i="1">
                        <a:solidFill>
                          <a:schemeClr val="tx1"/>
                        </a:solidFill>
                        <a:effectLst/>
                        <a:latin typeface="Cambria Math" panose="02040503050406030204" pitchFamily="18" charset="0"/>
                        <a:ea typeface="+mn-ea"/>
                        <a:cs typeface="+mn-cs"/>
                      </a:rPr>
                      <m:t> 3 </m:t>
                    </m:r>
                    <m:r>
                      <a:rPr lang="en-GB" sz="900" i="1">
                        <a:solidFill>
                          <a:schemeClr val="tx1"/>
                        </a:solidFill>
                        <a:effectLst/>
                        <a:latin typeface="Cambria Math" panose="02040503050406030204" pitchFamily="18" charset="0"/>
                        <a:ea typeface="+mn-ea"/>
                        <a:cs typeface="+mn-cs"/>
                      </a:rPr>
                      <m:t>𝑀𝑁𝐷</m:t>
                    </m:r>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6" name="TekstSylinder 5">
              <a:extLst>
                <a:ext uri="{FF2B5EF4-FFF2-40B4-BE49-F238E27FC236}">
                  <a16:creationId xmlns:a16="http://schemas.microsoft.com/office/drawing/2014/main" id="{22A31318-D42A-482B-84B2-5BC09972E1DE}"/>
                </a:ext>
              </a:extLst>
            </xdr:cNvPr>
            <xdr:cNvSpPr txBox="1"/>
          </xdr:nvSpPr>
          <xdr:spPr>
            <a:xfrm>
              <a:off x="2771775" y="10539412"/>
              <a:ext cx="4070794" cy="4226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b="0" i="0">
                  <a:solidFill>
                    <a:schemeClr val="tx1"/>
                  </a:solidFill>
                  <a:effectLst/>
                  <a:latin typeface="Cambria Math" panose="02040503050406030204" pitchFamily="18" charset="0"/>
                  <a:ea typeface="+mn-ea"/>
                  <a:cs typeface="+mn-cs"/>
                </a:rPr>
                <a:t>                </a:t>
              </a:r>
              <a:r>
                <a:rPr lang="en-GB" sz="900" i="0">
                  <a:solidFill>
                    <a:schemeClr val="tx1"/>
                  </a:solidFill>
                  <a:effectLst/>
                  <a:latin typeface="Cambria Math" panose="02040503050406030204" pitchFamily="18" charset="0"/>
                  <a:ea typeface="+mn-ea"/>
                  <a:cs typeface="+mn-cs"/>
                </a:rPr>
                <a:t>𝑊𝑒𝑖𝑔ℎ𝑡𝑒𝑑 𝑎𝑣𝑒𝑟𝑎𝑔𝑒 𝑖𝑛𝑡𝑒𝑟𝑒𝑠𝑡 𝑟𝑎𝑡𝑒 𝑜𝑛 𝑙𝑒𝑛𝑑𝑖𝑛𝑔 𝑡𝑜 𝑐𝑢𝑠𝑡𝑜𝑚𝑒𝑟𝑠</a:t>
              </a:r>
              <a:r>
                <a:rPr lang="nb-NO" sz="900">
                  <a:solidFill>
                    <a:schemeClr val="tx1"/>
                  </a:solidFill>
                  <a:effectLst/>
                  <a:latin typeface="+mn-lt"/>
                  <a:ea typeface="+mn-ea"/>
                  <a:cs typeface="+mn-cs"/>
                </a:rPr>
                <a:t> and</a:t>
              </a:r>
              <a:br>
                <a:rPr lang="nb-NO" sz="900">
                  <a:solidFill>
                    <a:schemeClr val="tx1"/>
                  </a:solidFill>
                  <a:effectLst/>
                  <a:latin typeface="+mn-lt"/>
                  <a:ea typeface="+mn-ea"/>
                  <a:cs typeface="+mn-cs"/>
                </a:rPr>
              </a:br>
              <a:r>
                <a:rPr lang="en-GB" sz="900" i="0">
                  <a:solidFill>
                    <a:schemeClr val="tx1"/>
                  </a:solidFill>
                  <a:effectLst/>
                  <a:latin typeface="Cambria Math" panose="02040503050406030204" pitchFamily="18" charset="0"/>
                  <a:ea typeface="+mn-ea"/>
                  <a:cs typeface="+mn-cs"/>
                </a:rPr>
                <a:t> 𝑙𝑜𝑎𝑛𝑠 𝑡𝑟𝑎𝑛𝑠𝑓𝑒𝑟𝑟𝑒𝑑 𝑡𝑜 𝑐𝑜𝑣𝑒𝑟𝑒𝑑 𝑏𝑜𝑛𝑑 𝑐𝑜𝑚𝑝𝑎𝑛𝑖𝑒𝑠 −𝐴𝑣𝑒𝑟𝑎𝑔𝑒 𝑁𝐼𝐵𝑂𝑅 3 𝑀𝑁𝐷</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276225</xdr:colOff>
      <xdr:row>21</xdr:row>
      <xdr:rowOff>176212</xdr:rowOff>
    </xdr:from>
    <xdr:ext cx="4629150" cy="281744"/>
    <mc:AlternateContent xmlns:mc="http://schemas.openxmlformats.org/markup-compatibility/2006" xmlns:a14="http://schemas.microsoft.com/office/drawing/2010/main">
      <mc:Choice Requires="a14">
        <xdr:sp macro="" textlink="">
          <xdr:nvSpPr>
            <xdr:cNvPr id="7" name="TekstSylinder 6">
              <a:extLst>
                <a:ext uri="{FF2B5EF4-FFF2-40B4-BE49-F238E27FC236}">
                  <a16:creationId xmlns:a16="http://schemas.microsoft.com/office/drawing/2014/main" id="{09EC5AA9-ADC5-4AA4-9B8D-B43B1CB34F68}"/>
                </a:ext>
              </a:extLst>
            </xdr:cNvPr>
            <xdr:cNvSpPr txBox="1"/>
          </xdr:nvSpPr>
          <xdr:spPr>
            <a:xfrm>
              <a:off x="2476500" y="12101512"/>
              <a:ext cx="462915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𝐴𝑣𝑒𝑟𝑎𝑔𝑒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𝑁𝐼𝐵𝑂𝑅</m:t>
                    </m:r>
                    <m:r>
                      <a:rPr lang="en-GB" sz="900" i="1">
                        <a:solidFill>
                          <a:schemeClr val="tx1"/>
                        </a:solidFill>
                        <a:effectLst/>
                        <a:latin typeface="Cambria Math" panose="02040503050406030204" pitchFamily="18" charset="0"/>
                        <a:ea typeface="+mn-ea"/>
                        <a:cs typeface="+mn-cs"/>
                      </a:rPr>
                      <m:t> 3 </m:t>
                    </m:r>
                    <m:r>
                      <a:rPr lang="en-GB" sz="900" i="1">
                        <a:solidFill>
                          <a:schemeClr val="tx1"/>
                        </a:solidFill>
                        <a:effectLst/>
                        <a:latin typeface="Cambria Math" panose="02040503050406030204" pitchFamily="18" charset="0"/>
                        <a:ea typeface="+mn-ea"/>
                        <a:cs typeface="+mn-cs"/>
                      </a:rPr>
                      <m:t>𝑀𝑁𝐷</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𝑊𝑒𝑖𝑔h𝑡𝑒𝑑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𝑖𝑛𝑡𝑒𝑟𝑒𝑠𝑡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𝑟𝑎𝑡𝑒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𝑑𝑒𝑝𝑜𝑠𝑖𝑡𝑠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7" name="TekstSylinder 6">
              <a:extLst>
                <a:ext uri="{FF2B5EF4-FFF2-40B4-BE49-F238E27FC236}">
                  <a16:creationId xmlns:a16="http://schemas.microsoft.com/office/drawing/2014/main" id="{09EC5AA9-ADC5-4AA4-9B8D-B43B1CB34F68}"/>
                </a:ext>
              </a:extLst>
            </xdr:cNvPr>
            <xdr:cNvSpPr txBox="1"/>
          </xdr:nvSpPr>
          <xdr:spPr>
            <a:xfrm>
              <a:off x="2476500" y="12101512"/>
              <a:ext cx="462915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900" i="0">
                  <a:solidFill>
                    <a:schemeClr val="tx1"/>
                  </a:solidFill>
                  <a:effectLst/>
                  <a:latin typeface="Cambria Math" panose="02040503050406030204" pitchFamily="18" charset="0"/>
                  <a:ea typeface="+mn-ea"/>
                  <a:cs typeface="+mn-cs"/>
                </a:rPr>
                <a:t>𝐴𝑣𝑒𝑟𝑎𝑔𝑒 𝑁𝐼𝐵𝑂𝑅 3 𝑀𝑁𝐷−𝑊𝑒𝑖𝑔ℎ𝑡𝑒𝑑 𝑎𝑣𝑒𝑟𝑎𝑔𝑒 𝑖𝑛𝑡𝑒𝑟𝑒𝑠𝑡 𝑟𝑎𝑡𝑒 𝑜𝑛 𝑑𝑒𝑝𝑜𝑠𝑖𝑡𝑠 𝑓𝑟𝑜𝑚 𝑐𝑢𝑠𝑡𝑜𝑚𝑒𝑟𝑠</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1476375</xdr:colOff>
      <xdr:row>23</xdr:row>
      <xdr:rowOff>157162</xdr:rowOff>
    </xdr:from>
    <xdr:ext cx="2055756" cy="313099"/>
    <mc:AlternateContent xmlns:mc="http://schemas.openxmlformats.org/markup-compatibility/2006" xmlns:a14="http://schemas.microsoft.com/office/drawing/2010/main">
      <mc:Choice Requires="a14">
        <xdr:sp macro="" textlink="">
          <xdr:nvSpPr>
            <xdr:cNvPr id="8" name="TekstSylinder 7">
              <a:extLst>
                <a:ext uri="{FF2B5EF4-FFF2-40B4-BE49-F238E27FC236}">
                  <a16:creationId xmlns:a16="http://schemas.microsoft.com/office/drawing/2014/main" id="{AA3D3000-E81A-406C-AACE-33EE5895DCB6}"/>
                </a:ext>
              </a:extLst>
            </xdr:cNvPr>
            <xdr:cNvSpPr txBox="1"/>
          </xdr:nvSpPr>
          <xdr:spPr>
            <a:xfrm>
              <a:off x="3676650" y="13073062"/>
              <a:ext cx="2055756"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𝐿𝑒𝑛𝑑𝑖𝑛𝑔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𝑚𝑎𝑟𝑔𝑖𝑛</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𝑚𝑎𝑟𝑔𝑖𝑛</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 name="TekstSylinder 7">
              <a:extLst>
                <a:ext uri="{FF2B5EF4-FFF2-40B4-BE49-F238E27FC236}">
                  <a16:creationId xmlns:a16="http://schemas.microsoft.com/office/drawing/2014/main" id="{AA3D3000-E81A-406C-AACE-33EE5895DCB6}"/>
                </a:ext>
              </a:extLst>
            </xdr:cNvPr>
            <xdr:cNvSpPr txBox="1"/>
          </xdr:nvSpPr>
          <xdr:spPr>
            <a:xfrm>
              <a:off x="3676650" y="13073062"/>
              <a:ext cx="2055756"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900" i="0">
                  <a:solidFill>
                    <a:schemeClr val="tx1"/>
                  </a:solidFill>
                  <a:effectLst/>
                  <a:latin typeface="Cambria Math" panose="02040503050406030204" pitchFamily="18" charset="0"/>
                  <a:ea typeface="+mn-ea"/>
                  <a:cs typeface="+mn-cs"/>
                </a:rPr>
                <a:t>𝐿𝑒𝑛𝑑𝑖𝑛𝑔 𝑚𝑎𝑟𝑔𝑖𝑛+𝐷𝑒𝑝𝑜𝑠𝑖𝑡 𝑚𝑎𝑟𝑔𝑖𝑛</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28575</xdr:colOff>
      <xdr:row>25</xdr:row>
      <xdr:rowOff>261937</xdr:rowOff>
    </xdr:from>
    <xdr:ext cx="5142433" cy="140872"/>
    <mc:AlternateContent xmlns:mc="http://schemas.openxmlformats.org/markup-compatibility/2006" xmlns:a14="http://schemas.microsoft.com/office/drawing/2010/main">
      <mc:Choice Requires="a14">
        <xdr:sp macro="" textlink="">
          <xdr:nvSpPr>
            <xdr:cNvPr id="9" name="TekstSylinder 8">
              <a:extLst>
                <a:ext uri="{FF2B5EF4-FFF2-40B4-BE49-F238E27FC236}">
                  <a16:creationId xmlns:a16="http://schemas.microsoft.com/office/drawing/2014/main" id="{8A7CDC4F-4BF7-4095-8924-05C691316D82}"/>
                </a:ext>
              </a:extLst>
            </xdr:cNvPr>
            <xdr:cNvSpPr txBox="1"/>
          </xdr:nvSpPr>
          <xdr:spPr>
            <a:xfrm>
              <a:off x="2228850" y="14416087"/>
              <a:ext cx="5142433"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𝑁𝑒𝑡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𝑖𝑛𝑡𝑒𝑟𝑒𝑠𝑡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𝑖𝑛𝑐𝑜𝑚𝑒</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𝐶𝑜𝑚𝑚𝑖𝑠𝑠𝑖𝑜𝑛𝑠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𝑐𝑟𝑒𝑑𝑖𝑡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p>
          </xdr:txBody>
        </xdr:sp>
      </mc:Choice>
      <mc:Fallback xmlns="">
        <xdr:sp macro="" textlink="">
          <xdr:nvSpPr>
            <xdr:cNvPr id="9" name="TekstSylinder 8">
              <a:extLst>
                <a:ext uri="{FF2B5EF4-FFF2-40B4-BE49-F238E27FC236}">
                  <a16:creationId xmlns:a16="http://schemas.microsoft.com/office/drawing/2014/main" id="{8A7CDC4F-4BF7-4095-8924-05C691316D82}"/>
                </a:ext>
              </a:extLst>
            </xdr:cNvPr>
            <xdr:cNvSpPr txBox="1"/>
          </xdr:nvSpPr>
          <xdr:spPr>
            <a:xfrm>
              <a:off x="2228850" y="14416087"/>
              <a:ext cx="5142433"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𝑁𝑒𝑡 𝑖𝑛𝑡𝑒𝑟𝑒𝑠𝑡 𝑖𝑛𝑐𝑜𝑚𝑒+𝐶𝑜𝑚𝑚𝑖𝑠𝑠𝑖𝑜𝑛𝑠 𝑓𝑟𝑜𝑚 𝑙𝑜𝑎𝑛𝑠 𝑎𝑛𝑑 𝑐𝑟𝑒𝑑𝑖𝑡 𝑡𝑟𝑎𝑛𝑠𝑓𝑒𝑟𝑟𝑒𝑑 𝑡𝑜 𝑐𝑜𝑣𝑒𝑟𝑒𝑑 𝑏𝑜𝑛𝑑 𝑐𝑜𝑚𝑝𝑎𝑛𝑖𝑒𝑠</a:t>
              </a:r>
              <a:endParaRPr lang="nb-NO" sz="900"/>
            </a:p>
          </xdr:txBody>
        </xdr:sp>
      </mc:Fallback>
    </mc:AlternateContent>
    <xdr:clientData/>
  </xdr:oneCellAnchor>
  <xdr:oneCellAnchor>
    <xdr:from>
      <xdr:col>1</xdr:col>
      <xdr:colOff>885825</xdr:colOff>
      <xdr:row>27</xdr:row>
      <xdr:rowOff>185737</xdr:rowOff>
    </xdr:from>
    <xdr:ext cx="3582969" cy="313099"/>
    <mc:AlternateContent xmlns:mc="http://schemas.openxmlformats.org/markup-compatibility/2006" xmlns:a14="http://schemas.microsoft.com/office/drawing/2010/main">
      <mc:Choice Requires="a14">
        <xdr:sp macro="" textlink="">
          <xdr:nvSpPr>
            <xdr:cNvPr id="10" name="TekstSylinder 9">
              <a:extLst>
                <a:ext uri="{FF2B5EF4-FFF2-40B4-BE49-F238E27FC236}">
                  <a16:creationId xmlns:a16="http://schemas.microsoft.com/office/drawing/2014/main" id="{6D620930-FBE2-4A01-AE92-3E85B7E1304E}"/>
                </a:ext>
              </a:extLst>
            </xdr:cNvPr>
            <xdr:cNvSpPr txBox="1"/>
          </xdr:nvSpPr>
          <xdr:spPr>
            <a:xfrm>
              <a:off x="3086100" y="15578137"/>
              <a:ext cx="3582969"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𝑎𝑠𝑠𝑒𝑡𝑠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0" name="TekstSylinder 9">
              <a:extLst>
                <a:ext uri="{FF2B5EF4-FFF2-40B4-BE49-F238E27FC236}">
                  <a16:creationId xmlns:a16="http://schemas.microsoft.com/office/drawing/2014/main" id="{6D620930-FBE2-4A01-AE92-3E85B7E1304E}"/>
                </a:ext>
              </a:extLst>
            </xdr:cNvPr>
            <xdr:cNvSpPr txBox="1"/>
          </xdr:nvSpPr>
          <xdr:spPr>
            <a:xfrm>
              <a:off x="3086100" y="15578137"/>
              <a:ext cx="3582969"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 𝑎𝑠𝑠𝑒𝑡𝑠+𝐿𝑜𝑎𝑛𝑠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190501</xdr:colOff>
      <xdr:row>29</xdr:row>
      <xdr:rowOff>157162</xdr:rowOff>
    </xdr:from>
    <xdr:ext cx="4800600" cy="313099"/>
    <mc:AlternateContent xmlns:mc="http://schemas.openxmlformats.org/markup-compatibility/2006" xmlns:a14="http://schemas.microsoft.com/office/drawing/2010/main">
      <mc:Choice Requires="a14">
        <xdr:sp macro="" textlink="">
          <xdr:nvSpPr>
            <xdr:cNvPr id="11" name="TekstSylinder 10">
              <a:extLst>
                <a:ext uri="{FF2B5EF4-FFF2-40B4-BE49-F238E27FC236}">
                  <a16:creationId xmlns:a16="http://schemas.microsoft.com/office/drawing/2014/main" id="{1EA70FDE-022C-4A4B-9D72-147FCAD43A45}"/>
                </a:ext>
              </a:extLst>
            </xdr:cNvPr>
            <xdr:cNvSpPr txBox="1"/>
          </xdr:nvSpPr>
          <xdr:spPr>
            <a:xfrm>
              <a:off x="2390776" y="16540162"/>
              <a:ext cx="4800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𝑟𝑒𝑐𝑒𝑖𝑣𝑎𝑏𝑙𝑒𝑠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1" name="TekstSylinder 10">
              <a:extLst>
                <a:ext uri="{FF2B5EF4-FFF2-40B4-BE49-F238E27FC236}">
                  <a16:creationId xmlns:a16="http://schemas.microsoft.com/office/drawing/2014/main" id="{1EA70FDE-022C-4A4B-9D72-147FCAD43A45}"/>
                </a:ext>
              </a:extLst>
            </xdr:cNvPr>
            <xdr:cNvSpPr txBox="1"/>
          </xdr:nvSpPr>
          <xdr:spPr>
            <a:xfrm>
              <a:off x="2390776" y="16540162"/>
              <a:ext cx="4800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𝐿𝑜𝑎𝑛𝑠 𝑡𝑜 𝑎𝑛𝑑 𝑟𝑒𝑐𝑒𝑖𝑣𝑎𝑏𝑙𝑒𝑠 𝑓𝑟𝑜𝑚 𝑐𝑢𝑠𝑡𝑜𝑚𝑒𝑟𝑠+𝐿𝑜𝑎𝑛𝑠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1285875</xdr:colOff>
      <xdr:row>31</xdr:row>
      <xdr:rowOff>119062</xdr:rowOff>
    </xdr:from>
    <xdr:ext cx="2458430" cy="435504"/>
    <mc:AlternateContent xmlns:mc="http://schemas.openxmlformats.org/markup-compatibility/2006" xmlns:a14="http://schemas.microsoft.com/office/drawing/2010/main">
      <mc:Choice Requires="a14">
        <xdr:sp macro="" textlink="">
          <xdr:nvSpPr>
            <xdr:cNvPr id="12" name="TekstSylinder 11">
              <a:extLst>
                <a:ext uri="{FF2B5EF4-FFF2-40B4-BE49-F238E27FC236}">
                  <a16:creationId xmlns:a16="http://schemas.microsoft.com/office/drawing/2014/main" id="{FAF8C33A-9E66-4962-B040-5A50D0F5AE6B}"/>
                </a:ext>
              </a:extLst>
            </xdr:cNvPr>
            <xdr:cNvSpPr txBox="1"/>
          </xdr:nvSpPr>
          <xdr:spPr>
            <a:xfrm>
              <a:off x="3486150" y="17492662"/>
              <a:ext cx="2458430"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2" name="TekstSylinder 11">
              <a:extLst>
                <a:ext uri="{FF2B5EF4-FFF2-40B4-BE49-F238E27FC236}">
                  <a16:creationId xmlns:a16="http://schemas.microsoft.com/office/drawing/2014/main" id="{FAF8C33A-9E66-4962-B040-5A50D0F5AE6B}"/>
                </a:ext>
              </a:extLst>
            </xdr:cNvPr>
            <xdr:cNvSpPr txBox="1"/>
          </xdr:nvSpPr>
          <xdr:spPr>
            <a:xfrm>
              <a:off x="3486150" y="17492662"/>
              <a:ext cx="2458430"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a:t>
              </a:r>
              <a:r>
                <a:rPr lang="nb-NO" sz="900" i="0">
                  <a:solidFill>
                    <a:schemeClr val="tx1"/>
                  </a:solidFill>
                  <a:effectLst/>
                  <a:latin typeface="Cambria Math" panose="02040503050406030204" pitchFamily="18" charset="0"/>
                  <a:ea typeface="+mn-ea"/>
                  <a:cs typeface="+mn-cs"/>
                </a:rPr>
                <a: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323850</xdr:colOff>
      <xdr:row>33</xdr:row>
      <xdr:rowOff>138112</xdr:rowOff>
    </xdr:from>
    <xdr:ext cx="4285276" cy="428451"/>
    <mc:AlternateContent xmlns:mc="http://schemas.openxmlformats.org/markup-compatibility/2006" xmlns:a14="http://schemas.microsoft.com/office/drawing/2010/main">
      <mc:Choice Requires="a14">
        <xdr:sp macro="" textlink="">
          <xdr:nvSpPr>
            <xdr:cNvPr id="13" name="TekstSylinder 12">
              <a:extLst>
                <a:ext uri="{FF2B5EF4-FFF2-40B4-BE49-F238E27FC236}">
                  <a16:creationId xmlns:a16="http://schemas.microsoft.com/office/drawing/2014/main" id="{EE6F7DED-EB62-4D6D-BB1E-6E6281AA1803}"/>
                </a:ext>
              </a:extLst>
            </xdr:cNvPr>
            <xdr:cNvSpPr txBox="1"/>
          </xdr:nvSpPr>
          <xdr:spPr>
            <a:xfrm>
              <a:off x="2524125" y="18626137"/>
              <a:ext cx="4285276" cy="4284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r>
                          <a:rPr lang="en-GB" sz="900">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den>
                    </m:f>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13" name="TekstSylinder 12">
              <a:extLst>
                <a:ext uri="{FF2B5EF4-FFF2-40B4-BE49-F238E27FC236}">
                  <a16:creationId xmlns:a16="http://schemas.microsoft.com/office/drawing/2014/main" id="{EE6F7DED-EB62-4D6D-BB1E-6E6281AA1803}"/>
                </a:ext>
              </a:extLst>
            </xdr:cNvPr>
            <xdr:cNvSpPr txBox="1"/>
          </xdr:nvSpPr>
          <xdr:spPr>
            <a:xfrm>
              <a:off x="2524125" y="18626137"/>
              <a:ext cx="4285276" cy="4284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 </a:t>
              </a:r>
              <a:r>
                <a:rPr lang="nb-NO" sz="900" i="0">
                  <a:solidFill>
                    <a:schemeClr val="tx1"/>
                  </a:solidFill>
                  <a:effectLst/>
                  <a:latin typeface="Cambria Math" panose="02040503050406030204" pitchFamily="18" charset="0"/>
                  <a:ea typeface="+mn-ea"/>
                  <a:cs typeface="+mn-cs"/>
                </a:rPr>
                <a:t>+𝐿𝑜𝑎𝑛𝑠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1304925</xdr:colOff>
      <xdr:row>35</xdr:row>
      <xdr:rowOff>109537</xdr:rowOff>
    </xdr:from>
    <xdr:ext cx="2499082" cy="459549"/>
    <mc:AlternateContent xmlns:mc="http://schemas.openxmlformats.org/markup-compatibility/2006" xmlns:a14="http://schemas.microsoft.com/office/drawing/2010/main">
      <mc:Choice Requires="a14">
        <xdr:sp macro="" textlink="">
          <xdr:nvSpPr>
            <xdr:cNvPr id="14" name="TekstSylinder 13">
              <a:extLst>
                <a:ext uri="{FF2B5EF4-FFF2-40B4-BE49-F238E27FC236}">
                  <a16:creationId xmlns:a16="http://schemas.microsoft.com/office/drawing/2014/main" id="{7CEB209E-9670-4167-9433-659E52AE709A}"/>
                </a:ext>
              </a:extLst>
            </xdr:cNvPr>
            <xdr:cNvSpPr txBox="1"/>
          </xdr:nvSpPr>
          <xdr:spPr>
            <a:xfrm>
              <a:off x="3505200" y="19835812"/>
              <a:ext cx="2499082"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num>
                      <m:den>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r>
                          <a:rPr lang="en-GB" sz="900">
                            <a:solidFill>
                              <a:schemeClr val="tx1"/>
                            </a:solidFill>
                            <a:effectLst/>
                            <a:latin typeface="Cambria Math" panose="02040503050406030204" pitchFamily="18" charset="0"/>
                            <a:ea typeface="+mn-ea"/>
                            <a:cs typeface="+mn-cs"/>
                          </a:rPr>
                          <m:t> 12 </m:t>
                        </m:r>
                        <m:r>
                          <m:rPr>
                            <m:sty m:val="p"/>
                          </m:rPr>
                          <a:rPr lang="en-GB" sz="900">
                            <a:solidFill>
                              <a:schemeClr val="tx1"/>
                            </a:solidFill>
                            <a:effectLst/>
                            <a:latin typeface="Cambria Math" panose="02040503050406030204" pitchFamily="18" charset="0"/>
                            <a:ea typeface="+mn-ea"/>
                            <a:cs typeface="+mn-cs"/>
                          </a:rPr>
                          <m:t>months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ago</m:t>
                        </m:r>
                      </m:den>
                    </m:f>
                    <m:r>
                      <a:rPr lang="en-GB" sz="900" i="1">
                        <a:solidFill>
                          <a:schemeClr val="tx1"/>
                        </a:solidFill>
                        <a:effectLst/>
                        <a:latin typeface="Cambria Math" panose="02040503050406030204" pitchFamily="18" charset="0"/>
                        <a:ea typeface="+mn-ea"/>
                        <a:cs typeface="+mn-cs"/>
                      </a:rPr>
                      <m:t>−1</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4" name="TekstSylinder 13">
              <a:extLst>
                <a:ext uri="{FF2B5EF4-FFF2-40B4-BE49-F238E27FC236}">
                  <a16:creationId xmlns:a16="http://schemas.microsoft.com/office/drawing/2014/main" id="{7CEB209E-9670-4167-9433-659E52AE709A}"/>
                </a:ext>
              </a:extLst>
            </xdr:cNvPr>
            <xdr:cNvSpPr txBox="1"/>
          </xdr:nvSpPr>
          <xdr:spPr>
            <a:xfrm>
              <a:off x="3505200" y="19835812"/>
              <a:ext cx="2499082"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 12 months ago</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308959</xdr:colOff>
      <xdr:row>37</xdr:row>
      <xdr:rowOff>168275</xdr:rowOff>
    </xdr:from>
    <xdr:ext cx="4572982" cy="287579"/>
    <mc:AlternateContent xmlns:mc="http://schemas.openxmlformats.org/markup-compatibility/2006" xmlns:a14="http://schemas.microsoft.com/office/drawing/2010/main">
      <mc:Choice Requires="a14">
        <xdr:sp macro="" textlink="">
          <xdr:nvSpPr>
            <xdr:cNvPr id="15" name="TekstSylinder 14">
              <a:extLst>
                <a:ext uri="{FF2B5EF4-FFF2-40B4-BE49-F238E27FC236}">
                  <a16:creationId xmlns:a16="http://schemas.microsoft.com/office/drawing/2014/main" id="{9E377C61-460E-4980-A5AA-F6D59BB65F7E}"/>
                </a:ext>
              </a:extLst>
            </xdr:cNvPr>
            <xdr:cNvSpPr txBox="1"/>
          </xdr:nvSpPr>
          <xdr:spPr>
            <a:xfrm>
              <a:off x="2509234" y="20885150"/>
              <a:ext cx="4572982"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latin typeface="Cambria Math" panose="02040503050406030204" pitchFamily="18" charset="0"/>
                          </a:rPr>
                        </m:ctrlPr>
                      </m:fPr>
                      <m:num>
                        <m:r>
                          <a:rPr lang="nb-NO" sz="900" b="0" i="1">
                            <a:latin typeface="Cambria Math" panose="02040503050406030204" pitchFamily="18" charset="0"/>
                          </a:rPr>
                          <m:t>𝐺𝑟𝑜𝑠𝑠</m:t>
                        </m:r>
                        <m:r>
                          <a:rPr lang="nb-NO" sz="900" b="0" i="1">
                            <a:latin typeface="Cambria Math" panose="02040503050406030204" pitchFamily="18" charset="0"/>
                          </a:rPr>
                          <m:t> </m:t>
                        </m:r>
                        <m:r>
                          <a:rPr lang="nb-NO" sz="900" b="0" i="1">
                            <a:latin typeface="Cambria Math" panose="02040503050406030204" pitchFamily="18" charset="0"/>
                          </a:rPr>
                          <m:t>𝑙𝑜𝑎𝑛𝑠</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𝑐𝑢𝑠𝑡𝑜𝑚𝑒𝑟𝑠</m:t>
                        </m:r>
                        <m:r>
                          <a:rPr lang="nb-NO" sz="900" b="0" i="1">
                            <a:latin typeface="Cambria Math" panose="02040503050406030204" pitchFamily="18" charset="0"/>
                          </a:rPr>
                          <m:t>+</m:t>
                        </m:r>
                        <m:r>
                          <a:rPr lang="nb-NO" sz="900" b="0" i="1">
                            <a:latin typeface="Cambria Math" panose="02040503050406030204" pitchFamily="18" charset="0"/>
                          </a:rPr>
                          <m:t>𝐿𝑜𝑎𝑛𝑠</m:t>
                        </m:r>
                        <m:r>
                          <a:rPr lang="nb-NO" sz="900" b="0" i="1">
                            <a:latin typeface="Cambria Math" panose="02040503050406030204" pitchFamily="18" charset="0"/>
                          </a:rPr>
                          <m:t> </m:t>
                        </m:r>
                        <m:r>
                          <a:rPr lang="nb-NO" sz="900" b="0" i="1">
                            <a:latin typeface="Cambria Math" panose="02040503050406030204" pitchFamily="18" charset="0"/>
                          </a:rPr>
                          <m:t>𝑡𝑟𝑎𝑛𝑠𝑓𝑒𝑟𝑟𝑒𝑑</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𝐶𝐵</m:t>
                        </m:r>
                      </m:num>
                      <m:den>
                        <m:r>
                          <a:rPr lang="nb-NO" sz="900" b="0" i="1">
                            <a:latin typeface="Cambria Math" panose="02040503050406030204" pitchFamily="18" charset="0"/>
                          </a:rPr>
                          <m:t>𝐺𝑟𝑜𝑠𝑠</m:t>
                        </m:r>
                        <m:r>
                          <a:rPr lang="nb-NO" sz="900" b="0" i="1">
                            <a:latin typeface="Cambria Math" panose="02040503050406030204" pitchFamily="18" charset="0"/>
                          </a:rPr>
                          <m:t> </m:t>
                        </m:r>
                        <m:r>
                          <a:rPr lang="nb-NO" sz="900" b="0" i="1">
                            <a:latin typeface="Cambria Math" panose="02040503050406030204" pitchFamily="18" charset="0"/>
                          </a:rPr>
                          <m:t>𝑙𝑜𝑎𝑛𝑠</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𝑐𝑢𝑠𝑡𝑜𝑚𝑒𝑟𝑠</m:t>
                        </m:r>
                        <m:r>
                          <a:rPr lang="nb-NO" sz="900" b="0" i="1">
                            <a:latin typeface="Cambria Math" panose="02040503050406030204" pitchFamily="18" charset="0"/>
                          </a:rPr>
                          <m:t> 12 </m:t>
                        </m:r>
                        <m:r>
                          <a:rPr lang="nb-NO" sz="900" b="0" i="1">
                            <a:latin typeface="Cambria Math" panose="02040503050406030204" pitchFamily="18" charset="0"/>
                          </a:rPr>
                          <m:t>𝑚𝑜𝑛𝑡h𝑠</m:t>
                        </m:r>
                        <m:r>
                          <a:rPr lang="nb-NO" sz="900" b="0" i="1">
                            <a:latin typeface="Cambria Math" panose="02040503050406030204" pitchFamily="18" charset="0"/>
                          </a:rPr>
                          <m:t> </m:t>
                        </m:r>
                        <m:r>
                          <a:rPr lang="nb-NO" sz="900" b="0" i="1">
                            <a:latin typeface="Cambria Math" panose="02040503050406030204" pitchFamily="18" charset="0"/>
                          </a:rPr>
                          <m:t>𝑎𝑔𝑜</m:t>
                        </m:r>
                        <m:r>
                          <a:rPr lang="nb-NO" sz="900" b="0" i="1">
                            <a:latin typeface="Cambria Math" panose="02040503050406030204" pitchFamily="18" charset="0"/>
                          </a:rPr>
                          <m:t>+</m:t>
                        </m:r>
                        <m:r>
                          <a:rPr lang="nb-NO" sz="900" b="0" i="1">
                            <a:latin typeface="Cambria Math" panose="02040503050406030204" pitchFamily="18" charset="0"/>
                          </a:rPr>
                          <m:t>𝐿𝑜𝑎𝑛𝑠</m:t>
                        </m:r>
                        <m:r>
                          <a:rPr lang="nb-NO" sz="900" b="0" i="1">
                            <a:latin typeface="Cambria Math" panose="02040503050406030204" pitchFamily="18" charset="0"/>
                          </a:rPr>
                          <m:t> </m:t>
                        </m:r>
                        <m:r>
                          <a:rPr lang="nb-NO" sz="900" b="0" i="1">
                            <a:latin typeface="Cambria Math" panose="02040503050406030204" pitchFamily="18" charset="0"/>
                          </a:rPr>
                          <m:t>𝑡𝑟𝑎𝑛𝑠𝑓𝑒𝑟𝑟𝑒𝑑</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𝐶𝐵</m:t>
                        </m:r>
                        <m:r>
                          <a:rPr lang="nb-NO" sz="900" b="0" i="1">
                            <a:latin typeface="Cambria Math" panose="02040503050406030204" pitchFamily="18" charset="0"/>
                          </a:rPr>
                          <m:t> 12 </m:t>
                        </m:r>
                        <m:r>
                          <a:rPr lang="nb-NO" sz="900" b="0" i="1">
                            <a:latin typeface="Cambria Math" panose="02040503050406030204" pitchFamily="18" charset="0"/>
                          </a:rPr>
                          <m:t>𝑚𝑜𝑛𝑡h𝑠</m:t>
                        </m:r>
                        <m:r>
                          <a:rPr lang="nb-NO" sz="900" b="0" i="1">
                            <a:latin typeface="Cambria Math" panose="02040503050406030204" pitchFamily="18" charset="0"/>
                          </a:rPr>
                          <m:t> </m:t>
                        </m:r>
                        <m:r>
                          <a:rPr lang="nb-NO" sz="900" b="0" i="1">
                            <a:latin typeface="Cambria Math" panose="02040503050406030204" pitchFamily="18" charset="0"/>
                          </a:rPr>
                          <m:t>𝑎𝑔𝑜</m:t>
                        </m:r>
                      </m:den>
                    </m:f>
                    <m:r>
                      <a:rPr lang="nb-NO" sz="900" b="0" i="1">
                        <a:latin typeface="Cambria Math" panose="02040503050406030204" pitchFamily="18" charset="0"/>
                      </a:rPr>
                      <m:t> −1</m:t>
                    </m:r>
                  </m:oMath>
                </m:oMathPara>
              </a14:m>
              <a:endParaRPr lang="nb-NO" sz="900"/>
            </a:p>
          </xdr:txBody>
        </xdr:sp>
      </mc:Choice>
      <mc:Fallback xmlns="">
        <xdr:sp macro="" textlink="">
          <xdr:nvSpPr>
            <xdr:cNvPr id="15" name="TekstSylinder 14">
              <a:extLst>
                <a:ext uri="{FF2B5EF4-FFF2-40B4-BE49-F238E27FC236}">
                  <a16:creationId xmlns:a16="http://schemas.microsoft.com/office/drawing/2014/main" id="{9E377C61-460E-4980-A5AA-F6D59BB65F7E}"/>
                </a:ext>
              </a:extLst>
            </xdr:cNvPr>
            <xdr:cNvSpPr txBox="1"/>
          </xdr:nvSpPr>
          <xdr:spPr>
            <a:xfrm>
              <a:off x="2509234" y="20885150"/>
              <a:ext cx="4572982"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latin typeface="Cambria Math" panose="02040503050406030204" pitchFamily="18" charset="0"/>
                </a:rPr>
                <a:t>(</a:t>
              </a:r>
              <a:r>
                <a:rPr lang="nb-NO" sz="900" b="0" i="0">
                  <a:latin typeface="Cambria Math" panose="02040503050406030204" pitchFamily="18" charset="0"/>
                </a:rPr>
                <a:t>𝐺𝑟𝑜𝑠𝑠 𝑙𝑜𝑎𝑛𝑠 𝑡𝑜 𝑐𝑢𝑠𝑡𝑜𝑚𝑒𝑟𝑠+𝐿𝑜𝑎𝑛𝑠 𝑡𝑟𝑎𝑛𝑠𝑓𝑒𝑟𝑟𝑒𝑑 𝑡𝑜 𝐶𝐵)/(𝐺𝑟𝑜𝑠𝑠 𝑙𝑜𝑎𝑛𝑠 𝑡𝑜 𝑐𝑢𝑠𝑡𝑜𝑚𝑒𝑟𝑠 12 𝑚𝑜𝑛𝑡ℎ𝑠 𝑎𝑔𝑜+𝐿𝑜𝑎𝑛𝑠 𝑡𝑟𝑎𝑛𝑠𝑓𝑒𝑟𝑟𝑒𝑑 𝑡𝑜 𝐶𝐵 12 𝑚𝑜𝑛𝑡ℎ𝑠 𝑎𝑔𝑜)  −1</a:t>
              </a:r>
              <a:endParaRPr lang="nb-NO" sz="900"/>
            </a:p>
          </xdr:txBody>
        </xdr:sp>
      </mc:Fallback>
    </mc:AlternateContent>
    <xdr:clientData/>
  </xdr:oneCellAnchor>
  <xdr:oneCellAnchor>
    <xdr:from>
      <xdr:col>1</xdr:col>
      <xdr:colOff>714375</xdr:colOff>
      <xdr:row>40</xdr:row>
      <xdr:rowOff>100012</xdr:rowOff>
    </xdr:from>
    <xdr:ext cx="3608295" cy="459806"/>
    <mc:AlternateContent xmlns:mc="http://schemas.openxmlformats.org/markup-compatibility/2006" xmlns:a14="http://schemas.microsoft.com/office/drawing/2010/main">
      <mc:Choice Requires="a14">
        <xdr:sp macro="" textlink="">
          <xdr:nvSpPr>
            <xdr:cNvPr id="16" name="TekstSylinder 15">
              <a:extLst>
                <a:ext uri="{FF2B5EF4-FFF2-40B4-BE49-F238E27FC236}">
                  <a16:creationId xmlns:a16="http://schemas.microsoft.com/office/drawing/2014/main" id="{4F762C0A-BE88-443B-BB9F-E82AA146FCD4}"/>
                </a:ext>
              </a:extLst>
            </xdr:cNvPr>
            <xdr:cNvSpPr txBox="1"/>
          </xdr:nvSpPr>
          <xdr:spPr>
            <a:xfrm>
              <a:off x="2914650" y="22674262"/>
              <a:ext cx="360829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Deposits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from</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and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liabilities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num>
                      <m:den>
                        <m:r>
                          <a:rPr lang="en-GB" sz="900" i="1">
                            <a:solidFill>
                              <a:schemeClr val="tx1"/>
                            </a:solidFill>
                            <a:effectLst/>
                            <a:latin typeface="Cambria Math" panose="02040503050406030204" pitchFamily="18" charset="0"/>
                            <a:ea typeface="+mn-ea"/>
                            <a:cs typeface="+mn-cs"/>
                          </a:rPr>
                          <m:t>𝐷𝑒𝑝𝑜𝑠𝑖𝑡𝑠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𝑚𝑜𝑛𝑡h𝑠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𝑎𝑔𝑜</m:t>
                        </m:r>
                      </m:den>
                    </m:f>
                    <m:r>
                      <a:rPr lang="en-GB" sz="900" i="1">
                        <a:solidFill>
                          <a:schemeClr val="tx1"/>
                        </a:solidFill>
                        <a:effectLst/>
                        <a:latin typeface="Cambria Math" panose="02040503050406030204" pitchFamily="18" charset="0"/>
                        <a:ea typeface="+mn-ea"/>
                        <a:cs typeface="+mn-cs"/>
                      </a:rPr>
                      <m:t>−1</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6" name="TekstSylinder 15">
              <a:extLst>
                <a:ext uri="{FF2B5EF4-FFF2-40B4-BE49-F238E27FC236}">
                  <a16:creationId xmlns:a16="http://schemas.microsoft.com/office/drawing/2014/main" id="{4F762C0A-BE88-443B-BB9F-E82AA146FCD4}"/>
                </a:ext>
              </a:extLst>
            </xdr:cNvPr>
            <xdr:cNvSpPr txBox="1"/>
          </xdr:nvSpPr>
          <xdr:spPr>
            <a:xfrm>
              <a:off x="2914650" y="22674262"/>
              <a:ext cx="360829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Deposits from and liabilities to customers</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𝐷𝑒𝑝𝑜𝑠𝑖𝑡𝑠 𝑓𝑟𝑜𝑚 𝑎𝑛𝑑 𝑙𝑖𝑎𝑏𝑖𝑙𝑖𝑡𝑖𝑒𝑠 𝑡𝑜 𝑐𝑢𝑠𝑡𝑜𝑚𝑒𝑟𝑠 12 𝑚𝑜𝑛𝑡ℎ𝑠 𝑎𝑔𝑜</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1362075</xdr:colOff>
      <xdr:row>42</xdr:row>
      <xdr:rowOff>109537</xdr:rowOff>
    </xdr:from>
    <xdr:ext cx="2360583" cy="523028"/>
    <mc:AlternateContent xmlns:mc="http://schemas.openxmlformats.org/markup-compatibility/2006" xmlns:a14="http://schemas.microsoft.com/office/drawing/2010/main">
      <mc:Choice Requires="a14">
        <xdr:sp macro="" textlink="">
          <xdr:nvSpPr>
            <xdr:cNvPr id="17" name="TekstSylinder 16">
              <a:extLst>
                <a:ext uri="{FF2B5EF4-FFF2-40B4-BE49-F238E27FC236}">
                  <a16:creationId xmlns:a16="http://schemas.microsoft.com/office/drawing/2014/main" id="{A9A94247-E6AD-457F-9B0A-7A221B60DB32}"/>
                </a:ext>
              </a:extLst>
            </xdr:cNvPr>
            <xdr:cNvSpPr txBox="1"/>
          </xdr:nvSpPr>
          <xdr:spPr>
            <a:xfrm>
              <a:off x="3562350" y="23674387"/>
              <a:ext cx="2360583"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Losses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and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guarantees</m:t>
                            </m:r>
                          </m:e>
                        </m:d>
                        <m:r>
                          <a:rPr lang="nb-NO" sz="900">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7" name="TekstSylinder 16">
              <a:extLst>
                <a:ext uri="{FF2B5EF4-FFF2-40B4-BE49-F238E27FC236}">
                  <a16:creationId xmlns:a16="http://schemas.microsoft.com/office/drawing/2014/main" id="{A9A94247-E6AD-457F-9B0A-7A221B60DB32}"/>
                </a:ext>
              </a:extLst>
            </xdr:cNvPr>
            <xdr:cNvSpPr txBox="1"/>
          </xdr:nvSpPr>
          <xdr:spPr>
            <a:xfrm>
              <a:off x="3562350" y="23674387"/>
              <a:ext cx="2360583"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((Losses on loans and guarantees)×(Act/Act) )/(Gross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1228725</xdr:colOff>
      <xdr:row>48</xdr:row>
      <xdr:rowOff>109537</xdr:rowOff>
    </xdr:from>
    <xdr:ext cx="2613856" cy="263277"/>
    <mc:AlternateContent xmlns:mc="http://schemas.openxmlformats.org/markup-compatibility/2006" xmlns:a14="http://schemas.microsoft.com/office/drawing/2010/main">
      <mc:Choice Requires="a14">
        <xdr:sp macro="" textlink="">
          <xdr:nvSpPr>
            <xdr:cNvPr id="18" name="TekstSylinder 17">
              <a:extLst>
                <a:ext uri="{FF2B5EF4-FFF2-40B4-BE49-F238E27FC236}">
                  <a16:creationId xmlns:a16="http://schemas.microsoft.com/office/drawing/2014/main" id="{D0057F0D-C4A4-46A9-9435-EC3A2E8B29C4}"/>
                </a:ext>
              </a:extLst>
            </xdr:cNvPr>
            <xdr:cNvSpPr txBox="1"/>
          </xdr:nvSpPr>
          <xdr:spPr>
            <a:xfrm>
              <a:off x="3429000" y="27636787"/>
              <a:ext cx="2613856"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for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more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than</m:t>
                        </m:r>
                        <m:r>
                          <a:rPr lang="nb-NO" sz="900">
                            <a:solidFill>
                              <a:schemeClr val="tx1"/>
                            </a:solidFill>
                            <a:effectLst/>
                            <a:latin typeface="Cambria Math" panose="02040503050406030204" pitchFamily="18" charset="0"/>
                            <a:ea typeface="+mn-ea"/>
                            <a:cs typeface="+mn-cs"/>
                          </a:rPr>
                          <m:t> 90 </m:t>
                        </m:r>
                        <m:r>
                          <m:rPr>
                            <m:sty m:val="p"/>
                          </m:rPr>
                          <a:rPr lang="nb-NO" sz="900">
                            <a:solidFill>
                              <a:schemeClr val="tx1"/>
                            </a:solidFill>
                            <a:effectLst/>
                            <a:latin typeface="Cambria Math" panose="02040503050406030204" pitchFamily="18" charset="0"/>
                            <a:ea typeface="+mn-ea"/>
                            <a:cs typeface="+mn-cs"/>
                          </a:rPr>
                          <m:t>days</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p>
          </xdr:txBody>
        </xdr:sp>
      </mc:Choice>
      <mc:Fallback xmlns="">
        <xdr:sp macro="" textlink="">
          <xdr:nvSpPr>
            <xdr:cNvPr id="18" name="TekstSylinder 17">
              <a:extLst>
                <a:ext uri="{FF2B5EF4-FFF2-40B4-BE49-F238E27FC236}">
                  <a16:creationId xmlns:a16="http://schemas.microsoft.com/office/drawing/2014/main" id="{D0057F0D-C4A4-46A9-9435-EC3A2E8B29C4}"/>
                </a:ext>
              </a:extLst>
            </xdr:cNvPr>
            <xdr:cNvSpPr txBox="1"/>
          </xdr:nvSpPr>
          <xdr:spPr>
            <a:xfrm>
              <a:off x="3429000" y="27636787"/>
              <a:ext cx="2613856"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(Gross defaulted commitments for more than 90 days)/(Gross loans to customers)</a:t>
              </a:r>
              <a:endParaRPr lang="nb-NO" sz="900"/>
            </a:p>
          </xdr:txBody>
        </xdr:sp>
      </mc:Fallback>
    </mc:AlternateContent>
    <xdr:clientData/>
  </xdr:oneCellAnchor>
  <xdr:oneCellAnchor>
    <xdr:from>
      <xdr:col>1</xdr:col>
      <xdr:colOff>1381125</xdr:colOff>
      <xdr:row>50</xdr:row>
      <xdr:rowOff>119062</xdr:rowOff>
    </xdr:from>
    <xdr:ext cx="2418611" cy="435504"/>
    <mc:AlternateContent xmlns:mc="http://schemas.openxmlformats.org/markup-compatibility/2006" xmlns:a14="http://schemas.microsoft.com/office/drawing/2010/main">
      <mc:Choice Requires="a14">
        <xdr:sp macro="" textlink="">
          <xdr:nvSpPr>
            <xdr:cNvPr id="19" name="TekstSylinder 18">
              <a:extLst>
                <a:ext uri="{FF2B5EF4-FFF2-40B4-BE49-F238E27FC236}">
                  <a16:creationId xmlns:a16="http://schemas.microsoft.com/office/drawing/2014/main" id="{A59DBC04-AD50-4405-83F7-85F236CA2434}"/>
                </a:ext>
              </a:extLst>
            </xdr:cNvPr>
            <xdr:cNvSpPr txBox="1"/>
          </xdr:nvSpPr>
          <xdr:spPr>
            <a:xfrm>
              <a:off x="3581400" y="28636912"/>
              <a:ext cx="2418611"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doubtful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not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9" name="TekstSylinder 18">
              <a:extLst>
                <a:ext uri="{FF2B5EF4-FFF2-40B4-BE49-F238E27FC236}">
                  <a16:creationId xmlns:a16="http://schemas.microsoft.com/office/drawing/2014/main" id="{A59DBC04-AD50-4405-83F7-85F236CA2434}"/>
                </a:ext>
              </a:extLst>
            </xdr:cNvPr>
            <xdr:cNvSpPr txBox="1"/>
          </xdr:nvSpPr>
          <xdr:spPr>
            <a:xfrm>
              <a:off x="3581400" y="28636912"/>
              <a:ext cx="2418611"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(Gross doubtful commitments not in default)/(Gross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1200150</xdr:colOff>
      <xdr:row>52</xdr:row>
      <xdr:rowOff>138112</xdr:rowOff>
    </xdr:from>
    <xdr:ext cx="2861745" cy="263277"/>
    <mc:AlternateContent xmlns:mc="http://schemas.openxmlformats.org/markup-compatibility/2006" xmlns:a14="http://schemas.microsoft.com/office/drawing/2010/main">
      <mc:Choice Requires="a14">
        <xdr:sp macro="" textlink="">
          <xdr:nvSpPr>
            <xdr:cNvPr id="20" name="TekstSylinder 19">
              <a:extLst>
                <a:ext uri="{FF2B5EF4-FFF2-40B4-BE49-F238E27FC236}">
                  <a16:creationId xmlns:a16="http://schemas.microsoft.com/office/drawing/2014/main" id="{0E5CC292-BD05-4CC2-B02B-1AC1D85598BB}"/>
                </a:ext>
              </a:extLst>
            </xdr:cNvPr>
            <xdr:cNvSpPr txBox="1"/>
          </xdr:nvSpPr>
          <xdr:spPr>
            <a:xfrm>
              <a:off x="3400425" y="29646562"/>
              <a:ext cx="2861745"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Net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Net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doubtful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p>
          </xdr:txBody>
        </xdr:sp>
      </mc:Choice>
      <mc:Fallback xmlns="">
        <xdr:sp macro="" textlink="">
          <xdr:nvSpPr>
            <xdr:cNvPr id="20" name="TekstSylinder 19">
              <a:extLst>
                <a:ext uri="{FF2B5EF4-FFF2-40B4-BE49-F238E27FC236}">
                  <a16:creationId xmlns:a16="http://schemas.microsoft.com/office/drawing/2014/main" id="{0E5CC292-BD05-4CC2-B02B-1AC1D85598BB}"/>
                </a:ext>
              </a:extLst>
            </xdr:cNvPr>
            <xdr:cNvSpPr txBox="1"/>
          </xdr:nvSpPr>
          <xdr:spPr>
            <a:xfrm>
              <a:off x="3400425" y="29646562"/>
              <a:ext cx="2861745"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(Net defaulted commitments+Net doubtful commitments)/(Gross loans to customers)</a:t>
              </a:r>
              <a:endParaRPr lang="nb-NO" sz="900"/>
            </a:p>
          </xdr:txBody>
        </xdr:sp>
      </mc:Fallback>
    </mc:AlternateContent>
    <xdr:clientData/>
  </xdr:oneCellAnchor>
  <xdr:oneCellAnchor>
    <xdr:from>
      <xdr:col>1</xdr:col>
      <xdr:colOff>1247775</xdr:colOff>
      <xdr:row>54</xdr:row>
      <xdr:rowOff>109537</xdr:rowOff>
    </xdr:from>
    <xdr:ext cx="2673616" cy="287066"/>
    <mc:AlternateContent xmlns:mc="http://schemas.openxmlformats.org/markup-compatibility/2006" xmlns:a14="http://schemas.microsoft.com/office/drawing/2010/main">
      <mc:Choice Requires="a14">
        <xdr:sp macro="" textlink="">
          <xdr:nvSpPr>
            <xdr:cNvPr id="21" name="TekstSylinder 20">
              <a:extLst>
                <a:ext uri="{FF2B5EF4-FFF2-40B4-BE49-F238E27FC236}">
                  <a16:creationId xmlns:a16="http://schemas.microsoft.com/office/drawing/2014/main" id="{51877D70-D79E-4FB8-AB4A-5CC19250A4D4}"/>
                </a:ext>
              </a:extLst>
            </xdr:cNvPr>
            <xdr:cNvSpPr txBox="1"/>
          </xdr:nvSpPr>
          <xdr:spPr>
            <a:xfrm>
              <a:off x="3448050" y="30608587"/>
              <a:ext cx="2673616" cy="2870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𝑤𝑟𝑖𝑡𝑒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𝑑𝑜𝑤𝑛𝑠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for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more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than</m:t>
                        </m:r>
                        <m:r>
                          <a:rPr lang="nb-NO" sz="900">
                            <a:solidFill>
                              <a:schemeClr val="tx1"/>
                            </a:solidFill>
                            <a:effectLst/>
                            <a:latin typeface="Cambria Math" panose="02040503050406030204" pitchFamily="18" charset="0"/>
                            <a:ea typeface="+mn-ea"/>
                            <a:cs typeface="+mn-cs"/>
                          </a:rPr>
                          <m:t> 90 </m:t>
                        </m:r>
                        <m:r>
                          <m:rPr>
                            <m:sty m:val="p"/>
                          </m:rPr>
                          <a:rPr lang="nb-NO" sz="900">
                            <a:solidFill>
                              <a:schemeClr val="tx1"/>
                            </a:solidFill>
                            <a:effectLst/>
                            <a:latin typeface="Cambria Math" panose="02040503050406030204" pitchFamily="18" charset="0"/>
                            <a:ea typeface="+mn-ea"/>
                            <a:cs typeface="+mn-cs"/>
                          </a:rPr>
                          <m:t>days</m:t>
                        </m:r>
                      </m:den>
                    </m:f>
                  </m:oMath>
                </m:oMathPara>
              </a14:m>
              <a:endParaRPr lang="nb-NO" sz="900"/>
            </a:p>
          </xdr:txBody>
        </xdr:sp>
      </mc:Choice>
      <mc:Fallback xmlns="">
        <xdr:sp macro="" textlink="">
          <xdr:nvSpPr>
            <xdr:cNvPr id="21" name="TekstSylinder 20">
              <a:extLst>
                <a:ext uri="{FF2B5EF4-FFF2-40B4-BE49-F238E27FC236}">
                  <a16:creationId xmlns:a16="http://schemas.microsoft.com/office/drawing/2014/main" id="{51877D70-D79E-4FB8-AB4A-5CC19250A4D4}"/>
                </a:ext>
              </a:extLst>
            </xdr:cNvPr>
            <xdr:cNvSpPr txBox="1"/>
          </xdr:nvSpPr>
          <xdr:spPr>
            <a:xfrm>
              <a:off x="3448050" y="30608587"/>
              <a:ext cx="2673616" cy="2870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(𝐼𝑛𝑑𝑖𝑣𝑖𝑑𝑢𝑎𝑙 𝑤𝑟𝑖𝑡𝑒 𝑑𝑜𝑤𝑛𝑠 𝑜𝑛 𝑑𝑒𝑓𝑎𝑢𝑙𝑡𝑒𝑑 𝑐𝑜𝑚𝑚𝑖𝑡𝑚𝑒𝑛𝑡𝑠)/(Gross defaulted commitments for more than 90 days)</a:t>
              </a:r>
              <a:endParaRPr lang="nb-NO" sz="900"/>
            </a:p>
          </xdr:txBody>
        </xdr:sp>
      </mc:Fallback>
    </mc:AlternateContent>
    <xdr:clientData/>
  </xdr:oneCellAnchor>
  <xdr:oneCellAnchor>
    <xdr:from>
      <xdr:col>1</xdr:col>
      <xdr:colOff>1238250</xdr:colOff>
      <xdr:row>56</xdr:row>
      <xdr:rowOff>119062</xdr:rowOff>
    </xdr:from>
    <xdr:ext cx="2617832" cy="263277"/>
    <mc:AlternateContent xmlns:mc="http://schemas.openxmlformats.org/markup-compatibility/2006" xmlns:a14="http://schemas.microsoft.com/office/drawing/2010/main">
      <mc:Choice Requires="a14">
        <xdr:sp macro="" textlink="">
          <xdr:nvSpPr>
            <xdr:cNvPr id="22" name="TekstSylinder 21">
              <a:extLst>
                <a:ext uri="{FF2B5EF4-FFF2-40B4-BE49-F238E27FC236}">
                  <a16:creationId xmlns:a16="http://schemas.microsoft.com/office/drawing/2014/main" id="{A400A6FE-6534-4A82-BF7A-8A1B4D103887}"/>
                </a:ext>
              </a:extLst>
            </xdr:cNvPr>
            <xdr:cNvSpPr txBox="1"/>
          </xdr:nvSpPr>
          <xdr:spPr>
            <a:xfrm>
              <a:off x="3438525" y="31608712"/>
              <a:ext cx="2617832"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𝑤𝑟𝑖𝑡𝑒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𝑑𝑜𝑤𝑛𝑠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𝑑𝑜𝑢𝑏𝑡𝑓𝑢𝑙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doubtful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not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m:t>
                        </m:r>
                      </m:den>
                    </m:f>
                  </m:oMath>
                </m:oMathPara>
              </a14:m>
              <a:endParaRPr lang="nb-NO" sz="900"/>
            </a:p>
          </xdr:txBody>
        </xdr:sp>
      </mc:Choice>
      <mc:Fallback xmlns="">
        <xdr:sp macro="" textlink="">
          <xdr:nvSpPr>
            <xdr:cNvPr id="22" name="TekstSylinder 21">
              <a:extLst>
                <a:ext uri="{FF2B5EF4-FFF2-40B4-BE49-F238E27FC236}">
                  <a16:creationId xmlns:a16="http://schemas.microsoft.com/office/drawing/2014/main" id="{A400A6FE-6534-4A82-BF7A-8A1B4D103887}"/>
                </a:ext>
              </a:extLst>
            </xdr:cNvPr>
            <xdr:cNvSpPr txBox="1"/>
          </xdr:nvSpPr>
          <xdr:spPr>
            <a:xfrm>
              <a:off x="3438525" y="31608712"/>
              <a:ext cx="2617832"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(𝐼𝑛𝑑𝑖𝑣𝑖𝑑𝑢𝑎𝑙 𝑤𝑟𝑖𝑡𝑒 𝑑𝑜𝑤𝑛𝑠 𝑜𝑛 𝑑𝑜𝑢𝑏𝑡𝑓𝑢𝑙 𝑐𝑜𝑚𝑚𝑖𝑡𝑚𝑒𝑛𝑡𝑠)/(Gross doubtful commitments not in default)</a:t>
              </a:r>
              <a:endParaRPr lang="nb-NO" sz="900"/>
            </a:p>
          </xdr:txBody>
        </xdr:sp>
      </mc:Fallback>
    </mc:AlternateContent>
    <xdr:clientData/>
  </xdr:oneCellAnchor>
  <xdr:oneCellAnchor>
    <xdr:from>
      <xdr:col>1</xdr:col>
      <xdr:colOff>2124075</xdr:colOff>
      <xdr:row>58</xdr:row>
      <xdr:rowOff>128587</xdr:rowOff>
    </xdr:from>
    <xdr:ext cx="1075679" cy="262957"/>
    <mc:AlternateContent xmlns:mc="http://schemas.openxmlformats.org/markup-compatibility/2006" xmlns:a14="http://schemas.microsoft.com/office/drawing/2010/main">
      <mc:Choice Requires="a14">
        <xdr:sp macro="" textlink="">
          <xdr:nvSpPr>
            <xdr:cNvPr id="23" name="TekstSylinder 22">
              <a:extLst>
                <a:ext uri="{FF2B5EF4-FFF2-40B4-BE49-F238E27FC236}">
                  <a16:creationId xmlns:a16="http://schemas.microsoft.com/office/drawing/2014/main" id="{2B9A4903-1789-4F20-A8B7-1DDBFCA64934}"/>
                </a:ext>
              </a:extLst>
            </xdr:cNvPr>
            <xdr:cNvSpPr txBox="1"/>
          </xdr:nvSpPr>
          <xdr:spPr>
            <a:xfrm>
              <a:off x="4324350" y="32608837"/>
              <a:ext cx="1075679" cy="262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𝑒𝑞𝑢𝑖𝑡𝑦</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r>
                          <a:rPr lang="nb-NO" sz="900" i="1">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Total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assets</m:t>
                        </m:r>
                      </m:den>
                    </m:f>
                  </m:oMath>
                </m:oMathPara>
              </a14:m>
              <a:endParaRPr lang="nb-NO" sz="900"/>
            </a:p>
          </xdr:txBody>
        </xdr:sp>
      </mc:Choice>
      <mc:Fallback xmlns="">
        <xdr:sp macro="" textlink="">
          <xdr:nvSpPr>
            <xdr:cNvPr id="23" name="TekstSylinder 22">
              <a:extLst>
                <a:ext uri="{FF2B5EF4-FFF2-40B4-BE49-F238E27FC236}">
                  <a16:creationId xmlns:a16="http://schemas.microsoft.com/office/drawing/2014/main" id="{2B9A4903-1789-4F20-A8B7-1DDBFCA64934}"/>
                </a:ext>
              </a:extLst>
            </xdr:cNvPr>
            <xdr:cNvSpPr txBox="1"/>
          </xdr:nvSpPr>
          <xdr:spPr>
            <a:xfrm>
              <a:off x="4324350" y="32608837"/>
              <a:ext cx="1075679" cy="262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(𝑇𝑜𝑡𝑎𝑙 𝑒𝑞𝑢𝑖𝑡𝑦 𝑐𝑎𝑝𝑖𝑡𝑎𝑙 )/(Total assets)</a:t>
              </a:r>
              <a:endParaRPr lang="nb-NO" sz="900"/>
            </a:p>
          </xdr:txBody>
        </xdr:sp>
      </mc:Fallback>
    </mc:AlternateContent>
    <xdr:clientData/>
  </xdr:oneCellAnchor>
  <xdr:oneCellAnchor>
    <xdr:from>
      <xdr:col>1</xdr:col>
      <xdr:colOff>390525</xdr:colOff>
      <xdr:row>61</xdr:row>
      <xdr:rowOff>157162</xdr:rowOff>
    </xdr:from>
    <xdr:ext cx="4088683" cy="292516"/>
    <mc:AlternateContent xmlns:mc="http://schemas.openxmlformats.org/markup-compatibility/2006" xmlns:a14="http://schemas.microsoft.com/office/drawing/2010/main">
      <mc:Choice Requires="a14">
        <xdr:sp macro="" textlink="">
          <xdr:nvSpPr>
            <xdr:cNvPr id="24" name="TekstSylinder 23">
              <a:extLst>
                <a:ext uri="{FF2B5EF4-FFF2-40B4-BE49-F238E27FC236}">
                  <a16:creationId xmlns:a16="http://schemas.microsoft.com/office/drawing/2014/main" id="{7DB81784-21CD-4435-A36A-3C7A5ECA1043}"/>
                </a:ext>
              </a:extLst>
            </xdr:cNvPr>
            <xdr:cNvSpPr txBox="1"/>
          </xdr:nvSpPr>
          <xdr:spPr>
            <a:xfrm>
              <a:off x="2590800" y="34123312"/>
              <a:ext cx="4088683"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𝑇𝑜𝑡</m:t>
                            </m:r>
                            <m:r>
                              <a:rPr lang="nb-NO" sz="900" b="0" i="1">
                                <a:solidFill>
                                  <a:schemeClr val="tx1"/>
                                </a:solidFill>
                                <a:effectLst/>
                                <a:latin typeface="Cambria Math" panose="02040503050406030204" pitchFamily="18" charset="0"/>
                                <a:ea typeface="+mn-ea"/>
                                <a:cs typeface="+mn-cs"/>
                              </a:rPr>
                              <m:t>𝑎𝑙</m:t>
                            </m:r>
                            <m:r>
                              <a:rPr lang="nb-NO" sz="900" b="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𝑀𝑖𝑛𝑜𝑟𝑖𝑡𝑦</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𝑖𝑛𝑡𝑒𝑟𝑒𝑠𝑡𝑠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𝐺𝑖𝑓𝑡𝑠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𝐻𝑦𝑏𝑟𝑖𝑑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e>
                        </m:d>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EC</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certificate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ratio</m:t>
                        </m:r>
                      </m:num>
                      <m:den>
                        <m:r>
                          <m:rPr>
                            <m:sty m:val="p"/>
                          </m:rPr>
                          <a:rPr lang="nb-NO" sz="900">
                            <a:solidFill>
                              <a:schemeClr val="tx1"/>
                            </a:solidFill>
                            <a:effectLst/>
                            <a:latin typeface="Cambria Math" panose="02040503050406030204" pitchFamily="18" charset="0"/>
                            <a:ea typeface="+mn-ea"/>
                            <a:cs typeface="+mn-cs"/>
                          </a:rPr>
                          <m:t>Number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certificates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issued</m:t>
                        </m:r>
                      </m:den>
                    </m:f>
                  </m:oMath>
                </m:oMathPara>
              </a14:m>
              <a:endParaRPr lang="nb-NO" sz="900"/>
            </a:p>
          </xdr:txBody>
        </xdr:sp>
      </mc:Choice>
      <mc:Fallback xmlns="">
        <xdr:sp macro="" textlink="">
          <xdr:nvSpPr>
            <xdr:cNvPr id="24" name="TekstSylinder 23">
              <a:extLst>
                <a:ext uri="{FF2B5EF4-FFF2-40B4-BE49-F238E27FC236}">
                  <a16:creationId xmlns:a16="http://schemas.microsoft.com/office/drawing/2014/main" id="{7DB81784-21CD-4435-A36A-3C7A5ECA1043}"/>
                </a:ext>
              </a:extLst>
            </xdr:cNvPr>
            <xdr:cNvSpPr txBox="1"/>
          </xdr:nvSpPr>
          <xdr:spPr>
            <a:xfrm>
              <a:off x="2590800" y="34123312"/>
              <a:ext cx="4088683"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((𝑇𝑜𝑡</a:t>
              </a:r>
              <a:r>
                <a:rPr lang="nb-NO" sz="900" b="0" i="0">
                  <a:solidFill>
                    <a:schemeClr val="tx1"/>
                  </a:solidFill>
                  <a:effectLst/>
                  <a:latin typeface="Cambria Math" panose="02040503050406030204" pitchFamily="18" charset="0"/>
                  <a:ea typeface="+mn-ea"/>
                  <a:cs typeface="+mn-cs"/>
                </a:rPr>
                <a:t>𝑎𝑙 </a:t>
              </a:r>
              <a:r>
                <a:rPr lang="nb-NO" sz="900" i="0">
                  <a:solidFill>
                    <a:schemeClr val="tx1"/>
                  </a:solidFill>
                  <a:effectLst/>
                  <a:latin typeface="Cambria Math" panose="02040503050406030204" pitchFamily="18" charset="0"/>
                  <a:ea typeface="+mn-ea"/>
                  <a:cs typeface="+mn-cs"/>
                </a:rPr>
                <a:t>𝐸𝐶 −𝑀𝑖𝑛𝑜𝑟𝑖𝑡𝑦</a:t>
              </a:r>
              <a:r>
                <a:rPr lang="nb-NO" sz="900" b="0" i="0">
                  <a:solidFill>
                    <a:schemeClr val="tx1"/>
                  </a:solidFill>
                  <a:effectLst/>
                  <a:latin typeface="Cambria Math" panose="02040503050406030204" pitchFamily="18" charset="0"/>
                  <a:ea typeface="+mn-ea"/>
                  <a:cs typeface="+mn-cs"/>
                </a:rPr>
                <a:t> 𝑖𝑛𝑡𝑒𝑟𝑒𝑠𝑡𝑠</a:t>
              </a:r>
              <a:r>
                <a:rPr lang="nb-NO" sz="900" i="0">
                  <a:solidFill>
                    <a:schemeClr val="tx1"/>
                  </a:solidFill>
                  <a:effectLst/>
                  <a:latin typeface="Cambria Math" panose="02040503050406030204" pitchFamily="18" charset="0"/>
                  <a:ea typeface="+mn-ea"/>
                  <a:cs typeface="+mn-cs"/>
                </a:rPr>
                <a:t>−𝐺𝑖𝑓𝑡𝑠 −𝐻𝑦𝑏𝑟𝑖𝑑 𝑐𝑎𝑝𝑖𝑡𝑎𝑙)×EC certificate ratio)/(Number of Equity certificates issued)</a:t>
              </a:r>
              <a:endParaRPr lang="nb-NO" sz="900"/>
            </a:p>
          </xdr:txBody>
        </xdr:sp>
      </mc:Fallback>
    </mc:AlternateContent>
    <xdr:clientData/>
  </xdr:oneCellAnchor>
  <xdr:oneCellAnchor>
    <xdr:from>
      <xdr:col>1</xdr:col>
      <xdr:colOff>1838325</xdr:colOff>
      <xdr:row>63</xdr:row>
      <xdr:rowOff>138112</xdr:rowOff>
    </xdr:from>
    <xdr:ext cx="1400063" cy="547329"/>
    <mc:AlternateContent xmlns:mc="http://schemas.openxmlformats.org/markup-compatibility/2006" xmlns:a14="http://schemas.microsoft.com/office/drawing/2010/main">
      <mc:Choice Requires="a14">
        <xdr:sp macro="" textlink="">
          <xdr:nvSpPr>
            <xdr:cNvPr id="25" name="TekstSylinder 24">
              <a:extLst>
                <a:ext uri="{FF2B5EF4-FFF2-40B4-BE49-F238E27FC236}">
                  <a16:creationId xmlns:a16="http://schemas.microsoft.com/office/drawing/2014/main" id="{C13E81BD-7FBA-4B74-850D-00A0B125B938}"/>
                </a:ext>
              </a:extLst>
            </xdr:cNvPr>
            <xdr:cNvSpPr txBox="1"/>
          </xdr:nvSpPr>
          <xdr:spPr>
            <a:xfrm>
              <a:off x="4038600" y="35342512"/>
              <a:ext cx="1400063" cy="547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𝐿𝑖𝑠𝑡𝑒𝑑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𝑝𝑟𝑖𝑐𝑒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Earnings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EC</m:t>
                        </m:r>
                        <m:r>
                          <a:rPr lang="nb-NO" sz="900">
                            <a:solidFill>
                              <a:schemeClr val="tx1"/>
                            </a:solidFill>
                            <a:effectLst/>
                            <a:latin typeface="Cambria Math" panose="02040503050406030204" pitchFamily="18" charset="0"/>
                            <a:ea typeface="+mn-ea"/>
                            <a:cs typeface="+mn-cs"/>
                          </a:rPr>
                          <m:t> ×(</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25" name="TekstSylinder 24">
              <a:extLst>
                <a:ext uri="{FF2B5EF4-FFF2-40B4-BE49-F238E27FC236}">
                  <a16:creationId xmlns:a16="http://schemas.microsoft.com/office/drawing/2014/main" id="{C13E81BD-7FBA-4B74-850D-00A0B125B938}"/>
                </a:ext>
              </a:extLst>
            </xdr:cNvPr>
            <xdr:cNvSpPr txBox="1"/>
          </xdr:nvSpPr>
          <xdr:spPr>
            <a:xfrm>
              <a:off x="4038600" y="35342512"/>
              <a:ext cx="1400063" cy="547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(𝐿𝑖𝑠𝑡𝑒𝑑 𝑝𝑟𝑖𝑐𝑒 𝑜𝑓 𝐸𝐶 )/(Earnings per EC ×(Act/Act))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1981200</xdr:colOff>
      <xdr:row>65</xdr:row>
      <xdr:rowOff>185737</xdr:rowOff>
    </xdr:from>
    <xdr:ext cx="1105046" cy="459293"/>
    <mc:AlternateContent xmlns:mc="http://schemas.openxmlformats.org/markup-compatibility/2006" xmlns:a14="http://schemas.microsoft.com/office/drawing/2010/main">
      <mc:Choice Requires="a14">
        <xdr:sp macro="" textlink="">
          <xdr:nvSpPr>
            <xdr:cNvPr id="26" name="TekstSylinder 25">
              <a:extLst>
                <a:ext uri="{FF2B5EF4-FFF2-40B4-BE49-F238E27FC236}">
                  <a16:creationId xmlns:a16="http://schemas.microsoft.com/office/drawing/2014/main" id="{BA7E7373-908F-4800-81EB-5D4C4598D6B8}"/>
                </a:ext>
              </a:extLst>
            </xdr:cNvPr>
            <xdr:cNvSpPr txBox="1"/>
          </xdr:nvSpPr>
          <xdr:spPr>
            <a:xfrm>
              <a:off x="4181475" y="36628387"/>
              <a:ext cx="1105046" cy="45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𝐿𝑖𝑠𝑡𝑒𝑑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𝑝𝑟𝑖𝑐𝑒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num>
                      <m:den>
                        <m:r>
                          <m:rPr>
                            <m:sty m:val="p"/>
                          </m:rPr>
                          <a:rPr lang="nb-NO" sz="900">
                            <a:solidFill>
                              <a:schemeClr val="tx1"/>
                            </a:solidFill>
                            <a:effectLst/>
                            <a:latin typeface="Cambria Math" panose="02040503050406030204" pitchFamily="18" charset="0"/>
                            <a:ea typeface="+mn-ea"/>
                            <a:cs typeface="+mn-cs"/>
                          </a:rPr>
                          <m:t>Book</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EC</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26" name="TekstSylinder 25">
              <a:extLst>
                <a:ext uri="{FF2B5EF4-FFF2-40B4-BE49-F238E27FC236}">
                  <a16:creationId xmlns:a16="http://schemas.microsoft.com/office/drawing/2014/main" id="{BA7E7373-908F-4800-81EB-5D4C4598D6B8}"/>
                </a:ext>
              </a:extLst>
            </xdr:cNvPr>
            <xdr:cNvSpPr txBox="1"/>
          </xdr:nvSpPr>
          <xdr:spPr>
            <a:xfrm>
              <a:off x="4181475" y="36628387"/>
              <a:ext cx="1105046" cy="45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(𝐿𝑖𝑠𝑡𝑒𝑑 𝑝𝑟𝑖𝑐𝑒 𝑜𝑓 𝐸𝐶)/(Book equity per EC)</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1314450</xdr:colOff>
      <xdr:row>67</xdr:row>
      <xdr:rowOff>119062</xdr:rowOff>
    </xdr:from>
    <xdr:ext cx="2480744" cy="459549"/>
    <mc:AlternateContent xmlns:mc="http://schemas.openxmlformats.org/markup-compatibility/2006" xmlns:a14="http://schemas.microsoft.com/office/drawing/2010/main">
      <mc:Choice Requires="a14">
        <xdr:sp macro="" textlink="">
          <xdr:nvSpPr>
            <xdr:cNvPr id="27" name="TekstSylinder 26">
              <a:extLst>
                <a:ext uri="{FF2B5EF4-FFF2-40B4-BE49-F238E27FC236}">
                  <a16:creationId xmlns:a16="http://schemas.microsoft.com/office/drawing/2014/main" id="{8DD5EAEC-868D-4B93-8B8C-5B405FF2BB14}"/>
                </a:ext>
              </a:extLst>
            </xdr:cNvPr>
            <xdr:cNvSpPr txBox="1"/>
          </xdr:nvSpPr>
          <xdr:spPr>
            <a:xfrm>
              <a:off x="3514725" y="37799962"/>
              <a:ext cx="2480744"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amount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num>
                      <m:den>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market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value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asset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encumbrance</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27" name="TekstSylinder 26">
              <a:extLst>
                <a:ext uri="{FF2B5EF4-FFF2-40B4-BE49-F238E27FC236}">
                  <a16:creationId xmlns:a16="http://schemas.microsoft.com/office/drawing/2014/main" id="{8DD5EAEC-868D-4B93-8B8C-5B405FF2BB14}"/>
                </a:ext>
              </a:extLst>
            </xdr:cNvPr>
            <xdr:cNvSpPr txBox="1"/>
          </xdr:nvSpPr>
          <xdr:spPr>
            <a:xfrm>
              <a:off x="3514725" y="37799962"/>
              <a:ext cx="2480744"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(Average amount on loans to customers)/(Average market value of asset encumbrance)</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466725</xdr:colOff>
      <xdr:row>69</xdr:row>
      <xdr:rowOff>90487</xdr:rowOff>
    </xdr:from>
    <xdr:ext cx="4180696" cy="281744"/>
    <mc:AlternateContent xmlns:mc="http://schemas.openxmlformats.org/markup-compatibility/2006" xmlns:a14="http://schemas.microsoft.com/office/drawing/2010/main">
      <mc:Choice Requires="a14">
        <xdr:sp macro="" textlink="">
          <xdr:nvSpPr>
            <xdr:cNvPr id="28" name="TekstSylinder 27">
              <a:extLst>
                <a:ext uri="{FF2B5EF4-FFF2-40B4-BE49-F238E27FC236}">
                  <a16:creationId xmlns:a16="http://schemas.microsoft.com/office/drawing/2014/main" id="{9835CE74-11FC-4077-8425-38C9827D2AD8}"/>
                </a:ext>
              </a:extLst>
            </xdr:cNvPr>
            <xdr:cNvSpPr txBox="1"/>
          </xdr:nvSpPr>
          <xdr:spPr>
            <a:xfrm>
              <a:off x="2667000" y="38761987"/>
              <a:ext cx="4180696"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transferred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Boligkreditt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æ</m:t>
                    </m:r>
                    <m:r>
                      <m:rPr>
                        <m:sty m:val="p"/>
                      </m:rPr>
                      <a:rPr lang="nb-NO" sz="900">
                        <a:solidFill>
                          <a:schemeClr val="tx1"/>
                        </a:solidFill>
                        <a:effectLst/>
                        <a:latin typeface="Cambria Math" panose="02040503050406030204" pitchFamily="18" charset="0"/>
                        <a:ea typeface="+mn-ea"/>
                        <a:cs typeface="+mn-cs"/>
                      </a:rPr>
                      <m:t>ringskreditt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oMath>
                </m:oMathPara>
              </a14:m>
              <a:endParaRPr lang="nb-NO" sz="900">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and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thus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derecognised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from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balance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sheet</m:t>
                    </m:r>
                  </m:oMath>
                </m:oMathPara>
              </a14:m>
              <a:endParaRPr lang="nb-NO" sz="900"/>
            </a:p>
          </xdr:txBody>
        </xdr:sp>
      </mc:Choice>
      <mc:Fallback xmlns="">
        <xdr:sp macro="" textlink="">
          <xdr:nvSpPr>
            <xdr:cNvPr id="28" name="TekstSylinder 27">
              <a:extLst>
                <a:ext uri="{FF2B5EF4-FFF2-40B4-BE49-F238E27FC236}">
                  <a16:creationId xmlns:a16="http://schemas.microsoft.com/office/drawing/2014/main" id="{9835CE74-11FC-4077-8425-38C9827D2AD8}"/>
                </a:ext>
              </a:extLst>
            </xdr:cNvPr>
            <xdr:cNvSpPr txBox="1"/>
          </xdr:nvSpPr>
          <xdr:spPr>
            <a:xfrm>
              <a:off x="2667000" y="38761987"/>
              <a:ext cx="4180696"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Loans transferred to SpareBank 1 Boligkreditt AS og SpareBank 1 Næringskreditt AS</a:t>
              </a:r>
              <a:endParaRPr lang="nb-NO" sz="900">
                <a:solidFill>
                  <a:schemeClr val="tx1"/>
                </a:solidFill>
                <a:effectLst/>
                <a:latin typeface="+mn-lt"/>
                <a:ea typeface="+mn-ea"/>
                <a:cs typeface="+mn-cs"/>
              </a:endParaRPr>
            </a:p>
            <a:p>
              <a:pPr/>
              <a:r>
                <a:rPr lang="nb-NO" sz="900" i="0">
                  <a:solidFill>
                    <a:schemeClr val="tx1"/>
                  </a:solidFill>
                  <a:effectLst/>
                  <a:latin typeface="Cambria Math" panose="02040503050406030204" pitchFamily="18" charset="0"/>
                  <a:ea typeface="+mn-ea"/>
                  <a:cs typeface="+mn-cs"/>
                </a:rPr>
                <a:t>and thus derecognised from the balance sheet</a:t>
              </a:r>
              <a:endParaRPr lang="nb-NO" sz="900"/>
            </a:p>
          </xdr:txBody>
        </xdr:sp>
      </mc:Fallback>
    </mc:AlternateContent>
    <xdr:clientData/>
  </xdr:oneCellAnchor>
  <xdr:oneCellAnchor>
    <xdr:from>
      <xdr:col>1</xdr:col>
      <xdr:colOff>1200150</xdr:colOff>
      <xdr:row>71</xdr:row>
      <xdr:rowOff>90487</xdr:rowOff>
    </xdr:from>
    <xdr:ext cx="2725939" cy="464743"/>
    <mc:AlternateContent xmlns:mc="http://schemas.openxmlformats.org/markup-compatibility/2006" xmlns:a14="http://schemas.microsoft.com/office/drawing/2010/main">
      <mc:Choice Requires="a14">
        <xdr:sp macro="" textlink="">
          <xdr:nvSpPr>
            <xdr:cNvPr id="29" name="TekstSylinder 28">
              <a:extLst>
                <a:ext uri="{FF2B5EF4-FFF2-40B4-BE49-F238E27FC236}">
                  <a16:creationId xmlns:a16="http://schemas.microsoft.com/office/drawing/2014/main" id="{BF5E70E2-73D7-4CB5-8D3B-6DF617061AC7}"/>
                </a:ext>
              </a:extLst>
            </xdr:cNvPr>
            <xdr:cNvSpPr txBox="1"/>
          </xdr:nvSpPr>
          <xdr:spPr>
            <a:xfrm>
              <a:off x="3400425" y="39752587"/>
              <a:ext cx="2725939" cy="464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𝑛𝑢𝑚𝑏𝑒𝑟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𝑑𝑎𝑦𝑠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𝑡h𝑒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𝑦𝑒𝑎𝑟</m:t>
                        </m:r>
                        <m:r>
                          <a:rPr lang="nb-NO" sz="900" i="1">
                            <a:solidFill>
                              <a:schemeClr val="tx1"/>
                            </a:solidFill>
                            <a:effectLst/>
                            <a:latin typeface="Cambria Math" panose="02040503050406030204" pitchFamily="18" charset="0"/>
                            <a:ea typeface="+mn-ea"/>
                            <a:cs typeface="+mn-cs"/>
                          </a:rPr>
                          <m:t> </m:t>
                        </m:r>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365 </m:t>
                            </m:r>
                            <m:r>
                              <a:rPr lang="nb-NO" sz="900" i="1">
                                <a:solidFill>
                                  <a:schemeClr val="tx1"/>
                                </a:solidFill>
                                <a:effectLst/>
                                <a:latin typeface="Cambria Math" panose="02040503050406030204" pitchFamily="18" charset="0"/>
                                <a:ea typeface="+mn-ea"/>
                                <a:cs typeface="+mn-cs"/>
                              </a:rPr>
                              <m:t>𝑜𝑟</m:t>
                            </m:r>
                            <m:r>
                              <a:rPr lang="nb-NO" sz="900" i="1">
                                <a:solidFill>
                                  <a:schemeClr val="tx1"/>
                                </a:solidFill>
                                <a:effectLst/>
                                <a:latin typeface="Cambria Math" panose="02040503050406030204" pitchFamily="18" charset="0"/>
                                <a:ea typeface="+mn-ea"/>
                                <a:cs typeface="+mn-cs"/>
                              </a:rPr>
                              <m:t> 366</m:t>
                            </m:r>
                          </m:e>
                        </m:d>
                      </m:num>
                      <m:den>
                        <m:r>
                          <m:rPr>
                            <m:sty m:val="p"/>
                          </m:rPr>
                          <a:rPr lang="nb-NO" sz="900">
                            <a:solidFill>
                              <a:schemeClr val="tx1"/>
                            </a:solidFill>
                            <a:effectLst/>
                            <a:latin typeface="Cambria Math" panose="02040503050406030204" pitchFamily="18" charset="0"/>
                            <a:ea typeface="+mn-ea"/>
                            <a:cs typeface="+mn-cs"/>
                          </a:rPr>
                          <m:t>Number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days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far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this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year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29" name="TekstSylinder 28">
              <a:extLst>
                <a:ext uri="{FF2B5EF4-FFF2-40B4-BE49-F238E27FC236}">
                  <a16:creationId xmlns:a16="http://schemas.microsoft.com/office/drawing/2014/main" id="{BF5E70E2-73D7-4CB5-8D3B-6DF617061AC7}"/>
                </a:ext>
              </a:extLst>
            </xdr:cNvPr>
            <xdr:cNvSpPr txBox="1"/>
          </xdr:nvSpPr>
          <xdr:spPr>
            <a:xfrm>
              <a:off x="3400425" y="39752587"/>
              <a:ext cx="2725939" cy="464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 𝑛𝑢𝑚𝑏𝑒𝑟 𝑜𝑓 𝑑𝑎𝑦𝑠 𝑖𝑛 𝑡ℎ𝑒 𝑦𝑒𝑎𝑟 (365 𝑜𝑟 366))/(Number of days so far this year)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1390650</xdr:colOff>
      <xdr:row>73</xdr:row>
      <xdr:rowOff>195262</xdr:rowOff>
    </xdr:from>
    <xdr:ext cx="2333267" cy="140872"/>
    <mc:AlternateContent xmlns:mc="http://schemas.openxmlformats.org/markup-compatibility/2006" xmlns:a14="http://schemas.microsoft.com/office/drawing/2010/main">
      <mc:Choice Requires="a14">
        <xdr:sp macro="" textlink="">
          <xdr:nvSpPr>
            <xdr:cNvPr id="30" name="TekstSylinder 29">
              <a:extLst>
                <a:ext uri="{FF2B5EF4-FFF2-40B4-BE49-F238E27FC236}">
                  <a16:creationId xmlns:a16="http://schemas.microsoft.com/office/drawing/2014/main" id="{51C10553-8BC3-43A0-932F-38253EAACE26}"/>
                </a:ext>
              </a:extLst>
            </xdr:cNvPr>
            <xdr:cNvSpPr txBox="1"/>
          </xdr:nvSpPr>
          <xdr:spPr>
            <a:xfrm>
              <a:off x="3590925" y="40847962"/>
              <a:ext cx="2333267"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Identified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costs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considered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be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recurring</m:t>
                    </m:r>
                  </m:oMath>
                </m:oMathPara>
              </a14:m>
              <a:endParaRPr lang="nb-NO" sz="900"/>
            </a:p>
          </xdr:txBody>
        </xdr:sp>
      </mc:Choice>
      <mc:Fallback xmlns="">
        <xdr:sp macro="" textlink="">
          <xdr:nvSpPr>
            <xdr:cNvPr id="30" name="TekstSylinder 29">
              <a:extLst>
                <a:ext uri="{FF2B5EF4-FFF2-40B4-BE49-F238E27FC236}">
                  <a16:creationId xmlns:a16="http://schemas.microsoft.com/office/drawing/2014/main" id="{51C10553-8BC3-43A0-932F-38253EAACE26}"/>
                </a:ext>
              </a:extLst>
            </xdr:cNvPr>
            <xdr:cNvSpPr txBox="1"/>
          </xdr:nvSpPr>
          <xdr:spPr>
            <a:xfrm>
              <a:off x="3590925" y="40847962"/>
              <a:ext cx="2333267"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Identified costs considered to be non recurring</a:t>
              </a:r>
              <a:endParaRPr lang="nb-NO" sz="900"/>
            </a:p>
          </xdr:txBody>
        </xdr:sp>
      </mc:Fallback>
    </mc:AlternateContent>
    <xdr:clientData/>
  </xdr:oneCellAnchor>
  <xdr:oneCellAnchor>
    <xdr:from>
      <xdr:col>1</xdr:col>
      <xdr:colOff>1257301</xdr:colOff>
      <xdr:row>10</xdr:row>
      <xdr:rowOff>342900</xdr:rowOff>
    </xdr:from>
    <xdr:ext cx="2895600" cy="414338"/>
    <mc:AlternateContent xmlns:mc="http://schemas.openxmlformats.org/markup-compatibility/2006" xmlns:a14="http://schemas.microsoft.com/office/drawing/2010/main">
      <mc:Choice Requires="a14">
        <xdr:sp macro="" textlink="">
          <xdr:nvSpPr>
            <xdr:cNvPr id="31" name="TekstSylinder 30">
              <a:extLst>
                <a:ext uri="{FF2B5EF4-FFF2-40B4-BE49-F238E27FC236}">
                  <a16:creationId xmlns:a16="http://schemas.microsoft.com/office/drawing/2014/main" id="{0399AFFC-B326-44CF-8045-951732061C35}"/>
                </a:ext>
              </a:extLst>
            </xdr:cNvPr>
            <xdr:cNvSpPr txBox="1"/>
          </xdr:nvSpPr>
          <xdr:spPr>
            <a:xfrm>
              <a:off x="3457576" y="5295900"/>
              <a:ext cx="2895600"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14:m>
                <m:oMath xmlns:m="http://schemas.openxmlformats.org/officeDocument/2006/math">
                  <m:r>
                    <a:rPr lang="nb-NO" sz="900" b="0" i="1">
                      <a:solidFill>
                        <a:schemeClr val="tx1"/>
                      </a:solidFill>
                      <a:effectLst/>
                      <a:latin typeface="Cambria Math" panose="02040503050406030204" pitchFamily="18" charset="0"/>
                      <a:ea typeface="+mn-ea"/>
                      <a:cs typeface="+mn-cs"/>
                    </a:rPr>
                    <m:t>𝑃</m:t>
                  </m:r>
                  <m:r>
                    <a:rPr lang="en-GB" sz="900" i="1">
                      <a:solidFill>
                        <a:schemeClr val="tx1"/>
                      </a:solidFill>
                      <a:effectLst/>
                      <a:latin typeface="Cambria Math" panose="02040503050406030204" pitchFamily="18" charset="0"/>
                      <a:ea typeface="+mn-ea"/>
                      <a:cs typeface="+mn-cs"/>
                    </a:rPr>
                    <m:t>𝑟𝑜𝑓𝑖𝑡</m:t>
                  </m:r>
                  <m:r>
                    <a:rPr lang="en-GB" sz="900" i="1">
                      <a:solidFill>
                        <a:schemeClr val="tx1"/>
                      </a:solidFill>
                      <a:effectLst/>
                      <a:latin typeface="Cambria Math" panose="02040503050406030204" pitchFamily="18" charset="0"/>
                      <a:ea typeface="+mn-ea"/>
                      <a:cs typeface="+mn-cs"/>
                    </a:rPr>
                    <m:t> </m:t>
                  </m:r>
                </m:oMath>
              </a14:m>
              <a:r>
                <a:rPr lang="nb-NO" sz="900">
                  <a:latin typeface="+mj-lt"/>
                </a:rPr>
                <a:t>after tax - Interest expences on hybrid</a:t>
              </a:r>
              <a:r>
                <a:rPr lang="nb-NO" sz="900" baseline="0">
                  <a:latin typeface="+mj-lt"/>
                </a:rPr>
                <a:t> capital</a:t>
              </a:r>
              <a:endParaRPr lang="nb-NO" sz="900">
                <a:latin typeface="+mj-lt"/>
              </a:endParaRPr>
            </a:p>
          </xdr:txBody>
        </xdr:sp>
      </mc:Choice>
      <mc:Fallback xmlns="">
        <xdr:sp macro="" textlink="">
          <xdr:nvSpPr>
            <xdr:cNvPr id="31" name="TekstSylinder 30">
              <a:extLst>
                <a:ext uri="{FF2B5EF4-FFF2-40B4-BE49-F238E27FC236}">
                  <a16:creationId xmlns:a16="http://schemas.microsoft.com/office/drawing/2014/main" id="{0399AFFC-B326-44CF-8045-951732061C35}"/>
                </a:ext>
              </a:extLst>
            </xdr:cNvPr>
            <xdr:cNvSpPr txBox="1"/>
          </xdr:nvSpPr>
          <xdr:spPr>
            <a:xfrm>
              <a:off x="3457576" y="5295900"/>
              <a:ext cx="2895600"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nb-NO" sz="900" b="0" i="0">
                  <a:solidFill>
                    <a:schemeClr val="tx1"/>
                  </a:solidFill>
                  <a:effectLst/>
                  <a:latin typeface="Cambria Math" panose="02040503050406030204" pitchFamily="18" charset="0"/>
                  <a:ea typeface="+mn-ea"/>
                  <a:cs typeface="+mn-cs"/>
                </a:rPr>
                <a:t>𝑃</a:t>
              </a:r>
              <a:r>
                <a:rPr lang="en-GB" sz="900" i="0">
                  <a:solidFill>
                    <a:schemeClr val="tx1"/>
                  </a:solidFill>
                  <a:effectLst/>
                  <a:latin typeface="Cambria Math" panose="02040503050406030204" pitchFamily="18" charset="0"/>
                  <a:ea typeface="+mn-ea"/>
                  <a:cs typeface="+mn-cs"/>
                </a:rPr>
                <a:t>𝑟𝑜𝑓𝑖𝑡 </a:t>
              </a:r>
              <a:r>
                <a:rPr lang="nb-NO" sz="900">
                  <a:latin typeface="+mj-lt"/>
                </a:rPr>
                <a:t>after tax - Interest expences on hybrid</a:t>
              </a:r>
              <a:r>
                <a:rPr lang="nb-NO" sz="900" baseline="0">
                  <a:latin typeface="+mj-lt"/>
                </a:rPr>
                <a:t> capital</a:t>
              </a:r>
              <a:endParaRPr lang="nb-NO" sz="900">
                <a:latin typeface="+mj-lt"/>
              </a:endParaRPr>
            </a:p>
          </xdr:txBody>
        </xdr:sp>
      </mc:Fallback>
    </mc:AlternateContent>
    <xdr:clientData/>
  </xdr:oneCellAnchor>
  <xdr:oneCellAnchor>
    <xdr:from>
      <xdr:col>1</xdr:col>
      <xdr:colOff>933450</xdr:colOff>
      <xdr:row>75</xdr:row>
      <xdr:rowOff>90487</xdr:rowOff>
    </xdr:from>
    <xdr:ext cx="3175549" cy="427809"/>
    <mc:AlternateContent xmlns:mc="http://schemas.openxmlformats.org/markup-compatibility/2006" xmlns:a14="http://schemas.microsoft.com/office/drawing/2010/main">
      <mc:Choice Requires="a14">
        <xdr:sp macro="" textlink="">
          <xdr:nvSpPr>
            <xdr:cNvPr id="32" name="TekstSylinder 31">
              <a:extLst>
                <a:ext uri="{FF2B5EF4-FFF2-40B4-BE49-F238E27FC236}">
                  <a16:creationId xmlns:a16="http://schemas.microsoft.com/office/drawing/2014/main" id="{5B908109-10D1-433B-B364-70764140C909}"/>
                </a:ext>
              </a:extLst>
            </xdr:cNvPr>
            <xdr:cNvSpPr txBox="1"/>
          </xdr:nvSpPr>
          <xdr:spPr>
            <a:xfrm>
              <a:off x="3133725" y="41733787"/>
              <a:ext cx="3175549" cy="427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Cambria Math" panose="02040503050406030204" pitchFamily="18" charset="0"/>
                            <a:cs typeface="+mn-cs"/>
                          </a:rPr>
                        </m:ctrlPr>
                      </m:fPr>
                      <m:num>
                        <m:r>
                          <m:rPr>
                            <m:sty m:val="p"/>
                          </m:rPr>
                          <a:rPr lang="nb-NO" sz="900" b="0" i="0">
                            <a:solidFill>
                              <a:schemeClr val="tx1"/>
                            </a:solidFill>
                            <a:effectLst/>
                            <a:latin typeface="Cambria Math" panose="02040503050406030204" pitchFamily="18" charset="0"/>
                            <a:ea typeface="Cambria Math" panose="02040503050406030204" pitchFamily="18" charset="0"/>
                            <a:cs typeface="+mn-cs"/>
                          </a:rPr>
                          <m:t>Majority</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interest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of</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the</m:t>
                        </m:r>
                        <m:r>
                          <a:rPr lang="nb-NO" sz="900" b="0" i="0">
                            <a:solidFill>
                              <a:schemeClr val="tx1"/>
                            </a:solidFill>
                            <a:effectLst/>
                            <a:latin typeface="Cambria Math" panose="02040503050406030204" pitchFamily="18" charset="0"/>
                            <a:ea typeface="Cambria Math" panose="02040503050406030204" pitchFamily="18" charset="0"/>
                            <a:cs typeface="+mn-cs"/>
                          </a:rPr>
                          <m:t> </m:t>
                        </m:r>
                        <m:sSup>
                          <m:sSupPr>
                            <m:ctrlPr>
                              <a:rPr lang="nb-NO" sz="900" b="0" i="1">
                                <a:solidFill>
                                  <a:schemeClr val="tx1"/>
                                </a:solidFill>
                                <a:effectLst/>
                                <a:latin typeface="Cambria Math" panose="02040503050406030204" pitchFamily="18" charset="0"/>
                                <a:ea typeface="Cambria Math" panose="02040503050406030204" pitchFamily="18" charset="0"/>
                                <a:cs typeface="+mn-cs"/>
                              </a:rPr>
                            </m:ctrlPr>
                          </m:sSupPr>
                          <m:e>
                            <m:r>
                              <m:rPr>
                                <m:sty m:val="p"/>
                              </m:rPr>
                              <a:rPr lang="nb-NO" sz="900" b="0" i="0">
                                <a:solidFill>
                                  <a:schemeClr val="tx1"/>
                                </a:solidFill>
                                <a:effectLst/>
                                <a:latin typeface="Cambria Math" panose="02040503050406030204" pitchFamily="18" charset="0"/>
                                <a:ea typeface="Cambria Math" panose="02040503050406030204" pitchFamily="18" charset="0"/>
                                <a:cs typeface="+mn-cs"/>
                              </a:rPr>
                              <m:t>Group</m:t>
                            </m:r>
                          </m:e>
                          <m:sup>
                            <m:r>
                              <a:rPr lang="nb-NO" sz="900" b="0" i="0">
                                <a:solidFill>
                                  <a:schemeClr val="tx1"/>
                                </a:solidFill>
                                <a:effectLst/>
                                <a:latin typeface="Cambria Math" panose="02040503050406030204" pitchFamily="18" charset="0"/>
                                <a:ea typeface="Cambria Math" panose="02040503050406030204" pitchFamily="18" charset="0"/>
                                <a:cs typeface="+mn-cs"/>
                              </a:rPr>
                              <m:t>′</m:t>
                            </m:r>
                          </m:sup>
                        </m:sSup>
                        <m:r>
                          <m:rPr>
                            <m:sty m:val="p"/>
                          </m:rPr>
                          <a:rPr lang="nb-NO" sz="900" b="0" i="0">
                            <a:solidFill>
                              <a:schemeClr val="tx1"/>
                            </a:solidFill>
                            <a:effectLst/>
                            <a:latin typeface="Cambria Math" panose="02040503050406030204" pitchFamily="18" charset="0"/>
                            <a:ea typeface="Cambria Math" panose="02040503050406030204" pitchFamily="18" charset="0"/>
                            <a:cs typeface="+mn-cs"/>
                          </a:rPr>
                          <m:t>s</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profit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after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tax</m:t>
                        </m:r>
                        <m:r>
                          <a:rPr lang="nb-NO" sz="900" b="0" i="0">
                            <a:solidFill>
                              <a:schemeClr val="tx1"/>
                            </a:solidFill>
                            <a:effectLst/>
                            <a:latin typeface="Cambria Math" panose="02040503050406030204" pitchFamily="18" charset="0"/>
                            <a:ea typeface="Cambria Math" panose="02040503050406030204" pitchFamily="18" charset="0"/>
                            <a:cs typeface="+mn-cs"/>
                          </a:rPr>
                          <m:t> </m:t>
                        </m:r>
                        <m:r>
                          <a:rPr lang="nb-NO" sz="110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ECC</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ratio</m:t>
                        </m:r>
                      </m:num>
                      <m:den>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Average</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number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of</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ECC</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the</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accounting</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period</m:t>
                        </m:r>
                      </m:den>
                    </m:f>
                  </m:oMath>
                </m:oMathPara>
              </a14:m>
              <a:endParaRPr lang="nb-NO" sz="900" i="0">
                <a:effectLst/>
                <a:latin typeface="Cambria Math" panose="02040503050406030204" pitchFamily="18" charset="0"/>
                <a:ea typeface="Cambria Math" panose="02040503050406030204" pitchFamily="18" charset="0"/>
              </a:endParaRPr>
            </a:p>
            <a:p>
              <a:endParaRPr lang="nb-NO" sz="900">
                <a:latin typeface="Cambria Math" panose="02040503050406030204" pitchFamily="18" charset="0"/>
                <a:ea typeface="Cambria Math" panose="02040503050406030204" pitchFamily="18" charset="0"/>
              </a:endParaRPr>
            </a:p>
          </xdr:txBody>
        </xdr:sp>
      </mc:Choice>
      <mc:Fallback xmlns="">
        <xdr:sp macro="" textlink="">
          <xdr:nvSpPr>
            <xdr:cNvPr id="32" name="TekstSylinder 31">
              <a:extLst>
                <a:ext uri="{FF2B5EF4-FFF2-40B4-BE49-F238E27FC236}">
                  <a16:creationId xmlns:a16="http://schemas.microsoft.com/office/drawing/2014/main" id="{5B908109-10D1-433B-B364-70764140C909}"/>
                </a:ext>
              </a:extLst>
            </xdr:cNvPr>
            <xdr:cNvSpPr txBox="1"/>
          </xdr:nvSpPr>
          <xdr:spPr>
            <a:xfrm>
              <a:off x="3133725" y="41733787"/>
              <a:ext cx="3175549" cy="427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Cambria Math" panose="02040503050406030204" pitchFamily="18" charset="0"/>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Majority interest of the Group^′ s profit after tax </a:t>
              </a:r>
              <a:r>
                <a:rPr lang="nb-NO" sz="11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ECC ratio)/(Average number of  ECC  i the accounting period)</a:t>
              </a:r>
              <a:endParaRPr lang="nb-NO" sz="900" i="0">
                <a:effectLst/>
                <a:latin typeface="Cambria Math" panose="02040503050406030204" pitchFamily="18" charset="0"/>
                <a:ea typeface="Cambria Math" panose="02040503050406030204" pitchFamily="18" charset="0"/>
              </a:endParaRPr>
            </a:p>
            <a:p>
              <a:endParaRPr lang="nb-NO" sz="900">
                <a:latin typeface="Cambria Math" panose="02040503050406030204" pitchFamily="18" charset="0"/>
                <a:ea typeface="Cambria Math" panose="02040503050406030204" pitchFamily="18" charset="0"/>
              </a:endParaRPr>
            </a:p>
          </xdr:txBody>
        </xdr:sp>
      </mc:Fallback>
    </mc:AlternateContent>
    <xdr:clientData/>
  </xdr:oneCellAnchor>
  <xdr:oneCellAnchor>
    <xdr:from>
      <xdr:col>1</xdr:col>
      <xdr:colOff>180975</xdr:colOff>
      <xdr:row>77</xdr:row>
      <xdr:rowOff>100012</xdr:rowOff>
    </xdr:from>
    <xdr:ext cx="4999958" cy="292516"/>
    <mc:AlternateContent xmlns:mc="http://schemas.openxmlformats.org/markup-compatibility/2006" xmlns:a14="http://schemas.microsoft.com/office/drawing/2010/main">
      <mc:Choice Requires="a14">
        <xdr:sp macro="" textlink="">
          <xdr:nvSpPr>
            <xdr:cNvPr id="33" name="TekstSylinder 32">
              <a:extLst>
                <a:ext uri="{FF2B5EF4-FFF2-40B4-BE49-F238E27FC236}">
                  <a16:creationId xmlns:a16="http://schemas.microsoft.com/office/drawing/2014/main" id="{ABF6A5BF-609C-454C-8118-0AB6ECE942C8}"/>
                </a:ext>
              </a:extLst>
            </xdr:cNvPr>
            <xdr:cNvSpPr txBox="1"/>
          </xdr:nvSpPr>
          <xdr:spPr>
            <a:xfrm>
              <a:off x="2381250" y="42733912"/>
              <a:ext cx="4999958"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b="0" i="0">
                            <a:solidFill>
                              <a:schemeClr val="tx1"/>
                            </a:solidFill>
                            <a:effectLst/>
                            <a:latin typeface="Cambria Math" panose="02040503050406030204" pitchFamily="18" charset="0"/>
                            <a:ea typeface="Cambria Math" panose="02040503050406030204" pitchFamily="18" charset="0"/>
                            <a:cs typeface="+mn-cs"/>
                          </a:rPr>
                          <m:t>Majority</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interest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of</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the</m:t>
                        </m:r>
                        <m:r>
                          <a:rPr lang="nb-NO" sz="900" b="0" i="0">
                            <a:solidFill>
                              <a:schemeClr val="tx1"/>
                            </a:solidFill>
                            <a:effectLst/>
                            <a:latin typeface="Cambria Math" panose="02040503050406030204" pitchFamily="18" charset="0"/>
                            <a:ea typeface="Cambria Math" panose="02040503050406030204" pitchFamily="18" charset="0"/>
                            <a:cs typeface="+mn-cs"/>
                          </a:rPr>
                          <m:t> </m:t>
                        </m:r>
                        <m:sSup>
                          <m:sSupPr>
                            <m:ctrlPr>
                              <a:rPr lang="nb-NO" sz="900" b="0" i="1">
                                <a:solidFill>
                                  <a:schemeClr val="tx1"/>
                                </a:solidFill>
                                <a:effectLst/>
                                <a:latin typeface="Cambria Math" panose="02040503050406030204" pitchFamily="18" charset="0"/>
                                <a:ea typeface="Cambria Math" panose="02040503050406030204" pitchFamily="18" charset="0"/>
                                <a:cs typeface="+mn-cs"/>
                              </a:rPr>
                            </m:ctrlPr>
                          </m:sSupPr>
                          <m:e>
                            <m:r>
                              <m:rPr>
                                <m:sty m:val="p"/>
                              </m:rPr>
                              <a:rPr lang="nb-NO" sz="900" b="0" i="0">
                                <a:solidFill>
                                  <a:schemeClr val="tx1"/>
                                </a:solidFill>
                                <a:effectLst/>
                                <a:latin typeface="Cambria Math" panose="02040503050406030204" pitchFamily="18" charset="0"/>
                                <a:ea typeface="Cambria Math" panose="02040503050406030204" pitchFamily="18" charset="0"/>
                                <a:cs typeface="+mn-cs"/>
                              </a:rPr>
                              <m:t>Group</m:t>
                            </m:r>
                          </m:e>
                          <m:sup>
                            <m:r>
                              <a:rPr lang="nb-NO" sz="900" b="0" i="0">
                                <a:solidFill>
                                  <a:schemeClr val="tx1"/>
                                </a:solidFill>
                                <a:effectLst/>
                                <a:latin typeface="Cambria Math" panose="02040503050406030204" pitchFamily="18" charset="0"/>
                                <a:ea typeface="Cambria Math" panose="02040503050406030204" pitchFamily="18" charset="0"/>
                                <a:cs typeface="+mn-cs"/>
                              </a:rPr>
                              <m:t>′</m:t>
                            </m:r>
                          </m:sup>
                        </m:sSup>
                        <m:r>
                          <m:rPr>
                            <m:sty m:val="p"/>
                          </m:rPr>
                          <a:rPr lang="nb-NO" sz="900" b="0" i="0">
                            <a:solidFill>
                              <a:schemeClr val="tx1"/>
                            </a:solidFill>
                            <a:effectLst/>
                            <a:latin typeface="Cambria Math" panose="02040503050406030204" pitchFamily="18" charset="0"/>
                            <a:ea typeface="Cambria Math" panose="02040503050406030204" pitchFamily="18" charset="0"/>
                            <a:cs typeface="+mn-cs"/>
                          </a:rPr>
                          <m:t>s</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profit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after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tax</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ECC</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ratio</m:t>
                        </m:r>
                      </m:num>
                      <m:den>
                        <m:r>
                          <m:rPr>
                            <m:sty m:val="p"/>
                          </m:rPr>
                          <a:rPr lang="nb-NO" sz="900" b="0" i="0">
                            <a:solidFill>
                              <a:schemeClr val="tx1"/>
                            </a:solidFill>
                            <a:effectLst/>
                            <a:latin typeface="Cambria Math" panose="02040503050406030204" pitchFamily="18" charset="0"/>
                            <a:ea typeface="+mn-ea"/>
                            <a:cs typeface="+mn-cs"/>
                          </a:rPr>
                          <m:t>Average</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number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of</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ECC</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in</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the</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accounting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period</m:t>
                        </m:r>
                        <m:r>
                          <a:rPr lang="nb-NO" sz="900" b="0" i="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mn-ea"/>
                            <a:cs typeface="+mn-cs"/>
                          </a:rPr>
                          <m:t>Number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of</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ECC</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issued</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after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the</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accounting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period</m:t>
                        </m:r>
                      </m:den>
                    </m:f>
                  </m:oMath>
                </m:oMathPara>
              </a14:m>
              <a:endParaRPr lang="nb-NO" sz="900" i="0"/>
            </a:p>
          </xdr:txBody>
        </xdr:sp>
      </mc:Choice>
      <mc:Fallback xmlns="">
        <xdr:sp macro="" textlink="">
          <xdr:nvSpPr>
            <xdr:cNvPr id="33" name="TekstSylinder 32">
              <a:extLst>
                <a:ext uri="{FF2B5EF4-FFF2-40B4-BE49-F238E27FC236}">
                  <a16:creationId xmlns:a16="http://schemas.microsoft.com/office/drawing/2014/main" id="{ABF6A5BF-609C-454C-8118-0AB6ECE942C8}"/>
                </a:ext>
              </a:extLst>
            </xdr:cNvPr>
            <xdr:cNvSpPr txBox="1"/>
          </xdr:nvSpPr>
          <xdr:spPr>
            <a:xfrm>
              <a:off x="2381250" y="42733912"/>
              <a:ext cx="4999958"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Majority interest of the Group^′ s profit after tax ×ECC ratio</a:t>
              </a:r>
              <a:r>
                <a:rPr lang="nb-NO" sz="900" b="0" i="0">
                  <a:solidFill>
                    <a:schemeClr val="tx1"/>
                  </a:solidFill>
                  <a:effectLst/>
                  <a:latin typeface="Cambria Math" panose="02040503050406030204" pitchFamily="18" charset="0"/>
                  <a:ea typeface="+mn-ea"/>
                  <a:cs typeface="+mn-cs"/>
                </a:rPr>
                <a:t>)/(Average number of ECC in the accounting period+Number of ECC issued after the accounting period)</a:t>
              </a:r>
              <a:endParaRPr lang="nb-NO" sz="900" i="0"/>
            </a:p>
          </xdr:txBody>
        </xdr:sp>
      </mc:Fallback>
    </mc:AlternateContent>
    <xdr:clientData/>
  </xdr:oneCellAnchor>
  <xdr:oneCellAnchor>
    <xdr:from>
      <xdr:col>1</xdr:col>
      <xdr:colOff>962025</xdr:colOff>
      <xdr:row>44</xdr:row>
      <xdr:rowOff>171450</xdr:rowOff>
    </xdr:from>
    <xdr:ext cx="3029740" cy="440955"/>
    <mc:AlternateContent xmlns:mc="http://schemas.openxmlformats.org/markup-compatibility/2006" xmlns:a14="http://schemas.microsoft.com/office/drawing/2010/main">
      <mc:Choice Requires="a14">
        <xdr:sp macro="" textlink="">
          <xdr:nvSpPr>
            <xdr:cNvPr id="34" name="TekstSylinder 33">
              <a:extLst>
                <a:ext uri="{FF2B5EF4-FFF2-40B4-BE49-F238E27FC236}">
                  <a16:creationId xmlns:a16="http://schemas.microsoft.com/office/drawing/2014/main" id="{07A2616D-8D7D-47AD-9979-59A730303DC1}"/>
                </a:ext>
              </a:extLst>
            </xdr:cNvPr>
            <xdr:cNvSpPr txBox="1"/>
          </xdr:nvSpPr>
          <xdr:spPr>
            <a:xfrm>
              <a:off x="3162300" y="2522220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i="1">
                                <a:solidFill>
                                  <a:schemeClr val="tx1"/>
                                </a:solidFill>
                                <a:effectLst/>
                                <a:latin typeface="Cambria Math" panose="02040503050406030204" pitchFamily="18" charset="0"/>
                                <a:ea typeface="+mn-ea"/>
                                <a:cs typeface="+mn-cs"/>
                              </a:rPr>
                              <m:t>Loans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to</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and</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receivables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from</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customers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in</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stage</m:t>
                            </m:r>
                            <m:r>
                              <a:rPr lang="nb-NO" sz="900" i="1">
                                <a:solidFill>
                                  <a:schemeClr val="tx1"/>
                                </a:solidFill>
                                <a:effectLst/>
                                <a:latin typeface="Cambria Math" panose="02040503050406030204" pitchFamily="18" charset="0"/>
                                <a:ea typeface="+mn-ea"/>
                                <a:cs typeface="+mn-cs"/>
                              </a:rPr>
                              <m:t> 2</m:t>
                            </m:r>
                          </m:e>
                        </m:d>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34" name="TekstSylinder 33">
              <a:extLst>
                <a:ext uri="{FF2B5EF4-FFF2-40B4-BE49-F238E27FC236}">
                  <a16:creationId xmlns:a16="http://schemas.microsoft.com/office/drawing/2014/main" id="{07A2616D-8D7D-47AD-9979-59A730303DC1}"/>
                </a:ext>
              </a:extLst>
            </xdr:cNvPr>
            <xdr:cNvSpPr txBox="1"/>
          </xdr:nvSpPr>
          <xdr:spPr>
            <a:xfrm>
              <a:off x="3162300" y="2522220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((Loans to and receivables from customers in stage 2))/(Gross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895350</xdr:colOff>
      <xdr:row>46</xdr:row>
      <xdr:rowOff>114300</xdr:rowOff>
    </xdr:from>
    <xdr:ext cx="3029740" cy="440955"/>
    <mc:AlternateContent xmlns:mc="http://schemas.openxmlformats.org/markup-compatibility/2006" xmlns:a14="http://schemas.microsoft.com/office/drawing/2010/main">
      <mc:Choice Requires="a14">
        <xdr:sp macro="" textlink="">
          <xdr:nvSpPr>
            <xdr:cNvPr id="35" name="TekstSylinder 34">
              <a:extLst>
                <a:ext uri="{FF2B5EF4-FFF2-40B4-BE49-F238E27FC236}">
                  <a16:creationId xmlns:a16="http://schemas.microsoft.com/office/drawing/2014/main" id="{64302754-0A31-4950-8A72-87ACCA44BCBD}"/>
                </a:ext>
              </a:extLst>
            </xdr:cNvPr>
            <xdr:cNvSpPr txBox="1"/>
          </xdr:nvSpPr>
          <xdr:spPr>
            <a:xfrm>
              <a:off x="3095625" y="2640330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i="1">
                                <a:solidFill>
                                  <a:schemeClr val="tx1"/>
                                </a:solidFill>
                                <a:effectLst/>
                                <a:latin typeface="Cambria Math" panose="02040503050406030204" pitchFamily="18" charset="0"/>
                                <a:ea typeface="+mn-ea"/>
                                <a:cs typeface="+mn-cs"/>
                              </a:rPr>
                              <m:t>Loans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to</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and</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receivables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from</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customers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in</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stage</m:t>
                            </m:r>
                            <m:r>
                              <a:rPr lang="nb-NO" sz="900" i="1">
                                <a:solidFill>
                                  <a:schemeClr val="tx1"/>
                                </a:solidFill>
                                <a:effectLst/>
                                <a:latin typeface="Cambria Math" panose="02040503050406030204" pitchFamily="18" charset="0"/>
                                <a:ea typeface="+mn-ea"/>
                                <a:cs typeface="+mn-cs"/>
                              </a:rPr>
                              <m:t> 3</m:t>
                            </m:r>
                          </m:e>
                        </m:d>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35" name="TekstSylinder 34">
              <a:extLst>
                <a:ext uri="{FF2B5EF4-FFF2-40B4-BE49-F238E27FC236}">
                  <a16:creationId xmlns:a16="http://schemas.microsoft.com/office/drawing/2014/main" id="{64302754-0A31-4950-8A72-87ACCA44BCBD}"/>
                </a:ext>
              </a:extLst>
            </xdr:cNvPr>
            <xdr:cNvSpPr txBox="1"/>
          </xdr:nvSpPr>
          <xdr:spPr>
            <a:xfrm>
              <a:off x="3095625" y="2640330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((Loans to and receivables from customers in stage 3))/(Gross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xdr:from>
      <xdr:col>1</xdr:col>
      <xdr:colOff>2286000</xdr:colOff>
      <xdr:row>1</xdr:row>
      <xdr:rowOff>47625</xdr:rowOff>
    </xdr:from>
    <xdr:to>
      <xdr:col>1</xdr:col>
      <xdr:colOff>4305860</xdr:colOff>
      <xdr:row>2</xdr:row>
      <xdr:rowOff>85723</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7743825" y="23812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64</xdr:row>
      <xdr:rowOff>67236</xdr:rowOff>
    </xdr:from>
    <xdr:to>
      <xdr:col>14</xdr:col>
      <xdr:colOff>414618</xdr:colOff>
      <xdr:row>90</xdr:row>
      <xdr:rowOff>100853</xdr:rowOff>
    </xdr:to>
    <xdr:sp macro="" textlink="">
      <xdr:nvSpPr>
        <xdr:cNvPr id="5" name="Rektangel 4">
          <a:extLst>
            <a:ext uri="{FF2B5EF4-FFF2-40B4-BE49-F238E27FC236}">
              <a16:creationId xmlns:a16="http://schemas.microsoft.com/office/drawing/2014/main" id="{00000000-0008-0000-0500-000005000000}"/>
            </a:ext>
          </a:extLst>
        </xdr:cNvPr>
        <xdr:cNvSpPr/>
      </xdr:nvSpPr>
      <xdr:spPr>
        <a:xfrm>
          <a:off x="291354" y="11261912"/>
          <a:ext cx="6801970"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2</xdr:col>
      <xdr:colOff>56030</xdr:colOff>
      <xdr:row>1</xdr:row>
      <xdr:rowOff>44822</xdr:rowOff>
    </xdr:from>
    <xdr:to>
      <xdr:col>4</xdr:col>
      <xdr:colOff>170890</xdr:colOff>
      <xdr:row>2</xdr:row>
      <xdr:rowOff>38097</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4796118" y="280146"/>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0</xdr:row>
      <xdr:rowOff>123825</xdr:rowOff>
    </xdr:from>
    <xdr:to>
      <xdr:col>4</xdr:col>
      <xdr:colOff>524435</xdr:colOff>
      <xdr:row>1</xdr:row>
      <xdr:rowOff>190498</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D7EF5140-5CFA-4589-8989-8229A18C5399}"/>
            </a:ext>
          </a:extLst>
        </xdr:cNvPr>
        <xdr:cNvSpPr/>
      </xdr:nvSpPr>
      <xdr:spPr>
        <a:xfrm>
          <a:off x="3590925" y="12382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3114675</xdr:colOff>
      <xdr:row>0</xdr:row>
      <xdr:rowOff>104775</xdr:rowOff>
    </xdr:from>
    <xdr:to>
      <xdr:col>1</xdr:col>
      <xdr:colOff>5134535</xdr:colOff>
      <xdr:row>1</xdr:row>
      <xdr:rowOff>171448</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B81A16D6-AB9C-4918-B1C7-ABD8D631B191}"/>
            </a:ext>
          </a:extLst>
        </xdr:cNvPr>
        <xdr:cNvSpPr/>
      </xdr:nvSpPr>
      <xdr:spPr>
        <a:xfrm>
          <a:off x="3876675" y="10477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818029</xdr:colOff>
      <xdr:row>28</xdr:row>
      <xdr:rowOff>56029</xdr:rowOff>
    </xdr:from>
    <xdr:to>
      <xdr:col>7</xdr:col>
      <xdr:colOff>932889</xdr:colOff>
      <xdr:row>29</xdr:row>
      <xdr:rowOff>105333</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600-000006000000}"/>
            </a:ext>
          </a:extLst>
        </xdr:cNvPr>
        <xdr:cNvSpPr/>
      </xdr:nvSpPr>
      <xdr:spPr>
        <a:xfrm>
          <a:off x="7832911" y="3597088"/>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0</xdr:col>
      <xdr:colOff>145673</xdr:colOff>
      <xdr:row>9</xdr:row>
      <xdr:rowOff>22411</xdr:rowOff>
    </xdr:from>
    <xdr:to>
      <xdr:col>9</xdr:col>
      <xdr:colOff>235322</xdr:colOff>
      <xdr:row>32</xdr:row>
      <xdr:rowOff>84885</xdr:rowOff>
    </xdr:to>
    <xdr:graphicFrame macro="">
      <xdr:nvGraphicFramePr>
        <xdr:cNvPr id="4" name="Diagram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44823</xdr:colOff>
      <xdr:row>35</xdr:row>
      <xdr:rowOff>0</xdr:rowOff>
    </xdr:from>
    <xdr:to>
      <xdr:col>9</xdr:col>
      <xdr:colOff>350183</xdr:colOff>
      <xdr:row>36</xdr:row>
      <xdr:rowOff>49304</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600-000007000000}"/>
            </a:ext>
          </a:extLst>
        </xdr:cNvPr>
        <xdr:cNvSpPr/>
      </xdr:nvSpPr>
      <xdr:spPr>
        <a:xfrm>
          <a:off x="8964705" y="621926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2</xdr:col>
      <xdr:colOff>67235</xdr:colOff>
      <xdr:row>54</xdr:row>
      <xdr:rowOff>156883</xdr:rowOff>
    </xdr:from>
    <xdr:to>
      <xdr:col>6</xdr:col>
      <xdr:colOff>593911</xdr:colOff>
      <xdr:row>77</xdr:row>
      <xdr:rowOff>78442</xdr:rowOff>
    </xdr:to>
    <xdr:graphicFrame macro="">
      <xdr:nvGraphicFramePr>
        <xdr:cNvPr id="8" name="Diagram 7">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83</xdr:row>
      <xdr:rowOff>0</xdr:rowOff>
    </xdr:from>
    <xdr:to>
      <xdr:col>9</xdr:col>
      <xdr:colOff>305360</xdr:colOff>
      <xdr:row>84</xdr:row>
      <xdr:rowOff>49304</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600-000009000000}"/>
            </a:ext>
          </a:extLst>
        </xdr:cNvPr>
        <xdr:cNvSpPr/>
      </xdr:nvSpPr>
      <xdr:spPr>
        <a:xfrm>
          <a:off x="8919882" y="14657294"/>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10</xdr:col>
      <xdr:colOff>33618</xdr:colOff>
      <xdr:row>43</xdr:row>
      <xdr:rowOff>145676</xdr:rowOff>
    </xdr:from>
    <xdr:to>
      <xdr:col>16</xdr:col>
      <xdr:colOff>571499</xdr:colOff>
      <xdr:row>70</xdr:row>
      <xdr:rowOff>100853</xdr:rowOff>
    </xdr:to>
    <xdr:sp macro="" textlink="">
      <xdr:nvSpPr>
        <xdr:cNvPr id="10" name="TekstSylinder 9">
          <a:extLst>
            <a:ext uri="{FF2B5EF4-FFF2-40B4-BE49-F238E27FC236}">
              <a16:creationId xmlns:a16="http://schemas.microsoft.com/office/drawing/2014/main" id="{00000000-0008-0000-0600-00000A000000}"/>
            </a:ext>
          </a:extLst>
        </xdr:cNvPr>
        <xdr:cNvSpPr txBox="1"/>
      </xdr:nvSpPr>
      <xdr:spPr>
        <a:xfrm>
          <a:off x="11430000" y="7810500"/>
          <a:ext cx="5109881" cy="4616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10</xdr:col>
      <xdr:colOff>40341</xdr:colOff>
      <xdr:row>3</xdr:row>
      <xdr:rowOff>29135</xdr:rowOff>
    </xdr:from>
    <xdr:to>
      <xdr:col>16</xdr:col>
      <xdr:colOff>578222</xdr:colOff>
      <xdr:row>29</xdr:row>
      <xdr:rowOff>152400</xdr:rowOff>
    </xdr:to>
    <xdr:sp macro="" textlink="">
      <xdr:nvSpPr>
        <xdr:cNvPr id="11" name="TekstSylinder 10">
          <a:extLst>
            <a:ext uri="{FF2B5EF4-FFF2-40B4-BE49-F238E27FC236}">
              <a16:creationId xmlns:a16="http://schemas.microsoft.com/office/drawing/2014/main" id="{00000000-0008-0000-0600-00000B000000}"/>
            </a:ext>
          </a:extLst>
        </xdr:cNvPr>
        <xdr:cNvSpPr txBox="1"/>
      </xdr:nvSpPr>
      <xdr:spPr>
        <a:xfrm>
          <a:off x="11436723" y="679076"/>
          <a:ext cx="5109881" cy="4616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616323</xdr:colOff>
      <xdr:row>83</xdr:row>
      <xdr:rowOff>78443</xdr:rowOff>
    </xdr:from>
    <xdr:to>
      <xdr:col>7</xdr:col>
      <xdr:colOff>294153</xdr:colOff>
      <xdr:row>84</xdr:row>
      <xdr:rowOff>127746</xdr:rowOff>
    </xdr:to>
    <xdr:sp macro="" textlink="">
      <xdr:nvSpPr>
        <xdr:cNvPr id="5" name="Avrundet rektangel 4">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a:off x="6925235" y="15139149"/>
          <a:ext cx="2210359"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560295</xdr:colOff>
      <xdr:row>13</xdr:row>
      <xdr:rowOff>78442</xdr:rowOff>
    </xdr:from>
    <xdr:to>
      <xdr:col>6</xdr:col>
      <xdr:colOff>1187824</xdr:colOff>
      <xdr:row>40</xdr:row>
      <xdr:rowOff>22413</xdr:rowOff>
    </xdr:to>
    <xdr:graphicFrame macro="">
      <xdr:nvGraphicFramePr>
        <xdr:cNvPr id="6" name="Diagram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593912</xdr:colOff>
      <xdr:row>55</xdr:row>
      <xdr:rowOff>156883</xdr:rowOff>
    </xdr:from>
    <xdr:to>
      <xdr:col>6</xdr:col>
      <xdr:colOff>1221441</xdr:colOff>
      <xdr:row>82</xdr:row>
      <xdr:rowOff>100854</xdr:rowOff>
    </xdr:to>
    <xdr:graphicFrame macro="">
      <xdr:nvGraphicFramePr>
        <xdr:cNvPr id="8" name="Diagram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560294</xdr:colOff>
      <xdr:row>40</xdr:row>
      <xdr:rowOff>112059</xdr:rowOff>
    </xdr:from>
    <xdr:to>
      <xdr:col>7</xdr:col>
      <xdr:colOff>47625</xdr:colOff>
      <xdr:row>41</xdr:row>
      <xdr:rowOff>161363</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700-000009000000}"/>
            </a:ext>
          </a:extLst>
        </xdr:cNvPr>
        <xdr:cNvSpPr/>
      </xdr:nvSpPr>
      <xdr:spPr>
        <a:xfrm>
          <a:off x="6869206" y="7451912"/>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8</xdr:col>
      <xdr:colOff>728383</xdr:colOff>
      <xdr:row>4</xdr:row>
      <xdr:rowOff>67232</xdr:rowOff>
    </xdr:from>
    <xdr:to>
      <xdr:col>15</xdr:col>
      <xdr:colOff>504264</xdr:colOff>
      <xdr:row>30</xdr:row>
      <xdr:rowOff>11203</xdr:rowOff>
    </xdr:to>
    <xdr:sp macro="" textlink="">
      <xdr:nvSpPr>
        <xdr:cNvPr id="2" name="TekstSylinder 1">
          <a:extLst>
            <a:ext uri="{FF2B5EF4-FFF2-40B4-BE49-F238E27FC236}">
              <a16:creationId xmlns:a16="http://schemas.microsoft.com/office/drawing/2014/main" id="{00000000-0008-0000-0700-000002000000}"/>
            </a:ext>
          </a:extLst>
        </xdr:cNvPr>
        <xdr:cNvSpPr txBox="1"/>
      </xdr:nvSpPr>
      <xdr:spPr>
        <a:xfrm>
          <a:off x="11105030" y="952497"/>
          <a:ext cx="5109881" cy="4616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8</xdr:col>
      <xdr:colOff>694764</xdr:colOff>
      <xdr:row>46</xdr:row>
      <xdr:rowOff>78442</xdr:rowOff>
    </xdr:from>
    <xdr:to>
      <xdr:col>15</xdr:col>
      <xdr:colOff>470645</xdr:colOff>
      <xdr:row>72</xdr:row>
      <xdr:rowOff>33619</xdr:rowOff>
    </xdr:to>
    <xdr:sp macro="" textlink="">
      <xdr:nvSpPr>
        <xdr:cNvPr id="10" name="TekstSylinder 9">
          <a:extLst>
            <a:ext uri="{FF2B5EF4-FFF2-40B4-BE49-F238E27FC236}">
              <a16:creationId xmlns:a16="http://schemas.microsoft.com/office/drawing/2014/main" id="{00000000-0008-0000-0700-00000A000000}"/>
            </a:ext>
          </a:extLst>
        </xdr:cNvPr>
        <xdr:cNvSpPr txBox="1"/>
      </xdr:nvSpPr>
      <xdr:spPr>
        <a:xfrm>
          <a:off x="11071411" y="8516471"/>
          <a:ext cx="5109881" cy="4616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89647</xdr:colOff>
      <xdr:row>10</xdr:row>
      <xdr:rowOff>89647</xdr:rowOff>
    </xdr:from>
    <xdr:to>
      <xdr:col>8</xdr:col>
      <xdr:colOff>537882</xdr:colOff>
      <xdr:row>25</xdr:row>
      <xdr:rowOff>143435</xdr:rowOff>
    </xdr:to>
    <xdr:graphicFrame macro="">
      <xdr:nvGraphicFramePr>
        <xdr:cNvPr id="6" name="Diagram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56029</xdr:colOff>
      <xdr:row>58</xdr:row>
      <xdr:rowOff>156883</xdr:rowOff>
    </xdr:from>
    <xdr:to>
      <xdr:col>9</xdr:col>
      <xdr:colOff>551889</xdr:colOff>
      <xdr:row>60</xdr:row>
      <xdr:rowOff>26892</xdr:rowOff>
    </xdr:to>
    <xdr:sp macro="" textlink="">
      <xdr:nvSpPr>
        <xdr:cNvPr id="7" name="Avrundet rektangel 6">
          <a:hlinkClick xmlns:r="http://schemas.openxmlformats.org/officeDocument/2006/relationships" r:id="rId2"/>
          <a:extLst>
            <a:ext uri="{FF2B5EF4-FFF2-40B4-BE49-F238E27FC236}">
              <a16:creationId xmlns:a16="http://schemas.microsoft.com/office/drawing/2014/main" id="{00000000-0008-0000-0800-000007000000}"/>
            </a:ext>
          </a:extLst>
        </xdr:cNvPr>
        <xdr:cNvSpPr/>
      </xdr:nvSpPr>
      <xdr:spPr>
        <a:xfrm>
          <a:off x="6084794" y="10130118"/>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xdr:col>
      <xdr:colOff>0</xdr:colOff>
      <xdr:row>40</xdr:row>
      <xdr:rowOff>0</xdr:rowOff>
    </xdr:from>
    <xdr:to>
      <xdr:col>8</xdr:col>
      <xdr:colOff>448235</xdr:colOff>
      <xdr:row>55</xdr:row>
      <xdr:rowOff>53788</xdr:rowOff>
    </xdr:to>
    <xdr:graphicFrame macro="">
      <xdr:nvGraphicFramePr>
        <xdr:cNvPr id="8" name="Diagram 7">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26</xdr:row>
      <xdr:rowOff>0</xdr:rowOff>
    </xdr:from>
    <xdr:to>
      <xdr:col>9</xdr:col>
      <xdr:colOff>495860</xdr:colOff>
      <xdr:row>27</xdr:row>
      <xdr:rowOff>49304</xdr:rowOff>
    </xdr:to>
    <xdr:sp macro="" textlink="">
      <xdr:nvSpPr>
        <xdr:cNvPr id="9" name="Avrundet rektangel 8">
          <a:hlinkClick xmlns:r="http://schemas.openxmlformats.org/officeDocument/2006/relationships" r:id="rId2"/>
          <a:extLst>
            <a:ext uri="{FF2B5EF4-FFF2-40B4-BE49-F238E27FC236}">
              <a16:creationId xmlns:a16="http://schemas.microsoft.com/office/drawing/2014/main" id="{00000000-0008-0000-0800-000009000000}"/>
            </a:ext>
          </a:extLst>
        </xdr:cNvPr>
        <xdr:cNvSpPr/>
      </xdr:nvSpPr>
      <xdr:spPr>
        <a:xfrm>
          <a:off x="6757147" y="4594412"/>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12</xdr:col>
      <xdr:colOff>134471</xdr:colOff>
      <xdr:row>4</xdr:row>
      <xdr:rowOff>56031</xdr:rowOff>
    </xdr:from>
    <xdr:to>
      <xdr:col>18</xdr:col>
      <xdr:colOff>672352</xdr:colOff>
      <xdr:row>30</xdr:row>
      <xdr:rowOff>11208</xdr:rowOff>
    </xdr:to>
    <xdr:sp macro="" textlink="">
      <xdr:nvSpPr>
        <xdr:cNvPr id="10" name="TekstSylinder 9">
          <a:extLst>
            <a:ext uri="{FF2B5EF4-FFF2-40B4-BE49-F238E27FC236}">
              <a16:creationId xmlns:a16="http://schemas.microsoft.com/office/drawing/2014/main" id="{00000000-0008-0000-0800-00000A000000}"/>
            </a:ext>
          </a:extLst>
        </xdr:cNvPr>
        <xdr:cNvSpPr txBox="1"/>
      </xdr:nvSpPr>
      <xdr:spPr>
        <a:xfrm>
          <a:off x="10701618" y="705972"/>
          <a:ext cx="5109881" cy="4616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12</xdr:col>
      <xdr:colOff>129988</xdr:colOff>
      <xdr:row>32</xdr:row>
      <xdr:rowOff>129990</xdr:rowOff>
    </xdr:from>
    <xdr:to>
      <xdr:col>18</xdr:col>
      <xdr:colOff>667869</xdr:colOff>
      <xdr:row>58</xdr:row>
      <xdr:rowOff>85166</xdr:rowOff>
    </xdr:to>
    <xdr:sp macro="" textlink="">
      <xdr:nvSpPr>
        <xdr:cNvPr id="11" name="TekstSylinder 10">
          <a:extLst>
            <a:ext uri="{FF2B5EF4-FFF2-40B4-BE49-F238E27FC236}">
              <a16:creationId xmlns:a16="http://schemas.microsoft.com/office/drawing/2014/main" id="{00000000-0008-0000-0800-00000B000000}"/>
            </a:ext>
          </a:extLst>
        </xdr:cNvPr>
        <xdr:cNvSpPr txBox="1"/>
      </xdr:nvSpPr>
      <xdr:spPr>
        <a:xfrm>
          <a:off x="10697135" y="5800166"/>
          <a:ext cx="5109881" cy="4616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konomi/1%20Rapportering/Regnskapsrapportering/1%20Konsern/Mal%20kvartalsrapport%20for%20SB1%20&#216;stlandet%20med%20kvartal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noask-sfi001\finance\FINANCE\OKONOMI\YEAR%202002\BUSA\Yearend%20Reporting%20Model%202002%20-%20TL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 val="beh_1010"/>
      <sheetName val="beh_1110"/>
      <sheetName val="beh_1210"/>
      <sheetName val="beh_211"/>
      <sheetName val="31.07.2010"/>
      <sheetName val="beh_511"/>
      <sheetName val="beh_611"/>
      <sheetName val="beh_0710"/>
      <sheetName val="beh_0810"/>
      <sheetName val="beh_910"/>
      <sheetName val="31.08.gml"/>
      <sheetName val="Gjeld_311210"/>
      <sheetName val="Gjeld_280211"/>
      <sheetName val="beh_0811"/>
      <sheetName val="beh_311"/>
      <sheetName val="beh_411"/>
      <sheetName val="beh_711"/>
      <sheetName val="Gjeld_3103.2011"/>
      <sheetName val="Gjeld_2904.2011"/>
      <sheetName val="Gjeld_31.05.2011"/>
      <sheetName val="beh_0911"/>
      <sheetName val="beh_1011"/>
      <sheetName val="beh_1111"/>
      <sheetName val="beh_1211"/>
      <sheetName val="310_beh_1011"/>
      <sheetName val="310_beh_1211"/>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Cap"/>
      <sheetName val="Market_Cap"/>
      <sheetName val="Tabell"/>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uksanvisning"/>
      <sheetName val="Hovedtall proforma"/>
      <sheetName val="Arbeidsoversikt_status"/>
      <sheetName val="Dato"/>
      <sheetName val="Beregninger"/>
      <sheetName val="Beregning APM_NY"/>
      <sheetName val="Hovedtall"/>
      <sheetName val="Resultat"/>
      <sheetName val="Balanse"/>
      <sheetName val="EK-avstemming"/>
      <sheetName val="Kontantstrøm"/>
      <sheetName val="Kvartalsresultat"/>
      <sheetName val="Note 1 Prinsipper og Note 2 kon"/>
      <sheetName val="Note 3 Segmentinformasjon"/>
      <sheetName val="Note 4 Kapitaldekning"/>
      <sheetName val="Note  5 Utlån"/>
      <sheetName val="Note 5 Utlån Sektor og næring"/>
      <sheetName val="Note 6 Tap"/>
      <sheetName val="Note 7 Netto res fra fin"/>
      <sheetName val="Note 8 Finansielle derivater"/>
      <sheetName val="Note 9 Likviditetsrisiko"/>
      <sheetName val="Note 10 Vurdering av vv fin"/>
      <sheetName val="Note 11 FI og motregning"/>
      <sheetName val="Note 12 Andre eiendeler"/>
      <sheetName val="Note 13 Innskudd fra kunder"/>
      <sheetName val="Note 14 Verdipapirgjeld"/>
      <sheetName val="Note 15 Annen gjeld og forplik"/>
      <sheetName val="Note 16 Egenkapitalbevis"/>
      <sheetName val="Note 17 Hendelser etter balanse"/>
      <sheetName val="APM Norsk"/>
      <sheetName val="Beregning APM (2)"/>
      <sheetName val="Hovedtall (2)"/>
      <sheetName val="Resultat (2)"/>
      <sheetName val="Balanse (2)"/>
      <sheetName val="EK-avstemming (2)"/>
      <sheetName val="Kontantstrøm (2)"/>
      <sheetName val="Kvartalsresultat (2)"/>
      <sheetName val="Note 1 Prinsipper og Note 2 (2)"/>
      <sheetName val="Note 3 Segmentinformasjon (2)"/>
      <sheetName val="Note 4 Kapitaldekning (2)"/>
      <sheetName val="Note  5 Utlån (2)"/>
      <sheetName val="Note 5 Utlån Næring"/>
      <sheetName val="Note 6 Tap (2)"/>
      <sheetName val="Note 7 Netto res fra fin (2)"/>
      <sheetName val="Note 8 Finansielle derivate (2"/>
      <sheetName val="Note 9 Likviditetsrisiko (2)"/>
      <sheetName val="Note 10 Vurdering av vv fin (2"/>
      <sheetName val="Note 11 FI og motregning (2)"/>
      <sheetName val="Note 12 Andre eiendeler (2)"/>
      <sheetName val="Note 13 Innskudd fra kunder (2"/>
      <sheetName val="Note 14 Verdipapirgjeld (2)"/>
      <sheetName val="Note 15 Annen gjeld og forp (2"/>
      <sheetName val="Note 16 Eierandelsbevis  (2)"/>
      <sheetName val="Note 17 Hendelser etter bal (2)"/>
      <sheetName val="APM Engelsk"/>
    </sheetNames>
    <sheetDataSet>
      <sheetData sheetId="0"/>
      <sheetData sheetId="1"/>
      <sheetData sheetId="2"/>
      <sheetData sheetId="3"/>
      <sheetData sheetId="4"/>
      <sheetData sheetId="5"/>
      <sheetData sheetId="6">
        <row r="1">
          <cell r="P1">
            <v>1</v>
          </cell>
        </row>
      </sheetData>
      <sheetData sheetId="7"/>
      <sheetData sheetId="8">
        <row r="4">
          <cell r="E4" t="str">
            <v>(mill. kroner)</v>
          </cell>
          <cell r="F4" t="str">
            <v>Noter</v>
          </cell>
          <cell r="G4">
            <v>43465</v>
          </cell>
          <cell r="H4">
            <v>43100</v>
          </cell>
        </row>
        <row r="5">
          <cell r="E5" t="str">
            <v>EIENDELER</v>
          </cell>
        </row>
        <row r="6">
          <cell r="E6" t="str">
            <v>Kontanter og fordringer på sentralbanker</v>
          </cell>
          <cell r="G6">
            <v>1878.3081159999999</v>
          </cell>
          <cell r="H6">
            <v>672.68698600000005</v>
          </cell>
        </row>
        <row r="7">
          <cell r="E7" t="str">
            <v>Utlån til og fordringer på kredittinstitusjoner</v>
          </cell>
          <cell r="G7">
            <v>1022.7689820000001</v>
          </cell>
          <cell r="H7">
            <v>1807.8047610000001</v>
          </cell>
        </row>
        <row r="8">
          <cell r="E8" t="str">
            <v>Utlån til og fordringer på kunder</v>
          </cell>
          <cell r="F8" t="str">
            <v>5,6</v>
          </cell>
          <cell r="G8">
            <v>98605.716025999995</v>
          </cell>
          <cell r="H8">
            <v>90097.511352000001</v>
          </cell>
        </row>
        <row r="9">
          <cell r="E9" t="str">
            <v>Sertifikater, obligasjoner og rentefond</v>
          </cell>
          <cell r="F9">
            <v>10</v>
          </cell>
          <cell r="G9">
            <v>14445.539526</v>
          </cell>
          <cell r="H9">
            <v>8883.2063739999994</v>
          </cell>
        </row>
        <row r="10">
          <cell r="E10" t="str">
            <v>Finansielle derivater</v>
          </cell>
          <cell r="F10" t="str">
            <v>8,10,11</v>
          </cell>
          <cell r="G10">
            <v>819.05522599999995</v>
          </cell>
          <cell r="H10">
            <v>581.66810399999997</v>
          </cell>
        </row>
        <row r="11">
          <cell r="E11" t="str">
            <v>Aksjer, andeler og andre egenkapitalinteresser</v>
          </cell>
          <cell r="F11">
            <v>10</v>
          </cell>
          <cell r="G11">
            <v>593.61375299999997</v>
          </cell>
          <cell r="H11">
            <v>494.96768800000001</v>
          </cell>
        </row>
        <row r="12">
          <cell r="E12" t="str">
            <v>Investering i tilknyttede selskaper og felleskontrollert virksomhet</v>
          </cell>
          <cell r="G12">
            <v>4123.5721299999996</v>
          </cell>
          <cell r="H12">
            <v>3928.959006</v>
          </cell>
        </row>
        <row r="13">
          <cell r="E13" t="str">
            <v>Investering i datterselskaper</v>
          </cell>
          <cell r="G13">
            <v>0</v>
          </cell>
          <cell r="H13">
            <v>0</v>
          </cell>
        </row>
        <row r="14">
          <cell r="E14" t="str">
            <v>Eiendeler holdt for salg</v>
          </cell>
          <cell r="G14">
            <v>0</v>
          </cell>
          <cell r="H14">
            <v>0</v>
          </cell>
        </row>
        <row r="15">
          <cell r="E15" t="str">
            <v>Eiendom, anlegg og utstyr</v>
          </cell>
          <cell r="G15">
            <v>543.07394399999998</v>
          </cell>
          <cell r="H15">
            <v>578.47511299999996</v>
          </cell>
        </row>
        <row r="16">
          <cell r="E16" t="str">
            <v>Goodwill og andre immaterielle eiendeler</v>
          </cell>
          <cell r="G16">
            <v>399.57269600000001</v>
          </cell>
          <cell r="H16">
            <v>366.49702100000002</v>
          </cell>
        </row>
        <row r="17">
          <cell r="E17" t="str">
            <v>Eiendel ved utsatt skatt</v>
          </cell>
          <cell r="G17">
            <v>0</v>
          </cell>
          <cell r="H17">
            <v>0</v>
          </cell>
        </row>
        <row r="18">
          <cell r="E18" t="str">
            <v>Andre eiendeler</v>
          </cell>
          <cell r="F18">
            <v>12</v>
          </cell>
          <cell r="G18">
            <v>1041.1232949999999</v>
          </cell>
          <cell r="H18">
            <v>909.55013299999996</v>
          </cell>
        </row>
        <row r="19">
          <cell r="E19" t="str">
            <v>Sum eiendeler</v>
          </cell>
          <cell r="G19">
            <v>123472.343694</v>
          </cell>
          <cell r="H19">
            <v>108321.32653799999</v>
          </cell>
        </row>
        <row r="21">
          <cell r="E21" t="str">
            <v>FORPLIKTELSER</v>
          </cell>
        </row>
        <row r="22">
          <cell r="E22" t="str">
            <v>Innskudd fra og gjeld til kredittinstitusjoner</v>
          </cell>
          <cell r="G22">
            <v>2635.6622080000002</v>
          </cell>
          <cell r="H22">
            <v>2285.8654080000001</v>
          </cell>
        </row>
        <row r="23">
          <cell r="E23" t="str">
            <v>Innskudd fra og gjeld til kunder</v>
          </cell>
          <cell r="F23">
            <v>13</v>
          </cell>
          <cell r="G23">
            <v>71496.704425000004</v>
          </cell>
          <cell r="H23">
            <v>65985.425443</v>
          </cell>
        </row>
        <row r="24">
          <cell r="E24" t="str">
            <v>Gjeld stiftet ved utstedelse av verdipapirer</v>
          </cell>
          <cell r="F24" t="str">
            <v>10,14</v>
          </cell>
          <cell r="G24">
            <v>31984.282126999999</v>
          </cell>
          <cell r="H24">
            <v>23685.531761999999</v>
          </cell>
        </row>
        <row r="25">
          <cell r="E25" t="str">
            <v>Finansielle derivater</v>
          </cell>
          <cell r="F25" t="str">
            <v>8,10,11</v>
          </cell>
          <cell r="G25">
            <v>353.83291300000002</v>
          </cell>
          <cell r="H25">
            <v>306.71988099999999</v>
          </cell>
        </row>
        <row r="26">
          <cell r="E26" t="str">
            <v>Forpliktelser ved periodeskatt</v>
          </cell>
          <cell r="G26">
            <v>248.25874899999999</v>
          </cell>
          <cell r="H26">
            <v>358.05188800000002</v>
          </cell>
        </row>
        <row r="27">
          <cell r="E27" t="str">
            <v>Forpliktelser ved utsatt skatt</v>
          </cell>
          <cell r="G27">
            <v>201.742031</v>
          </cell>
          <cell r="H27">
            <v>121.67645899999999</v>
          </cell>
        </row>
        <row r="28">
          <cell r="E28" t="str">
            <v>Annen gjeld og balanseført forpliktelse</v>
          </cell>
          <cell r="F28">
            <v>15</v>
          </cell>
          <cell r="G28">
            <v>687.15079999999989</v>
          </cell>
          <cell r="H28">
            <v>540.71019000000001</v>
          </cell>
        </row>
        <row r="29">
          <cell r="E29" t="str">
            <v>Ansvarlig lånekapital</v>
          </cell>
          <cell r="F29" t="str">
            <v>10,14</v>
          </cell>
          <cell r="G29">
            <v>1102.3983880000001</v>
          </cell>
          <cell r="H29">
            <v>1705.7639509999999</v>
          </cell>
        </row>
        <row r="30">
          <cell r="E30" t="str">
            <v>Sum gjeld</v>
          </cell>
          <cell r="G30">
            <v>108710.03164100001</v>
          </cell>
          <cell r="H30">
            <v>94989.744981999989</v>
          </cell>
        </row>
        <row r="32">
          <cell r="E32" t="str">
            <v>EGENKAPITAL</v>
          </cell>
        </row>
        <row r="33">
          <cell r="E33" t="str">
            <v>Egenkapitalbevis</v>
          </cell>
          <cell r="F33">
            <v>18</v>
          </cell>
          <cell r="G33">
            <v>5765.9760930000002</v>
          </cell>
          <cell r="H33">
            <v>5358.8723499999996</v>
          </cell>
        </row>
        <row r="34">
          <cell r="E34" t="str">
            <v>Overkursfond</v>
          </cell>
          <cell r="F34">
            <v>18</v>
          </cell>
          <cell r="G34">
            <v>830.10758899999996</v>
          </cell>
          <cell r="H34">
            <v>547.368516</v>
          </cell>
        </row>
        <row r="35">
          <cell r="E35" t="str">
            <v>Utjevningsfond</v>
          </cell>
          <cell r="F35">
            <v>18</v>
          </cell>
          <cell r="G35">
            <v>2112.09610737711</v>
          </cell>
          <cell r="H35">
            <v>1583.6901267267601</v>
          </cell>
        </row>
        <row r="36">
          <cell r="E36" t="str">
            <v>Utbytte</v>
          </cell>
          <cell r="G36">
            <v>477.21873068000002</v>
          </cell>
          <cell r="H36">
            <v>424.432748</v>
          </cell>
        </row>
        <row r="37">
          <cell r="E37" t="str">
            <v>Grunnfondskapital *)</v>
          </cell>
          <cell r="G37">
            <v>3689.6450758767501</v>
          </cell>
          <cell r="H37">
            <v>3432.0858967551003</v>
          </cell>
        </row>
        <row r="38">
          <cell r="E38" t="str">
            <v>Annen innskutt egenkapital</v>
          </cell>
          <cell r="G38">
            <v>166.15377000000001</v>
          </cell>
          <cell r="H38">
            <v>164.80550523656811</v>
          </cell>
        </row>
        <row r="39">
          <cell r="E39" t="str">
            <v>Gavefond</v>
          </cell>
          <cell r="G39">
            <v>14.661659999999999</v>
          </cell>
          <cell r="H39">
            <v>19.520132000000004</v>
          </cell>
        </row>
        <row r="40">
          <cell r="E40" t="str">
            <v>Fond for urealiserte gevinster</v>
          </cell>
          <cell r="G40">
            <v>253</v>
          </cell>
          <cell r="H40">
            <v>280.72628099999997</v>
          </cell>
        </row>
        <row r="41">
          <cell r="E41" t="str">
            <v>Kundeutbytte</v>
          </cell>
          <cell r="G41">
            <v>221.901596600169</v>
          </cell>
          <cell r="H41">
            <v>204.11640399999999</v>
          </cell>
        </row>
        <row r="42">
          <cell r="E42" t="str">
            <v>Hybridkapital</v>
          </cell>
          <cell r="G42">
            <v>400</v>
          </cell>
          <cell r="H42">
            <v>400</v>
          </cell>
        </row>
        <row r="43">
          <cell r="E43" t="str">
            <v>Renter hybridkapital</v>
          </cell>
          <cell r="G43">
            <v>-47.562805999999995</v>
          </cell>
          <cell r="H43">
            <v>-29.5</v>
          </cell>
        </row>
        <row r="44">
          <cell r="E44" t="str">
            <v>Annen egenkapital</v>
          </cell>
          <cell r="G44">
            <v>775.866806</v>
          </cell>
          <cell r="H44">
            <v>882.8</v>
          </cell>
        </row>
        <row r="45">
          <cell r="E45" t="str">
            <v>Ikke-kontrollerende eierinteresser</v>
          </cell>
          <cell r="G45">
            <v>102.476</v>
          </cell>
          <cell r="H45">
            <v>62.4</v>
          </cell>
        </row>
        <row r="46">
          <cell r="E46" t="str">
            <v>Sum egenkapital</v>
          </cell>
          <cell r="G46">
            <v>14761.540622534032</v>
          </cell>
          <cell r="H46">
            <v>13331.317959718428</v>
          </cell>
        </row>
        <row r="47">
          <cell r="H47" t="str">
            <v xml:space="preserve"> </v>
          </cell>
        </row>
        <row r="48">
          <cell r="E48" t="str">
            <v>Sum gjeld og egenkapital</v>
          </cell>
          <cell r="G48">
            <v>123471.57226353404</v>
          </cell>
          <cell r="H48">
            <v>108321.06294171841</v>
          </cell>
        </row>
        <row r="52">
          <cell r="E52" t="str">
            <v xml:space="preserve">Styret i SpareBank 1 Østlandet </v>
          </cell>
        </row>
        <row r="53">
          <cell r="E53" t="str">
            <v>Hamar, 7. februar 2019</v>
          </cell>
        </row>
        <row r="58">
          <cell r="G58">
            <v>0.77143046596029308</v>
          </cell>
          <cell r="H58">
            <v>0.26359628158388659</v>
          </cell>
        </row>
        <row r="60">
          <cell r="G60">
            <v>0.11955416418467112</v>
          </cell>
          <cell r="H60">
            <v>0.12307225942650946</v>
          </cell>
        </row>
        <row r="67">
          <cell r="G67">
            <v>35722.342723000002</v>
          </cell>
          <cell r="H67">
            <v>27677.161121000001</v>
          </cell>
        </row>
        <row r="72">
          <cell r="E72" t="str">
            <v>(mill. kroner)</v>
          </cell>
          <cell r="F72" t="str">
            <v>Noter</v>
          </cell>
          <cell r="G72">
            <v>43465</v>
          </cell>
          <cell r="H72">
            <v>43100</v>
          </cell>
        </row>
        <row r="73">
          <cell r="E73" t="str">
            <v>Brutto utlån</v>
          </cell>
          <cell r="G73">
            <v>98940.269777329799</v>
          </cell>
          <cell r="H73">
            <v>90461.149747049989</v>
          </cell>
        </row>
        <row r="75">
          <cell r="E75" t="str">
            <v>Lån til kredittinstitusjoner linje 3</v>
          </cell>
          <cell r="G75">
            <v>1022.7689820000001</v>
          </cell>
          <cell r="H75">
            <v>1807.8047610000001</v>
          </cell>
        </row>
        <row r="76">
          <cell r="E76" t="str">
            <v>Minus linje 3.1 (10310) Anfordringer til kredittinstitusjoner</v>
          </cell>
          <cell r="G76">
            <v>79.992040279999998</v>
          </cell>
          <cell r="H76">
            <v>1080.2302099999999</v>
          </cell>
        </row>
        <row r="77">
          <cell r="E77" t="str">
            <v>SUM</v>
          </cell>
          <cell r="G77">
            <v>942.77694172000008</v>
          </cell>
          <cell r="H77">
            <v>727.57455100000016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B,C"/>
      <sheetName val="D1,D2,D3"/>
      <sheetName val="E"/>
      <sheetName val="F,G"/>
      <sheetName val="H"/>
      <sheetName val="I"/>
      <sheetName val="J1, J2"/>
      <sheetName val="K,L"/>
      <sheetName val="M"/>
      <sheetName val=" N"/>
      <sheetName val="O,P"/>
      <sheetName val="Q"/>
      <sheetName val="S, T"/>
      <sheetName val="U"/>
      <sheetName val="V"/>
      <sheetName val="W,X"/>
      <sheetName val="Installed machines"/>
    </sheetNames>
    <sheetDataSet>
      <sheetData sheetId="0">
        <row r="8">
          <cell r="J8">
            <v>1000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 val="G.N.S Resultat 0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parebank1.no/en/ostlandet/about-us/investor.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305"/>
  <sheetViews>
    <sheetView tabSelected="1" zoomScale="85" zoomScaleNormal="85" workbookViewId="0">
      <selection activeCell="A87" sqref="A87"/>
    </sheetView>
  </sheetViews>
  <sheetFormatPr baseColWidth="10" defaultColWidth="11.42578125" defaultRowHeight="12.75"/>
  <cols>
    <col min="1" max="16384" width="11.42578125" style="15"/>
  </cols>
  <sheetData>
    <row r="1" spans="2:2" ht="14.25" customHeight="1"/>
    <row r="2" spans="2:2" ht="14.25" customHeight="1"/>
    <row r="3" spans="2:2" ht="14.25" customHeight="1">
      <c r="B3" s="14"/>
    </row>
    <row r="4" spans="2:2" ht="14.25" customHeight="1"/>
    <row r="5" spans="2:2" ht="14.25" customHeight="1">
      <c r="B5" s="16"/>
    </row>
    <row r="6" spans="2:2" ht="14.25" customHeight="1"/>
    <row r="7" spans="2:2" ht="14.25" customHeight="1">
      <c r="B7" s="13"/>
    </row>
    <row r="8" spans="2:2" ht="14.25" customHeight="1"/>
    <row r="9" spans="2:2" ht="14.25" customHeight="1"/>
    <row r="10" spans="2:2" ht="14.25" customHeight="1"/>
    <row r="11" spans="2:2" ht="14.25" customHeight="1"/>
    <row r="12" spans="2:2" ht="14.25" customHeight="1"/>
    <row r="13" spans="2:2" ht="14.25" customHeight="1"/>
    <row r="14" spans="2:2" ht="14.25" customHeight="1"/>
    <row r="15" spans="2:2" ht="14.25" customHeight="1"/>
    <row r="16" spans="2: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sheetData>
  <pageMargins left="0.7" right="0.7" top="0.75" bottom="0.75" header="0.3" footer="0.3"/>
  <pageSetup paperSize="9" orientation="portrait" horizontalDpi="144" verticalDpi="14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7"/>
  <dimension ref="A1:AO55"/>
  <sheetViews>
    <sheetView showGridLines="0" zoomScale="85" zoomScaleNormal="85" workbookViewId="0">
      <selection activeCell="A121" sqref="A121"/>
    </sheetView>
  </sheetViews>
  <sheetFormatPr baseColWidth="10" defaultColWidth="11.42578125" defaultRowHeight="14.25"/>
  <cols>
    <col min="1" max="1" width="4.28515625" style="68" customWidth="1"/>
    <col min="2" max="2" width="44.85546875" style="68" bestFit="1" customWidth="1"/>
    <col min="3" max="7" width="19" style="68" customWidth="1"/>
    <col min="8" max="16384" width="11.42578125" style="68"/>
  </cols>
  <sheetData>
    <row r="1" spans="1:22" ht="18.75" customHeight="1"/>
    <row r="2" spans="1:22" ht="18.75" customHeight="1">
      <c r="A2" s="138" t="s">
        <v>497</v>
      </c>
      <c r="B2" s="98"/>
      <c r="C2" s="98"/>
      <c r="D2" s="97"/>
    </row>
    <row r="3" spans="1:22" ht="18.75" customHeight="1">
      <c r="A3" s="138"/>
      <c r="B3" s="98"/>
      <c r="C3" s="98"/>
      <c r="D3" s="97"/>
    </row>
    <row r="4" spans="1:22" ht="14.25" customHeight="1">
      <c r="A4" s="138"/>
      <c r="B4" s="98"/>
      <c r="F4" s="97"/>
      <c r="G4" s="98"/>
    </row>
    <row r="5" spans="1:22" ht="14.25" customHeight="1">
      <c r="A5" s="138"/>
      <c r="B5" s="108" t="s">
        <v>75</v>
      </c>
      <c r="C5" s="169" t="s">
        <v>521</v>
      </c>
      <c r="D5" s="170" t="s">
        <v>484</v>
      </c>
      <c r="E5" s="170" t="s">
        <v>409</v>
      </c>
      <c r="F5" s="170" t="s">
        <v>396</v>
      </c>
      <c r="G5" s="170" t="s">
        <v>383</v>
      </c>
      <c r="Q5" s="240"/>
      <c r="R5" s="240"/>
      <c r="S5" s="240"/>
      <c r="T5" s="240"/>
      <c r="U5" s="240"/>
      <c r="V5" s="240"/>
    </row>
    <row r="6" spans="1:22" ht="14.25" customHeight="1">
      <c r="B6" s="144" t="s">
        <v>77</v>
      </c>
      <c r="C6" s="171">
        <v>210.96077891000004</v>
      </c>
      <c r="D6" s="145">
        <v>215.82430793000006</v>
      </c>
      <c r="E6" s="145">
        <v>210.62304950999999</v>
      </c>
      <c r="F6" s="145">
        <v>206.72702903999996</v>
      </c>
      <c r="G6" s="145">
        <v>196.66001699999995</v>
      </c>
      <c r="Q6" s="240"/>
      <c r="R6" s="240"/>
      <c r="S6" s="240"/>
      <c r="T6" s="240"/>
      <c r="U6" s="240"/>
      <c r="V6" s="240"/>
    </row>
    <row r="7" spans="1:22" ht="14.25" customHeight="1">
      <c r="B7" s="144" t="s">
        <v>78</v>
      </c>
      <c r="C7" s="171">
        <v>18.61079208</v>
      </c>
      <c r="D7" s="145">
        <v>19.857984680000001</v>
      </c>
      <c r="E7" s="145">
        <v>19.853931010000004</v>
      </c>
      <c r="F7" s="145">
        <v>18.585068439999997</v>
      </c>
      <c r="G7" s="145">
        <v>17.386254319999999</v>
      </c>
      <c r="Q7" s="240"/>
      <c r="R7" s="240"/>
      <c r="S7" s="240"/>
      <c r="T7" s="240"/>
      <c r="U7" s="240"/>
      <c r="V7" s="240"/>
    </row>
    <row r="8" spans="1:22">
      <c r="B8" s="144" t="s">
        <v>79</v>
      </c>
      <c r="C8" s="171">
        <v>53.457604590000003</v>
      </c>
      <c r="D8" s="145">
        <v>48.708868240000008</v>
      </c>
      <c r="E8" s="145">
        <v>54.351419790000008</v>
      </c>
      <c r="F8" s="145">
        <v>43.951699499999997</v>
      </c>
      <c r="G8" s="145">
        <v>40.656165760000007</v>
      </c>
      <c r="Q8" s="240"/>
      <c r="R8" s="240"/>
      <c r="S8" s="240"/>
      <c r="T8" s="240"/>
      <c r="U8" s="240"/>
      <c r="V8" s="240"/>
    </row>
    <row r="9" spans="1:22" ht="14.25" customHeight="1">
      <c r="B9" s="144" t="s">
        <v>80</v>
      </c>
      <c r="C9" s="171">
        <v>136.38353751</v>
      </c>
      <c r="D9" s="145">
        <v>133.75509148999998</v>
      </c>
      <c r="E9" s="145">
        <v>140.35072704000001</v>
      </c>
      <c r="F9" s="145">
        <v>129.28761779000001</v>
      </c>
      <c r="G9" s="145">
        <v>132.40783217000001</v>
      </c>
      <c r="Q9" s="240"/>
      <c r="R9" s="240"/>
      <c r="S9" s="240"/>
      <c r="T9" s="240"/>
      <c r="U9" s="240"/>
      <c r="V9" s="240"/>
    </row>
    <row r="10" spans="1:22" ht="14.25" customHeight="1">
      <c r="B10" s="144" t="s">
        <v>25</v>
      </c>
      <c r="C10" s="171">
        <v>30.262111280000003</v>
      </c>
      <c r="D10" s="145">
        <v>30.808035570000001</v>
      </c>
      <c r="E10" s="145">
        <v>32.717754999999997</v>
      </c>
      <c r="F10" s="145">
        <v>32.697304769999995</v>
      </c>
      <c r="G10" s="145">
        <v>31.770954060000001</v>
      </c>
      <c r="Q10" s="240"/>
      <c r="R10" s="240"/>
      <c r="S10" s="240"/>
      <c r="T10" s="240"/>
      <c r="U10" s="240"/>
      <c r="V10" s="240"/>
    </row>
    <row r="11" spans="1:22" ht="14.25" customHeight="1">
      <c r="B11" s="146" t="s">
        <v>26</v>
      </c>
      <c r="C11" s="172">
        <v>41.880769170000001</v>
      </c>
      <c r="D11" s="147">
        <v>35.900344940000004</v>
      </c>
      <c r="E11" s="147">
        <v>45.631550800000007</v>
      </c>
      <c r="F11" s="147">
        <v>34.05680121000001</v>
      </c>
      <c r="G11" s="147">
        <v>27.996099580000003</v>
      </c>
      <c r="Q11" s="240"/>
      <c r="R11" s="240"/>
      <c r="S11" s="240"/>
      <c r="T11" s="240"/>
      <c r="U11" s="240"/>
      <c r="V11" s="240"/>
    </row>
    <row r="12" spans="1:22" ht="14.25" customHeight="1">
      <c r="B12" s="142" t="s">
        <v>144</v>
      </c>
      <c r="C12" s="173">
        <f>SUM(C6:C11)</f>
        <v>491.55559354000007</v>
      </c>
      <c r="D12" s="148">
        <f>SUM(D6:D11)</f>
        <v>484.85463285000009</v>
      </c>
      <c r="E12" s="148">
        <f>SUM(E6:E11)</f>
        <v>503.52843315000007</v>
      </c>
      <c r="F12" s="148">
        <f t="shared" ref="F12:G12" si="0">SUM(F6:F11)</f>
        <v>465.30552074999997</v>
      </c>
      <c r="G12" s="148">
        <f t="shared" si="0"/>
        <v>446.87732289000002</v>
      </c>
      <c r="Q12" s="240"/>
      <c r="R12" s="240"/>
      <c r="S12" s="240"/>
      <c r="T12" s="240"/>
      <c r="U12" s="240"/>
      <c r="V12" s="240"/>
    </row>
    <row r="13" spans="1:22" ht="14.25" customHeight="1">
      <c r="B13" s="177" t="s">
        <v>93</v>
      </c>
      <c r="C13" s="171"/>
      <c r="D13" s="145"/>
      <c r="E13" s="145"/>
      <c r="F13" s="145"/>
      <c r="G13" s="145"/>
    </row>
    <row r="14" spans="1:22" ht="14.25" customHeight="1">
      <c r="B14" s="127"/>
      <c r="C14" s="139"/>
      <c r="D14" s="139"/>
      <c r="E14" s="139"/>
    </row>
    <row r="15" spans="1:22" ht="14.25" customHeight="1">
      <c r="B15" s="127"/>
      <c r="C15" s="139"/>
      <c r="D15" s="139"/>
      <c r="E15" s="139"/>
    </row>
    <row r="16" spans="1:22" ht="14.25" customHeight="1">
      <c r="B16" s="127"/>
      <c r="C16" s="139"/>
      <c r="D16" s="139"/>
      <c r="E16" s="139"/>
    </row>
    <row r="17" spans="2:5" ht="15" customHeight="1">
      <c r="B17" s="127"/>
      <c r="C17" s="139"/>
      <c r="D17" s="139"/>
      <c r="E17" s="139"/>
    </row>
    <row r="18" spans="2:5" ht="14.25" customHeight="1">
      <c r="B18" s="127"/>
      <c r="C18" s="139"/>
      <c r="D18" s="139"/>
      <c r="E18" s="139"/>
    </row>
    <row r="19" spans="2:5" ht="14.25" customHeight="1">
      <c r="B19" s="127"/>
      <c r="C19" s="139"/>
      <c r="D19" s="139"/>
      <c r="E19" s="139"/>
    </row>
    <row r="20" spans="2:5" ht="14.25" customHeight="1">
      <c r="B20" s="127"/>
      <c r="C20" s="139"/>
      <c r="D20" s="139"/>
      <c r="E20" s="139"/>
    </row>
    <row r="21" spans="2:5" ht="14.25" customHeight="1">
      <c r="B21" s="127"/>
      <c r="C21" s="139"/>
      <c r="D21" s="139"/>
      <c r="E21" s="139"/>
    </row>
    <row r="22" spans="2:5" ht="14.25" customHeight="1">
      <c r="B22" s="127"/>
      <c r="C22" s="139"/>
      <c r="D22" s="139"/>
      <c r="E22" s="139"/>
    </row>
    <row r="23" spans="2:5" ht="14.25" customHeight="1">
      <c r="B23" s="127"/>
      <c r="C23" s="139"/>
      <c r="D23" s="139"/>
      <c r="E23" s="139"/>
    </row>
    <row r="24" spans="2:5" ht="14.25" customHeight="1">
      <c r="B24" s="127"/>
      <c r="C24" s="139"/>
      <c r="D24" s="139"/>
      <c r="E24" s="139"/>
    </row>
    <row r="25" spans="2:5" ht="14.25" customHeight="1">
      <c r="B25" s="140"/>
      <c r="C25" s="141"/>
      <c r="D25" s="141"/>
      <c r="E25" s="141"/>
    </row>
    <row r="34" spans="1:41">
      <c r="M34" s="143"/>
      <c r="N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row>
    <row r="44" spans="1:41" ht="15">
      <c r="A44" s="138" t="s">
        <v>498</v>
      </c>
    </row>
    <row r="46" spans="1:41">
      <c r="B46" s="95"/>
      <c r="F46" s="97"/>
      <c r="G46" s="96"/>
    </row>
    <row r="47" spans="1:41">
      <c r="B47" s="108" t="s">
        <v>222</v>
      </c>
      <c r="C47" s="169" t="s">
        <v>521</v>
      </c>
      <c r="D47" s="170" t="s">
        <v>484</v>
      </c>
      <c r="E47" s="170" t="s">
        <v>409</v>
      </c>
      <c r="F47" s="170" t="s">
        <v>396</v>
      </c>
      <c r="G47" s="170" t="s">
        <v>383</v>
      </c>
      <c r="Q47" s="240"/>
      <c r="R47" s="240"/>
      <c r="S47" s="240"/>
      <c r="T47" s="240"/>
      <c r="U47" s="240"/>
      <c r="V47" s="240"/>
    </row>
    <row r="48" spans="1:41">
      <c r="B48" s="144" t="s">
        <v>77</v>
      </c>
      <c r="C48" s="171">
        <v>127.06792889000005</v>
      </c>
      <c r="D48" s="145">
        <v>129.2262176400001</v>
      </c>
      <c r="E48" s="145">
        <v>122.32515493999998</v>
      </c>
      <c r="F48" s="145">
        <v>124.92186161999997</v>
      </c>
      <c r="G48" s="145">
        <v>121.29159531999996</v>
      </c>
      <c r="Q48" s="240"/>
      <c r="R48" s="240"/>
      <c r="S48" s="240"/>
      <c r="T48" s="240"/>
      <c r="U48" s="240"/>
      <c r="V48" s="240"/>
    </row>
    <row r="49" spans="2:22">
      <c r="B49" s="144" t="s">
        <v>78</v>
      </c>
      <c r="C49" s="171">
        <v>13.76487131</v>
      </c>
      <c r="D49" s="145">
        <v>14.477990009999999</v>
      </c>
      <c r="E49" s="145">
        <v>13.852754250000002</v>
      </c>
      <c r="F49" s="145">
        <v>13.510188289999999</v>
      </c>
      <c r="G49" s="145">
        <v>13.369673149999999</v>
      </c>
      <c r="Q49" s="240"/>
      <c r="R49" s="240"/>
      <c r="S49" s="240"/>
      <c r="T49" s="240"/>
      <c r="U49" s="240"/>
      <c r="V49" s="240"/>
    </row>
    <row r="50" spans="2:22">
      <c r="B50" s="144" t="s">
        <v>79</v>
      </c>
      <c r="C50" s="171">
        <v>33.197228190000004</v>
      </c>
      <c r="D50" s="145">
        <v>34.637202510000009</v>
      </c>
      <c r="E50" s="145">
        <v>37.120216680000006</v>
      </c>
      <c r="F50" s="145">
        <v>28.235707649999995</v>
      </c>
      <c r="G50" s="145">
        <v>31.265969170000002</v>
      </c>
      <c r="Q50" s="240"/>
      <c r="R50" s="240"/>
      <c r="S50" s="240"/>
      <c r="T50" s="240"/>
      <c r="U50" s="240"/>
      <c r="V50" s="240"/>
    </row>
    <row r="51" spans="2:22">
      <c r="B51" s="144" t="s">
        <v>80</v>
      </c>
      <c r="C51" s="171">
        <v>119.90131547</v>
      </c>
      <c r="D51" s="145">
        <v>119.10458761999999</v>
      </c>
      <c r="E51" s="145">
        <v>120.43420377</v>
      </c>
      <c r="F51" s="145">
        <v>117.06646393999999</v>
      </c>
      <c r="G51" s="145">
        <v>117.40324782999998</v>
      </c>
      <c r="Q51" s="240"/>
      <c r="R51" s="240"/>
      <c r="S51" s="240"/>
      <c r="T51" s="240"/>
      <c r="U51" s="240"/>
      <c r="V51" s="240"/>
    </row>
    <row r="52" spans="2:22">
      <c r="B52" s="144" t="s">
        <v>25</v>
      </c>
      <c r="C52" s="171">
        <v>23.042718109999999</v>
      </c>
      <c r="D52" s="145">
        <v>23.715811049999996</v>
      </c>
      <c r="E52" s="145">
        <v>24.617477449999996</v>
      </c>
      <c r="F52" s="145">
        <v>26.116332279999998</v>
      </c>
      <c r="G52" s="145">
        <v>26.31442869</v>
      </c>
      <c r="Q52" s="240"/>
      <c r="R52" s="240"/>
      <c r="S52" s="240"/>
      <c r="T52" s="240"/>
      <c r="U52" s="240"/>
      <c r="V52" s="240"/>
    </row>
    <row r="53" spans="2:22">
      <c r="B53" s="146" t="s">
        <v>26</v>
      </c>
      <c r="C53" s="172">
        <v>22.058478770000001</v>
      </c>
      <c r="D53" s="178">
        <v>20.337863169999999</v>
      </c>
      <c r="E53" s="147">
        <v>31.657779219999995</v>
      </c>
      <c r="F53" s="147">
        <v>18.311324510000002</v>
      </c>
      <c r="G53" s="147">
        <v>17.51436833</v>
      </c>
      <c r="Q53" s="240"/>
      <c r="R53" s="240"/>
      <c r="S53" s="240"/>
      <c r="T53" s="240"/>
      <c r="U53" s="240"/>
      <c r="V53" s="240"/>
    </row>
    <row r="54" spans="2:22">
      <c r="B54" s="142" t="s">
        <v>144</v>
      </c>
      <c r="C54" s="173">
        <f>SUM(C48:C53)</f>
        <v>339.03254074000006</v>
      </c>
      <c r="D54" s="148">
        <f>SUM(D48:D53)</f>
        <v>341.49967200000009</v>
      </c>
      <c r="E54" s="148">
        <f>SUM(E48:E53)</f>
        <v>350.00758631000002</v>
      </c>
      <c r="F54" s="148">
        <f t="shared" ref="F54:G54" si="1">SUM(F48:F53)</f>
        <v>328.16187828999995</v>
      </c>
      <c r="G54" s="148">
        <f t="shared" si="1"/>
        <v>327.15928248999995</v>
      </c>
      <c r="Q54" s="240"/>
      <c r="R54" s="240"/>
      <c r="S54" s="240"/>
      <c r="T54" s="240"/>
      <c r="U54" s="240"/>
      <c r="V54" s="240"/>
    </row>
    <row r="55" spans="2:22">
      <c r="B55" s="177" t="s">
        <v>93</v>
      </c>
      <c r="C55" s="171"/>
      <c r="D55" s="145"/>
      <c r="E55" s="145"/>
      <c r="F55" s="145"/>
      <c r="G55" s="145">
        <v>1</v>
      </c>
    </row>
  </sheetData>
  <sortState xmlns:xlrd2="http://schemas.microsoft.com/office/spreadsheetml/2017/richdata2" columnSort="1" ref="C4:G12">
    <sortCondition descending="1" ref="C4:G4"/>
  </sortState>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53"/>
  <dimension ref="A1:I108"/>
  <sheetViews>
    <sheetView showGridLines="0" zoomScale="85" zoomScaleNormal="85" workbookViewId="0">
      <selection activeCell="A96" sqref="A96"/>
    </sheetView>
  </sheetViews>
  <sheetFormatPr baseColWidth="10" defaultColWidth="11.42578125" defaultRowHeight="14.25"/>
  <cols>
    <col min="1" max="2" width="4.28515625" style="113" customWidth="1"/>
    <col min="3" max="3" width="2.140625" style="113" customWidth="1"/>
    <col min="4" max="4" width="50.42578125" style="113" bestFit="1" customWidth="1"/>
    <col min="5" max="6" width="14.28515625" style="113" customWidth="1"/>
    <col min="7" max="16384" width="11.42578125" style="113"/>
  </cols>
  <sheetData>
    <row r="1" spans="1:9" ht="18.75" customHeight="1"/>
    <row r="2" spans="1:9" ht="18.75" customHeight="1">
      <c r="A2" s="114" t="s">
        <v>499</v>
      </c>
      <c r="B2" s="115"/>
      <c r="C2" s="115"/>
      <c r="D2" s="115"/>
      <c r="E2" s="116"/>
    </row>
    <row r="3" spans="1:9" ht="14.25" customHeight="1">
      <c r="A3" s="114"/>
      <c r="B3" s="115"/>
      <c r="C3" s="115"/>
      <c r="D3" s="115"/>
      <c r="E3" s="68"/>
      <c r="F3" s="68"/>
      <c r="G3" s="68"/>
      <c r="H3" s="97"/>
      <c r="I3" s="96"/>
    </row>
    <row r="4" spans="1:9" ht="14.25" customHeight="1">
      <c r="A4" s="114"/>
      <c r="B4" s="115"/>
      <c r="C4" s="115"/>
      <c r="D4" s="115"/>
      <c r="E4" s="68"/>
      <c r="F4" s="68"/>
      <c r="G4" s="68"/>
      <c r="H4" s="97"/>
      <c r="I4" s="96"/>
    </row>
    <row r="5" spans="1:9" ht="14.25" customHeight="1">
      <c r="A5" s="114"/>
      <c r="B5" s="117"/>
      <c r="C5" s="118"/>
      <c r="D5" s="108" t="s">
        <v>2</v>
      </c>
      <c r="E5" s="169" t="s">
        <v>521</v>
      </c>
      <c r="F5" s="170" t="s">
        <v>484</v>
      </c>
      <c r="G5" s="170" t="s">
        <v>409</v>
      </c>
      <c r="H5" s="170" t="s">
        <v>396</v>
      </c>
      <c r="I5" s="170" t="s">
        <v>383</v>
      </c>
    </row>
    <row r="6" spans="1:9" s="123" customFormat="1" ht="14.25" customHeight="1">
      <c r="A6" s="119"/>
      <c r="B6" s="120"/>
      <c r="C6" s="121"/>
      <c r="D6" s="144" t="s">
        <v>73</v>
      </c>
      <c r="E6" s="174">
        <v>-2.0000000000000001E-4</v>
      </c>
      <c r="F6" s="175">
        <v>1.1000000000000001E-3</v>
      </c>
      <c r="G6" s="175">
        <v>2.9999999999999997E-4</v>
      </c>
      <c r="H6" s="175">
        <v>-2.3999999999999998E-3</v>
      </c>
      <c r="I6" s="175">
        <v>-5.4999999999999997E-3</v>
      </c>
    </row>
    <row r="7" spans="1:9" s="123" customFormat="1" ht="14.25" customHeight="1">
      <c r="A7" s="119"/>
      <c r="B7" s="124"/>
      <c r="C7" s="124"/>
      <c r="D7" s="144" t="s">
        <v>74</v>
      </c>
      <c r="E7" s="174">
        <v>-5.0000000000000001E-4</v>
      </c>
      <c r="F7" s="175">
        <v>8.9999999999999998E-4</v>
      </c>
      <c r="G7" s="175">
        <v>0</v>
      </c>
      <c r="H7" s="175">
        <v>-4.0000000000000002E-4</v>
      </c>
      <c r="I7" s="175">
        <v>-5.9999999999999995E-4</v>
      </c>
    </row>
    <row r="8" spans="1:9" s="123" customFormat="1" ht="14.25" customHeight="1">
      <c r="A8" s="119"/>
      <c r="B8" s="125"/>
      <c r="C8" s="126"/>
      <c r="D8" s="126"/>
      <c r="E8" s="127"/>
    </row>
    <row r="9" spans="1:9" s="123" customFormat="1" ht="14.25" customHeight="1">
      <c r="A9" s="119"/>
      <c r="B9" s="125"/>
      <c r="C9" s="126"/>
      <c r="D9" s="128"/>
      <c r="E9" s="129"/>
    </row>
    <row r="10" spans="1:9" s="123" customFormat="1" ht="14.25" customHeight="1">
      <c r="A10" s="119"/>
      <c r="B10" s="125"/>
      <c r="C10" s="126"/>
      <c r="D10" s="128"/>
      <c r="E10" s="129"/>
    </row>
    <row r="11" spans="1:9" s="123" customFormat="1" ht="14.25" customHeight="1">
      <c r="A11" s="119"/>
      <c r="B11" s="125"/>
      <c r="C11" s="126"/>
      <c r="D11" s="126"/>
      <c r="E11" s="127"/>
    </row>
    <row r="12" spans="1:9" s="123" customFormat="1" ht="14.25" customHeight="1">
      <c r="A12" s="119"/>
      <c r="B12" s="125"/>
      <c r="C12" s="126"/>
      <c r="D12" s="126"/>
      <c r="E12" s="127"/>
    </row>
    <row r="13" spans="1:9" s="123" customFormat="1" ht="14.25" customHeight="1">
      <c r="A13" s="119"/>
      <c r="B13" s="125"/>
      <c r="C13" s="126"/>
      <c r="D13" s="126"/>
      <c r="E13" s="127"/>
    </row>
    <row r="14" spans="1:9" s="123" customFormat="1" ht="14.25" customHeight="1">
      <c r="A14" s="119"/>
      <c r="B14" s="125"/>
      <c r="C14" s="126"/>
      <c r="D14" s="126"/>
      <c r="E14" s="127"/>
    </row>
    <row r="15" spans="1:9" s="123" customFormat="1" ht="14.25" customHeight="1">
      <c r="A15" s="119"/>
      <c r="B15" s="130"/>
      <c r="C15" s="124"/>
      <c r="D15" s="124"/>
      <c r="E15" s="131"/>
    </row>
    <row r="16" spans="1:9" s="123" customFormat="1" ht="14.25" customHeight="1">
      <c r="A16" s="119"/>
      <c r="B16" s="124"/>
      <c r="C16" s="124"/>
      <c r="D16" s="124"/>
      <c r="E16" s="124"/>
    </row>
    <row r="17" spans="1:5" s="123" customFormat="1" ht="14.25" customHeight="1">
      <c r="A17" s="119"/>
      <c r="B17" s="125"/>
      <c r="C17" s="126"/>
      <c r="D17" s="126"/>
      <c r="E17" s="127"/>
    </row>
    <row r="18" spans="1:5" s="123" customFormat="1" ht="14.25" customHeight="1">
      <c r="A18" s="119"/>
      <c r="B18" s="125"/>
      <c r="C18" s="126"/>
      <c r="D18" s="126"/>
      <c r="E18" s="127"/>
    </row>
    <row r="19" spans="1:5" s="123" customFormat="1" ht="14.25" customHeight="1">
      <c r="A19" s="119"/>
      <c r="B19" s="125"/>
      <c r="C19" s="126"/>
      <c r="D19" s="126"/>
      <c r="E19" s="127"/>
    </row>
    <row r="20" spans="1:5" s="123" customFormat="1" ht="14.25" customHeight="1">
      <c r="A20" s="119"/>
      <c r="B20" s="125"/>
      <c r="C20" s="126"/>
      <c r="D20" s="126"/>
      <c r="E20" s="127"/>
    </row>
    <row r="21" spans="1:5" s="123" customFormat="1" ht="14.25" customHeight="1">
      <c r="A21" s="119"/>
      <c r="B21" s="125"/>
      <c r="C21" s="126"/>
      <c r="D21" s="126"/>
      <c r="E21" s="127"/>
    </row>
    <row r="22" spans="1:5" s="123" customFormat="1" ht="14.25" customHeight="1">
      <c r="A22" s="119"/>
      <c r="B22" s="125"/>
      <c r="C22" s="126"/>
      <c r="D22" s="126"/>
      <c r="E22" s="127"/>
    </row>
    <row r="23" spans="1:5" s="123" customFormat="1" ht="14.25" customHeight="1">
      <c r="A23" s="119"/>
      <c r="B23" s="125"/>
      <c r="C23" s="126"/>
      <c r="D23" s="126"/>
      <c r="E23" s="127"/>
    </row>
    <row r="24" spans="1:5" s="123" customFormat="1" ht="14.25" customHeight="1">
      <c r="A24" s="119"/>
      <c r="B24" s="125"/>
      <c r="C24" s="126"/>
      <c r="D24" s="126"/>
      <c r="E24" s="127"/>
    </row>
    <row r="25" spans="1:5" s="123" customFormat="1" ht="14.25" customHeight="1">
      <c r="A25" s="119"/>
      <c r="B25" s="125"/>
      <c r="C25" s="126"/>
      <c r="D25" s="126"/>
      <c r="E25" s="127"/>
    </row>
    <row r="26" spans="1:5" s="123" customFormat="1" ht="14.25" customHeight="1">
      <c r="A26" s="119"/>
      <c r="B26" s="125"/>
      <c r="C26" s="126"/>
      <c r="D26" s="126"/>
      <c r="E26" s="127"/>
    </row>
    <row r="27" spans="1:5" s="123" customFormat="1" ht="14.25" customHeight="1">
      <c r="A27" s="119"/>
      <c r="B27" s="125"/>
      <c r="C27" s="126"/>
      <c r="D27" s="126"/>
      <c r="E27" s="127"/>
    </row>
    <row r="28" spans="1:5" s="123" customFormat="1" ht="14.25" customHeight="1">
      <c r="A28" s="119"/>
      <c r="B28" s="125"/>
      <c r="C28" s="126"/>
      <c r="D28" s="126"/>
      <c r="E28" s="127"/>
    </row>
    <row r="29" spans="1:5" s="123" customFormat="1" ht="14.25" customHeight="1">
      <c r="A29" s="119"/>
      <c r="B29" s="125"/>
      <c r="C29" s="126"/>
      <c r="D29" s="126"/>
      <c r="E29" s="127"/>
    </row>
    <row r="30" spans="1:5" s="123" customFormat="1" ht="14.25" customHeight="1">
      <c r="A30" s="119"/>
      <c r="B30" s="125"/>
      <c r="C30" s="126"/>
      <c r="D30" s="126"/>
      <c r="E30" s="127"/>
    </row>
    <row r="31" spans="1:5" s="123" customFormat="1" ht="14.25" customHeight="1">
      <c r="A31" s="114" t="s">
        <v>500</v>
      </c>
      <c r="B31" s="125"/>
      <c r="C31" s="126"/>
      <c r="D31" s="126"/>
      <c r="E31" s="127"/>
    </row>
    <row r="32" spans="1:5" s="123" customFormat="1" ht="14.25" customHeight="1">
      <c r="A32" s="119"/>
      <c r="B32" s="125"/>
      <c r="C32" s="126"/>
      <c r="D32" s="128"/>
      <c r="E32" s="129"/>
    </row>
    <row r="33" spans="1:9" s="123" customFormat="1" ht="14.25" customHeight="1">
      <c r="A33" s="119"/>
      <c r="B33" s="125"/>
      <c r="C33" s="126"/>
      <c r="D33" s="128"/>
      <c r="E33" s="96"/>
      <c r="F33" s="97"/>
      <c r="G33" s="68"/>
      <c r="H33" s="68"/>
      <c r="I33" s="68"/>
    </row>
    <row r="34" spans="1:9" s="123" customFormat="1" ht="14.25" customHeight="1">
      <c r="A34" s="119"/>
      <c r="B34" s="125"/>
      <c r="C34" s="126"/>
      <c r="D34" s="108" t="s">
        <v>2</v>
      </c>
      <c r="E34" s="169" t="s">
        <v>521</v>
      </c>
      <c r="F34" s="179" t="s">
        <v>484</v>
      </c>
      <c r="G34" s="170" t="s">
        <v>409</v>
      </c>
      <c r="H34" s="170" t="s">
        <v>396</v>
      </c>
      <c r="I34" s="170" t="s">
        <v>383</v>
      </c>
    </row>
    <row r="35" spans="1:9" s="123" customFormat="1" ht="14.25" customHeight="1">
      <c r="A35" s="119"/>
      <c r="B35" s="125"/>
      <c r="C35" s="126"/>
      <c r="D35" s="144" t="s">
        <v>81</v>
      </c>
      <c r="E35" s="174">
        <v>1.6899999999999998E-2</v>
      </c>
      <c r="F35" s="371">
        <v>1.5299999999999999E-2</v>
      </c>
      <c r="G35" s="175">
        <v>1.66E-2</v>
      </c>
      <c r="H35" s="175">
        <v>1.7399999999999999E-2</v>
      </c>
      <c r="I35" s="175">
        <v>1.8100000000000002E-2</v>
      </c>
    </row>
    <row r="36" spans="1:9" s="123" customFormat="1" ht="14.25" customHeight="1">
      <c r="A36" s="119"/>
      <c r="B36" s="125"/>
      <c r="C36" s="126"/>
      <c r="D36" s="144" t="s">
        <v>82</v>
      </c>
      <c r="E36" s="174">
        <v>2.64E-2</v>
      </c>
      <c r="F36" s="371">
        <v>2.6100000000000002E-2</v>
      </c>
      <c r="G36" s="175">
        <v>2.6700000000000002E-2</v>
      </c>
      <c r="H36" s="175">
        <v>2.7900000000000001E-2</v>
      </c>
      <c r="I36" s="175">
        <v>3.0599999999999999E-2</v>
      </c>
    </row>
    <row r="37" spans="1:9" s="123" customFormat="1" ht="14.25" customHeight="1">
      <c r="A37" s="119"/>
      <c r="B37" s="125"/>
      <c r="C37" s="126"/>
      <c r="D37" s="126"/>
      <c r="E37" s="127"/>
    </row>
    <row r="38" spans="1:9" s="123" customFormat="1" ht="14.25" customHeight="1">
      <c r="A38" s="119"/>
      <c r="B38" s="130"/>
      <c r="C38" s="124"/>
      <c r="D38" s="124"/>
      <c r="E38" s="131"/>
    </row>
    <row r="39" spans="1:9" s="123" customFormat="1" ht="14.25" customHeight="1">
      <c r="A39" s="119"/>
      <c r="B39" s="124"/>
      <c r="C39" s="124"/>
      <c r="D39" s="124"/>
      <c r="E39" s="124"/>
    </row>
    <row r="40" spans="1:9" s="123" customFormat="1" ht="14.25" customHeight="1">
      <c r="A40" s="119"/>
      <c r="B40" s="125"/>
      <c r="C40" s="126"/>
      <c r="D40" s="126"/>
      <c r="E40" s="127"/>
    </row>
    <row r="41" spans="1:9" s="123" customFormat="1" ht="14.25" customHeight="1">
      <c r="A41" s="119"/>
      <c r="B41" s="125"/>
      <c r="C41" s="126"/>
      <c r="D41" s="128"/>
      <c r="E41" s="129"/>
    </row>
    <row r="42" spans="1:9" s="123" customFormat="1" ht="14.25" customHeight="1">
      <c r="A42" s="119"/>
      <c r="B42" s="125"/>
      <c r="C42" s="126"/>
      <c r="D42" s="128"/>
      <c r="E42" s="129"/>
    </row>
    <row r="43" spans="1:9" s="123" customFormat="1" ht="14.25" customHeight="1">
      <c r="A43" s="119"/>
      <c r="B43" s="125"/>
      <c r="C43" s="126"/>
      <c r="D43" s="126"/>
      <c r="E43" s="127"/>
    </row>
    <row r="44" spans="1:9" s="123" customFormat="1" ht="14.25" customHeight="1">
      <c r="A44" s="119"/>
      <c r="B44" s="130"/>
      <c r="C44" s="124"/>
      <c r="D44" s="124"/>
      <c r="E44" s="131"/>
    </row>
    <row r="45" spans="1:9" s="123" customFormat="1" ht="14.25" customHeight="1">
      <c r="A45" s="119"/>
      <c r="B45" s="124"/>
      <c r="C45" s="124"/>
      <c r="D45" s="124"/>
      <c r="E45" s="124"/>
    </row>
    <row r="46" spans="1:9" s="123" customFormat="1" ht="14.25" customHeight="1">
      <c r="A46" s="119"/>
      <c r="B46" s="125"/>
      <c r="C46" s="126"/>
      <c r="D46" s="126"/>
      <c r="E46" s="127"/>
    </row>
    <row r="47" spans="1:9" s="123" customFormat="1" ht="14.25" customHeight="1">
      <c r="A47" s="119"/>
      <c r="B47" s="125"/>
      <c r="C47" s="126"/>
      <c r="D47" s="126"/>
      <c r="E47" s="127"/>
    </row>
    <row r="48" spans="1:9" s="123" customFormat="1" ht="14.25" customHeight="1">
      <c r="A48" s="119"/>
      <c r="B48" s="125"/>
      <c r="C48" s="126"/>
      <c r="D48" s="126"/>
      <c r="E48" s="127"/>
    </row>
    <row r="49" spans="1:5" s="123" customFormat="1" ht="14.25" customHeight="1">
      <c r="A49" s="119"/>
      <c r="B49" s="125"/>
      <c r="C49" s="126"/>
      <c r="D49" s="126"/>
      <c r="E49" s="127"/>
    </row>
    <row r="50" spans="1:5" s="123" customFormat="1" ht="14.25" customHeight="1">
      <c r="A50" s="119"/>
      <c r="B50" s="125"/>
      <c r="C50" s="126"/>
      <c r="D50" s="126"/>
      <c r="E50" s="127"/>
    </row>
    <row r="51" spans="1:5" s="123" customFormat="1" ht="14.25" customHeight="1">
      <c r="A51" s="119"/>
      <c r="B51" s="125"/>
      <c r="C51" s="126"/>
      <c r="D51" s="126"/>
      <c r="E51" s="127"/>
    </row>
    <row r="52" spans="1:5" s="123" customFormat="1" ht="14.25" customHeight="1">
      <c r="A52" s="119"/>
      <c r="B52" s="130"/>
      <c r="C52" s="124"/>
      <c r="D52" s="124"/>
      <c r="E52" s="131"/>
    </row>
    <row r="53" spans="1:5" s="123" customFormat="1" ht="14.25" customHeight="1">
      <c r="A53" s="119"/>
      <c r="B53" s="124"/>
      <c r="C53" s="124"/>
      <c r="D53" s="124"/>
      <c r="E53" s="124"/>
    </row>
    <row r="54" spans="1:5" s="123" customFormat="1" ht="14.25" customHeight="1">
      <c r="A54" s="119"/>
      <c r="B54" s="125"/>
      <c r="C54" s="126"/>
      <c r="D54" s="126"/>
      <c r="E54" s="127"/>
    </row>
    <row r="55" spans="1:5" s="123" customFormat="1" ht="14.25" customHeight="1">
      <c r="A55" s="119"/>
      <c r="B55" s="125"/>
      <c r="C55" s="126"/>
      <c r="D55" s="126"/>
      <c r="E55" s="127"/>
    </row>
    <row r="56" spans="1:5" s="123" customFormat="1" ht="14.25" customHeight="1">
      <c r="A56" s="119"/>
      <c r="B56" s="125"/>
      <c r="C56" s="126"/>
      <c r="D56" s="126"/>
      <c r="E56" s="127"/>
    </row>
    <row r="57" spans="1:5" s="123" customFormat="1" ht="14.25" customHeight="1">
      <c r="A57" s="119"/>
      <c r="B57" s="130"/>
      <c r="C57" s="124"/>
      <c r="D57" s="124"/>
      <c r="E57" s="131"/>
    </row>
    <row r="58" spans="1:5" s="123" customFormat="1" ht="14.25" customHeight="1">
      <c r="A58" s="119"/>
      <c r="B58" s="124"/>
      <c r="C58" s="124"/>
      <c r="D58" s="124"/>
      <c r="E58" s="124"/>
    </row>
    <row r="59" spans="1:5" s="123" customFormat="1" ht="14.25" customHeight="1">
      <c r="A59" s="119"/>
      <c r="B59" s="125"/>
      <c r="C59" s="126"/>
      <c r="D59" s="126"/>
      <c r="E59" s="127"/>
    </row>
    <row r="60" spans="1:5" s="123" customFormat="1" ht="14.25" customHeight="1">
      <c r="A60" s="119"/>
      <c r="B60" s="125"/>
      <c r="C60" s="126"/>
      <c r="D60" s="126"/>
      <c r="E60" s="127"/>
    </row>
    <row r="61" spans="1:5" s="123" customFormat="1" ht="14.25" customHeight="1">
      <c r="A61" s="119"/>
      <c r="B61" s="125"/>
      <c r="C61" s="126"/>
      <c r="D61" s="126"/>
      <c r="E61" s="127"/>
    </row>
    <row r="62" spans="1:5" s="123" customFormat="1" ht="14.25" customHeight="1">
      <c r="A62" s="119"/>
      <c r="B62" s="125"/>
      <c r="C62" s="126"/>
      <c r="D62" s="128"/>
      <c r="E62" s="129"/>
    </row>
    <row r="63" spans="1:5" s="123" customFormat="1" ht="14.25" customHeight="1">
      <c r="A63" s="119"/>
      <c r="B63" s="125"/>
      <c r="C63" s="126"/>
      <c r="D63" s="128"/>
      <c r="E63" s="129"/>
    </row>
    <row r="64" spans="1:5" s="123" customFormat="1" ht="14.25" customHeight="1">
      <c r="A64" s="119"/>
      <c r="B64" s="125"/>
      <c r="C64" s="126"/>
      <c r="D64" s="126"/>
      <c r="E64" s="127"/>
    </row>
    <row r="65" spans="1:5" s="123" customFormat="1" ht="14.25" customHeight="1">
      <c r="A65" s="119"/>
      <c r="B65" s="125"/>
      <c r="C65" s="126"/>
      <c r="D65" s="126"/>
      <c r="E65" s="127"/>
    </row>
    <row r="66" spans="1:5" s="123" customFormat="1" ht="14.25" customHeight="1">
      <c r="A66" s="119"/>
      <c r="B66" s="130"/>
      <c r="C66" s="124"/>
      <c r="D66" s="124"/>
      <c r="E66" s="131"/>
    </row>
    <row r="67" spans="1:5" s="123" customFormat="1" ht="14.25" customHeight="1">
      <c r="A67" s="119"/>
      <c r="B67" s="130"/>
      <c r="C67" s="124"/>
      <c r="D67" s="124"/>
      <c r="E67" s="131"/>
    </row>
    <row r="68" spans="1:5" s="123" customFormat="1" ht="14.25" customHeight="1">
      <c r="A68" s="119"/>
      <c r="B68" s="130"/>
      <c r="C68" s="124"/>
      <c r="D68" s="124"/>
      <c r="E68" s="131"/>
    </row>
    <row r="69" spans="1:5" s="123" customFormat="1" ht="14.25" customHeight="1">
      <c r="A69" s="119"/>
      <c r="B69" s="124"/>
      <c r="C69" s="124"/>
      <c r="D69" s="124"/>
      <c r="E69" s="124"/>
    </row>
    <row r="70" spans="1:5" s="123" customFormat="1" ht="14.25" customHeight="1">
      <c r="A70" s="119"/>
      <c r="B70" s="125"/>
      <c r="C70" s="126"/>
      <c r="D70" s="126"/>
      <c r="E70" s="132"/>
    </row>
    <row r="71" spans="1:5" s="123" customFormat="1" ht="14.25" customHeight="1">
      <c r="A71" s="119"/>
      <c r="B71" s="125"/>
      <c r="C71" s="126"/>
      <c r="D71" s="126"/>
      <c r="E71" s="132"/>
    </row>
    <row r="72" spans="1:5" s="123" customFormat="1" ht="14.25" customHeight="1">
      <c r="A72" s="119"/>
      <c r="B72" s="125"/>
      <c r="C72" s="126"/>
      <c r="D72" s="126"/>
      <c r="E72" s="132"/>
    </row>
    <row r="73" spans="1:5" s="123" customFormat="1" ht="14.25" customHeight="1">
      <c r="A73" s="119"/>
      <c r="B73" s="125"/>
      <c r="C73" s="126"/>
      <c r="D73" s="126"/>
      <c r="E73" s="132"/>
    </row>
    <row r="74" spans="1:5" s="123" customFormat="1" ht="14.25" customHeight="1">
      <c r="A74" s="119"/>
      <c r="B74" s="125"/>
      <c r="C74" s="126"/>
      <c r="D74" s="126"/>
      <c r="E74" s="132"/>
    </row>
    <row r="75" spans="1:5" s="123" customFormat="1" ht="14.25" customHeight="1">
      <c r="A75" s="119"/>
      <c r="B75" s="125"/>
      <c r="C75" s="126"/>
      <c r="D75" s="126"/>
      <c r="E75" s="132"/>
    </row>
    <row r="76" spans="1:5" s="123" customFormat="1" ht="14.25" customHeight="1">
      <c r="A76" s="119"/>
      <c r="B76" s="125"/>
      <c r="C76" s="126"/>
      <c r="D76" s="126"/>
      <c r="E76" s="132"/>
    </row>
    <row r="77" spans="1:5" s="123" customFormat="1" ht="14.25" customHeight="1">
      <c r="A77" s="119"/>
      <c r="B77" s="125"/>
      <c r="C77" s="126"/>
      <c r="D77" s="126"/>
      <c r="E77" s="132"/>
    </row>
    <row r="78" spans="1:5" s="123" customFormat="1" ht="14.25" customHeight="1">
      <c r="A78" s="119"/>
      <c r="B78" s="124"/>
      <c r="C78" s="124"/>
      <c r="D78" s="124"/>
      <c r="E78" s="124"/>
    </row>
    <row r="79" spans="1:5" s="123" customFormat="1" ht="14.25" customHeight="1">
      <c r="A79" s="119"/>
      <c r="B79" s="125"/>
      <c r="C79" s="126"/>
      <c r="D79" s="126"/>
      <c r="E79" s="127"/>
    </row>
    <row r="80" spans="1:5" s="123" customFormat="1" ht="14.25" customHeight="1">
      <c r="A80" s="119"/>
      <c r="B80" s="125"/>
      <c r="C80" s="126"/>
      <c r="D80" s="126"/>
      <c r="E80" s="127"/>
    </row>
    <row r="81" spans="1:5" s="123" customFormat="1" ht="14.25" customHeight="1">
      <c r="A81" s="119"/>
      <c r="B81" s="125"/>
      <c r="C81" s="126"/>
      <c r="D81" s="126"/>
      <c r="E81" s="127"/>
    </row>
    <row r="82" spans="1:5" s="123" customFormat="1" ht="14.25" customHeight="1">
      <c r="A82" s="119"/>
      <c r="B82" s="124"/>
      <c r="C82" s="124"/>
      <c r="D82" s="124"/>
      <c r="E82" s="124"/>
    </row>
    <row r="83" spans="1:5" s="123" customFormat="1" ht="14.25" customHeight="1">
      <c r="A83" s="119"/>
      <c r="B83" s="125"/>
      <c r="C83" s="126"/>
      <c r="D83" s="126"/>
      <c r="E83" s="127"/>
    </row>
    <row r="84" spans="1:5" s="123" customFormat="1" ht="14.25" customHeight="1">
      <c r="A84" s="119"/>
      <c r="B84" s="125"/>
      <c r="C84" s="126"/>
      <c r="D84" s="126"/>
      <c r="E84" s="127"/>
    </row>
    <row r="85" spans="1:5" s="123" customFormat="1" ht="14.25" customHeight="1">
      <c r="A85" s="119"/>
      <c r="B85" s="125"/>
      <c r="C85" s="126"/>
      <c r="D85" s="126"/>
      <c r="E85" s="127"/>
    </row>
    <row r="86" spans="1:5" s="123" customFormat="1" ht="14.25" customHeight="1">
      <c r="A86" s="119"/>
      <c r="B86" s="125"/>
      <c r="C86" s="126"/>
      <c r="D86" s="126"/>
      <c r="E86" s="127"/>
    </row>
    <row r="87" spans="1:5" s="123" customFormat="1" ht="15" customHeight="1">
      <c r="A87" s="119"/>
      <c r="B87" s="120"/>
      <c r="C87" s="121"/>
      <c r="D87" s="121"/>
      <c r="E87" s="122"/>
    </row>
    <row r="88" spans="1:5" s="123" customFormat="1" ht="15" customHeight="1">
      <c r="A88" s="119"/>
      <c r="B88" s="120"/>
      <c r="C88" s="121"/>
      <c r="D88" s="121"/>
      <c r="E88" s="122"/>
    </row>
    <row r="89" spans="1:5" s="123" customFormat="1" ht="15" customHeight="1">
      <c r="A89" s="119"/>
      <c r="B89" s="120"/>
      <c r="C89" s="121"/>
      <c r="D89" s="121"/>
      <c r="E89" s="122"/>
    </row>
    <row r="90" spans="1:5" s="123" customFormat="1" ht="15" customHeight="1">
      <c r="A90" s="119"/>
      <c r="B90" s="120"/>
      <c r="C90" s="121"/>
      <c r="D90" s="121"/>
      <c r="E90" s="122"/>
    </row>
    <row r="91" spans="1:5" s="123" customFormat="1" ht="15" customHeight="1">
      <c r="A91" s="119"/>
      <c r="B91" s="120"/>
      <c r="C91" s="121"/>
      <c r="D91" s="121"/>
      <c r="E91" s="122"/>
    </row>
    <row r="92" spans="1:5" s="123" customFormat="1" ht="15" customHeight="1">
      <c r="A92" s="119"/>
      <c r="B92" s="120"/>
      <c r="C92" s="121"/>
      <c r="D92" s="121"/>
      <c r="E92" s="122"/>
    </row>
    <row r="93" spans="1:5" s="123" customFormat="1" ht="15" customHeight="1">
      <c r="A93" s="119"/>
      <c r="B93" s="120"/>
      <c r="C93" s="121"/>
      <c r="D93" s="121"/>
      <c r="E93" s="122"/>
    </row>
    <row r="94" spans="1:5" s="133" customFormat="1" ht="15" customHeight="1">
      <c r="B94" s="134"/>
      <c r="C94" s="121"/>
      <c r="D94" s="121"/>
      <c r="E94" s="121"/>
    </row>
    <row r="95" spans="1:5" s="133" customFormat="1" ht="15" customHeight="1">
      <c r="B95" s="134"/>
      <c r="C95" s="121"/>
      <c r="D95" s="121"/>
      <c r="E95" s="121"/>
    </row>
    <row r="96" spans="1:5" s="133" customFormat="1" ht="15" customHeight="1">
      <c r="B96" s="134"/>
      <c r="C96" s="121"/>
      <c r="D96" s="121"/>
      <c r="E96" s="121"/>
    </row>
    <row r="97" spans="1:9" s="133" customFormat="1" ht="15" customHeight="1">
      <c r="B97" s="134"/>
      <c r="C97" s="121"/>
      <c r="D97" s="121"/>
      <c r="E97" s="121"/>
    </row>
    <row r="98" spans="1:9" s="133" customFormat="1" ht="15" customHeight="1">
      <c r="B98" s="134"/>
      <c r="C98" s="121"/>
      <c r="D98" s="121"/>
      <c r="E98" s="121"/>
    </row>
    <row r="99" spans="1:9" s="133" customFormat="1" ht="15" customHeight="1">
      <c r="B99" s="134"/>
      <c r="C99" s="121"/>
      <c r="D99" s="121"/>
      <c r="E99" s="121"/>
    </row>
    <row r="100" spans="1:9" s="133" customFormat="1" ht="15" customHeight="1">
      <c r="B100" s="134"/>
      <c r="C100" s="121"/>
      <c r="D100" s="121"/>
      <c r="E100" s="121"/>
    </row>
    <row r="101" spans="1:9" s="133" customFormat="1" ht="15" customHeight="1">
      <c r="B101" s="134"/>
      <c r="C101" s="121"/>
      <c r="D101" s="121"/>
      <c r="E101" s="121"/>
    </row>
    <row r="102" spans="1:9" s="133" customFormat="1" ht="15" customHeight="1">
      <c r="B102" s="134"/>
      <c r="C102" s="121"/>
      <c r="D102" s="121"/>
      <c r="E102" s="121"/>
    </row>
    <row r="103" spans="1:9" s="136" customFormat="1" ht="15" customHeight="1">
      <c r="A103" s="135"/>
      <c r="B103" s="134"/>
      <c r="C103" s="121"/>
      <c r="D103" s="121"/>
      <c r="E103" s="121"/>
      <c r="F103" s="133"/>
      <c r="G103" s="133"/>
    </row>
    <row r="104" spans="1:9" ht="15" customHeight="1">
      <c r="A104" s="114"/>
      <c r="B104" s="134"/>
      <c r="C104" s="121"/>
      <c r="D104" s="121"/>
      <c r="E104" s="121"/>
      <c r="F104" s="133"/>
    </row>
    <row r="108" spans="1:9">
      <c r="I108" s="137"/>
    </row>
  </sheetData>
  <sortState xmlns:xlrd2="http://schemas.microsoft.com/office/spreadsheetml/2017/richdata2" columnSort="1" ref="E33:I36">
    <sortCondition ref="E33:I33"/>
  </sortState>
  <pageMargins left="0.7" right="0.7" top="0.75" bottom="0.75" header="0.3" footer="0.3"/>
  <pageSetup paperSize="9" orientation="portrait" verticalDpi="14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E67"/>
  <sheetViews>
    <sheetView showGridLines="0" zoomScale="85" zoomScaleNormal="85" workbookViewId="0">
      <selection activeCell="A88" sqref="A88"/>
    </sheetView>
  </sheetViews>
  <sheetFormatPr baseColWidth="10" defaultColWidth="11.42578125" defaultRowHeight="14.25"/>
  <cols>
    <col min="1" max="2" width="4.28515625" style="331" customWidth="1"/>
    <col min="3" max="3" width="90" style="331" customWidth="1"/>
    <col min="4" max="18" width="14.28515625" style="331" customWidth="1"/>
    <col min="19" max="109" width="11.42578125" style="331"/>
    <col min="110" max="16384" width="11.42578125" style="113"/>
  </cols>
  <sheetData>
    <row r="1" spans="1:27" s="113" customFormat="1" ht="18.75" customHeight="1">
      <c r="P1" s="241"/>
      <c r="Q1" s="241"/>
      <c r="R1" s="241"/>
      <c r="S1" s="241"/>
      <c r="T1" s="241"/>
      <c r="U1" s="241"/>
      <c r="V1" s="241"/>
      <c r="W1" s="241"/>
      <c r="X1" s="241"/>
      <c r="Y1" s="241"/>
      <c r="Z1" s="241"/>
      <c r="AA1" s="241"/>
    </row>
    <row r="2" spans="1:27" s="113" customFormat="1" ht="18.75" customHeight="1">
      <c r="A2" s="138" t="s">
        <v>501</v>
      </c>
      <c r="B2" s="115"/>
      <c r="C2" s="115"/>
      <c r="D2" s="116"/>
      <c r="E2" s="116"/>
      <c r="F2" s="116"/>
      <c r="G2" s="116"/>
      <c r="H2" s="116"/>
      <c r="I2" s="116"/>
      <c r="J2" s="116"/>
      <c r="P2" s="241"/>
      <c r="Q2" s="241"/>
      <c r="R2" s="241"/>
      <c r="S2" s="241"/>
      <c r="T2" s="241"/>
      <c r="U2" s="241"/>
      <c r="V2" s="241"/>
      <c r="W2" s="241"/>
      <c r="X2" s="241"/>
      <c r="Y2" s="241"/>
      <c r="Z2" s="241"/>
      <c r="AA2" s="241"/>
    </row>
    <row r="3" spans="1:27" s="113" customFormat="1" ht="14.25" customHeight="1">
      <c r="A3" s="114"/>
      <c r="B3" s="115"/>
      <c r="C3" s="115"/>
      <c r="D3" s="116"/>
      <c r="E3" s="116"/>
      <c r="F3" s="116"/>
      <c r="G3" s="116"/>
      <c r="H3" s="116"/>
      <c r="I3" s="116"/>
      <c r="J3" s="116"/>
      <c r="P3" s="241"/>
      <c r="Q3" s="241"/>
      <c r="R3" s="241"/>
      <c r="S3" s="241"/>
      <c r="T3" s="241"/>
      <c r="U3" s="241"/>
      <c r="V3" s="241"/>
      <c r="W3" s="241"/>
      <c r="X3" s="241"/>
      <c r="Y3" s="241"/>
      <c r="Z3" s="241"/>
      <c r="AA3" s="241"/>
    </row>
    <row r="4" spans="1:27" s="113" customFormat="1" ht="14.25" customHeight="1">
      <c r="A4" s="114"/>
      <c r="B4" s="117"/>
      <c r="C4" s="118"/>
      <c r="D4" s="116"/>
      <c r="E4" s="116"/>
      <c r="F4" s="116"/>
      <c r="G4" s="116"/>
      <c r="H4" s="116"/>
      <c r="I4" s="116"/>
      <c r="J4" s="116"/>
      <c r="P4" s="241"/>
      <c r="Q4" s="241"/>
      <c r="R4" s="241"/>
      <c r="S4" s="241"/>
      <c r="T4" s="241"/>
      <c r="U4" s="241"/>
      <c r="V4" s="241"/>
      <c r="W4" s="241"/>
      <c r="X4" s="241"/>
      <c r="Y4" s="241"/>
      <c r="Z4" s="241"/>
      <c r="AA4" s="241"/>
    </row>
    <row r="5" spans="1:27" s="123" customFormat="1" ht="14.25" customHeight="1">
      <c r="A5" s="119"/>
      <c r="B5" s="120"/>
      <c r="C5" s="108" t="s">
        <v>2</v>
      </c>
      <c r="D5" s="169" t="s">
        <v>521</v>
      </c>
      <c r="E5" s="170" t="s">
        <v>484</v>
      </c>
      <c r="F5" s="170" t="s">
        <v>409</v>
      </c>
      <c r="G5" s="170" t="s">
        <v>396</v>
      </c>
      <c r="H5" s="170" t="s">
        <v>383</v>
      </c>
      <c r="I5" s="232"/>
      <c r="J5" s="233"/>
      <c r="P5" s="242"/>
      <c r="Q5" s="242"/>
      <c r="R5" s="242"/>
      <c r="S5" s="242"/>
      <c r="T5" s="242"/>
      <c r="U5" s="242"/>
      <c r="V5" s="242"/>
      <c r="W5" s="242"/>
      <c r="X5" s="242"/>
      <c r="Y5" s="242"/>
      <c r="Z5" s="242"/>
      <c r="AA5" s="242"/>
    </row>
    <row r="6" spans="1:27" s="123" customFormat="1" ht="12.75" customHeight="1">
      <c r="A6" s="119"/>
      <c r="B6" s="125"/>
      <c r="C6" s="198" t="s">
        <v>105</v>
      </c>
      <c r="D6" s="206">
        <v>295.33500099000003</v>
      </c>
      <c r="E6" s="199">
        <v>310.06382122530351</v>
      </c>
      <c r="F6" s="199">
        <v>327.28410000000002</v>
      </c>
      <c r="G6" s="199">
        <v>270.61930000000001</v>
      </c>
      <c r="H6" s="199">
        <v>287.81636906440167</v>
      </c>
      <c r="I6" s="226"/>
      <c r="J6" s="223"/>
      <c r="K6" s="194"/>
      <c r="L6" s="194"/>
      <c r="M6" s="194"/>
      <c r="N6" s="194"/>
      <c r="O6" s="194"/>
      <c r="P6" s="243"/>
      <c r="Q6" s="243"/>
      <c r="R6" s="243"/>
      <c r="S6" s="242"/>
      <c r="T6" s="242"/>
      <c r="U6" s="242"/>
      <c r="V6" s="242"/>
      <c r="W6" s="242"/>
      <c r="X6" s="242"/>
      <c r="Y6" s="242"/>
      <c r="Z6" s="242"/>
      <c r="AA6" s="242"/>
    </row>
    <row r="7" spans="1:27" s="123" customFormat="1" ht="14.25" customHeight="1">
      <c r="A7" s="119"/>
      <c r="B7" s="125"/>
      <c r="C7" s="198" t="s">
        <v>106</v>
      </c>
      <c r="D7" s="206">
        <v>5681.3141812397153</v>
      </c>
      <c r="E7" s="199">
        <v>5419.2010890591637</v>
      </c>
      <c r="F7" s="199">
        <v>5485.9764000000005</v>
      </c>
      <c r="G7" s="199">
        <v>5367.6157999999996</v>
      </c>
      <c r="H7" s="199">
        <v>5226.7781584863296</v>
      </c>
      <c r="I7" s="226"/>
      <c r="J7" s="223"/>
      <c r="K7" s="194"/>
      <c r="L7" s="194"/>
      <c r="M7" s="194"/>
      <c r="N7" s="194"/>
      <c r="O7" s="194"/>
      <c r="P7" s="243"/>
      <c r="Q7" s="243"/>
      <c r="R7" s="243"/>
      <c r="S7" s="243"/>
      <c r="T7" s="243"/>
      <c r="U7" s="243"/>
      <c r="V7" s="243"/>
      <c r="W7" s="243"/>
      <c r="X7" s="242"/>
      <c r="Y7" s="242"/>
      <c r="Z7" s="242"/>
      <c r="AA7" s="242"/>
    </row>
    <row r="8" spans="1:27" s="123" customFormat="1" ht="14.25" customHeight="1">
      <c r="A8" s="119"/>
      <c r="B8" s="125"/>
      <c r="C8" s="198" t="s">
        <v>107</v>
      </c>
      <c r="D8" s="206">
        <v>1404.9141432582487</v>
      </c>
      <c r="E8" s="199">
        <v>1589.4331441152494</v>
      </c>
      <c r="F8" s="199">
        <v>1881.0839000000001</v>
      </c>
      <c r="G8" s="199">
        <v>2067.1268999999998</v>
      </c>
      <c r="H8" s="199">
        <v>2067.2412908461993</v>
      </c>
      <c r="I8" s="226"/>
      <c r="J8" s="223"/>
      <c r="K8" s="194"/>
      <c r="L8" s="194"/>
      <c r="M8" s="194"/>
      <c r="N8" s="194"/>
      <c r="O8" s="194"/>
      <c r="P8" s="243"/>
      <c r="Q8" s="243"/>
      <c r="R8" s="243"/>
      <c r="S8" s="243"/>
      <c r="T8" s="243"/>
      <c r="U8" s="243"/>
      <c r="V8" s="243"/>
      <c r="W8" s="243"/>
      <c r="X8" s="242"/>
      <c r="Y8" s="242"/>
      <c r="Z8" s="242"/>
      <c r="AA8" s="242"/>
    </row>
    <row r="9" spans="1:27" s="123" customFormat="1" ht="14.25" customHeight="1">
      <c r="A9" s="119"/>
      <c r="B9" s="125"/>
      <c r="C9" s="198" t="s">
        <v>108</v>
      </c>
      <c r="D9" s="206">
        <v>1318.1320204857498</v>
      </c>
      <c r="E9" s="199">
        <v>1396.7651852399479</v>
      </c>
      <c r="F9" s="199">
        <v>1485.894</v>
      </c>
      <c r="G9" s="199">
        <v>1813.6290999999999</v>
      </c>
      <c r="H9" s="199">
        <v>1805.123712822824</v>
      </c>
      <c r="I9" s="226"/>
      <c r="J9" s="223"/>
      <c r="K9" s="194"/>
      <c r="L9" s="194"/>
      <c r="M9" s="194"/>
      <c r="N9" s="194"/>
      <c r="O9" s="194"/>
      <c r="P9" s="243"/>
      <c r="Q9" s="243"/>
      <c r="R9" s="243"/>
      <c r="S9" s="243"/>
      <c r="T9" s="243"/>
      <c r="U9" s="243"/>
      <c r="V9" s="243"/>
      <c r="W9" s="243"/>
      <c r="X9" s="242"/>
      <c r="Y9" s="242"/>
      <c r="Z9" s="242"/>
      <c r="AA9" s="242"/>
    </row>
    <row r="10" spans="1:27" s="123" customFormat="1" ht="14.25" customHeight="1">
      <c r="A10" s="119"/>
      <c r="B10" s="125"/>
      <c r="C10" s="198" t="s">
        <v>109</v>
      </c>
      <c r="D10" s="206">
        <v>5154.3275553889907</v>
      </c>
      <c r="E10" s="199">
        <v>5128.7336578689474</v>
      </c>
      <c r="F10" s="199">
        <v>4818.8629000000001</v>
      </c>
      <c r="G10" s="199">
        <v>5136.4238000000005</v>
      </c>
      <c r="H10" s="199">
        <v>5370.5629296899106</v>
      </c>
      <c r="I10" s="226"/>
      <c r="J10" s="223"/>
      <c r="K10" s="195"/>
      <c r="L10" s="195"/>
      <c r="M10" s="195"/>
      <c r="N10" s="195"/>
      <c r="O10" s="195"/>
      <c r="P10" s="243"/>
      <c r="Q10" s="243"/>
      <c r="R10" s="243"/>
      <c r="S10" s="243"/>
      <c r="T10" s="243"/>
      <c r="U10" s="243"/>
      <c r="V10" s="243"/>
      <c r="W10" s="243"/>
      <c r="X10" s="242"/>
      <c r="Y10" s="242"/>
      <c r="Z10" s="242"/>
      <c r="AA10" s="242"/>
    </row>
    <row r="11" spans="1:27" s="123" customFormat="1" ht="14.25" customHeight="1">
      <c r="A11" s="119"/>
      <c r="B11" s="125"/>
      <c r="C11" s="198" t="s">
        <v>110</v>
      </c>
      <c r="D11" s="206">
        <v>504.2062703900001</v>
      </c>
      <c r="E11" s="199">
        <v>483.572850122349</v>
      </c>
      <c r="F11" s="199">
        <v>458.89049999999997</v>
      </c>
      <c r="G11" s="199">
        <v>459.54320000000001</v>
      </c>
      <c r="H11" s="199">
        <v>443.34236554292528</v>
      </c>
      <c r="I11" s="226"/>
      <c r="J11" s="223"/>
      <c r="K11" s="194"/>
      <c r="L11" s="194"/>
      <c r="M11" s="194"/>
      <c r="N11" s="194"/>
      <c r="O11" s="194"/>
      <c r="P11" s="243"/>
      <c r="Q11" s="243"/>
      <c r="R11" s="243"/>
      <c r="S11" s="243"/>
      <c r="T11" s="243"/>
      <c r="U11" s="243"/>
      <c r="V11" s="243"/>
      <c r="W11" s="243"/>
      <c r="X11" s="242"/>
      <c r="Y11" s="242"/>
      <c r="Z11" s="242"/>
      <c r="AA11" s="242"/>
    </row>
    <row r="12" spans="1:27" s="123" customFormat="1" ht="14.25" customHeight="1">
      <c r="A12" s="119"/>
      <c r="B12" s="125"/>
      <c r="C12" s="198" t="s">
        <v>111</v>
      </c>
      <c r="D12" s="206">
        <v>1360.3756041721176</v>
      </c>
      <c r="E12" s="199">
        <v>1265.317381032967</v>
      </c>
      <c r="F12" s="199">
        <v>1229.3657000000001</v>
      </c>
      <c r="G12" s="199">
        <v>1272.7579999999998</v>
      </c>
      <c r="H12" s="199">
        <v>1331.8813203059331</v>
      </c>
      <c r="I12" s="226"/>
      <c r="J12" s="223"/>
      <c r="K12" s="194"/>
      <c r="L12" s="194"/>
      <c r="M12" s="194"/>
      <c r="N12" s="194"/>
      <c r="O12" s="194"/>
      <c r="P12" s="243"/>
      <c r="Q12" s="243"/>
      <c r="R12" s="243"/>
      <c r="S12" s="243"/>
      <c r="T12" s="243"/>
      <c r="U12" s="243"/>
      <c r="V12" s="243"/>
      <c r="W12" s="243"/>
      <c r="X12" s="242"/>
      <c r="Y12" s="242"/>
      <c r="Z12" s="242"/>
      <c r="AA12" s="242"/>
    </row>
    <row r="13" spans="1:27" s="123" customFormat="1" ht="12.75">
      <c r="A13" s="119"/>
      <c r="B13" s="125"/>
      <c r="C13" s="198" t="s">
        <v>112</v>
      </c>
      <c r="D13" s="206">
        <v>583.28799962744381</v>
      </c>
      <c r="E13" s="199">
        <v>565.39478547990996</v>
      </c>
      <c r="F13" s="199">
        <v>548.62360000000001</v>
      </c>
      <c r="G13" s="199">
        <v>544.83370000000002</v>
      </c>
      <c r="H13" s="199">
        <v>525.71209150294226</v>
      </c>
      <c r="I13" s="226"/>
      <c r="J13" s="223"/>
      <c r="K13" s="194"/>
      <c r="L13" s="194"/>
      <c r="M13" s="194"/>
      <c r="N13" s="194"/>
      <c r="O13" s="194"/>
      <c r="P13" s="243"/>
      <c r="Q13" s="243"/>
      <c r="R13" s="243"/>
      <c r="S13" s="243"/>
      <c r="T13" s="243"/>
      <c r="U13" s="243"/>
      <c r="V13" s="243"/>
      <c r="W13" s="243"/>
      <c r="X13" s="242"/>
      <c r="Y13" s="242"/>
      <c r="Z13" s="242"/>
      <c r="AA13" s="242"/>
    </row>
    <row r="14" spans="1:27" s="123" customFormat="1" ht="12.75">
      <c r="A14" s="119"/>
      <c r="B14" s="125"/>
      <c r="C14" s="198" t="s">
        <v>113</v>
      </c>
      <c r="D14" s="206">
        <v>18252.719887885061</v>
      </c>
      <c r="E14" s="199">
        <v>16682.847508843974</v>
      </c>
      <c r="F14" s="199">
        <v>16295.164499999999</v>
      </c>
      <c r="G14" s="199">
        <v>16558.427599999999</v>
      </c>
      <c r="H14" s="199">
        <v>16396.184374848901</v>
      </c>
      <c r="I14" s="226"/>
      <c r="J14" s="223"/>
      <c r="K14" s="194"/>
      <c r="L14" s="194"/>
      <c r="M14" s="194"/>
      <c r="N14" s="194"/>
      <c r="O14" s="194"/>
      <c r="P14" s="243"/>
      <c r="Q14" s="243"/>
      <c r="R14" s="243"/>
      <c r="S14" s="243"/>
      <c r="T14" s="243"/>
      <c r="U14" s="243"/>
      <c r="V14" s="243"/>
      <c r="W14" s="243"/>
      <c r="X14" s="242"/>
      <c r="Y14" s="242"/>
      <c r="Z14" s="242"/>
      <c r="AA14" s="242"/>
    </row>
    <row r="15" spans="1:27" s="123" customFormat="1" ht="14.25" customHeight="1">
      <c r="A15" s="119"/>
      <c r="B15" s="125"/>
      <c r="C15" s="198" t="s">
        <v>114</v>
      </c>
      <c r="D15" s="206">
        <v>6052.2515387478843</v>
      </c>
      <c r="E15" s="199">
        <v>5769.8616727597328</v>
      </c>
      <c r="F15" s="199">
        <v>5611.6895000000004</v>
      </c>
      <c r="G15" s="199">
        <v>5380.7867999999999</v>
      </c>
      <c r="H15" s="199">
        <v>5456.4157339571666</v>
      </c>
      <c r="I15" s="226"/>
      <c r="J15" s="223"/>
      <c r="K15" s="127"/>
      <c r="L15" s="127"/>
      <c r="M15" s="127"/>
      <c r="N15" s="127"/>
      <c r="O15" s="127"/>
      <c r="P15" s="243"/>
      <c r="Q15" s="243"/>
      <c r="R15" s="243"/>
      <c r="S15" s="243"/>
      <c r="T15" s="243"/>
      <c r="U15" s="243"/>
      <c r="V15" s="243"/>
      <c r="W15" s="243"/>
      <c r="X15" s="242"/>
      <c r="Y15" s="242"/>
      <c r="Z15" s="242"/>
      <c r="AA15" s="242"/>
    </row>
    <row r="16" spans="1:27" s="123" customFormat="1" ht="14.25" customHeight="1">
      <c r="A16" s="119"/>
      <c r="B16" s="125"/>
      <c r="C16" s="198" t="s">
        <v>115</v>
      </c>
      <c r="D16" s="206">
        <v>1786.6110919015218</v>
      </c>
      <c r="E16" s="199">
        <v>1829.2402935058633</v>
      </c>
      <c r="F16" s="199">
        <v>1842.5391</v>
      </c>
      <c r="G16" s="199">
        <v>1827.85</v>
      </c>
      <c r="H16" s="199">
        <v>1848.9092170063288</v>
      </c>
      <c r="I16" s="226"/>
      <c r="J16" s="223"/>
      <c r="K16" s="127"/>
      <c r="L16" s="127"/>
      <c r="M16" s="127"/>
      <c r="N16" s="127"/>
      <c r="O16" s="127"/>
      <c r="P16" s="243"/>
      <c r="Q16" s="243"/>
      <c r="R16" s="243"/>
      <c r="S16" s="243"/>
      <c r="T16" s="243"/>
      <c r="U16" s="243"/>
      <c r="V16" s="243"/>
      <c r="W16" s="243"/>
      <c r="X16" s="242"/>
      <c r="Y16" s="242"/>
      <c r="Z16" s="242"/>
      <c r="AA16" s="242"/>
    </row>
    <row r="17" spans="1:109" s="123" customFormat="1" ht="14.25" customHeight="1">
      <c r="A17" s="119"/>
      <c r="B17" s="125"/>
      <c r="C17" s="198" t="s">
        <v>0</v>
      </c>
      <c r="D17" s="206">
        <v>0</v>
      </c>
      <c r="E17" s="199">
        <v>0</v>
      </c>
      <c r="F17" s="199">
        <v>0</v>
      </c>
      <c r="G17" s="199">
        <v>0</v>
      </c>
      <c r="H17" s="199">
        <v>0</v>
      </c>
      <c r="I17" s="226"/>
      <c r="J17" s="223"/>
      <c r="K17" s="127"/>
      <c r="L17" s="127"/>
      <c r="M17" s="127"/>
      <c r="N17" s="127"/>
      <c r="O17" s="127"/>
      <c r="P17" s="243"/>
      <c r="Q17" s="243"/>
      <c r="R17" s="243"/>
      <c r="S17" s="243"/>
      <c r="T17" s="243"/>
      <c r="U17" s="243"/>
      <c r="V17" s="243"/>
      <c r="W17" s="243"/>
      <c r="X17" s="242"/>
      <c r="Y17" s="242"/>
      <c r="Z17" s="242"/>
      <c r="AA17" s="242"/>
    </row>
    <row r="18" spans="1:109" s="123" customFormat="1" ht="14.25" customHeight="1">
      <c r="A18" s="119"/>
      <c r="B18" s="125"/>
      <c r="C18" s="202" t="s">
        <v>116</v>
      </c>
      <c r="D18" s="207">
        <f>SUM(D6:D17)</f>
        <v>42393.475294086733</v>
      </c>
      <c r="E18" s="201">
        <f>SUM(E6:E17)</f>
        <v>40440.431389253405</v>
      </c>
      <c r="F18" s="201">
        <f>SUM(F6:F17)</f>
        <v>39985.374199999998</v>
      </c>
      <c r="G18" s="201">
        <f>SUM(G6:G17)</f>
        <v>40699.614199999996</v>
      </c>
      <c r="H18" s="201">
        <f t="shared" ref="H18" si="0">SUM(H6:H17)</f>
        <v>40759.967564073864</v>
      </c>
      <c r="K18" s="127"/>
      <c r="L18" s="127"/>
      <c r="M18" s="127"/>
      <c r="N18" s="127"/>
      <c r="O18" s="127"/>
      <c r="P18" s="243"/>
      <c r="Q18" s="243"/>
      <c r="R18" s="243"/>
      <c r="S18" s="243"/>
      <c r="T18" s="243"/>
      <c r="U18" s="243"/>
      <c r="V18" s="243"/>
      <c r="W18" s="243"/>
      <c r="X18" s="242"/>
      <c r="Y18" s="242"/>
      <c r="Z18" s="242"/>
      <c r="AA18" s="242"/>
    </row>
    <row r="19" spans="1:109" s="123" customFormat="1" ht="12.75">
      <c r="A19" s="119"/>
      <c r="B19" s="125"/>
      <c r="C19" s="198" t="s">
        <v>117</v>
      </c>
      <c r="D19" s="206">
        <f>75695.7407721752+42.48</f>
        <v>75738.220772175191</v>
      </c>
      <c r="E19" s="199">
        <f>73552.7991341867+44.26</f>
        <v>73597.059134186697</v>
      </c>
      <c r="F19" s="199">
        <f>73331.4685+51.57</f>
        <v>73383.03850000001</v>
      </c>
      <c r="G19" s="199">
        <v>72924.3704</v>
      </c>
      <c r="H19" s="199">
        <v>71621.080980593106</v>
      </c>
      <c r="I19" s="226"/>
      <c r="J19" s="223"/>
      <c r="K19" s="196"/>
      <c r="L19" s="196"/>
      <c r="M19" s="196"/>
      <c r="N19" s="196"/>
      <c r="O19" s="196"/>
      <c r="P19" s="243"/>
      <c r="Q19" s="243"/>
      <c r="R19" s="243"/>
      <c r="S19" s="243"/>
      <c r="T19" s="243"/>
      <c r="U19" s="243"/>
      <c r="V19" s="243"/>
      <c r="W19" s="243"/>
      <c r="X19" s="242"/>
      <c r="Y19" s="242"/>
      <c r="Z19" s="242"/>
      <c r="AA19" s="242"/>
    </row>
    <row r="20" spans="1:109" s="123" customFormat="1" ht="14.25" customHeight="1">
      <c r="A20" s="119"/>
      <c r="B20" s="125"/>
      <c r="C20" s="202" t="s">
        <v>118</v>
      </c>
      <c r="D20" s="207">
        <f>+D18+D19</f>
        <v>118131.69606626192</v>
      </c>
      <c r="E20" s="201">
        <f>+E18+E19</f>
        <v>114037.49052344009</v>
      </c>
      <c r="F20" s="201">
        <f>+F18+F19</f>
        <v>113368.41270000002</v>
      </c>
      <c r="G20" s="201">
        <f>+G18+G19</f>
        <v>113623.9846</v>
      </c>
      <c r="H20" s="201">
        <f t="shared" ref="H20" si="1">+H18+H19</f>
        <v>112381.04854466696</v>
      </c>
      <c r="I20" s="229"/>
      <c r="J20" s="230"/>
      <c r="K20" s="197"/>
      <c r="L20" s="197"/>
      <c r="M20" s="197"/>
      <c r="N20" s="197"/>
      <c r="O20" s="197"/>
      <c r="P20" s="243"/>
      <c r="Q20" s="243"/>
      <c r="R20" s="243"/>
      <c r="S20" s="243"/>
      <c r="T20" s="243"/>
      <c r="U20" s="243"/>
      <c r="V20" s="243"/>
      <c r="W20" s="243"/>
      <c r="X20" s="242"/>
      <c r="Y20" s="242"/>
      <c r="Z20" s="242"/>
      <c r="AA20" s="242"/>
    </row>
    <row r="21" spans="1:109" s="123" customFormat="1" ht="14.25" customHeight="1">
      <c r="A21" s="119"/>
      <c r="B21" s="125"/>
      <c r="C21" s="198" t="s">
        <v>119</v>
      </c>
      <c r="D21" s="206">
        <f>-108.674-294.806</f>
        <v>-403.48</v>
      </c>
      <c r="E21" s="203">
        <f>-108.944-302.891</f>
        <v>-411.83500000000004</v>
      </c>
      <c r="F21" s="203">
        <f>-118.913-313.19</f>
        <v>-432.10300000000001</v>
      </c>
      <c r="G21" s="203">
        <v>-527.77</v>
      </c>
      <c r="H21" s="203">
        <v>-502.78473888000002</v>
      </c>
      <c r="K21" s="127"/>
      <c r="L21" s="127"/>
      <c r="M21" s="127"/>
      <c r="N21" s="127"/>
      <c r="O21" s="127"/>
      <c r="P21" s="243"/>
      <c r="Q21" s="243"/>
      <c r="R21" s="243"/>
      <c r="S21" s="243"/>
      <c r="T21" s="243"/>
      <c r="U21" s="243"/>
      <c r="V21" s="243"/>
      <c r="W21" s="243"/>
      <c r="X21" s="242"/>
      <c r="Y21" s="242"/>
      <c r="Z21" s="242"/>
      <c r="AA21" s="242"/>
    </row>
    <row r="22" spans="1:109" s="123" customFormat="1" ht="14.25" customHeight="1">
      <c r="A22" s="119"/>
      <c r="B22" s="125"/>
      <c r="C22" s="198" t="s">
        <v>120</v>
      </c>
      <c r="D22" s="206">
        <f>-6.289-36.193</f>
        <v>-42.481999999999999</v>
      </c>
      <c r="E22" s="203">
        <f>-37.825-6.436</f>
        <v>-44.261000000000003</v>
      </c>
      <c r="F22" s="203">
        <f>-6.476-45.089</f>
        <v>-51.564999999999998</v>
      </c>
      <c r="G22" s="203">
        <v>-47.35</v>
      </c>
      <c r="H22" s="203">
        <v>-50.080532929999997</v>
      </c>
      <c r="K22" s="127"/>
      <c r="L22" s="197"/>
      <c r="M22" s="127"/>
      <c r="N22" s="127"/>
      <c r="O22" s="127"/>
      <c r="P22" s="243"/>
      <c r="Q22" s="243"/>
      <c r="R22" s="243"/>
      <c r="S22" s="243"/>
      <c r="T22" s="243"/>
      <c r="U22" s="243"/>
      <c r="V22" s="243"/>
      <c r="W22" s="243"/>
      <c r="X22" s="242"/>
      <c r="Y22" s="242"/>
      <c r="Z22" s="242"/>
      <c r="AA22" s="242"/>
    </row>
    <row r="23" spans="1:109" s="123" customFormat="1" ht="12.75">
      <c r="A23" s="119"/>
      <c r="B23" s="358"/>
      <c r="C23" s="202" t="s">
        <v>121</v>
      </c>
      <c r="D23" s="207">
        <f>SUM(D20:D22)</f>
        <v>117685.73406626192</v>
      </c>
      <c r="E23" s="201">
        <f>SUM(E20:E22)</f>
        <v>113581.39452344009</v>
      </c>
      <c r="F23" s="201">
        <f>SUM(F20:F22)</f>
        <v>112884.74470000001</v>
      </c>
      <c r="G23" s="201">
        <f>SUM(G20:G22)</f>
        <v>113048.86459999999</v>
      </c>
      <c r="H23" s="201">
        <f t="shared" ref="H23" si="2">SUM(H20:H22)</f>
        <v>111828.18327285696</v>
      </c>
      <c r="I23" s="229"/>
      <c r="J23" s="230"/>
      <c r="K23" s="127"/>
      <c r="L23" s="127"/>
      <c r="M23" s="127"/>
      <c r="N23" s="127"/>
      <c r="O23" s="127"/>
      <c r="P23" s="243"/>
      <c r="Q23" s="243"/>
      <c r="R23" s="243"/>
      <c r="S23" s="243"/>
      <c r="T23" s="243"/>
      <c r="U23" s="243"/>
      <c r="V23" s="243"/>
      <c r="W23" s="243"/>
      <c r="X23" s="242"/>
      <c r="Y23" s="242"/>
      <c r="Z23" s="242"/>
      <c r="AA23" s="242"/>
    </row>
    <row r="24" spans="1:109" s="123" customFormat="1" ht="14.25" customHeight="1">
      <c r="A24" s="119"/>
      <c r="B24" s="125"/>
      <c r="C24" s="198" t="s">
        <v>122</v>
      </c>
      <c r="D24" s="206">
        <v>48162.76504868998</v>
      </c>
      <c r="E24" s="199">
        <v>47522.061958350001</v>
      </c>
      <c r="F24" s="199">
        <v>46872.051399999997</v>
      </c>
      <c r="G24" s="199">
        <v>46153.341399999998</v>
      </c>
      <c r="H24" s="199">
        <v>44559.051670249995</v>
      </c>
      <c r="I24" s="231"/>
      <c r="J24" s="223"/>
      <c r="K24" s="127"/>
      <c r="L24" s="127"/>
      <c r="M24" s="127"/>
      <c r="N24" s="127"/>
      <c r="O24" s="127"/>
      <c r="P24" s="243"/>
      <c r="Q24" s="243"/>
      <c r="R24" s="243"/>
      <c r="S24" s="243"/>
      <c r="T24" s="243"/>
      <c r="U24" s="243"/>
      <c r="V24" s="243"/>
      <c r="W24" s="243"/>
      <c r="X24" s="242"/>
      <c r="Y24" s="242"/>
      <c r="Z24" s="242"/>
      <c r="AA24" s="242"/>
    </row>
    <row r="25" spans="1:109" s="123" customFormat="1" ht="14.25" customHeight="1">
      <c r="A25" s="119"/>
      <c r="B25" s="125"/>
      <c r="C25" s="200" t="s">
        <v>123</v>
      </c>
      <c r="D25" s="208">
        <v>995.63519871999995</v>
      </c>
      <c r="E25" s="204">
        <v>1007.48431772</v>
      </c>
      <c r="F25" s="204">
        <v>1018.1911</v>
      </c>
      <c r="G25" s="204">
        <v>1215.4574</v>
      </c>
      <c r="H25" s="204">
        <v>1015.88665297</v>
      </c>
      <c r="I25" s="231"/>
      <c r="J25" s="223"/>
      <c r="K25" s="129"/>
      <c r="L25" s="129"/>
      <c r="M25" s="129"/>
      <c r="N25" s="129"/>
      <c r="O25" s="129"/>
      <c r="P25" s="243"/>
      <c r="Q25" s="243"/>
      <c r="R25" s="243"/>
      <c r="S25" s="243"/>
      <c r="T25" s="243"/>
      <c r="U25" s="243"/>
      <c r="V25" s="243"/>
      <c r="W25" s="243"/>
      <c r="X25" s="242"/>
      <c r="Y25" s="242"/>
      <c r="Z25" s="242"/>
      <c r="AA25" s="242"/>
    </row>
    <row r="26" spans="1:109" s="123" customFormat="1" ht="14.25" customHeight="1">
      <c r="A26" s="119"/>
      <c r="B26" s="125"/>
      <c r="C26" s="205" t="s">
        <v>124</v>
      </c>
      <c r="D26" s="207">
        <f>SUM(D23:D25)</f>
        <v>166844.13431367191</v>
      </c>
      <c r="E26" s="201">
        <f>SUM(E23:E25)</f>
        <v>162110.94079951008</v>
      </c>
      <c r="F26" s="201">
        <f>SUM(F23:F25)</f>
        <v>160774.9872</v>
      </c>
      <c r="G26" s="201">
        <f>SUM(G23:G25)</f>
        <v>160417.66339999999</v>
      </c>
      <c r="H26" s="201">
        <f t="shared" ref="H26" si="3">SUM(H23:H25)</f>
        <v>157403.12159607693</v>
      </c>
      <c r="I26" s="229"/>
      <c r="J26" s="230"/>
      <c r="K26" s="127"/>
      <c r="L26" s="127"/>
      <c r="M26" s="127"/>
      <c r="N26" s="127"/>
      <c r="O26" s="127"/>
      <c r="P26" s="243"/>
      <c r="Q26" s="243"/>
      <c r="R26" s="243"/>
      <c r="S26" s="243"/>
      <c r="T26" s="243"/>
      <c r="U26" s="243"/>
      <c r="V26" s="243"/>
      <c r="W26" s="243"/>
      <c r="X26" s="242"/>
      <c r="Y26" s="242"/>
      <c r="Z26" s="242"/>
      <c r="AA26" s="242"/>
    </row>
    <row r="27" spans="1:109" s="123" customFormat="1" ht="9">
      <c r="A27" s="119"/>
      <c r="B27" s="125"/>
      <c r="C27" s="126"/>
      <c r="D27" s="196"/>
      <c r="E27" s="196"/>
      <c r="F27" s="196"/>
      <c r="G27" s="196"/>
      <c r="H27" s="196"/>
      <c r="I27" s="196"/>
      <c r="J27" s="196"/>
      <c r="K27" s="196"/>
      <c r="L27" s="196"/>
      <c r="M27" s="196"/>
      <c r="N27" s="196"/>
      <c r="O27" s="196"/>
      <c r="P27" s="243"/>
      <c r="Q27" s="243"/>
      <c r="R27" s="243"/>
      <c r="S27" s="243"/>
      <c r="T27" s="243"/>
      <c r="U27" s="243"/>
      <c r="V27" s="243"/>
      <c r="W27" s="243"/>
      <c r="X27" s="242"/>
      <c r="Y27" s="242"/>
      <c r="Z27" s="242"/>
      <c r="AA27" s="242"/>
    </row>
    <row r="28" spans="1:109" s="123" customFormat="1" ht="14.25" customHeight="1">
      <c r="A28" s="325"/>
      <c r="B28" s="326"/>
      <c r="C28" s="327"/>
      <c r="D28" s="328"/>
      <c r="E28" s="328"/>
      <c r="F28" s="328"/>
      <c r="G28" s="328"/>
      <c r="H28" s="328"/>
      <c r="I28" s="328"/>
      <c r="J28" s="328"/>
      <c r="K28" s="328"/>
      <c r="L28" s="328"/>
      <c r="M28" s="328"/>
      <c r="N28" s="328"/>
      <c r="O28" s="328"/>
      <c r="P28" s="329"/>
      <c r="Q28" s="329"/>
      <c r="R28" s="329"/>
      <c r="S28" s="330"/>
      <c r="T28" s="330"/>
      <c r="U28" s="330"/>
      <c r="V28" s="330"/>
      <c r="W28" s="330"/>
      <c r="X28" s="330"/>
      <c r="Y28" s="330"/>
      <c r="Z28" s="330"/>
      <c r="AA28" s="330"/>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row>
    <row r="29" spans="1:109" s="123" customFormat="1" ht="14.25" customHeight="1">
      <c r="A29" s="325"/>
      <c r="B29" s="326"/>
      <c r="C29" s="327"/>
      <c r="D29" s="328"/>
      <c r="E29" s="328"/>
      <c r="F29" s="328"/>
      <c r="G29" s="328"/>
      <c r="H29" s="328"/>
      <c r="I29" s="328"/>
      <c r="J29" s="328"/>
      <c r="K29" s="328"/>
      <c r="L29" s="328"/>
      <c r="M29" s="328"/>
      <c r="N29" s="328"/>
      <c r="O29" s="328"/>
      <c r="P29" s="329"/>
      <c r="Q29" s="329"/>
      <c r="R29" s="329"/>
      <c r="S29" s="330"/>
      <c r="T29" s="330"/>
      <c r="U29" s="330"/>
      <c r="V29" s="330"/>
      <c r="W29" s="330"/>
      <c r="X29" s="330"/>
      <c r="Y29" s="330"/>
      <c r="Z29" s="330"/>
      <c r="AA29" s="330"/>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row>
    <row r="30" spans="1:109" s="123" customFormat="1" ht="14.25" customHeight="1">
      <c r="A30" s="325"/>
      <c r="B30" s="326"/>
      <c r="C30" s="327"/>
      <c r="D30" s="328"/>
      <c r="E30" s="328"/>
      <c r="F30" s="328"/>
      <c r="G30" s="328"/>
      <c r="H30" s="328"/>
      <c r="I30" s="328"/>
      <c r="J30" s="328"/>
      <c r="K30" s="328"/>
      <c r="L30" s="328"/>
      <c r="M30" s="328"/>
      <c r="N30" s="328"/>
      <c r="O30" s="328"/>
      <c r="P30" s="329"/>
      <c r="Q30" s="329"/>
      <c r="R30" s="329"/>
      <c r="S30" s="330"/>
      <c r="T30" s="330"/>
      <c r="U30" s="330"/>
      <c r="V30" s="330"/>
      <c r="W30" s="330"/>
      <c r="X30" s="330"/>
      <c r="Y30" s="330"/>
      <c r="Z30" s="330"/>
      <c r="AA30" s="330"/>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row>
    <row r="31" spans="1:109" s="123" customFormat="1" ht="14.25" customHeight="1">
      <c r="A31" s="325"/>
      <c r="B31" s="326"/>
      <c r="C31" s="327"/>
      <c r="D31" s="328"/>
      <c r="E31" s="328"/>
      <c r="F31" s="328"/>
      <c r="G31" s="328"/>
      <c r="H31" s="328"/>
      <c r="I31" s="328"/>
      <c r="J31" s="328"/>
      <c r="K31" s="328"/>
      <c r="L31" s="328"/>
      <c r="M31" s="328"/>
      <c r="N31" s="328"/>
      <c r="O31" s="328"/>
      <c r="P31" s="329"/>
      <c r="Q31" s="329"/>
      <c r="R31" s="329"/>
      <c r="S31" s="330"/>
      <c r="T31" s="330"/>
      <c r="U31" s="330"/>
      <c r="V31" s="330"/>
      <c r="W31" s="330"/>
      <c r="X31" s="330"/>
      <c r="Y31" s="330"/>
      <c r="Z31" s="330"/>
      <c r="AA31" s="330"/>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c r="AZ31" s="331"/>
      <c r="BA31" s="331"/>
      <c r="BB31" s="331"/>
      <c r="BC31" s="331"/>
      <c r="BD31" s="331"/>
      <c r="BE31" s="331"/>
      <c r="BF31" s="331"/>
      <c r="BG31" s="331"/>
      <c r="BH31" s="331"/>
      <c r="BI31" s="331"/>
      <c r="BJ31" s="331"/>
      <c r="BK31" s="331"/>
      <c r="BL31" s="331"/>
      <c r="BM31" s="331"/>
      <c r="BN31" s="331"/>
      <c r="BO31" s="331"/>
      <c r="BP31" s="331"/>
      <c r="BQ31" s="331"/>
      <c r="BR31" s="331"/>
      <c r="BS31" s="331"/>
      <c r="BT31" s="331"/>
      <c r="BU31" s="331"/>
      <c r="BV31" s="331"/>
      <c r="BW31" s="331"/>
      <c r="BX31" s="331"/>
      <c r="BY31" s="331"/>
      <c r="BZ31" s="331"/>
      <c r="CA31" s="331"/>
      <c r="CB31" s="331"/>
      <c r="CC31" s="331"/>
      <c r="CD31" s="331"/>
      <c r="CE31" s="331"/>
      <c r="CF31" s="331"/>
      <c r="CG31" s="331"/>
      <c r="CH31" s="331"/>
      <c r="CI31" s="331"/>
      <c r="CJ31" s="331"/>
      <c r="CK31" s="331"/>
      <c r="CL31" s="331"/>
      <c r="CM31" s="331"/>
      <c r="CN31" s="331"/>
      <c r="CO31" s="331"/>
      <c r="CP31" s="331"/>
      <c r="CQ31" s="331"/>
      <c r="CR31" s="331"/>
      <c r="CS31" s="331"/>
      <c r="CT31" s="331"/>
      <c r="CU31" s="331"/>
      <c r="CV31" s="331"/>
      <c r="CW31" s="331"/>
      <c r="CX31" s="331"/>
      <c r="CY31" s="331"/>
      <c r="CZ31" s="331"/>
      <c r="DA31" s="331"/>
      <c r="DB31" s="331"/>
      <c r="DC31" s="331"/>
      <c r="DD31" s="331"/>
      <c r="DE31" s="331"/>
    </row>
    <row r="32" spans="1:109" s="123" customFormat="1" ht="14.25" customHeight="1">
      <c r="A32" s="325"/>
      <c r="B32" s="326"/>
      <c r="C32" s="327"/>
      <c r="D32" s="328"/>
      <c r="E32" s="328"/>
      <c r="F32" s="328"/>
      <c r="G32" s="328"/>
      <c r="H32" s="328"/>
      <c r="I32" s="328"/>
      <c r="J32" s="328"/>
      <c r="K32" s="328"/>
      <c r="L32" s="328"/>
      <c r="M32" s="328"/>
      <c r="N32" s="328"/>
      <c r="O32" s="328"/>
      <c r="P32" s="329"/>
      <c r="Q32" s="329"/>
      <c r="R32" s="329"/>
      <c r="S32" s="330"/>
      <c r="T32" s="330"/>
      <c r="U32" s="330"/>
      <c r="V32" s="330"/>
      <c r="W32" s="330"/>
      <c r="X32" s="330"/>
      <c r="Y32" s="330"/>
      <c r="Z32" s="330"/>
      <c r="AA32" s="330"/>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R32" s="331"/>
      <c r="BS32" s="331"/>
      <c r="BT32" s="331"/>
      <c r="BU32" s="331"/>
      <c r="BV32" s="331"/>
      <c r="BW32" s="331"/>
      <c r="BX32" s="331"/>
      <c r="BY32" s="331"/>
      <c r="BZ32" s="331"/>
      <c r="CA32" s="331"/>
      <c r="CB32" s="331"/>
      <c r="CC32" s="331"/>
      <c r="CD32" s="331"/>
      <c r="CE32" s="331"/>
      <c r="CF32" s="331"/>
      <c r="CG32" s="331"/>
      <c r="CH32" s="331"/>
      <c r="CI32" s="331"/>
      <c r="CJ32" s="331"/>
      <c r="CK32" s="331"/>
      <c r="CL32" s="331"/>
      <c r="CM32" s="331"/>
      <c r="CN32" s="331"/>
      <c r="CO32" s="331"/>
      <c r="CP32" s="331"/>
      <c r="CQ32" s="331"/>
      <c r="CR32" s="331"/>
      <c r="CS32" s="331"/>
      <c r="CT32" s="331"/>
      <c r="CU32" s="331"/>
      <c r="CV32" s="331"/>
      <c r="CW32" s="331"/>
      <c r="CX32" s="331"/>
      <c r="CY32" s="331"/>
      <c r="CZ32" s="331"/>
      <c r="DA32" s="331"/>
      <c r="DB32" s="331"/>
      <c r="DC32" s="331"/>
      <c r="DD32" s="331"/>
      <c r="DE32" s="331"/>
    </row>
    <row r="33" spans="1:109" s="123" customFormat="1" ht="14.25" customHeight="1">
      <c r="A33" s="325"/>
      <c r="B33" s="326"/>
      <c r="C33" s="332"/>
      <c r="D33" s="328"/>
      <c r="E33" s="328"/>
      <c r="F33" s="328"/>
      <c r="G33" s="328"/>
      <c r="H33" s="328"/>
      <c r="I33" s="328"/>
      <c r="J33" s="328"/>
      <c r="K33" s="328"/>
      <c r="L33" s="328"/>
      <c r="M33" s="328"/>
      <c r="N33" s="328"/>
      <c r="O33" s="328"/>
      <c r="P33" s="329"/>
      <c r="Q33" s="329"/>
      <c r="R33" s="329"/>
      <c r="S33" s="330"/>
      <c r="T33" s="330"/>
      <c r="U33" s="330"/>
      <c r="V33" s="330"/>
      <c r="W33" s="330"/>
      <c r="X33" s="330"/>
      <c r="Y33" s="330"/>
      <c r="Z33" s="330"/>
      <c r="AA33" s="330"/>
      <c r="AB33" s="331"/>
      <c r="AC33" s="331"/>
      <c r="AD33" s="331"/>
      <c r="AE33" s="331"/>
      <c r="AF33" s="331"/>
      <c r="AG33" s="331"/>
      <c r="AH33" s="331"/>
      <c r="AI33" s="331"/>
      <c r="AJ33" s="331"/>
      <c r="AK33" s="331"/>
      <c r="AL33" s="331"/>
      <c r="AM33" s="331"/>
      <c r="AN33" s="331"/>
      <c r="AO33" s="331"/>
      <c r="AP33" s="331"/>
      <c r="AQ33" s="331"/>
      <c r="AR33" s="331"/>
      <c r="AS33" s="331"/>
      <c r="AT33" s="331"/>
      <c r="AU33" s="331"/>
      <c r="AV33" s="331"/>
      <c r="AW33" s="331"/>
      <c r="AX33" s="331"/>
      <c r="AY33" s="331"/>
      <c r="AZ33" s="331"/>
      <c r="BA33" s="331"/>
      <c r="BB33" s="331"/>
      <c r="BC33" s="331"/>
      <c r="BD33" s="331"/>
      <c r="BE33" s="331"/>
      <c r="BF33" s="331"/>
      <c r="BG33" s="331"/>
      <c r="BH33" s="331"/>
      <c r="BI33" s="331"/>
      <c r="BJ33" s="331"/>
      <c r="BK33" s="331"/>
      <c r="BL33" s="331"/>
      <c r="BM33" s="331"/>
      <c r="BN33" s="331"/>
      <c r="BO33" s="331"/>
      <c r="BP33" s="331"/>
      <c r="BQ33" s="331"/>
      <c r="BR33" s="331"/>
      <c r="BS33" s="331"/>
      <c r="BT33" s="331"/>
      <c r="BU33" s="331"/>
      <c r="BV33" s="331"/>
      <c r="BW33" s="331"/>
      <c r="BX33" s="331"/>
      <c r="BY33" s="331"/>
      <c r="BZ33" s="331"/>
      <c r="CA33" s="331"/>
      <c r="CB33" s="331"/>
      <c r="CC33" s="331"/>
      <c r="CD33" s="331"/>
      <c r="CE33" s="331"/>
      <c r="CF33" s="331"/>
      <c r="CG33" s="331"/>
      <c r="CH33" s="331"/>
      <c r="CI33" s="331"/>
      <c r="CJ33" s="331"/>
      <c r="CK33" s="331"/>
      <c r="CL33" s="331"/>
      <c r="CM33" s="331"/>
      <c r="CN33" s="331"/>
      <c r="CO33" s="331"/>
      <c r="CP33" s="331"/>
      <c r="CQ33" s="331"/>
      <c r="CR33" s="331"/>
      <c r="CS33" s="331"/>
      <c r="CT33" s="331"/>
      <c r="CU33" s="331"/>
      <c r="CV33" s="331"/>
      <c r="CW33" s="331"/>
      <c r="CX33" s="331"/>
      <c r="CY33" s="331"/>
      <c r="CZ33" s="331"/>
      <c r="DA33" s="331"/>
      <c r="DB33" s="331"/>
      <c r="DC33" s="331"/>
      <c r="DD33" s="331"/>
      <c r="DE33" s="331"/>
    </row>
    <row r="34" spans="1:109" s="123" customFormat="1" ht="14.25" customHeight="1">
      <c r="A34" s="325"/>
      <c r="B34" s="326"/>
      <c r="C34" s="327"/>
      <c r="D34" s="333"/>
      <c r="E34" s="333"/>
      <c r="F34" s="333"/>
      <c r="G34" s="333"/>
      <c r="H34" s="333"/>
      <c r="I34" s="333"/>
      <c r="J34" s="333"/>
      <c r="K34" s="333"/>
      <c r="L34" s="333"/>
      <c r="M34" s="333"/>
      <c r="N34" s="333"/>
      <c r="O34" s="333"/>
      <c r="P34" s="334"/>
      <c r="Q34" s="334"/>
      <c r="R34" s="334"/>
      <c r="S34" s="330"/>
      <c r="T34" s="330"/>
      <c r="U34" s="330"/>
      <c r="V34" s="330"/>
      <c r="W34" s="330"/>
      <c r="X34" s="330"/>
      <c r="Y34" s="330"/>
      <c r="Z34" s="330"/>
      <c r="AA34" s="330"/>
      <c r="AB34" s="331"/>
      <c r="AC34" s="331"/>
      <c r="AD34" s="331"/>
      <c r="AE34" s="331"/>
      <c r="AF34" s="331"/>
      <c r="AG34" s="331"/>
      <c r="AH34" s="331"/>
      <c r="AI34" s="331"/>
      <c r="AJ34" s="331"/>
      <c r="AK34" s="331"/>
      <c r="AL34" s="331"/>
      <c r="AM34" s="331"/>
      <c r="AN34" s="331"/>
      <c r="AO34" s="331"/>
      <c r="AP34" s="331"/>
      <c r="AQ34" s="331"/>
      <c r="AR34" s="331"/>
      <c r="AS34" s="331"/>
      <c r="AT34" s="331"/>
      <c r="AU34" s="331"/>
      <c r="AV34" s="331"/>
      <c r="AW34" s="331"/>
      <c r="AX34" s="331"/>
      <c r="AY34" s="331"/>
      <c r="AZ34" s="331"/>
      <c r="BA34" s="331"/>
      <c r="BB34" s="331"/>
      <c r="BC34" s="331"/>
      <c r="BD34" s="331"/>
      <c r="BE34" s="331"/>
      <c r="BF34" s="331"/>
      <c r="BG34" s="331"/>
      <c r="BH34" s="331"/>
      <c r="BI34" s="331"/>
      <c r="BJ34" s="331"/>
      <c r="BK34" s="331"/>
      <c r="BL34" s="331"/>
      <c r="BM34" s="331"/>
      <c r="BN34" s="331"/>
      <c r="BO34" s="331"/>
      <c r="BP34" s="331"/>
      <c r="BQ34" s="331"/>
      <c r="BR34" s="331"/>
      <c r="BS34" s="331"/>
      <c r="BT34" s="331"/>
      <c r="BU34" s="331"/>
      <c r="BV34" s="331"/>
      <c r="BW34" s="331"/>
      <c r="BX34" s="331"/>
      <c r="BY34" s="331"/>
      <c r="BZ34" s="331"/>
      <c r="CA34" s="331"/>
      <c r="CB34" s="331"/>
      <c r="CC34" s="331"/>
      <c r="CD34" s="331"/>
      <c r="CE34" s="331"/>
      <c r="CF34" s="331"/>
      <c r="CG34" s="331"/>
      <c r="CH34" s="331"/>
      <c r="CI34" s="331"/>
      <c r="CJ34" s="331"/>
      <c r="CK34" s="331"/>
      <c r="CL34" s="331"/>
      <c r="CM34" s="331"/>
      <c r="CN34" s="331"/>
      <c r="CO34" s="331"/>
      <c r="CP34" s="331"/>
      <c r="CQ34" s="331"/>
      <c r="CR34" s="331"/>
      <c r="CS34" s="331"/>
      <c r="CT34" s="331"/>
      <c r="CU34" s="331"/>
      <c r="CV34" s="331"/>
      <c r="CW34" s="331"/>
      <c r="CX34" s="331"/>
      <c r="CY34" s="331"/>
      <c r="CZ34" s="331"/>
      <c r="DA34" s="331"/>
      <c r="DB34" s="331"/>
      <c r="DC34" s="331"/>
      <c r="DD34" s="331"/>
      <c r="DE34" s="331"/>
    </row>
    <row r="35" spans="1:109" s="123" customFormat="1" ht="13.5" customHeight="1">
      <c r="A35" s="325"/>
      <c r="B35" s="326"/>
      <c r="C35" s="327"/>
      <c r="D35" s="335"/>
      <c r="E35" s="335"/>
      <c r="F35" s="335"/>
      <c r="G35" s="335"/>
      <c r="H35" s="335"/>
      <c r="I35" s="335"/>
      <c r="J35" s="335"/>
      <c r="K35" s="335"/>
      <c r="L35" s="335"/>
      <c r="M35" s="335"/>
      <c r="N35" s="335"/>
      <c r="O35" s="335"/>
      <c r="P35" s="336"/>
      <c r="Q35" s="336"/>
      <c r="R35" s="336"/>
      <c r="S35" s="330"/>
      <c r="T35" s="330"/>
      <c r="U35" s="330"/>
      <c r="V35" s="330"/>
      <c r="W35" s="330"/>
      <c r="X35" s="330"/>
      <c r="Y35" s="330"/>
      <c r="Z35" s="330"/>
      <c r="AA35" s="330"/>
      <c r="AB35" s="331"/>
      <c r="AC35" s="331"/>
      <c r="AD35" s="331"/>
      <c r="AE35" s="331"/>
      <c r="AF35" s="331"/>
      <c r="AG35" s="331"/>
      <c r="AH35" s="331"/>
      <c r="AI35" s="331"/>
      <c r="AJ35" s="331"/>
      <c r="AK35" s="331"/>
      <c r="AL35" s="331"/>
      <c r="AM35" s="331"/>
      <c r="AN35" s="331"/>
      <c r="AO35" s="331"/>
      <c r="AP35" s="331"/>
      <c r="AQ35" s="331"/>
      <c r="AR35" s="331"/>
      <c r="AS35" s="331"/>
      <c r="AT35" s="331"/>
      <c r="AU35" s="331"/>
      <c r="AV35" s="331"/>
      <c r="AW35" s="331"/>
      <c r="AX35" s="331"/>
      <c r="AY35" s="331"/>
      <c r="AZ35" s="331"/>
      <c r="BA35" s="331"/>
      <c r="BB35" s="331"/>
      <c r="BC35" s="331"/>
      <c r="BD35" s="331"/>
      <c r="BE35" s="331"/>
      <c r="BF35" s="331"/>
      <c r="BG35" s="331"/>
      <c r="BH35" s="331"/>
      <c r="BI35" s="331"/>
      <c r="BJ35" s="331"/>
      <c r="BK35" s="331"/>
      <c r="BL35" s="331"/>
      <c r="BM35" s="331"/>
      <c r="BN35" s="331"/>
      <c r="BO35" s="331"/>
      <c r="BP35" s="331"/>
      <c r="BQ35" s="331"/>
      <c r="BR35" s="331"/>
      <c r="BS35" s="331"/>
      <c r="BT35" s="331"/>
      <c r="BU35" s="331"/>
      <c r="BV35" s="331"/>
      <c r="BW35" s="331"/>
      <c r="BX35" s="331"/>
      <c r="BY35" s="331"/>
      <c r="BZ35" s="331"/>
      <c r="CA35" s="331"/>
      <c r="CB35" s="331"/>
      <c r="CC35" s="331"/>
      <c r="CD35" s="331"/>
      <c r="CE35" s="331"/>
      <c r="CF35" s="331"/>
      <c r="CG35" s="331"/>
      <c r="CH35" s="331"/>
      <c r="CI35" s="331"/>
      <c r="CJ35" s="331"/>
      <c r="CK35" s="331"/>
      <c r="CL35" s="331"/>
      <c r="CM35" s="331"/>
      <c r="CN35" s="331"/>
      <c r="CO35" s="331"/>
      <c r="CP35" s="331"/>
      <c r="CQ35" s="331"/>
      <c r="CR35" s="331"/>
      <c r="CS35" s="331"/>
      <c r="CT35" s="331"/>
      <c r="CU35" s="331"/>
      <c r="CV35" s="331"/>
      <c r="CW35" s="331"/>
      <c r="CX35" s="331"/>
      <c r="CY35" s="331"/>
      <c r="CZ35" s="331"/>
      <c r="DA35" s="331"/>
      <c r="DB35" s="331"/>
      <c r="DC35" s="331"/>
      <c r="DD35" s="331"/>
      <c r="DE35" s="331"/>
    </row>
    <row r="36" spans="1:109" s="123" customFormat="1" ht="14.25" customHeight="1">
      <c r="A36" s="325"/>
      <c r="B36" s="326"/>
      <c r="C36" s="327"/>
      <c r="D36" s="335"/>
      <c r="E36" s="335"/>
      <c r="F36" s="335"/>
      <c r="G36" s="335"/>
      <c r="H36" s="335"/>
      <c r="I36" s="335"/>
      <c r="J36" s="335"/>
      <c r="K36" s="335"/>
      <c r="L36" s="335"/>
      <c r="M36" s="335"/>
      <c r="N36" s="335"/>
      <c r="O36" s="335"/>
      <c r="P36" s="335"/>
      <c r="Q36" s="335"/>
      <c r="R36" s="335"/>
      <c r="S36" s="331"/>
      <c r="T36" s="331"/>
      <c r="U36" s="331"/>
      <c r="V36" s="331"/>
      <c r="W36" s="331"/>
      <c r="X36" s="331"/>
      <c r="Y36" s="331"/>
      <c r="Z36" s="331"/>
      <c r="AA36" s="331"/>
      <c r="AB36" s="331"/>
      <c r="AC36" s="331"/>
      <c r="AD36" s="331"/>
      <c r="AE36" s="331"/>
      <c r="AF36" s="331"/>
      <c r="AG36" s="331"/>
      <c r="AH36" s="331"/>
      <c r="AI36" s="331"/>
      <c r="AJ36" s="331"/>
      <c r="AK36" s="331"/>
      <c r="AL36" s="331"/>
      <c r="AM36" s="331"/>
      <c r="AN36" s="331"/>
      <c r="AO36" s="331"/>
      <c r="AP36" s="331"/>
      <c r="AQ36" s="331"/>
      <c r="AR36" s="331"/>
      <c r="AS36" s="331"/>
      <c r="AT36" s="331"/>
      <c r="AU36" s="331"/>
      <c r="AV36" s="331"/>
      <c r="AW36" s="331"/>
      <c r="AX36" s="331"/>
      <c r="AY36" s="331"/>
      <c r="AZ36" s="331"/>
      <c r="BA36" s="331"/>
      <c r="BB36" s="331"/>
      <c r="BC36" s="331"/>
      <c r="BD36" s="331"/>
      <c r="BE36" s="331"/>
      <c r="BF36" s="331"/>
      <c r="BG36" s="331"/>
      <c r="BH36" s="331"/>
      <c r="BI36" s="331"/>
      <c r="BJ36" s="331"/>
      <c r="BK36" s="331"/>
      <c r="BL36" s="331"/>
      <c r="BM36" s="331"/>
      <c r="BN36" s="331"/>
      <c r="BO36" s="331"/>
      <c r="BP36" s="331"/>
      <c r="BQ36" s="331"/>
      <c r="BR36" s="331"/>
      <c r="BS36" s="331"/>
      <c r="BT36" s="331"/>
      <c r="BU36" s="331"/>
      <c r="BV36" s="331"/>
      <c r="BW36" s="331"/>
      <c r="BX36" s="331"/>
      <c r="BY36" s="331"/>
      <c r="BZ36" s="331"/>
      <c r="CA36" s="331"/>
      <c r="CB36" s="331"/>
      <c r="CC36" s="331"/>
      <c r="CD36" s="331"/>
      <c r="CE36" s="331"/>
      <c r="CF36" s="331"/>
      <c r="CG36" s="331"/>
      <c r="CH36" s="331"/>
      <c r="CI36" s="331"/>
      <c r="CJ36" s="331"/>
      <c r="CK36" s="331"/>
      <c r="CL36" s="331"/>
      <c r="CM36" s="331"/>
      <c r="CN36" s="331"/>
      <c r="CO36" s="331"/>
      <c r="CP36" s="331"/>
      <c r="CQ36" s="331"/>
      <c r="CR36" s="331"/>
      <c r="CS36" s="331"/>
      <c r="CT36" s="331"/>
      <c r="CU36" s="331"/>
      <c r="CV36" s="331"/>
      <c r="CW36" s="331"/>
      <c r="CX36" s="331"/>
      <c r="CY36" s="331"/>
      <c r="CZ36" s="331"/>
      <c r="DA36" s="331"/>
      <c r="DB36" s="331"/>
      <c r="DC36" s="331"/>
      <c r="DD36" s="331"/>
      <c r="DE36" s="331"/>
    </row>
    <row r="37" spans="1:109" s="123" customFormat="1" ht="14.25" customHeight="1">
      <c r="A37" s="325"/>
      <c r="B37" s="326"/>
      <c r="C37" s="327"/>
      <c r="D37" s="335"/>
      <c r="E37" s="335"/>
      <c r="F37" s="335"/>
      <c r="G37" s="335"/>
      <c r="H37" s="335"/>
      <c r="I37" s="335"/>
      <c r="J37" s="335"/>
      <c r="K37" s="335"/>
      <c r="L37" s="335"/>
      <c r="M37" s="335"/>
      <c r="N37" s="335"/>
      <c r="O37" s="335"/>
      <c r="P37" s="335"/>
      <c r="Q37" s="335"/>
      <c r="R37" s="335"/>
      <c r="S37" s="331"/>
      <c r="T37" s="331"/>
      <c r="U37" s="331"/>
      <c r="V37" s="331"/>
      <c r="W37" s="331"/>
      <c r="X37" s="331"/>
      <c r="Y37" s="331"/>
      <c r="Z37" s="331"/>
      <c r="AA37" s="331"/>
      <c r="AB37" s="331"/>
      <c r="AC37" s="331"/>
      <c r="AD37" s="331"/>
      <c r="AE37" s="331"/>
      <c r="AF37" s="331"/>
      <c r="AG37" s="331"/>
      <c r="AH37" s="331"/>
      <c r="AI37" s="331"/>
      <c r="AJ37" s="331"/>
      <c r="AK37" s="331"/>
      <c r="AL37" s="331"/>
      <c r="AM37" s="331"/>
      <c r="AN37" s="331"/>
      <c r="AO37" s="331"/>
      <c r="AP37" s="331"/>
      <c r="AQ37" s="331"/>
      <c r="AR37" s="331"/>
      <c r="AS37" s="331"/>
      <c r="AT37" s="331"/>
      <c r="AU37" s="331"/>
      <c r="AV37" s="331"/>
      <c r="AW37" s="331"/>
      <c r="AX37" s="331"/>
      <c r="AY37" s="331"/>
      <c r="AZ37" s="331"/>
      <c r="BA37" s="331"/>
      <c r="BB37" s="331"/>
      <c r="BC37" s="331"/>
      <c r="BD37" s="331"/>
      <c r="BE37" s="331"/>
      <c r="BF37" s="331"/>
      <c r="BG37" s="331"/>
      <c r="BH37" s="331"/>
      <c r="BI37" s="331"/>
      <c r="BJ37" s="331"/>
      <c r="BK37" s="331"/>
      <c r="BL37" s="331"/>
      <c r="BM37" s="331"/>
      <c r="BN37" s="331"/>
      <c r="BO37" s="331"/>
      <c r="BP37" s="331"/>
      <c r="BQ37" s="331"/>
      <c r="BR37" s="331"/>
      <c r="BS37" s="331"/>
      <c r="BT37" s="331"/>
      <c r="BU37" s="331"/>
      <c r="BV37" s="331"/>
      <c r="BW37" s="331"/>
      <c r="BX37" s="331"/>
      <c r="BY37" s="331"/>
      <c r="BZ37" s="331"/>
      <c r="CA37" s="331"/>
      <c r="CB37" s="331"/>
      <c r="CC37" s="331"/>
      <c r="CD37" s="331"/>
      <c r="CE37" s="331"/>
      <c r="CF37" s="331"/>
      <c r="CG37" s="331"/>
      <c r="CH37" s="331"/>
      <c r="CI37" s="331"/>
      <c r="CJ37" s="331"/>
      <c r="CK37" s="331"/>
      <c r="CL37" s="331"/>
      <c r="CM37" s="331"/>
      <c r="CN37" s="331"/>
      <c r="CO37" s="331"/>
      <c r="CP37" s="331"/>
      <c r="CQ37" s="331"/>
      <c r="CR37" s="331"/>
      <c r="CS37" s="331"/>
      <c r="CT37" s="331"/>
      <c r="CU37" s="331"/>
      <c r="CV37" s="331"/>
      <c r="CW37" s="331"/>
      <c r="CX37" s="331"/>
      <c r="CY37" s="331"/>
      <c r="CZ37" s="331"/>
      <c r="DA37" s="331"/>
      <c r="DB37" s="331"/>
      <c r="DC37" s="331"/>
      <c r="DD37" s="331"/>
      <c r="DE37" s="331"/>
    </row>
    <row r="38" spans="1:109" s="123" customFormat="1" ht="14.25" customHeight="1">
      <c r="A38" s="325"/>
      <c r="B38" s="326"/>
      <c r="C38" s="327"/>
      <c r="D38" s="335"/>
      <c r="E38" s="335"/>
      <c r="F38" s="335"/>
      <c r="G38" s="335"/>
      <c r="H38" s="335"/>
      <c r="I38" s="335"/>
      <c r="J38" s="335"/>
      <c r="K38" s="335"/>
      <c r="L38" s="335"/>
      <c r="M38" s="335"/>
      <c r="N38" s="335"/>
      <c r="O38" s="335"/>
      <c r="P38" s="335"/>
      <c r="Q38" s="335"/>
      <c r="R38" s="335"/>
      <c r="S38" s="331"/>
      <c r="T38" s="331"/>
      <c r="U38" s="331"/>
      <c r="V38" s="331"/>
      <c r="W38" s="331"/>
      <c r="X38" s="331"/>
      <c r="Y38" s="331"/>
      <c r="Z38" s="331"/>
      <c r="AA38" s="331"/>
      <c r="AB38" s="331"/>
      <c r="AC38" s="331"/>
      <c r="AD38" s="331"/>
      <c r="AE38" s="331"/>
      <c r="AF38" s="331"/>
      <c r="AG38" s="331"/>
      <c r="AH38" s="331"/>
      <c r="AI38" s="331"/>
      <c r="AJ38" s="331"/>
      <c r="AK38" s="331"/>
      <c r="AL38" s="331"/>
      <c r="AM38" s="331"/>
      <c r="AN38" s="331"/>
      <c r="AO38" s="331"/>
      <c r="AP38" s="331"/>
      <c r="AQ38" s="331"/>
      <c r="AR38" s="331"/>
      <c r="AS38" s="331"/>
      <c r="AT38" s="331"/>
      <c r="AU38" s="331"/>
      <c r="AV38" s="331"/>
      <c r="AW38" s="331"/>
      <c r="AX38" s="331"/>
      <c r="AY38" s="331"/>
      <c r="AZ38" s="331"/>
      <c r="BA38" s="331"/>
      <c r="BB38" s="331"/>
      <c r="BC38" s="331"/>
      <c r="BD38" s="331"/>
      <c r="BE38" s="331"/>
      <c r="BF38" s="331"/>
      <c r="BG38" s="331"/>
      <c r="BH38" s="331"/>
      <c r="BI38" s="331"/>
      <c r="BJ38" s="331"/>
      <c r="BK38" s="331"/>
      <c r="BL38" s="331"/>
      <c r="BM38" s="331"/>
      <c r="BN38" s="331"/>
      <c r="BO38" s="331"/>
      <c r="BP38" s="331"/>
      <c r="BQ38" s="331"/>
      <c r="BR38" s="331"/>
      <c r="BS38" s="331"/>
      <c r="BT38" s="331"/>
      <c r="BU38" s="331"/>
      <c r="BV38" s="331"/>
      <c r="BW38" s="331"/>
      <c r="BX38" s="331"/>
      <c r="BY38" s="331"/>
      <c r="BZ38" s="331"/>
      <c r="CA38" s="331"/>
      <c r="CB38" s="331"/>
      <c r="CC38" s="331"/>
      <c r="CD38" s="331"/>
      <c r="CE38" s="331"/>
      <c r="CF38" s="331"/>
      <c r="CG38" s="331"/>
      <c r="CH38" s="331"/>
      <c r="CI38" s="331"/>
      <c r="CJ38" s="331"/>
      <c r="CK38" s="331"/>
      <c r="CL38" s="331"/>
      <c r="CM38" s="331"/>
      <c r="CN38" s="331"/>
      <c r="CO38" s="331"/>
      <c r="CP38" s="331"/>
      <c r="CQ38" s="331"/>
      <c r="CR38" s="331"/>
      <c r="CS38" s="331"/>
      <c r="CT38" s="331"/>
      <c r="CU38" s="331"/>
      <c r="CV38" s="331"/>
      <c r="CW38" s="331"/>
      <c r="CX38" s="331"/>
      <c r="CY38" s="331"/>
      <c r="CZ38" s="331"/>
      <c r="DA38" s="331"/>
      <c r="DB38" s="331"/>
      <c r="DC38" s="331"/>
      <c r="DD38" s="331"/>
      <c r="DE38" s="331"/>
    </row>
    <row r="39" spans="1:109" s="123" customFormat="1" ht="14.25" customHeight="1">
      <c r="A39" s="138" t="s">
        <v>502</v>
      </c>
      <c r="B39" s="98"/>
      <c r="C39" s="98"/>
      <c r="D39" s="98"/>
      <c r="E39" s="97"/>
      <c r="F39" s="97"/>
      <c r="G39"/>
      <c r="H39"/>
      <c r="I39" s="335"/>
      <c r="J39" s="335"/>
      <c r="K39" s="335"/>
      <c r="L39" s="335"/>
      <c r="M39" s="335"/>
      <c r="N39" s="335"/>
      <c r="O39" s="335"/>
      <c r="P39" s="335"/>
      <c r="Q39" s="335"/>
      <c r="R39" s="335"/>
      <c r="S39" s="331"/>
      <c r="T39" s="331"/>
      <c r="U39" s="331"/>
      <c r="V39" s="331"/>
      <c r="W39" s="331"/>
      <c r="X39" s="331"/>
      <c r="Y39" s="331"/>
      <c r="Z39" s="331"/>
      <c r="AA39" s="331"/>
      <c r="AB39" s="331"/>
      <c r="AC39" s="331"/>
      <c r="AD39" s="331"/>
      <c r="AE39" s="331"/>
      <c r="AF39" s="331"/>
      <c r="AG39" s="331"/>
      <c r="AH39" s="331"/>
      <c r="AI39" s="331"/>
      <c r="AJ39" s="331"/>
      <c r="AK39" s="331"/>
      <c r="AL39" s="331"/>
      <c r="AM39" s="331"/>
      <c r="AN39" s="331"/>
      <c r="AO39" s="331"/>
      <c r="AP39" s="331"/>
      <c r="AQ39" s="331"/>
      <c r="AR39" s="331"/>
      <c r="AS39" s="331"/>
      <c r="AT39" s="331"/>
      <c r="AU39" s="331"/>
      <c r="AV39" s="331"/>
      <c r="AW39" s="331"/>
      <c r="AX39" s="331"/>
      <c r="AY39" s="331"/>
      <c r="AZ39" s="331"/>
      <c r="BA39" s="331"/>
      <c r="BB39" s="331"/>
      <c r="BC39" s="331"/>
      <c r="BD39" s="331"/>
      <c r="BE39" s="331"/>
      <c r="BF39" s="331"/>
      <c r="BG39" s="331"/>
      <c r="BH39" s="331"/>
      <c r="BI39" s="331"/>
      <c r="BJ39" s="331"/>
      <c r="BK39" s="331"/>
      <c r="BL39" s="331"/>
      <c r="BM39" s="331"/>
      <c r="BN39" s="331"/>
      <c r="BO39" s="331"/>
      <c r="BP39" s="331"/>
      <c r="BQ39" s="331"/>
      <c r="BR39" s="331"/>
      <c r="BS39" s="331"/>
      <c r="BT39" s="331"/>
      <c r="BU39" s="331"/>
      <c r="BV39" s="331"/>
      <c r="BW39" s="331"/>
      <c r="BX39" s="331"/>
      <c r="BY39" s="331"/>
      <c r="BZ39" s="331"/>
      <c r="CA39" s="331"/>
      <c r="CB39" s="331"/>
      <c r="CC39" s="331"/>
      <c r="CD39" s="331"/>
      <c r="CE39" s="331"/>
      <c r="CF39" s="331"/>
      <c r="CG39" s="331"/>
      <c r="CH39" s="331"/>
      <c r="CI39" s="331"/>
      <c r="CJ39" s="331"/>
      <c r="CK39" s="331"/>
      <c r="CL39" s="331"/>
      <c r="CM39" s="331"/>
      <c r="CN39" s="331"/>
      <c r="CO39" s="331"/>
      <c r="CP39" s="331"/>
      <c r="CQ39" s="331"/>
      <c r="CR39" s="331"/>
      <c r="CS39" s="331"/>
      <c r="CT39" s="331"/>
      <c r="CU39" s="331"/>
      <c r="CV39" s="331"/>
      <c r="CW39" s="331"/>
      <c r="CX39" s="331"/>
      <c r="CY39" s="331"/>
      <c r="CZ39" s="331"/>
      <c r="DA39" s="331"/>
      <c r="DB39" s="331"/>
      <c r="DC39" s="331"/>
      <c r="DD39" s="331"/>
      <c r="DE39" s="331"/>
    </row>
    <row r="40" spans="1:109" s="123" customFormat="1" ht="14.25" customHeight="1">
      <c r="A40" s="138"/>
      <c r="B40" s="98"/>
      <c r="C40" s="98"/>
      <c r="D40" s="98"/>
      <c r="E40" s="97"/>
      <c r="F40" s="97"/>
      <c r="G40"/>
      <c r="H40"/>
      <c r="I40" s="335"/>
      <c r="J40" s="335"/>
      <c r="K40" s="335"/>
      <c r="L40" s="335"/>
      <c r="M40" s="335"/>
      <c r="N40" s="335"/>
      <c r="O40" s="335"/>
      <c r="P40" s="335"/>
      <c r="Q40" s="335"/>
      <c r="R40" s="335"/>
      <c r="S40" s="331"/>
      <c r="T40" s="331"/>
      <c r="U40" s="331"/>
      <c r="V40" s="331"/>
      <c r="W40" s="331"/>
      <c r="X40" s="331"/>
      <c r="Y40" s="331"/>
      <c r="Z40" s="331"/>
      <c r="AA40" s="331"/>
      <c r="AB40" s="331"/>
      <c r="AC40" s="331"/>
      <c r="AD40" s="331"/>
      <c r="AE40" s="331"/>
      <c r="AF40" s="331"/>
      <c r="AG40" s="331"/>
      <c r="AH40" s="331"/>
      <c r="AI40" s="331"/>
      <c r="AJ40" s="331"/>
      <c r="AK40" s="331"/>
      <c r="AL40" s="331"/>
      <c r="AM40" s="331"/>
      <c r="AN40" s="331"/>
      <c r="AO40" s="331"/>
      <c r="AP40" s="331"/>
      <c r="AQ40" s="331"/>
      <c r="AR40" s="331"/>
      <c r="AS40" s="331"/>
      <c r="AT40" s="331"/>
      <c r="AU40" s="331"/>
      <c r="AV40" s="331"/>
      <c r="AW40" s="331"/>
      <c r="AX40" s="331"/>
      <c r="AY40" s="331"/>
      <c r="AZ40" s="331"/>
      <c r="BA40" s="331"/>
      <c r="BB40" s="331"/>
      <c r="BC40" s="331"/>
      <c r="BD40" s="331"/>
      <c r="BE40" s="331"/>
      <c r="BF40" s="331"/>
      <c r="BG40" s="331"/>
      <c r="BH40" s="331"/>
      <c r="BI40" s="331"/>
      <c r="BJ40" s="331"/>
      <c r="BK40" s="331"/>
      <c r="BL40" s="331"/>
      <c r="BM40" s="331"/>
      <c r="BN40" s="331"/>
      <c r="BO40" s="331"/>
      <c r="BP40" s="331"/>
      <c r="BQ40" s="331"/>
      <c r="BR40" s="331"/>
      <c r="BS40" s="331"/>
      <c r="BT40" s="331"/>
      <c r="BU40" s="331"/>
      <c r="BV40" s="331"/>
      <c r="BW40" s="331"/>
      <c r="BX40" s="331"/>
      <c r="BY40" s="331"/>
      <c r="BZ40" s="331"/>
      <c r="CA40" s="331"/>
      <c r="CB40" s="331"/>
      <c r="CC40" s="331"/>
      <c r="CD40" s="331"/>
      <c r="CE40" s="331"/>
      <c r="CF40" s="331"/>
      <c r="CG40" s="331"/>
      <c r="CH40" s="331"/>
      <c r="CI40" s="331"/>
      <c r="CJ40" s="331"/>
      <c r="CK40" s="331"/>
      <c r="CL40" s="331"/>
      <c r="CM40" s="331"/>
      <c r="CN40" s="331"/>
      <c r="CO40" s="331"/>
      <c r="CP40" s="331"/>
      <c r="CQ40" s="331"/>
      <c r="CR40" s="331"/>
      <c r="CS40" s="331"/>
      <c r="CT40" s="331"/>
      <c r="CU40" s="331"/>
      <c r="CV40" s="331"/>
      <c r="CW40" s="331"/>
      <c r="CX40" s="331"/>
      <c r="CY40" s="331"/>
      <c r="CZ40" s="331"/>
      <c r="DA40" s="331"/>
      <c r="DB40" s="331"/>
      <c r="DC40" s="331"/>
      <c r="DD40" s="331"/>
      <c r="DE40" s="331"/>
    </row>
    <row r="41" spans="1:109" s="123" customFormat="1" ht="15">
      <c r="A41" s="138"/>
      <c r="B41" s="95"/>
      <c r="C41" s="95"/>
      <c r="D41" s="96"/>
      <c r="E41" s="97"/>
      <c r="F41" s="97"/>
      <c r="G41"/>
      <c r="H41"/>
      <c r="I41" s="335"/>
      <c r="J41" s="335"/>
      <c r="K41" s="335"/>
      <c r="L41" s="335"/>
      <c r="M41" s="335"/>
      <c r="N41" s="335"/>
      <c r="O41" s="335"/>
      <c r="P41" s="335"/>
      <c r="Q41" s="335"/>
      <c r="R41" s="335"/>
      <c r="S41" s="331"/>
      <c r="T41" s="331"/>
      <c r="U41" s="331"/>
      <c r="V41" s="331"/>
      <c r="W41" s="331"/>
      <c r="X41" s="331"/>
      <c r="Y41" s="331"/>
      <c r="Z41" s="331"/>
      <c r="AA41" s="331"/>
      <c r="AB41" s="331"/>
      <c r="AC41" s="331"/>
      <c r="AD41" s="331"/>
      <c r="AE41" s="331"/>
      <c r="AF41" s="331"/>
      <c r="AG41" s="331"/>
      <c r="AH41" s="331"/>
      <c r="AI41" s="331"/>
      <c r="AJ41" s="331"/>
      <c r="AK41" s="331"/>
      <c r="AL41" s="331"/>
      <c r="AM41" s="331"/>
      <c r="AN41" s="331"/>
      <c r="AO41" s="331"/>
      <c r="AP41" s="331"/>
      <c r="AQ41" s="331"/>
      <c r="AR41" s="331"/>
      <c r="AS41" s="331"/>
      <c r="AT41" s="331"/>
      <c r="AU41" s="331"/>
      <c r="AV41" s="331"/>
      <c r="AW41" s="331"/>
      <c r="AX41" s="331"/>
      <c r="AY41" s="331"/>
      <c r="AZ41" s="331"/>
      <c r="BA41" s="331"/>
      <c r="BB41" s="331"/>
      <c r="BC41" s="331"/>
      <c r="BD41" s="331"/>
      <c r="BE41" s="331"/>
      <c r="BF41" s="331"/>
      <c r="BG41" s="331"/>
      <c r="BH41" s="331"/>
      <c r="BI41" s="331"/>
      <c r="BJ41" s="331"/>
      <c r="BK41" s="331"/>
      <c r="BL41" s="331"/>
      <c r="BM41" s="331"/>
      <c r="BN41" s="331"/>
      <c r="BO41" s="331"/>
      <c r="BP41" s="331"/>
      <c r="BQ41" s="331"/>
      <c r="BR41" s="331"/>
      <c r="BS41" s="331"/>
      <c r="BT41" s="331"/>
      <c r="BU41" s="331"/>
      <c r="BV41" s="331"/>
      <c r="BW41" s="331"/>
      <c r="BX41" s="331"/>
      <c r="BY41" s="331"/>
      <c r="BZ41" s="331"/>
      <c r="CA41" s="331"/>
      <c r="CB41" s="331"/>
      <c r="CC41" s="331"/>
      <c r="CD41" s="331"/>
      <c r="CE41" s="331"/>
      <c r="CF41" s="331"/>
      <c r="CG41" s="331"/>
      <c r="CH41" s="331"/>
      <c r="CI41" s="331"/>
      <c r="CJ41" s="331"/>
      <c r="CK41" s="331"/>
      <c r="CL41" s="331"/>
      <c r="CM41" s="331"/>
      <c r="CN41" s="331"/>
      <c r="CO41" s="331"/>
      <c r="CP41" s="331"/>
      <c r="CQ41" s="331"/>
      <c r="CR41" s="331"/>
      <c r="CS41" s="331"/>
      <c r="CT41" s="331"/>
      <c r="CU41" s="331"/>
      <c r="CV41" s="331"/>
      <c r="CW41" s="331"/>
      <c r="CX41" s="331"/>
      <c r="CY41" s="331"/>
      <c r="CZ41" s="331"/>
      <c r="DA41" s="331"/>
      <c r="DB41" s="331"/>
      <c r="DC41" s="331"/>
      <c r="DD41" s="331"/>
      <c r="DE41" s="331"/>
    </row>
    <row r="42" spans="1:109" s="123" customFormat="1" ht="12.75">
      <c r="A42"/>
      <c r="B42"/>
      <c r="C42" s="237" t="s">
        <v>228</v>
      </c>
      <c r="D42" s="169" t="s">
        <v>521</v>
      </c>
      <c r="E42" s="179" t="s">
        <v>409</v>
      </c>
      <c r="F42" s="170" t="s">
        <v>396</v>
      </c>
      <c r="G42" s="170" t="s">
        <v>383</v>
      </c>
      <c r="H42" s="170" t="s">
        <v>370</v>
      </c>
      <c r="I42" s="335"/>
      <c r="J42" s="335"/>
      <c r="K42" s="335"/>
      <c r="L42" s="335"/>
      <c r="M42" s="335"/>
      <c r="N42" s="335"/>
      <c r="O42" s="335"/>
      <c r="P42" s="335"/>
      <c r="Q42" s="335"/>
      <c r="R42" s="335"/>
      <c r="S42" s="331"/>
      <c r="T42" s="331"/>
      <c r="U42" s="331"/>
      <c r="V42" s="331"/>
      <c r="W42" s="331"/>
      <c r="X42" s="331"/>
      <c r="Y42" s="331"/>
      <c r="Z42" s="331"/>
      <c r="AA42" s="331"/>
      <c r="AB42" s="331"/>
      <c r="AC42" s="331"/>
      <c r="AD42" s="331"/>
      <c r="AE42" s="331"/>
      <c r="AF42" s="331"/>
      <c r="AG42" s="331"/>
      <c r="AH42" s="331"/>
      <c r="AI42" s="331"/>
      <c r="AJ42" s="331"/>
      <c r="AK42" s="331"/>
      <c r="AL42" s="331"/>
      <c r="AM42" s="331"/>
      <c r="AN42" s="331"/>
      <c r="AO42" s="331"/>
      <c r="AP42" s="331"/>
      <c r="AQ42" s="331"/>
      <c r="AR42" s="331"/>
      <c r="AS42" s="331"/>
      <c r="AT42" s="331"/>
      <c r="AU42" s="331"/>
      <c r="AV42" s="331"/>
      <c r="AW42" s="331"/>
      <c r="AX42" s="331"/>
      <c r="AY42" s="331"/>
      <c r="AZ42" s="331"/>
      <c r="BA42" s="331"/>
      <c r="BB42" s="331"/>
      <c r="BC42" s="331"/>
      <c r="BD42" s="331"/>
      <c r="BE42" s="331"/>
      <c r="BF42" s="331"/>
      <c r="BG42" s="331"/>
      <c r="BH42" s="331"/>
      <c r="BI42" s="331"/>
      <c r="BJ42" s="331"/>
      <c r="BK42" s="331"/>
      <c r="BL42" s="331"/>
      <c r="BM42" s="331"/>
      <c r="BN42" s="331"/>
      <c r="BO42" s="331"/>
      <c r="BP42" s="331"/>
      <c r="BQ42" s="331"/>
      <c r="BR42" s="331"/>
      <c r="BS42" s="331"/>
      <c r="BT42" s="331"/>
      <c r="BU42" s="331"/>
      <c r="BV42" s="331"/>
      <c r="BW42" s="331"/>
      <c r="BX42" s="331"/>
      <c r="BY42" s="331"/>
      <c r="BZ42" s="331"/>
      <c r="CA42" s="331"/>
      <c r="CB42" s="331"/>
      <c r="CC42" s="331"/>
      <c r="CD42" s="331"/>
      <c r="CE42" s="331"/>
      <c r="CF42" s="331"/>
      <c r="CG42" s="331"/>
      <c r="CH42" s="331"/>
      <c r="CI42" s="331"/>
      <c r="CJ42" s="331"/>
      <c r="CK42" s="331"/>
      <c r="CL42" s="331"/>
      <c r="CM42" s="331"/>
      <c r="CN42" s="331"/>
      <c r="CO42" s="331"/>
      <c r="CP42" s="331"/>
      <c r="CQ42" s="331"/>
      <c r="CR42" s="331"/>
      <c r="CS42" s="331"/>
      <c r="CT42" s="331"/>
      <c r="CU42" s="331"/>
      <c r="CV42" s="331"/>
      <c r="CW42" s="331"/>
      <c r="CX42" s="331"/>
      <c r="CY42" s="331"/>
      <c r="CZ42" s="331"/>
      <c r="DA42" s="331"/>
      <c r="DB42" s="331"/>
      <c r="DC42" s="331"/>
      <c r="DD42" s="331"/>
      <c r="DE42" s="331"/>
    </row>
    <row r="43" spans="1:109" s="123" customFormat="1" ht="12.75">
      <c r="A43"/>
      <c r="B43"/>
      <c r="C43" s="214" t="s">
        <v>229</v>
      </c>
      <c r="D43" s="353">
        <f>D20</f>
        <v>118131.69606626192</v>
      </c>
      <c r="E43" s="354">
        <f>E20</f>
        <v>114037.49052344009</v>
      </c>
      <c r="F43" s="354">
        <f>F20</f>
        <v>113368.41270000002</v>
      </c>
      <c r="G43" s="354">
        <v>108810.51082868567</v>
      </c>
      <c r="H43" s="354">
        <v>104037.30788707999</v>
      </c>
      <c r="I43" s="335"/>
      <c r="J43" s="335"/>
      <c r="K43" s="335"/>
      <c r="L43" s="335"/>
      <c r="M43" s="335"/>
      <c r="N43" s="335"/>
      <c r="O43" s="335"/>
      <c r="P43" s="335"/>
      <c r="Q43" s="335"/>
      <c r="R43" s="335"/>
      <c r="S43" s="331"/>
      <c r="T43" s="331"/>
      <c r="U43" s="331"/>
      <c r="V43" s="331"/>
      <c r="W43" s="331"/>
      <c r="X43" s="331"/>
      <c r="Y43" s="331"/>
      <c r="Z43" s="331"/>
      <c r="AA43" s="331"/>
      <c r="AB43" s="331"/>
      <c r="AC43" s="331"/>
      <c r="AD43" s="331"/>
      <c r="AE43" s="331"/>
      <c r="AF43" s="331"/>
      <c r="AG43" s="331"/>
      <c r="AH43" s="331"/>
      <c r="AI43" s="331"/>
      <c r="AJ43" s="331"/>
      <c r="AK43" s="331"/>
      <c r="AL43" s="331"/>
      <c r="AM43" s="331"/>
      <c r="AN43" s="331"/>
      <c r="AO43" s="331"/>
      <c r="AP43" s="331"/>
      <c r="AQ43" s="331"/>
      <c r="AR43" s="331"/>
      <c r="AS43" s="331"/>
      <c r="AT43" s="331"/>
      <c r="AU43" s="331"/>
      <c r="AV43" s="331"/>
      <c r="AW43" s="331"/>
      <c r="AX43" s="331"/>
      <c r="AY43" s="331"/>
      <c r="AZ43" s="331"/>
      <c r="BA43" s="331"/>
      <c r="BB43" s="331"/>
      <c r="BC43" s="331"/>
      <c r="BD43" s="331"/>
      <c r="BE43" s="331"/>
      <c r="BF43" s="331"/>
      <c r="BG43" s="331"/>
      <c r="BH43" s="331"/>
      <c r="BI43" s="331"/>
      <c r="BJ43" s="331"/>
      <c r="BK43" s="331"/>
      <c r="BL43" s="331"/>
      <c r="BM43" s="331"/>
      <c r="BN43" s="331"/>
      <c r="BO43" s="331"/>
      <c r="BP43" s="331"/>
      <c r="BQ43" s="331"/>
      <c r="BR43" s="331"/>
      <c r="BS43" s="331"/>
      <c r="BT43" s="331"/>
      <c r="BU43" s="331"/>
      <c r="BV43" s="331"/>
      <c r="BW43" s="331"/>
      <c r="BX43" s="331"/>
      <c r="BY43" s="331"/>
      <c r="BZ43" s="331"/>
      <c r="CA43" s="331"/>
      <c r="CB43" s="331"/>
      <c r="CC43" s="331"/>
      <c r="CD43" s="331"/>
      <c r="CE43" s="331"/>
      <c r="CF43" s="331"/>
      <c r="CG43" s="331"/>
      <c r="CH43" s="331"/>
      <c r="CI43" s="331"/>
      <c r="CJ43" s="331"/>
      <c r="CK43" s="331"/>
      <c r="CL43" s="331"/>
      <c r="CM43" s="331"/>
      <c r="CN43" s="331"/>
      <c r="CO43" s="331"/>
      <c r="CP43" s="331"/>
      <c r="CQ43" s="331"/>
      <c r="CR43" s="331"/>
      <c r="CS43" s="331"/>
      <c r="CT43" s="331"/>
      <c r="CU43" s="331"/>
      <c r="CV43" s="331"/>
      <c r="CW43" s="331"/>
      <c r="CX43" s="331"/>
      <c r="CY43" s="331"/>
      <c r="CZ43" s="331"/>
      <c r="DA43" s="331"/>
      <c r="DB43" s="331"/>
      <c r="DC43" s="331"/>
      <c r="DD43" s="331"/>
      <c r="DE43" s="331"/>
    </row>
    <row r="44" spans="1:109" s="123" customFormat="1" ht="12.75">
      <c r="A44"/>
      <c r="B44"/>
      <c r="C44" s="211" t="s">
        <v>235</v>
      </c>
      <c r="D44" s="208">
        <v>19635.3</v>
      </c>
      <c r="E44" s="351">
        <v>17852.3</v>
      </c>
      <c r="F44" s="351">
        <v>17495.699000000001</v>
      </c>
      <c r="G44" s="352">
        <v>17997.95</v>
      </c>
      <c r="H44" s="352">
        <v>17930.877</v>
      </c>
      <c r="I44" s="335"/>
      <c r="J44" s="335"/>
      <c r="K44" s="335"/>
      <c r="L44" s="335"/>
      <c r="M44" s="335"/>
      <c r="N44" s="335"/>
      <c r="O44" s="335"/>
      <c r="P44" s="335"/>
      <c r="Q44" s="335"/>
      <c r="R44" s="335"/>
      <c r="S44" s="331"/>
      <c r="T44" s="331"/>
      <c r="U44" s="331"/>
      <c r="V44" s="331"/>
      <c r="W44" s="331"/>
      <c r="X44" s="331"/>
      <c r="Y44" s="331"/>
      <c r="Z44" s="331"/>
      <c r="AA44" s="331"/>
      <c r="AB44" s="331"/>
      <c r="AC44" s="331"/>
      <c r="AD44" s="331"/>
      <c r="AE44" s="331"/>
      <c r="AF44" s="331"/>
      <c r="AG44" s="331"/>
      <c r="AH44" s="331"/>
      <c r="AI44" s="331"/>
      <c r="AJ44" s="331"/>
      <c r="AK44" s="331"/>
      <c r="AL44" s="331"/>
      <c r="AM44" s="331"/>
      <c r="AN44" s="331"/>
      <c r="AO44" s="331"/>
      <c r="AP44" s="331"/>
      <c r="AQ44" s="331"/>
      <c r="AR44" s="331"/>
      <c r="AS44" s="331"/>
      <c r="AT44" s="331"/>
      <c r="AU44" s="331"/>
      <c r="AV44" s="331"/>
      <c r="AW44" s="331"/>
      <c r="AX44" s="331"/>
      <c r="AY44" s="331"/>
      <c r="AZ44" s="331"/>
      <c r="BA44" s="331"/>
      <c r="BB44" s="331"/>
      <c r="BC44" s="331"/>
      <c r="BD44" s="331"/>
      <c r="BE44" s="331"/>
      <c r="BF44" s="331"/>
      <c r="BG44" s="331"/>
      <c r="BH44" s="331"/>
      <c r="BI44" s="331"/>
      <c r="BJ44" s="331"/>
      <c r="BK44" s="331"/>
      <c r="BL44" s="331"/>
      <c r="BM44" s="331"/>
      <c r="BN44" s="331"/>
      <c r="BO44" s="331"/>
      <c r="BP44" s="331"/>
      <c r="BQ44" s="331"/>
      <c r="BR44" s="331"/>
      <c r="BS44" s="331"/>
      <c r="BT44" s="331"/>
      <c r="BU44" s="331"/>
      <c r="BV44" s="331"/>
      <c r="BW44" s="331"/>
      <c r="BX44" s="331"/>
      <c r="BY44" s="331"/>
      <c r="BZ44" s="331"/>
      <c r="CA44" s="331"/>
      <c r="CB44" s="331"/>
      <c r="CC44" s="331"/>
      <c r="CD44" s="331"/>
      <c r="CE44" s="331"/>
      <c r="CF44" s="331"/>
      <c r="CG44" s="331"/>
      <c r="CH44" s="331"/>
      <c r="CI44" s="331"/>
      <c r="CJ44" s="331"/>
      <c r="CK44" s="331"/>
      <c r="CL44" s="331"/>
      <c r="CM44" s="331"/>
      <c r="CN44" s="331"/>
      <c r="CO44" s="331"/>
      <c r="CP44" s="331"/>
      <c r="CQ44" s="331"/>
      <c r="CR44" s="331"/>
      <c r="CS44" s="331"/>
      <c r="CT44" s="331"/>
      <c r="CU44" s="331"/>
      <c r="CV44" s="331"/>
      <c r="CW44" s="331"/>
      <c r="CX44" s="331"/>
      <c r="CY44" s="331"/>
      <c r="CZ44" s="331"/>
      <c r="DA44" s="331"/>
      <c r="DB44" s="331"/>
      <c r="DC44" s="331"/>
      <c r="DD44" s="331"/>
      <c r="DE44" s="331"/>
    </row>
    <row r="45" spans="1:109" s="123" customFormat="1" ht="12.75">
      <c r="A45"/>
      <c r="B45"/>
      <c r="C45" s="349" t="s">
        <v>230</v>
      </c>
      <c r="D45" s="216">
        <f>D43-D44</f>
        <v>98496.396066261921</v>
      </c>
      <c r="E45" s="230">
        <f>E43-E44</f>
        <v>96185.190523440091</v>
      </c>
      <c r="F45" s="230">
        <f>F43-F44</f>
        <v>95872.713700000022</v>
      </c>
      <c r="G45" s="350">
        <v>92339.906828685664</v>
      </c>
      <c r="H45" s="350">
        <v>88732.22988708</v>
      </c>
      <c r="I45" s="335"/>
      <c r="J45" s="335"/>
      <c r="K45" s="335"/>
      <c r="L45" s="335"/>
      <c r="M45" s="335"/>
      <c r="N45" s="335"/>
      <c r="O45" s="335"/>
      <c r="P45" s="335"/>
      <c r="Q45" s="335"/>
      <c r="R45" s="335"/>
      <c r="S45" s="331"/>
      <c r="T45" s="331"/>
      <c r="U45" s="331"/>
      <c r="V45" s="331"/>
      <c r="W45" s="331"/>
      <c r="X45" s="331"/>
      <c r="Y45" s="331"/>
      <c r="Z45" s="331"/>
      <c r="AA45" s="331"/>
      <c r="AB45" s="331"/>
      <c r="AC45" s="331"/>
      <c r="AD45" s="331"/>
      <c r="AE45" s="331"/>
      <c r="AF45" s="331"/>
      <c r="AG45" s="331"/>
      <c r="AH45" s="331"/>
      <c r="AI45" s="331"/>
      <c r="AJ45" s="331"/>
      <c r="AK45" s="331"/>
      <c r="AL45" s="331"/>
      <c r="AM45" s="331"/>
      <c r="AN45" s="331"/>
      <c r="AO45" s="331"/>
      <c r="AP45" s="331"/>
      <c r="AQ45" s="331"/>
      <c r="AR45" s="331"/>
      <c r="AS45" s="331"/>
      <c r="AT45" s="331"/>
      <c r="AU45" s="331"/>
      <c r="AV45" s="331"/>
      <c r="AW45" s="331"/>
      <c r="AX45" s="331"/>
      <c r="AY45" s="331"/>
      <c r="AZ45" s="331"/>
      <c r="BA45" s="331"/>
      <c r="BB45" s="331"/>
      <c r="BC45" s="331"/>
      <c r="BD45" s="331"/>
      <c r="BE45" s="331"/>
      <c r="BF45" s="331"/>
      <c r="BG45" s="331"/>
      <c r="BH45" s="331"/>
      <c r="BI45" s="331"/>
      <c r="BJ45" s="331"/>
      <c r="BK45" s="331"/>
      <c r="BL45" s="331"/>
      <c r="BM45" s="331"/>
      <c r="BN45" s="331"/>
      <c r="BO45" s="331"/>
      <c r="BP45" s="331"/>
      <c r="BQ45" s="331"/>
      <c r="BR45" s="331"/>
      <c r="BS45" s="331"/>
      <c r="BT45" s="331"/>
      <c r="BU45" s="331"/>
      <c r="BV45" s="331"/>
      <c r="BW45" s="331"/>
      <c r="BX45" s="331"/>
      <c r="BY45" s="331"/>
      <c r="BZ45" s="331"/>
      <c r="CA45" s="331"/>
      <c r="CB45" s="331"/>
      <c r="CC45" s="331"/>
      <c r="CD45" s="331"/>
      <c r="CE45" s="331"/>
      <c r="CF45" s="331"/>
      <c r="CG45" s="331"/>
      <c r="CH45" s="331"/>
      <c r="CI45" s="331"/>
      <c r="CJ45" s="331"/>
      <c r="CK45" s="331"/>
      <c r="CL45" s="331"/>
      <c r="CM45" s="331"/>
      <c r="CN45" s="331"/>
      <c r="CO45" s="331"/>
      <c r="CP45" s="331"/>
      <c r="CQ45" s="331"/>
      <c r="CR45" s="331"/>
      <c r="CS45" s="331"/>
      <c r="CT45" s="331"/>
      <c r="CU45" s="331"/>
      <c r="CV45" s="331"/>
      <c r="CW45" s="331"/>
      <c r="CX45" s="331"/>
      <c r="CY45" s="331"/>
      <c r="CZ45" s="331"/>
      <c r="DA45" s="331"/>
      <c r="DB45" s="331"/>
      <c r="DC45" s="331"/>
      <c r="DD45" s="331"/>
      <c r="DE45" s="331"/>
    </row>
    <row r="46" spans="1:109" s="123" customFormat="1" ht="12.75">
      <c r="A46" s="325"/>
      <c r="B46" s="326"/>
      <c r="C46" s="211" t="s">
        <v>233</v>
      </c>
      <c r="D46" s="208">
        <f>SUM(D24:D25)</f>
        <v>49158.400247409983</v>
      </c>
      <c r="E46" s="351">
        <f>SUM(E24:E25)</f>
        <v>48529.546276070003</v>
      </c>
      <c r="F46" s="351">
        <f>SUM(F24:F25)</f>
        <v>47890.242499999993</v>
      </c>
      <c r="G46" s="352">
        <f>SUM(G24:G25)</f>
        <v>47368.798799999997</v>
      </c>
      <c r="H46" s="352">
        <v>43272.635014380008</v>
      </c>
      <c r="I46" s="335"/>
      <c r="J46" s="335"/>
      <c r="K46" s="335"/>
      <c r="L46" s="335"/>
      <c r="M46" s="335"/>
      <c r="N46" s="335"/>
      <c r="O46" s="335"/>
      <c r="P46" s="335"/>
      <c r="Q46" s="335"/>
      <c r="R46" s="335"/>
      <c r="S46" s="331"/>
      <c r="T46" s="331"/>
      <c r="U46" s="331"/>
      <c r="V46" s="331"/>
      <c r="W46" s="331"/>
      <c r="X46" s="331"/>
      <c r="Y46" s="331"/>
      <c r="Z46" s="331"/>
      <c r="AA46" s="331"/>
      <c r="AB46" s="331"/>
      <c r="AC46" s="331"/>
      <c r="AD46" s="331"/>
      <c r="AE46" s="331"/>
      <c r="AF46" s="331"/>
      <c r="AG46" s="331"/>
      <c r="AH46" s="331"/>
      <c r="AI46" s="331"/>
      <c r="AJ46" s="331"/>
      <c r="AK46" s="331"/>
      <c r="AL46" s="331"/>
      <c r="AM46" s="331"/>
      <c r="AN46" s="331"/>
      <c r="AO46" s="331"/>
      <c r="AP46" s="331"/>
      <c r="AQ46" s="331"/>
      <c r="AR46" s="331"/>
      <c r="AS46" s="331"/>
      <c r="AT46" s="331"/>
      <c r="AU46" s="331"/>
      <c r="AV46" s="331"/>
      <c r="AW46" s="331"/>
      <c r="AX46" s="331"/>
      <c r="AY46" s="331"/>
      <c r="AZ46" s="331"/>
      <c r="BA46" s="331"/>
      <c r="BB46" s="331"/>
      <c r="BC46" s="331"/>
      <c r="BD46" s="331"/>
      <c r="BE46" s="331"/>
      <c r="BF46" s="331"/>
      <c r="BG46" s="331"/>
      <c r="BH46" s="331"/>
      <c r="BI46" s="331"/>
      <c r="BJ46" s="331"/>
      <c r="BK46" s="331"/>
      <c r="BL46" s="331"/>
      <c r="BM46" s="331"/>
      <c r="BN46" s="331"/>
      <c r="BO46" s="331"/>
      <c r="BP46" s="331"/>
      <c r="BQ46" s="331"/>
      <c r="BR46" s="331"/>
      <c r="BS46" s="331"/>
      <c r="BT46" s="331"/>
      <c r="BU46" s="331"/>
      <c r="BV46" s="331"/>
      <c r="BW46" s="331"/>
      <c r="BX46" s="331"/>
      <c r="BY46" s="331"/>
      <c r="BZ46" s="331"/>
      <c r="CA46" s="331"/>
      <c r="CB46" s="331"/>
      <c r="CC46" s="331"/>
      <c r="CD46" s="331"/>
      <c r="CE46" s="331"/>
      <c r="CF46" s="331"/>
      <c r="CG46" s="331"/>
      <c r="CH46" s="331"/>
      <c r="CI46" s="331"/>
      <c r="CJ46" s="331"/>
      <c r="CK46" s="331"/>
      <c r="CL46" s="331"/>
      <c r="CM46" s="331"/>
      <c r="CN46" s="331"/>
      <c r="CO46" s="331"/>
      <c r="CP46" s="331"/>
      <c r="CQ46" s="331"/>
      <c r="CR46" s="331"/>
      <c r="CS46" s="331"/>
      <c r="CT46" s="331"/>
      <c r="CU46" s="331"/>
      <c r="CV46" s="331"/>
      <c r="CW46" s="331"/>
      <c r="CX46" s="331"/>
      <c r="CY46" s="331"/>
      <c r="CZ46" s="331"/>
      <c r="DA46" s="331"/>
      <c r="DB46" s="331"/>
      <c r="DC46" s="331"/>
      <c r="DD46" s="331"/>
      <c r="DE46" s="331"/>
    </row>
    <row r="47" spans="1:109" s="123" customFormat="1" ht="12.75">
      <c r="A47" s="325"/>
      <c r="B47" s="326"/>
      <c r="C47" s="349" t="s">
        <v>237</v>
      </c>
      <c r="D47" s="216">
        <f>D45+D46</f>
        <v>147654.79631367192</v>
      </c>
      <c r="E47" s="230">
        <f>E45+E46</f>
        <v>144714.73679951008</v>
      </c>
      <c r="F47" s="230">
        <f>F45+F46</f>
        <v>143762.95620000002</v>
      </c>
      <c r="G47" s="350">
        <v>137374.71803804563</v>
      </c>
      <c r="H47" s="350">
        <v>132004.86490146001</v>
      </c>
      <c r="I47" s="335"/>
      <c r="J47" s="335"/>
      <c r="K47" s="335"/>
      <c r="L47" s="335"/>
      <c r="M47" s="335"/>
      <c r="N47" s="335"/>
      <c r="O47" s="335"/>
      <c r="P47" s="335"/>
      <c r="Q47" s="335"/>
      <c r="R47" s="335"/>
      <c r="S47" s="331"/>
      <c r="T47" s="331"/>
      <c r="U47" s="331"/>
      <c r="V47" s="331"/>
      <c r="W47" s="331"/>
      <c r="X47" s="331"/>
      <c r="Y47" s="331"/>
      <c r="Z47" s="331"/>
      <c r="AA47" s="331"/>
      <c r="AB47" s="331"/>
      <c r="AC47" s="331"/>
      <c r="AD47" s="331"/>
      <c r="AE47" s="331"/>
      <c r="AF47" s="331"/>
      <c r="AG47" s="331"/>
      <c r="AH47" s="331"/>
      <c r="AI47" s="331"/>
      <c r="AJ47" s="331"/>
      <c r="AK47" s="331"/>
      <c r="AL47" s="331"/>
      <c r="AM47" s="331"/>
      <c r="AN47" s="331"/>
      <c r="AO47" s="331"/>
      <c r="AP47" s="331"/>
      <c r="AQ47" s="331"/>
      <c r="AR47" s="331"/>
      <c r="AS47" s="331"/>
      <c r="AT47" s="331"/>
      <c r="AU47" s="331"/>
      <c r="AV47" s="331"/>
      <c r="AW47" s="331"/>
      <c r="AX47" s="331"/>
      <c r="AY47" s="331"/>
      <c r="AZ47" s="331"/>
      <c r="BA47" s="331"/>
      <c r="BB47" s="331"/>
      <c r="BC47" s="331"/>
      <c r="BD47" s="331"/>
      <c r="BE47" s="331"/>
      <c r="BF47" s="331"/>
      <c r="BG47" s="331"/>
      <c r="BH47" s="331"/>
      <c r="BI47" s="331"/>
      <c r="BJ47" s="331"/>
      <c r="BK47" s="331"/>
      <c r="BL47" s="331"/>
      <c r="BM47" s="331"/>
      <c r="BN47" s="331"/>
      <c r="BO47" s="331"/>
      <c r="BP47" s="331"/>
      <c r="BQ47" s="331"/>
      <c r="BR47" s="331"/>
      <c r="BS47" s="331"/>
      <c r="BT47" s="331"/>
      <c r="BU47" s="331"/>
      <c r="BV47" s="331"/>
      <c r="BW47" s="331"/>
      <c r="BX47" s="331"/>
      <c r="BY47" s="331"/>
      <c r="BZ47" s="331"/>
      <c r="CA47" s="331"/>
      <c r="CB47" s="331"/>
      <c r="CC47" s="331"/>
      <c r="CD47" s="331"/>
      <c r="CE47" s="331"/>
      <c r="CF47" s="331"/>
      <c r="CG47" s="331"/>
      <c r="CH47" s="331"/>
      <c r="CI47" s="331"/>
      <c r="CJ47" s="331"/>
      <c r="CK47" s="331"/>
      <c r="CL47" s="331"/>
      <c r="CM47" s="331"/>
      <c r="CN47" s="331"/>
      <c r="CO47" s="331"/>
      <c r="CP47" s="331"/>
      <c r="CQ47" s="331"/>
      <c r="CR47" s="331"/>
      <c r="CS47" s="331"/>
      <c r="CT47" s="331"/>
      <c r="CU47" s="331"/>
      <c r="CV47" s="331"/>
      <c r="CW47" s="331"/>
      <c r="CX47" s="331"/>
      <c r="CY47" s="331"/>
      <c r="CZ47" s="331"/>
      <c r="DA47" s="331"/>
      <c r="DB47" s="331"/>
      <c r="DC47" s="331"/>
      <c r="DD47" s="331"/>
      <c r="DE47" s="331"/>
    </row>
    <row r="48" spans="1:109" s="123" customFormat="1" ht="12.75">
      <c r="A48" s="325"/>
      <c r="B48" s="326"/>
      <c r="D48" s="344"/>
      <c r="E48" s="335"/>
      <c r="F48" s="335"/>
      <c r="G48" s="335"/>
      <c r="H48" s="335"/>
      <c r="I48" s="335"/>
      <c r="J48" s="335"/>
      <c r="K48" s="335"/>
      <c r="L48" s="335"/>
      <c r="M48" s="335"/>
      <c r="N48" s="335"/>
      <c r="O48" s="335"/>
      <c r="P48" s="335"/>
      <c r="Q48" s="335"/>
      <c r="R48" s="335"/>
      <c r="S48" s="331"/>
      <c r="T48" s="331"/>
      <c r="U48" s="331"/>
      <c r="V48" s="331"/>
      <c r="W48" s="331"/>
      <c r="X48" s="331"/>
      <c r="Y48" s="331"/>
      <c r="Z48" s="331"/>
      <c r="AA48" s="331"/>
      <c r="AB48" s="331"/>
      <c r="AC48" s="331"/>
      <c r="AD48" s="331"/>
      <c r="AE48" s="331"/>
      <c r="AF48" s="331"/>
      <c r="AG48" s="331"/>
      <c r="AH48" s="331"/>
      <c r="AI48" s="331"/>
      <c r="AJ48" s="331"/>
      <c r="AK48" s="331"/>
      <c r="AL48" s="331"/>
      <c r="AM48" s="331"/>
      <c r="AN48" s="331"/>
      <c r="AO48" s="331"/>
      <c r="AP48" s="331"/>
      <c r="AQ48" s="331"/>
      <c r="AR48" s="331"/>
      <c r="AS48" s="331"/>
      <c r="AT48" s="331"/>
      <c r="AU48" s="331"/>
      <c r="AV48" s="331"/>
      <c r="AW48" s="331"/>
      <c r="AX48" s="331"/>
      <c r="AY48" s="331"/>
      <c r="AZ48" s="331"/>
      <c r="BA48" s="331"/>
      <c r="BB48" s="331"/>
      <c r="BC48" s="331"/>
      <c r="BD48" s="331"/>
      <c r="BE48" s="331"/>
      <c r="BF48" s="331"/>
      <c r="BG48" s="331"/>
      <c r="BH48" s="331"/>
      <c r="BI48" s="331"/>
      <c r="BJ48" s="331"/>
      <c r="BK48" s="331"/>
      <c r="BL48" s="331"/>
      <c r="BM48" s="331"/>
      <c r="BN48" s="331"/>
      <c r="BO48" s="331"/>
      <c r="BP48" s="331"/>
      <c r="BQ48" s="331"/>
      <c r="BR48" s="331"/>
      <c r="BS48" s="331"/>
      <c r="BT48" s="331"/>
      <c r="BU48" s="331"/>
      <c r="BV48" s="331"/>
      <c r="BW48" s="331"/>
      <c r="BX48" s="331"/>
      <c r="BY48" s="331"/>
      <c r="BZ48" s="331"/>
      <c r="CA48" s="331"/>
      <c r="CB48" s="331"/>
      <c r="CC48" s="331"/>
      <c r="CD48" s="331"/>
      <c r="CE48" s="331"/>
      <c r="CF48" s="331"/>
      <c r="CG48" s="331"/>
      <c r="CH48" s="331"/>
      <c r="CI48" s="331"/>
      <c r="CJ48" s="331"/>
      <c r="CK48" s="331"/>
      <c r="CL48" s="331"/>
      <c r="CM48" s="331"/>
      <c r="CN48" s="331"/>
      <c r="CO48" s="331"/>
      <c r="CP48" s="331"/>
      <c r="CQ48" s="331"/>
      <c r="CR48" s="331"/>
      <c r="CS48" s="331"/>
      <c r="CT48" s="331"/>
      <c r="CU48" s="331"/>
      <c r="CV48" s="331"/>
      <c r="CW48" s="331"/>
      <c r="CX48" s="331"/>
      <c r="CY48" s="331"/>
      <c r="CZ48" s="331"/>
      <c r="DA48" s="331"/>
      <c r="DB48" s="331"/>
      <c r="DC48" s="331"/>
      <c r="DD48" s="331"/>
      <c r="DE48" s="331"/>
    </row>
    <row r="49" spans="1:109" s="123" customFormat="1" ht="12.75">
      <c r="A49" s="325"/>
      <c r="B49" s="326"/>
      <c r="C49" s="345" t="s">
        <v>232</v>
      </c>
      <c r="D49" s="344"/>
      <c r="E49" s="337"/>
      <c r="F49" s="337"/>
      <c r="G49" s="337"/>
      <c r="H49" s="337"/>
      <c r="I49" s="337"/>
      <c r="J49" s="337"/>
      <c r="K49" s="331"/>
      <c r="L49" s="331"/>
      <c r="M49" s="331"/>
      <c r="N49" s="331"/>
      <c r="O49" s="331"/>
      <c r="P49" s="331"/>
      <c r="Q49" s="331"/>
      <c r="R49" s="331"/>
      <c r="S49" s="331"/>
      <c r="T49" s="331"/>
      <c r="U49" s="331"/>
      <c r="V49" s="331"/>
      <c r="W49" s="331"/>
      <c r="X49" s="331"/>
      <c r="Y49" s="331"/>
      <c r="Z49" s="331"/>
      <c r="AA49" s="331"/>
      <c r="AB49" s="331"/>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331"/>
      <c r="AY49" s="331"/>
      <c r="AZ49" s="331"/>
      <c r="BA49" s="331"/>
      <c r="BB49" s="331"/>
      <c r="BC49" s="331"/>
      <c r="BD49" s="331"/>
      <c r="BE49" s="331"/>
      <c r="BF49" s="331"/>
      <c r="BG49" s="331"/>
      <c r="BH49" s="331"/>
      <c r="BI49" s="331"/>
      <c r="BJ49" s="331"/>
      <c r="BK49" s="331"/>
      <c r="BL49" s="331"/>
      <c r="BM49" s="331"/>
      <c r="BN49" s="331"/>
      <c r="BO49" s="331"/>
      <c r="BP49" s="331"/>
      <c r="BQ49" s="331"/>
      <c r="BR49" s="331"/>
      <c r="BS49" s="331"/>
      <c r="BT49" s="331"/>
      <c r="BU49" s="331"/>
      <c r="BV49" s="331"/>
      <c r="BW49" s="331"/>
      <c r="BX49" s="331"/>
      <c r="BY49" s="331"/>
      <c r="BZ49" s="331"/>
      <c r="CA49" s="331"/>
      <c r="CB49" s="331"/>
      <c r="CC49" s="331"/>
      <c r="CD49" s="331"/>
      <c r="CE49" s="331"/>
      <c r="CF49" s="331"/>
      <c r="CG49" s="331"/>
      <c r="CH49" s="331"/>
      <c r="CI49" s="331"/>
      <c r="CJ49" s="331"/>
      <c r="CK49" s="331"/>
      <c r="CL49" s="331"/>
      <c r="CM49" s="331"/>
      <c r="CN49" s="331"/>
      <c r="CO49" s="331"/>
      <c r="CP49" s="331"/>
      <c r="CQ49" s="331"/>
      <c r="CR49" s="331"/>
      <c r="CS49" s="331"/>
      <c r="CT49" s="331"/>
      <c r="CU49" s="331"/>
      <c r="CV49" s="331"/>
      <c r="CW49" s="331"/>
      <c r="CX49" s="331"/>
      <c r="CY49" s="331"/>
      <c r="CZ49" s="331"/>
      <c r="DA49" s="331"/>
      <c r="DB49" s="331"/>
      <c r="DC49" s="331"/>
      <c r="DD49" s="331"/>
      <c r="DE49" s="331"/>
    </row>
    <row r="50" spans="1:109" s="123" customFormat="1" ht="12.75">
      <c r="A50" s="325"/>
      <c r="B50" s="338"/>
      <c r="D50" s="344"/>
      <c r="E50" s="340"/>
      <c r="F50" s="340"/>
      <c r="G50" s="340"/>
      <c r="H50" s="340"/>
      <c r="I50" s="340"/>
      <c r="J50" s="340"/>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331"/>
      <c r="AY50" s="331"/>
      <c r="AZ50" s="331"/>
      <c r="BA50" s="331"/>
      <c r="BB50" s="331"/>
      <c r="BC50" s="331"/>
      <c r="BD50" s="331"/>
      <c r="BE50" s="331"/>
      <c r="BF50" s="331"/>
      <c r="BG50" s="331"/>
      <c r="BH50" s="331"/>
      <c r="BI50" s="331"/>
      <c r="BJ50" s="331"/>
      <c r="BK50" s="331"/>
      <c r="BL50" s="331"/>
      <c r="BM50" s="331"/>
      <c r="BN50" s="331"/>
      <c r="BO50" s="331"/>
      <c r="BP50" s="331"/>
      <c r="BQ50" s="331"/>
      <c r="BR50" s="331"/>
      <c r="BS50" s="331"/>
      <c r="BT50" s="331"/>
      <c r="BU50" s="331"/>
      <c r="BV50" s="331"/>
      <c r="BW50" s="331"/>
      <c r="BX50" s="331"/>
      <c r="BY50" s="331"/>
      <c r="BZ50" s="331"/>
      <c r="CA50" s="331"/>
      <c r="CB50" s="331"/>
      <c r="CC50" s="331"/>
      <c r="CD50" s="331"/>
      <c r="CE50" s="331"/>
      <c r="CF50" s="331"/>
      <c r="CG50" s="331"/>
      <c r="CH50" s="331"/>
      <c r="CI50" s="331"/>
      <c r="CJ50" s="331"/>
      <c r="CK50" s="331"/>
      <c r="CL50" s="331"/>
      <c r="CM50" s="331"/>
      <c r="CN50" s="331"/>
      <c r="CO50" s="331"/>
      <c r="CP50" s="331"/>
      <c r="CQ50" s="331"/>
      <c r="CR50" s="331"/>
      <c r="CS50" s="331"/>
      <c r="CT50" s="331"/>
      <c r="CU50" s="331"/>
      <c r="CV50" s="331"/>
      <c r="CW50" s="331"/>
      <c r="CX50" s="331"/>
      <c r="CY50" s="331"/>
      <c r="CZ50" s="331"/>
      <c r="DA50" s="331"/>
      <c r="DB50" s="331"/>
      <c r="DC50" s="331"/>
      <c r="DD50" s="331"/>
      <c r="DE50" s="331"/>
    </row>
    <row r="51" spans="1:109" s="123" customFormat="1" ht="12.75">
      <c r="A51" s="325"/>
      <c r="B51" s="338"/>
      <c r="C51" s="339"/>
      <c r="D51" s="344"/>
      <c r="E51" s="340"/>
      <c r="F51" s="340"/>
      <c r="G51" s="340"/>
      <c r="H51" s="340"/>
      <c r="I51" s="340"/>
      <c r="J51" s="340"/>
      <c r="K51" s="331"/>
      <c r="L51" s="331"/>
      <c r="M51" s="331"/>
      <c r="N51" s="331"/>
      <c r="O51" s="331"/>
      <c r="P51" s="331"/>
      <c r="Q51" s="331"/>
      <c r="R51" s="331"/>
      <c r="S51" s="331"/>
      <c r="T51" s="331"/>
      <c r="U51" s="331"/>
      <c r="V51" s="331"/>
      <c r="W51" s="331"/>
      <c r="X51" s="331"/>
      <c r="Y51" s="331"/>
      <c r="Z51" s="331"/>
      <c r="AA51" s="331"/>
      <c r="AB51" s="331"/>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331"/>
      <c r="AY51" s="331"/>
      <c r="AZ51" s="331"/>
      <c r="BA51" s="331"/>
      <c r="BB51" s="331"/>
      <c r="BC51" s="331"/>
      <c r="BD51" s="331"/>
      <c r="BE51" s="331"/>
      <c r="BF51" s="331"/>
      <c r="BG51" s="331"/>
      <c r="BH51" s="331"/>
      <c r="BI51" s="331"/>
      <c r="BJ51" s="331"/>
      <c r="BK51" s="331"/>
      <c r="BL51" s="331"/>
      <c r="BM51" s="331"/>
      <c r="BN51" s="331"/>
      <c r="BO51" s="331"/>
      <c r="BP51" s="331"/>
      <c r="BQ51" s="331"/>
      <c r="BR51" s="331"/>
      <c r="BS51" s="331"/>
      <c r="BT51" s="331"/>
      <c r="BU51" s="331"/>
      <c r="BV51" s="331"/>
      <c r="BW51" s="331"/>
      <c r="BX51" s="331"/>
      <c r="BY51" s="331"/>
      <c r="BZ51" s="331"/>
      <c r="CA51" s="331"/>
      <c r="CB51" s="331"/>
      <c r="CC51" s="331"/>
      <c r="CD51" s="331"/>
      <c r="CE51" s="331"/>
      <c r="CF51" s="331"/>
      <c r="CG51" s="331"/>
      <c r="CH51" s="331"/>
      <c r="CI51" s="331"/>
      <c r="CJ51" s="331"/>
      <c r="CK51" s="331"/>
      <c r="CL51" s="331"/>
      <c r="CM51" s="331"/>
      <c r="CN51" s="331"/>
      <c r="CO51" s="331"/>
      <c r="CP51" s="331"/>
      <c r="CQ51" s="331"/>
      <c r="CR51" s="331"/>
      <c r="CS51" s="331"/>
      <c r="CT51" s="331"/>
      <c r="CU51" s="331"/>
      <c r="CV51" s="331"/>
      <c r="CW51" s="331"/>
      <c r="CX51" s="331"/>
      <c r="CY51" s="331"/>
      <c r="CZ51" s="331"/>
      <c r="DA51" s="331"/>
      <c r="DB51" s="331"/>
      <c r="DC51" s="331"/>
      <c r="DD51" s="331"/>
      <c r="DE51" s="331"/>
    </row>
    <row r="52" spans="1:109" s="123" customFormat="1" ht="12.75">
      <c r="A52" s="325"/>
      <c r="B52" s="338"/>
      <c r="C52" s="339"/>
      <c r="D52" s="344"/>
      <c r="E52" s="340"/>
      <c r="F52" s="340"/>
      <c r="G52" s="340"/>
      <c r="H52" s="340"/>
      <c r="I52" s="340"/>
      <c r="J52" s="340"/>
      <c r="K52" s="331"/>
      <c r="L52" s="331"/>
      <c r="M52" s="331"/>
      <c r="N52" s="331"/>
      <c r="O52" s="331"/>
      <c r="P52" s="331"/>
      <c r="Q52" s="331"/>
      <c r="R52" s="331"/>
      <c r="S52" s="331"/>
      <c r="T52" s="331"/>
      <c r="U52" s="331"/>
      <c r="V52" s="331"/>
      <c r="W52" s="331"/>
      <c r="X52" s="331"/>
      <c r="Y52" s="331"/>
      <c r="Z52" s="331"/>
      <c r="AA52" s="331"/>
      <c r="AB52" s="331"/>
      <c r="AC52" s="331"/>
      <c r="AD52" s="331"/>
      <c r="AE52" s="331"/>
      <c r="AF52" s="331"/>
      <c r="AG52" s="331"/>
      <c r="AH52" s="331"/>
      <c r="AI52" s="331"/>
      <c r="AJ52" s="331"/>
      <c r="AK52" s="331"/>
      <c r="AL52" s="331"/>
      <c r="AM52" s="331"/>
      <c r="AN52" s="331"/>
      <c r="AO52" s="331"/>
      <c r="AP52" s="331"/>
      <c r="AQ52" s="331"/>
      <c r="AR52" s="331"/>
      <c r="AS52" s="331"/>
      <c r="AT52" s="331"/>
      <c r="AU52" s="331"/>
      <c r="AV52" s="331"/>
      <c r="AW52" s="331"/>
      <c r="AX52" s="331"/>
      <c r="AY52" s="331"/>
      <c r="AZ52" s="331"/>
      <c r="BA52" s="331"/>
      <c r="BB52" s="331"/>
      <c r="BC52" s="331"/>
      <c r="BD52" s="331"/>
      <c r="BE52" s="331"/>
      <c r="BF52" s="331"/>
      <c r="BG52" s="331"/>
      <c r="BH52" s="331"/>
      <c r="BI52" s="331"/>
      <c r="BJ52" s="331"/>
      <c r="BK52" s="331"/>
      <c r="BL52" s="331"/>
      <c r="BM52" s="331"/>
      <c r="BN52" s="331"/>
      <c r="BO52" s="331"/>
      <c r="BP52" s="331"/>
      <c r="BQ52" s="331"/>
      <c r="BR52" s="331"/>
      <c r="BS52" s="331"/>
      <c r="BT52" s="331"/>
      <c r="BU52" s="331"/>
      <c r="BV52" s="331"/>
      <c r="BW52" s="331"/>
      <c r="BX52" s="331"/>
      <c r="BY52" s="331"/>
      <c r="BZ52" s="331"/>
      <c r="CA52" s="331"/>
      <c r="CB52" s="331"/>
      <c r="CC52" s="331"/>
      <c r="CD52" s="331"/>
      <c r="CE52" s="331"/>
      <c r="CF52" s="331"/>
      <c r="CG52" s="331"/>
      <c r="CH52" s="331"/>
      <c r="CI52" s="331"/>
      <c r="CJ52" s="331"/>
      <c r="CK52" s="331"/>
      <c r="CL52" s="331"/>
      <c r="CM52" s="331"/>
      <c r="CN52" s="331"/>
      <c r="CO52" s="331"/>
      <c r="CP52" s="331"/>
      <c r="CQ52" s="331"/>
      <c r="CR52" s="331"/>
      <c r="CS52" s="331"/>
      <c r="CT52" s="331"/>
      <c r="CU52" s="331"/>
      <c r="CV52" s="331"/>
      <c r="CW52" s="331"/>
      <c r="CX52" s="331"/>
      <c r="CY52" s="331"/>
      <c r="CZ52" s="331"/>
      <c r="DA52" s="331"/>
      <c r="DB52" s="331"/>
      <c r="DC52" s="331"/>
      <c r="DD52" s="331"/>
      <c r="DE52" s="331"/>
    </row>
    <row r="53" spans="1:109" s="123" customFormat="1" ht="12.75">
      <c r="A53" s="325"/>
      <c r="B53" s="338"/>
      <c r="C53" s="339"/>
      <c r="D53" s="344"/>
      <c r="E53" s="340"/>
      <c r="F53" s="340"/>
      <c r="G53" s="340"/>
      <c r="H53" s="340"/>
      <c r="I53" s="340"/>
      <c r="J53" s="340"/>
      <c r="K53" s="331"/>
      <c r="L53" s="331"/>
      <c r="M53" s="331"/>
      <c r="N53" s="331"/>
      <c r="O53" s="331"/>
      <c r="P53" s="331"/>
      <c r="Q53" s="331"/>
      <c r="R53" s="331"/>
      <c r="S53" s="331"/>
      <c r="T53" s="331"/>
      <c r="U53" s="331"/>
      <c r="V53" s="331"/>
      <c r="W53" s="331"/>
      <c r="X53" s="331"/>
      <c r="Y53" s="331"/>
      <c r="Z53" s="331"/>
      <c r="AA53" s="331"/>
      <c r="AB53" s="331"/>
      <c r="AC53" s="331"/>
      <c r="AD53" s="331"/>
      <c r="AE53" s="331"/>
      <c r="AF53" s="331"/>
      <c r="AG53" s="331"/>
      <c r="AH53" s="331"/>
      <c r="AI53" s="331"/>
      <c r="AJ53" s="331"/>
      <c r="AK53" s="331"/>
      <c r="AL53" s="331"/>
      <c r="AM53" s="331"/>
      <c r="AN53" s="331"/>
      <c r="AO53" s="331"/>
      <c r="AP53" s="331"/>
      <c r="AQ53" s="331"/>
      <c r="AR53" s="331"/>
      <c r="AS53" s="331"/>
      <c r="AT53" s="331"/>
      <c r="AU53" s="331"/>
      <c r="AV53" s="331"/>
      <c r="AW53" s="331"/>
      <c r="AX53" s="331"/>
      <c r="AY53" s="331"/>
      <c r="AZ53" s="331"/>
      <c r="BA53" s="331"/>
      <c r="BB53" s="331"/>
      <c r="BC53" s="331"/>
      <c r="BD53" s="331"/>
      <c r="BE53" s="331"/>
      <c r="BF53" s="331"/>
      <c r="BG53" s="331"/>
      <c r="BH53" s="331"/>
      <c r="BI53" s="331"/>
      <c r="BJ53" s="331"/>
      <c r="BK53" s="331"/>
      <c r="BL53" s="331"/>
      <c r="BM53" s="331"/>
      <c r="BN53" s="331"/>
      <c r="BO53" s="331"/>
      <c r="BP53" s="331"/>
      <c r="BQ53" s="331"/>
      <c r="BR53" s="331"/>
      <c r="BS53" s="331"/>
      <c r="BT53" s="331"/>
      <c r="BU53" s="331"/>
      <c r="BV53" s="331"/>
      <c r="BW53" s="331"/>
      <c r="BX53" s="331"/>
      <c r="BY53" s="331"/>
      <c r="BZ53" s="331"/>
      <c r="CA53" s="331"/>
      <c r="CB53" s="331"/>
      <c r="CC53" s="331"/>
      <c r="CD53" s="331"/>
      <c r="CE53" s="331"/>
      <c r="CF53" s="331"/>
      <c r="CG53" s="331"/>
      <c r="CH53" s="331"/>
      <c r="CI53" s="331"/>
      <c r="CJ53" s="331"/>
      <c r="CK53" s="331"/>
      <c r="CL53" s="331"/>
      <c r="CM53" s="331"/>
      <c r="CN53" s="331"/>
      <c r="CO53" s="331"/>
      <c r="CP53" s="331"/>
      <c r="CQ53" s="331"/>
      <c r="CR53" s="331"/>
      <c r="CS53" s="331"/>
      <c r="CT53" s="331"/>
      <c r="CU53" s="331"/>
      <c r="CV53" s="331"/>
      <c r="CW53" s="331"/>
      <c r="CX53" s="331"/>
      <c r="CY53" s="331"/>
      <c r="CZ53" s="331"/>
      <c r="DA53" s="331"/>
      <c r="DB53" s="331"/>
      <c r="DC53" s="331"/>
      <c r="DD53" s="331"/>
      <c r="DE53" s="331"/>
    </row>
    <row r="54" spans="1:109" s="123" customFormat="1" ht="12.75">
      <c r="A54" s="325"/>
      <c r="B54" s="338"/>
      <c r="C54" s="339"/>
      <c r="D54" s="344"/>
      <c r="E54" s="340"/>
      <c r="F54" s="340"/>
      <c r="G54" s="340"/>
      <c r="H54" s="340"/>
      <c r="I54" s="340"/>
      <c r="J54" s="340"/>
      <c r="K54" s="331"/>
      <c r="L54" s="331"/>
      <c r="M54" s="331"/>
      <c r="N54" s="331"/>
      <c r="O54" s="331"/>
      <c r="P54" s="331"/>
      <c r="Q54" s="331"/>
      <c r="R54" s="331"/>
      <c r="S54" s="331"/>
      <c r="T54" s="331"/>
      <c r="U54" s="331"/>
      <c r="V54" s="331"/>
      <c r="W54" s="331"/>
      <c r="X54" s="331"/>
      <c r="Y54" s="331"/>
      <c r="Z54" s="331"/>
      <c r="AA54" s="331"/>
      <c r="AB54" s="331"/>
      <c r="AC54" s="331"/>
      <c r="AD54" s="331"/>
      <c r="AE54" s="331"/>
      <c r="AF54" s="331"/>
      <c r="AG54" s="331"/>
      <c r="AH54" s="331"/>
      <c r="AI54" s="331"/>
      <c r="AJ54" s="331"/>
      <c r="AK54" s="331"/>
      <c r="AL54" s="331"/>
      <c r="AM54" s="331"/>
      <c r="AN54" s="331"/>
      <c r="AO54" s="331"/>
      <c r="AP54" s="331"/>
      <c r="AQ54" s="331"/>
      <c r="AR54" s="331"/>
      <c r="AS54" s="331"/>
      <c r="AT54" s="331"/>
      <c r="AU54" s="331"/>
      <c r="AV54" s="331"/>
      <c r="AW54" s="331"/>
      <c r="AX54" s="331"/>
      <c r="AY54" s="331"/>
      <c r="AZ54" s="331"/>
      <c r="BA54" s="331"/>
      <c r="BB54" s="331"/>
      <c r="BC54" s="331"/>
      <c r="BD54" s="331"/>
      <c r="BE54" s="331"/>
      <c r="BF54" s="331"/>
      <c r="BG54" s="331"/>
      <c r="BH54" s="331"/>
      <c r="BI54" s="331"/>
      <c r="BJ54" s="331"/>
      <c r="BK54" s="331"/>
      <c r="BL54" s="331"/>
      <c r="BM54" s="331"/>
      <c r="BN54" s="331"/>
      <c r="BO54" s="331"/>
      <c r="BP54" s="331"/>
      <c r="BQ54" s="331"/>
      <c r="BR54" s="331"/>
      <c r="BS54" s="331"/>
      <c r="BT54" s="331"/>
      <c r="BU54" s="331"/>
      <c r="BV54" s="331"/>
      <c r="BW54" s="331"/>
      <c r="BX54" s="331"/>
      <c r="BY54" s="331"/>
      <c r="BZ54" s="331"/>
      <c r="CA54" s="331"/>
      <c r="CB54" s="331"/>
      <c r="CC54" s="331"/>
      <c r="CD54" s="331"/>
      <c r="CE54" s="331"/>
      <c r="CF54" s="331"/>
      <c r="CG54" s="331"/>
      <c r="CH54" s="331"/>
      <c r="CI54" s="331"/>
      <c r="CJ54" s="331"/>
      <c r="CK54" s="331"/>
      <c r="CL54" s="331"/>
      <c r="CM54" s="331"/>
      <c r="CN54" s="331"/>
      <c r="CO54" s="331"/>
      <c r="CP54" s="331"/>
      <c r="CQ54" s="331"/>
      <c r="CR54" s="331"/>
      <c r="CS54" s="331"/>
      <c r="CT54" s="331"/>
      <c r="CU54" s="331"/>
      <c r="CV54" s="331"/>
      <c r="CW54" s="331"/>
      <c r="CX54" s="331"/>
      <c r="CY54" s="331"/>
      <c r="CZ54" s="331"/>
      <c r="DA54" s="331"/>
      <c r="DB54" s="331"/>
      <c r="DC54" s="331"/>
      <c r="DD54" s="331"/>
      <c r="DE54" s="331"/>
    </row>
    <row r="55" spans="1:109" s="123" customFormat="1" ht="12.75">
      <c r="A55" s="325"/>
      <c r="B55" s="338"/>
      <c r="C55" s="339"/>
      <c r="D55" s="344"/>
      <c r="E55" s="340"/>
      <c r="F55" s="340"/>
      <c r="G55" s="340"/>
      <c r="H55" s="340"/>
      <c r="I55" s="340"/>
      <c r="J55" s="340"/>
      <c r="K55" s="331"/>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1"/>
      <c r="AO55" s="331"/>
      <c r="AP55" s="331"/>
      <c r="AQ55" s="331"/>
      <c r="AR55" s="331"/>
      <c r="AS55" s="331"/>
      <c r="AT55" s="331"/>
      <c r="AU55" s="331"/>
      <c r="AV55" s="331"/>
      <c r="AW55" s="331"/>
      <c r="AX55" s="331"/>
      <c r="AY55" s="331"/>
      <c r="AZ55" s="331"/>
      <c r="BA55" s="331"/>
      <c r="BB55" s="331"/>
      <c r="BC55" s="331"/>
      <c r="BD55" s="331"/>
      <c r="BE55" s="331"/>
      <c r="BF55" s="331"/>
      <c r="BG55" s="331"/>
      <c r="BH55" s="331"/>
      <c r="BI55" s="331"/>
      <c r="BJ55" s="331"/>
      <c r="BK55" s="331"/>
      <c r="BL55" s="331"/>
      <c r="BM55" s="331"/>
      <c r="BN55" s="331"/>
      <c r="BO55" s="331"/>
      <c r="BP55" s="331"/>
      <c r="BQ55" s="331"/>
      <c r="BR55" s="331"/>
      <c r="BS55" s="331"/>
      <c r="BT55" s="331"/>
      <c r="BU55" s="331"/>
      <c r="BV55" s="331"/>
      <c r="BW55" s="331"/>
      <c r="BX55" s="331"/>
      <c r="BY55" s="331"/>
      <c r="BZ55" s="331"/>
      <c r="CA55" s="331"/>
      <c r="CB55" s="331"/>
      <c r="CC55" s="331"/>
      <c r="CD55" s="331"/>
      <c r="CE55" s="331"/>
      <c r="CF55" s="331"/>
      <c r="CG55" s="331"/>
      <c r="CH55" s="331"/>
      <c r="CI55" s="331"/>
      <c r="CJ55" s="331"/>
      <c r="CK55" s="331"/>
      <c r="CL55" s="331"/>
      <c r="CM55" s="331"/>
      <c r="CN55" s="331"/>
      <c r="CO55" s="331"/>
      <c r="CP55" s="331"/>
      <c r="CQ55" s="331"/>
      <c r="CR55" s="331"/>
      <c r="CS55" s="331"/>
      <c r="CT55" s="331"/>
      <c r="CU55" s="331"/>
      <c r="CV55" s="331"/>
      <c r="CW55" s="331"/>
      <c r="CX55" s="331"/>
      <c r="CY55" s="331"/>
      <c r="CZ55" s="331"/>
      <c r="DA55" s="331"/>
      <c r="DB55" s="331"/>
      <c r="DC55" s="331"/>
      <c r="DD55" s="331"/>
      <c r="DE55" s="331"/>
    </row>
    <row r="56" spans="1:109" s="123" customFormat="1" ht="12.75">
      <c r="A56" s="325"/>
      <c r="B56" s="338"/>
      <c r="C56" s="339"/>
      <c r="D56" s="344"/>
      <c r="E56" s="340"/>
      <c r="F56" s="340"/>
      <c r="G56" s="340"/>
      <c r="H56" s="340"/>
      <c r="I56" s="340"/>
      <c r="J56" s="340"/>
      <c r="K56" s="331"/>
      <c r="L56" s="331"/>
      <c r="M56" s="331"/>
      <c r="N56" s="331"/>
      <c r="O56" s="331"/>
      <c r="P56" s="331"/>
      <c r="Q56" s="331"/>
      <c r="R56" s="331"/>
      <c r="S56" s="331"/>
      <c r="T56" s="331"/>
      <c r="U56" s="331"/>
      <c r="V56" s="331"/>
      <c r="W56" s="331"/>
      <c r="X56" s="331"/>
      <c r="Y56" s="331"/>
      <c r="Z56" s="331"/>
      <c r="AA56" s="331"/>
      <c r="AB56" s="331"/>
      <c r="AC56" s="331"/>
      <c r="AD56" s="331"/>
      <c r="AE56" s="331"/>
      <c r="AF56" s="331"/>
      <c r="AG56" s="331"/>
      <c r="AH56" s="331"/>
      <c r="AI56" s="331"/>
      <c r="AJ56" s="331"/>
      <c r="AK56" s="331"/>
      <c r="AL56" s="331"/>
      <c r="AM56" s="331"/>
      <c r="AN56" s="331"/>
      <c r="AO56" s="331"/>
      <c r="AP56" s="331"/>
      <c r="AQ56" s="331"/>
      <c r="AR56" s="331"/>
      <c r="AS56" s="331"/>
      <c r="AT56" s="331"/>
      <c r="AU56" s="331"/>
      <c r="AV56" s="331"/>
      <c r="AW56" s="331"/>
      <c r="AX56" s="331"/>
      <c r="AY56" s="331"/>
      <c r="AZ56" s="331"/>
      <c r="BA56" s="331"/>
      <c r="BB56" s="331"/>
      <c r="BC56" s="331"/>
      <c r="BD56" s="331"/>
      <c r="BE56" s="331"/>
      <c r="BF56" s="331"/>
      <c r="BG56" s="331"/>
      <c r="BH56" s="331"/>
      <c r="BI56" s="331"/>
      <c r="BJ56" s="331"/>
      <c r="BK56" s="331"/>
      <c r="BL56" s="331"/>
      <c r="BM56" s="331"/>
      <c r="BN56" s="331"/>
      <c r="BO56" s="331"/>
      <c r="BP56" s="331"/>
      <c r="BQ56" s="331"/>
      <c r="BR56" s="331"/>
      <c r="BS56" s="331"/>
      <c r="BT56" s="331"/>
      <c r="BU56" s="331"/>
      <c r="BV56" s="331"/>
      <c r="BW56" s="331"/>
      <c r="BX56" s="331"/>
      <c r="BY56" s="331"/>
      <c r="BZ56" s="331"/>
      <c r="CA56" s="331"/>
      <c r="CB56" s="331"/>
      <c r="CC56" s="331"/>
      <c r="CD56" s="331"/>
      <c r="CE56" s="331"/>
      <c r="CF56" s="331"/>
      <c r="CG56" s="331"/>
      <c r="CH56" s="331"/>
      <c r="CI56" s="331"/>
      <c r="CJ56" s="331"/>
      <c r="CK56" s="331"/>
      <c r="CL56" s="331"/>
      <c r="CM56" s="331"/>
      <c r="CN56" s="331"/>
      <c r="CO56" s="331"/>
      <c r="CP56" s="331"/>
      <c r="CQ56" s="331"/>
      <c r="CR56" s="331"/>
      <c r="CS56" s="331"/>
      <c r="CT56" s="331"/>
      <c r="CU56" s="331"/>
      <c r="CV56" s="331"/>
      <c r="CW56" s="331"/>
      <c r="CX56" s="331"/>
      <c r="CY56" s="331"/>
      <c r="CZ56" s="331"/>
      <c r="DA56" s="331"/>
      <c r="DB56" s="331"/>
      <c r="DC56" s="331"/>
      <c r="DD56" s="331"/>
      <c r="DE56" s="331"/>
    </row>
    <row r="57" spans="1:109" s="133" customFormat="1" ht="12.75">
      <c r="A57" s="341"/>
      <c r="B57" s="342"/>
      <c r="C57" s="339"/>
      <c r="D57" s="344"/>
      <c r="E57" s="339"/>
      <c r="F57" s="339"/>
      <c r="G57" s="339"/>
      <c r="H57" s="339"/>
      <c r="I57" s="339"/>
      <c r="J57" s="339"/>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341"/>
      <c r="BA57" s="341"/>
      <c r="BB57" s="341"/>
      <c r="BC57" s="341"/>
      <c r="BD57" s="341"/>
      <c r="BE57" s="341"/>
      <c r="BF57" s="341"/>
      <c r="BG57" s="341"/>
      <c r="BH57" s="341"/>
      <c r="BI57" s="341"/>
      <c r="BJ57" s="341"/>
      <c r="BK57" s="341"/>
      <c r="BL57" s="341"/>
      <c r="BM57" s="341"/>
      <c r="BN57" s="341"/>
      <c r="BO57" s="341"/>
      <c r="BP57" s="341"/>
      <c r="BQ57" s="341"/>
      <c r="BR57" s="341"/>
      <c r="BS57" s="341"/>
      <c r="BT57" s="341"/>
      <c r="BU57" s="341"/>
      <c r="BV57" s="341"/>
      <c r="BW57" s="341"/>
      <c r="BX57" s="341"/>
      <c r="BY57" s="341"/>
      <c r="BZ57" s="341"/>
      <c r="CA57" s="341"/>
      <c r="CB57" s="341"/>
      <c r="CC57" s="341"/>
      <c r="CD57" s="341"/>
      <c r="CE57" s="341"/>
      <c r="CF57" s="341"/>
      <c r="CG57" s="341"/>
      <c r="CH57" s="341"/>
      <c r="CI57" s="341"/>
      <c r="CJ57" s="341"/>
      <c r="CK57" s="341"/>
      <c r="CL57" s="341"/>
      <c r="CM57" s="341"/>
      <c r="CN57" s="341"/>
      <c r="CO57" s="341"/>
      <c r="CP57" s="341"/>
      <c r="CQ57" s="341"/>
      <c r="CR57" s="341"/>
      <c r="CS57" s="341"/>
      <c r="CT57" s="341"/>
      <c r="CU57" s="341"/>
      <c r="CV57" s="341"/>
      <c r="CW57" s="341"/>
      <c r="CX57" s="341"/>
      <c r="CY57" s="341"/>
      <c r="CZ57" s="341"/>
      <c r="DA57" s="341"/>
      <c r="DB57" s="341"/>
      <c r="DC57" s="341"/>
      <c r="DD57" s="341"/>
      <c r="DE57" s="341"/>
    </row>
    <row r="58" spans="1:109" s="133" customFormat="1" ht="12.75">
      <c r="A58" s="341"/>
      <c r="B58" s="342"/>
      <c r="C58" s="339"/>
      <c r="D58" s="344"/>
      <c r="E58" s="339"/>
      <c r="F58" s="339"/>
      <c r="G58" s="339"/>
      <c r="H58" s="339"/>
      <c r="I58" s="339"/>
      <c r="J58" s="339"/>
      <c r="K58" s="341"/>
      <c r="L58" s="341"/>
      <c r="M58" s="341"/>
      <c r="N58" s="341"/>
      <c r="O58" s="341"/>
      <c r="P58" s="341"/>
      <c r="Q58" s="341"/>
      <c r="R58" s="341"/>
      <c r="S58" s="341"/>
      <c r="T58" s="341"/>
      <c r="U58" s="341"/>
      <c r="V58" s="341"/>
      <c r="W58" s="341"/>
      <c r="X58" s="341"/>
      <c r="Y58" s="341"/>
      <c r="Z58" s="341"/>
      <c r="AA58" s="341"/>
      <c r="AB58" s="341"/>
      <c r="AC58" s="341"/>
      <c r="AD58" s="341"/>
      <c r="AE58" s="341"/>
      <c r="AF58" s="341"/>
      <c r="AG58" s="341"/>
      <c r="AH58" s="341"/>
      <c r="AI58" s="341"/>
      <c r="AJ58" s="341"/>
      <c r="AK58" s="341"/>
      <c r="AL58" s="341"/>
      <c r="AM58" s="341"/>
      <c r="AN58" s="341"/>
      <c r="AO58" s="341"/>
      <c r="AP58" s="341"/>
      <c r="AQ58" s="341"/>
      <c r="AR58" s="341"/>
      <c r="AS58" s="341"/>
      <c r="AT58" s="341"/>
      <c r="AU58" s="341"/>
      <c r="AV58" s="341"/>
      <c r="AW58" s="341"/>
      <c r="AX58" s="341"/>
      <c r="AY58" s="341"/>
      <c r="AZ58" s="341"/>
      <c r="BA58" s="341"/>
      <c r="BB58" s="341"/>
      <c r="BC58" s="341"/>
      <c r="BD58" s="341"/>
      <c r="BE58" s="341"/>
      <c r="BF58" s="341"/>
      <c r="BG58" s="341"/>
      <c r="BH58" s="341"/>
      <c r="BI58" s="341"/>
      <c r="BJ58" s="341"/>
      <c r="BK58" s="341"/>
      <c r="BL58" s="341"/>
      <c r="BM58" s="341"/>
      <c r="BN58" s="341"/>
      <c r="BO58" s="341"/>
      <c r="BP58" s="341"/>
      <c r="BQ58" s="341"/>
      <c r="BR58" s="341"/>
      <c r="BS58" s="341"/>
      <c r="BT58" s="341"/>
      <c r="BU58" s="341"/>
      <c r="BV58" s="341"/>
      <c r="BW58" s="341"/>
      <c r="BX58" s="341"/>
      <c r="BY58" s="341"/>
      <c r="BZ58" s="341"/>
      <c r="CA58" s="341"/>
      <c r="CB58" s="341"/>
      <c r="CC58" s="341"/>
      <c r="CD58" s="341"/>
      <c r="CE58" s="341"/>
      <c r="CF58" s="341"/>
      <c r="CG58" s="341"/>
      <c r="CH58" s="341"/>
      <c r="CI58" s="341"/>
      <c r="CJ58" s="341"/>
      <c r="CK58" s="341"/>
      <c r="CL58" s="341"/>
      <c r="CM58" s="341"/>
      <c r="CN58" s="341"/>
      <c r="CO58" s="341"/>
      <c r="CP58" s="341"/>
      <c r="CQ58" s="341"/>
      <c r="CR58" s="341"/>
      <c r="CS58" s="341"/>
      <c r="CT58" s="341"/>
      <c r="CU58" s="341"/>
      <c r="CV58" s="341"/>
      <c r="CW58" s="341"/>
      <c r="CX58" s="341"/>
      <c r="CY58" s="341"/>
      <c r="CZ58" s="341"/>
      <c r="DA58" s="341"/>
      <c r="DB58" s="341"/>
      <c r="DC58" s="341"/>
      <c r="DD58" s="341"/>
      <c r="DE58" s="341"/>
    </row>
    <row r="59" spans="1:109" s="133" customFormat="1" ht="12.75">
      <c r="A59" s="341"/>
      <c r="B59" s="342"/>
      <c r="C59" s="339"/>
      <c r="D59" s="344"/>
      <c r="E59" s="339"/>
      <c r="F59" s="339"/>
      <c r="G59" s="339"/>
      <c r="H59" s="339"/>
      <c r="I59" s="339"/>
      <c r="J59" s="339"/>
      <c r="K59" s="341"/>
      <c r="L59" s="341"/>
      <c r="M59" s="341"/>
      <c r="N59" s="341"/>
      <c r="O59" s="341"/>
      <c r="P59" s="341"/>
      <c r="Q59" s="341"/>
      <c r="R59" s="341"/>
      <c r="S59" s="341"/>
      <c r="T59" s="341"/>
      <c r="U59" s="341"/>
      <c r="V59" s="341"/>
      <c r="W59" s="341"/>
      <c r="X59" s="341"/>
      <c r="Y59" s="341"/>
      <c r="Z59" s="341"/>
      <c r="AA59" s="341"/>
      <c r="AB59" s="341"/>
      <c r="AC59" s="341"/>
      <c r="AD59" s="341"/>
      <c r="AE59" s="341"/>
      <c r="AF59" s="341"/>
      <c r="AG59" s="341"/>
      <c r="AH59" s="341"/>
      <c r="AI59" s="341"/>
      <c r="AJ59" s="341"/>
      <c r="AK59" s="341"/>
      <c r="AL59" s="341"/>
      <c r="AM59" s="341"/>
      <c r="AN59" s="341"/>
      <c r="AO59" s="341"/>
      <c r="AP59" s="341"/>
      <c r="AQ59" s="341"/>
      <c r="AR59" s="341"/>
      <c r="AS59" s="341"/>
      <c r="AT59" s="341"/>
      <c r="AU59" s="341"/>
      <c r="AV59" s="341"/>
      <c r="AW59" s="341"/>
      <c r="AX59" s="341"/>
      <c r="AY59" s="341"/>
      <c r="AZ59" s="341"/>
      <c r="BA59" s="341"/>
      <c r="BB59" s="341"/>
      <c r="BC59" s="341"/>
      <c r="BD59" s="341"/>
      <c r="BE59" s="341"/>
      <c r="BF59" s="341"/>
      <c r="BG59" s="341"/>
      <c r="BH59" s="341"/>
      <c r="BI59" s="341"/>
      <c r="BJ59" s="341"/>
      <c r="BK59" s="341"/>
      <c r="BL59" s="341"/>
      <c r="BM59" s="341"/>
      <c r="BN59" s="341"/>
      <c r="BO59" s="341"/>
      <c r="BP59" s="341"/>
      <c r="BQ59" s="341"/>
      <c r="BR59" s="341"/>
      <c r="BS59" s="341"/>
      <c r="BT59" s="341"/>
      <c r="BU59" s="341"/>
      <c r="BV59" s="341"/>
      <c r="BW59" s="341"/>
      <c r="BX59" s="341"/>
      <c r="BY59" s="341"/>
      <c r="BZ59" s="341"/>
      <c r="CA59" s="341"/>
      <c r="CB59" s="341"/>
      <c r="CC59" s="341"/>
      <c r="CD59" s="341"/>
      <c r="CE59" s="341"/>
      <c r="CF59" s="341"/>
      <c r="CG59" s="341"/>
      <c r="CH59" s="341"/>
      <c r="CI59" s="341"/>
      <c r="CJ59" s="341"/>
      <c r="CK59" s="341"/>
      <c r="CL59" s="341"/>
      <c r="CM59" s="341"/>
      <c r="CN59" s="341"/>
      <c r="CO59" s="341"/>
      <c r="CP59" s="341"/>
      <c r="CQ59" s="341"/>
      <c r="CR59" s="341"/>
      <c r="CS59" s="341"/>
      <c r="CT59" s="341"/>
      <c r="CU59" s="341"/>
      <c r="CV59" s="341"/>
      <c r="CW59" s="341"/>
      <c r="CX59" s="341"/>
      <c r="CY59" s="341"/>
      <c r="CZ59" s="341"/>
      <c r="DA59" s="341"/>
      <c r="DB59" s="341"/>
      <c r="DC59" s="341"/>
      <c r="DD59" s="341"/>
      <c r="DE59" s="341"/>
    </row>
    <row r="60" spans="1:109" s="133" customFormat="1" ht="12.75">
      <c r="A60" s="341"/>
      <c r="B60" s="342"/>
      <c r="C60" s="339"/>
      <c r="D60" s="344"/>
      <c r="E60" s="339"/>
      <c r="F60" s="339"/>
      <c r="G60" s="339"/>
      <c r="H60" s="339"/>
      <c r="I60" s="339"/>
      <c r="J60" s="339"/>
      <c r="K60" s="341"/>
      <c r="L60" s="341"/>
      <c r="M60" s="341"/>
      <c r="N60" s="341"/>
      <c r="O60" s="341"/>
      <c r="P60" s="341"/>
      <c r="Q60" s="341"/>
      <c r="R60" s="341"/>
      <c r="S60" s="341"/>
      <c r="T60" s="341"/>
      <c r="U60" s="341"/>
      <c r="V60" s="341"/>
      <c r="W60" s="341"/>
      <c r="X60" s="341"/>
      <c r="Y60" s="341"/>
      <c r="Z60" s="341"/>
      <c r="AA60" s="341"/>
      <c r="AB60" s="341"/>
      <c r="AC60" s="341"/>
      <c r="AD60" s="341"/>
      <c r="AE60" s="341"/>
      <c r="AF60" s="341"/>
      <c r="AG60" s="341"/>
      <c r="AH60" s="341"/>
      <c r="AI60" s="341"/>
      <c r="AJ60" s="341"/>
      <c r="AK60" s="341"/>
      <c r="AL60" s="341"/>
      <c r="AM60" s="341"/>
      <c r="AN60" s="341"/>
      <c r="AO60" s="341"/>
      <c r="AP60" s="341"/>
      <c r="AQ60" s="341"/>
      <c r="AR60" s="341"/>
      <c r="AS60" s="341"/>
      <c r="AT60" s="341"/>
      <c r="AU60" s="341"/>
      <c r="AV60" s="341"/>
      <c r="AW60" s="341"/>
      <c r="AX60" s="341"/>
      <c r="AY60" s="341"/>
      <c r="AZ60" s="341"/>
      <c r="BA60" s="341"/>
      <c r="BB60" s="341"/>
      <c r="BC60" s="341"/>
      <c r="BD60" s="341"/>
      <c r="BE60" s="341"/>
      <c r="BF60" s="341"/>
      <c r="BG60" s="341"/>
      <c r="BH60" s="341"/>
      <c r="BI60" s="341"/>
      <c r="BJ60" s="341"/>
      <c r="BK60" s="341"/>
      <c r="BL60" s="341"/>
      <c r="BM60" s="341"/>
      <c r="BN60" s="341"/>
      <c r="BO60" s="341"/>
      <c r="BP60" s="341"/>
      <c r="BQ60" s="341"/>
      <c r="BR60" s="341"/>
      <c r="BS60" s="341"/>
      <c r="BT60" s="341"/>
      <c r="BU60" s="341"/>
      <c r="BV60" s="341"/>
      <c r="BW60" s="341"/>
      <c r="BX60" s="341"/>
      <c r="BY60" s="341"/>
      <c r="BZ60" s="341"/>
      <c r="CA60" s="341"/>
      <c r="CB60" s="341"/>
      <c r="CC60" s="341"/>
      <c r="CD60" s="341"/>
      <c r="CE60" s="341"/>
      <c r="CF60" s="341"/>
      <c r="CG60" s="341"/>
      <c r="CH60" s="341"/>
      <c r="CI60" s="341"/>
      <c r="CJ60" s="341"/>
      <c r="CK60" s="341"/>
      <c r="CL60" s="341"/>
      <c r="CM60" s="341"/>
      <c r="CN60" s="341"/>
      <c r="CO60" s="341"/>
      <c r="CP60" s="341"/>
      <c r="CQ60" s="341"/>
      <c r="CR60" s="341"/>
      <c r="CS60" s="341"/>
      <c r="CT60" s="341"/>
      <c r="CU60" s="341"/>
      <c r="CV60" s="341"/>
      <c r="CW60" s="341"/>
      <c r="CX60" s="341"/>
      <c r="CY60" s="341"/>
      <c r="CZ60" s="341"/>
      <c r="DA60" s="341"/>
      <c r="DB60" s="341"/>
      <c r="DC60" s="341"/>
      <c r="DD60" s="341"/>
      <c r="DE60" s="341"/>
    </row>
    <row r="61" spans="1:109" s="133" customFormat="1" ht="12.75">
      <c r="A61" s="341"/>
      <c r="B61" s="342"/>
      <c r="C61" s="339"/>
      <c r="D61" s="344"/>
      <c r="E61" s="339"/>
      <c r="F61" s="339"/>
      <c r="G61" s="339"/>
      <c r="H61" s="339"/>
      <c r="I61" s="339"/>
      <c r="J61" s="339"/>
      <c r="K61" s="341"/>
      <c r="L61" s="341"/>
      <c r="M61" s="341"/>
      <c r="N61" s="341"/>
      <c r="O61" s="341"/>
      <c r="P61" s="341"/>
      <c r="Q61" s="341"/>
      <c r="R61" s="341"/>
      <c r="S61" s="341"/>
      <c r="T61" s="341"/>
      <c r="U61" s="341"/>
      <c r="V61" s="341"/>
      <c r="W61" s="341"/>
      <c r="X61" s="341"/>
      <c r="Y61" s="341"/>
      <c r="Z61" s="341"/>
      <c r="AA61" s="341"/>
      <c r="AB61" s="341"/>
      <c r="AC61" s="341"/>
      <c r="AD61" s="341"/>
      <c r="AE61" s="341"/>
      <c r="AF61" s="341"/>
      <c r="AG61" s="341"/>
      <c r="AH61" s="341"/>
      <c r="AI61" s="341"/>
      <c r="AJ61" s="341"/>
      <c r="AK61" s="341"/>
      <c r="AL61" s="341"/>
      <c r="AM61" s="341"/>
      <c r="AN61" s="341"/>
      <c r="AO61" s="341"/>
      <c r="AP61" s="341"/>
      <c r="AQ61" s="341"/>
      <c r="AR61" s="341"/>
      <c r="AS61" s="341"/>
      <c r="AT61" s="341"/>
      <c r="AU61" s="341"/>
      <c r="AV61" s="341"/>
      <c r="AW61" s="341"/>
      <c r="AX61" s="341"/>
      <c r="AY61" s="341"/>
      <c r="AZ61" s="341"/>
      <c r="BA61" s="341"/>
      <c r="BB61" s="341"/>
      <c r="BC61" s="341"/>
      <c r="BD61" s="341"/>
      <c r="BE61" s="341"/>
      <c r="BF61" s="341"/>
      <c r="BG61" s="341"/>
      <c r="BH61" s="341"/>
      <c r="BI61" s="341"/>
      <c r="BJ61" s="341"/>
      <c r="BK61" s="341"/>
      <c r="BL61" s="341"/>
      <c r="BM61" s="341"/>
      <c r="BN61" s="341"/>
      <c r="BO61" s="341"/>
      <c r="BP61" s="341"/>
      <c r="BQ61" s="341"/>
      <c r="BR61" s="341"/>
      <c r="BS61" s="341"/>
      <c r="BT61" s="341"/>
      <c r="BU61" s="341"/>
      <c r="BV61" s="341"/>
      <c r="BW61" s="341"/>
      <c r="BX61" s="341"/>
      <c r="BY61" s="341"/>
      <c r="BZ61" s="341"/>
      <c r="CA61" s="341"/>
      <c r="CB61" s="341"/>
      <c r="CC61" s="341"/>
      <c r="CD61" s="341"/>
      <c r="CE61" s="341"/>
      <c r="CF61" s="341"/>
      <c r="CG61" s="341"/>
      <c r="CH61" s="341"/>
      <c r="CI61" s="341"/>
      <c r="CJ61" s="341"/>
      <c r="CK61" s="341"/>
      <c r="CL61" s="341"/>
      <c r="CM61" s="341"/>
      <c r="CN61" s="341"/>
      <c r="CO61" s="341"/>
      <c r="CP61" s="341"/>
      <c r="CQ61" s="341"/>
      <c r="CR61" s="341"/>
      <c r="CS61" s="341"/>
      <c r="CT61" s="341"/>
      <c r="CU61" s="341"/>
      <c r="CV61" s="341"/>
      <c r="CW61" s="341"/>
      <c r="CX61" s="341"/>
      <c r="CY61" s="341"/>
      <c r="CZ61" s="341"/>
      <c r="DA61" s="341"/>
      <c r="DB61" s="341"/>
      <c r="DC61" s="341"/>
      <c r="DD61" s="341"/>
      <c r="DE61" s="341"/>
    </row>
    <row r="62" spans="1:109" s="133" customFormat="1" ht="12.75">
      <c r="A62" s="341"/>
      <c r="B62" s="342"/>
      <c r="C62" s="339"/>
      <c r="D62" s="344"/>
      <c r="E62" s="339"/>
      <c r="F62" s="339"/>
      <c r="G62" s="339"/>
      <c r="H62" s="339"/>
      <c r="I62" s="339"/>
      <c r="J62" s="339"/>
      <c r="K62" s="341"/>
      <c r="L62" s="341"/>
      <c r="M62" s="341"/>
      <c r="N62" s="341"/>
      <c r="O62" s="341"/>
      <c r="P62" s="341"/>
      <c r="Q62" s="341"/>
      <c r="R62" s="341"/>
      <c r="S62" s="341"/>
      <c r="T62" s="341"/>
      <c r="U62" s="341"/>
      <c r="V62" s="341"/>
      <c r="W62" s="341"/>
      <c r="X62" s="341"/>
      <c r="Y62" s="341"/>
      <c r="Z62" s="341"/>
      <c r="AA62" s="341"/>
      <c r="AB62" s="341"/>
      <c r="AC62" s="341"/>
      <c r="AD62" s="341"/>
      <c r="AE62" s="341"/>
      <c r="AF62" s="341"/>
      <c r="AG62" s="341"/>
      <c r="AH62" s="341"/>
      <c r="AI62" s="341"/>
      <c r="AJ62" s="341"/>
      <c r="AK62" s="341"/>
      <c r="AL62" s="341"/>
      <c r="AM62" s="341"/>
      <c r="AN62" s="341"/>
      <c r="AO62" s="341"/>
      <c r="AP62" s="341"/>
      <c r="AQ62" s="341"/>
      <c r="AR62" s="341"/>
      <c r="AS62" s="341"/>
      <c r="AT62" s="341"/>
      <c r="AU62" s="341"/>
      <c r="AV62" s="341"/>
      <c r="AW62" s="341"/>
      <c r="AX62" s="341"/>
      <c r="AY62" s="341"/>
      <c r="AZ62" s="341"/>
      <c r="BA62" s="341"/>
      <c r="BB62" s="341"/>
      <c r="BC62" s="341"/>
      <c r="BD62" s="341"/>
      <c r="BE62" s="341"/>
      <c r="BF62" s="341"/>
      <c r="BG62" s="341"/>
      <c r="BH62" s="341"/>
      <c r="BI62" s="341"/>
      <c r="BJ62" s="341"/>
      <c r="BK62" s="341"/>
      <c r="BL62" s="341"/>
      <c r="BM62" s="341"/>
      <c r="BN62" s="341"/>
      <c r="BO62" s="341"/>
      <c r="BP62" s="341"/>
      <c r="BQ62" s="341"/>
      <c r="BR62" s="341"/>
      <c r="BS62" s="341"/>
      <c r="BT62" s="341"/>
      <c r="BU62" s="341"/>
      <c r="BV62" s="341"/>
      <c r="BW62" s="341"/>
      <c r="BX62" s="341"/>
      <c r="BY62" s="341"/>
      <c r="BZ62" s="341"/>
      <c r="CA62" s="341"/>
      <c r="CB62" s="341"/>
      <c r="CC62" s="341"/>
      <c r="CD62" s="341"/>
      <c r="CE62" s="341"/>
      <c r="CF62" s="341"/>
      <c r="CG62" s="341"/>
      <c r="CH62" s="341"/>
      <c r="CI62" s="341"/>
      <c r="CJ62" s="341"/>
      <c r="CK62" s="341"/>
      <c r="CL62" s="341"/>
      <c r="CM62" s="341"/>
      <c r="CN62" s="341"/>
      <c r="CO62" s="341"/>
      <c r="CP62" s="341"/>
      <c r="CQ62" s="341"/>
      <c r="CR62" s="341"/>
      <c r="CS62" s="341"/>
      <c r="CT62" s="341"/>
      <c r="CU62" s="341"/>
      <c r="CV62" s="341"/>
      <c r="CW62" s="341"/>
      <c r="CX62" s="341"/>
      <c r="CY62" s="341"/>
      <c r="CZ62" s="341"/>
      <c r="DA62" s="341"/>
      <c r="DB62" s="341"/>
      <c r="DC62" s="341"/>
      <c r="DD62" s="341"/>
      <c r="DE62" s="341"/>
    </row>
    <row r="63" spans="1:109" s="133" customFormat="1" ht="12.75">
      <c r="A63" s="341"/>
      <c r="B63" s="342"/>
      <c r="C63" s="339"/>
      <c r="D63" s="344"/>
      <c r="E63" s="339"/>
      <c r="F63" s="339"/>
      <c r="G63" s="339"/>
      <c r="H63" s="339"/>
      <c r="I63" s="339"/>
      <c r="J63" s="339"/>
      <c r="K63" s="341"/>
      <c r="L63" s="341"/>
      <c r="M63" s="341"/>
      <c r="N63" s="341"/>
      <c r="O63" s="341"/>
      <c r="P63" s="341"/>
      <c r="Q63" s="341"/>
      <c r="R63" s="341"/>
      <c r="S63" s="341"/>
      <c r="T63" s="341"/>
      <c r="U63" s="341"/>
      <c r="V63" s="341"/>
      <c r="W63" s="341"/>
      <c r="X63" s="341"/>
      <c r="Y63" s="341"/>
      <c r="Z63" s="341"/>
      <c r="AA63" s="341"/>
      <c r="AB63" s="341"/>
      <c r="AC63" s="341"/>
      <c r="AD63" s="341"/>
      <c r="AE63" s="341"/>
      <c r="AF63" s="341"/>
      <c r="AG63" s="341"/>
      <c r="AH63" s="341"/>
      <c r="AI63" s="341"/>
      <c r="AJ63" s="341"/>
      <c r="AK63" s="341"/>
      <c r="AL63" s="341"/>
      <c r="AM63" s="341"/>
      <c r="AN63" s="341"/>
      <c r="AO63" s="341"/>
      <c r="AP63" s="341"/>
      <c r="AQ63" s="341"/>
      <c r="AR63" s="341"/>
      <c r="AS63" s="341"/>
      <c r="AT63" s="341"/>
      <c r="AU63" s="341"/>
      <c r="AV63" s="341"/>
      <c r="AW63" s="341"/>
      <c r="AX63" s="341"/>
      <c r="AY63" s="341"/>
      <c r="AZ63" s="341"/>
      <c r="BA63" s="341"/>
      <c r="BB63" s="341"/>
      <c r="BC63" s="341"/>
      <c r="BD63" s="341"/>
      <c r="BE63" s="341"/>
      <c r="BF63" s="341"/>
      <c r="BG63" s="341"/>
      <c r="BH63" s="341"/>
      <c r="BI63" s="341"/>
      <c r="BJ63" s="341"/>
      <c r="BK63" s="341"/>
      <c r="BL63" s="341"/>
      <c r="BM63" s="341"/>
      <c r="BN63" s="341"/>
      <c r="BO63" s="341"/>
      <c r="BP63" s="341"/>
      <c r="BQ63" s="341"/>
      <c r="BR63" s="341"/>
      <c r="BS63" s="341"/>
      <c r="BT63" s="341"/>
      <c r="BU63" s="341"/>
      <c r="BV63" s="341"/>
      <c r="BW63" s="341"/>
      <c r="BX63" s="341"/>
      <c r="BY63" s="341"/>
      <c r="BZ63" s="341"/>
      <c r="CA63" s="341"/>
      <c r="CB63" s="341"/>
      <c r="CC63" s="341"/>
      <c r="CD63" s="341"/>
      <c r="CE63" s="341"/>
      <c r="CF63" s="341"/>
      <c r="CG63" s="341"/>
      <c r="CH63" s="341"/>
      <c r="CI63" s="341"/>
      <c r="CJ63" s="341"/>
      <c r="CK63" s="341"/>
      <c r="CL63" s="341"/>
      <c r="CM63" s="341"/>
      <c r="CN63" s="341"/>
      <c r="CO63" s="341"/>
      <c r="CP63" s="341"/>
      <c r="CQ63" s="341"/>
      <c r="CR63" s="341"/>
      <c r="CS63" s="341"/>
      <c r="CT63" s="341"/>
      <c r="CU63" s="341"/>
      <c r="CV63" s="341"/>
      <c r="CW63" s="341"/>
      <c r="CX63" s="341"/>
      <c r="CY63" s="341"/>
      <c r="CZ63" s="341"/>
      <c r="DA63" s="341"/>
      <c r="DB63" s="341"/>
      <c r="DC63" s="341"/>
      <c r="DD63" s="341"/>
      <c r="DE63" s="341"/>
    </row>
    <row r="64" spans="1:109" s="133" customFormat="1" ht="12.75">
      <c r="A64" s="341"/>
      <c r="B64" s="342"/>
      <c r="C64" s="339"/>
      <c r="D64" s="344"/>
      <c r="E64" s="339"/>
      <c r="F64" s="339"/>
      <c r="G64" s="339"/>
      <c r="H64" s="339"/>
      <c r="I64" s="339"/>
      <c r="J64" s="339"/>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341"/>
      <c r="BD64" s="341"/>
      <c r="BE64" s="341"/>
      <c r="BF64" s="341"/>
      <c r="BG64" s="341"/>
      <c r="BH64" s="341"/>
      <c r="BI64" s="341"/>
      <c r="BJ64" s="341"/>
      <c r="BK64" s="341"/>
      <c r="BL64" s="341"/>
      <c r="BM64" s="341"/>
      <c r="BN64" s="341"/>
      <c r="BO64" s="341"/>
      <c r="BP64" s="341"/>
      <c r="BQ64" s="341"/>
      <c r="BR64" s="341"/>
      <c r="BS64" s="341"/>
      <c r="BT64" s="341"/>
      <c r="BU64" s="341"/>
      <c r="BV64" s="341"/>
      <c r="BW64" s="341"/>
      <c r="BX64" s="341"/>
      <c r="BY64" s="341"/>
      <c r="BZ64" s="341"/>
      <c r="CA64" s="341"/>
      <c r="CB64" s="341"/>
      <c r="CC64" s="341"/>
      <c r="CD64" s="341"/>
      <c r="CE64" s="341"/>
      <c r="CF64" s="341"/>
      <c r="CG64" s="341"/>
      <c r="CH64" s="341"/>
      <c r="CI64" s="341"/>
      <c r="CJ64" s="341"/>
      <c r="CK64" s="341"/>
      <c r="CL64" s="341"/>
      <c r="CM64" s="341"/>
      <c r="CN64" s="341"/>
      <c r="CO64" s="341"/>
      <c r="CP64" s="341"/>
      <c r="CQ64" s="341"/>
      <c r="CR64" s="341"/>
      <c r="CS64" s="341"/>
      <c r="CT64" s="341"/>
      <c r="CU64" s="341"/>
      <c r="CV64" s="341"/>
      <c r="CW64" s="341"/>
      <c r="CX64" s="341"/>
      <c r="CY64" s="341"/>
      <c r="CZ64" s="341"/>
      <c r="DA64" s="341"/>
      <c r="DB64" s="341"/>
      <c r="DC64" s="341"/>
      <c r="DD64" s="341"/>
      <c r="DE64" s="341"/>
    </row>
    <row r="65" spans="1:109" s="133" customFormat="1" ht="12.75">
      <c r="A65" s="341"/>
      <c r="B65" s="342"/>
      <c r="C65" s="339"/>
      <c r="D65" s="339"/>
      <c r="E65" s="339"/>
      <c r="F65" s="339"/>
      <c r="G65" s="339"/>
      <c r="H65" s="339"/>
      <c r="I65" s="339"/>
      <c r="J65" s="339"/>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341"/>
      <c r="BD65" s="341"/>
      <c r="BE65" s="341"/>
      <c r="BF65" s="341"/>
      <c r="BG65" s="341"/>
      <c r="BH65" s="341"/>
      <c r="BI65" s="341"/>
      <c r="BJ65" s="341"/>
      <c r="BK65" s="341"/>
      <c r="BL65" s="341"/>
      <c r="BM65" s="341"/>
      <c r="BN65" s="341"/>
      <c r="BO65" s="341"/>
      <c r="BP65" s="341"/>
      <c r="BQ65" s="341"/>
      <c r="BR65" s="341"/>
      <c r="BS65" s="341"/>
      <c r="BT65" s="341"/>
      <c r="BU65" s="341"/>
      <c r="BV65" s="341"/>
      <c r="BW65" s="341"/>
      <c r="BX65" s="341"/>
      <c r="BY65" s="341"/>
      <c r="BZ65" s="341"/>
      <c r="CA65" s="341"/>
      <c r="CB65" s="341"/>
      <c r="CC65" s="341"/>
      <c r="CD65" s="341"/>
      <c r="CE65" s="341"/>
      <c r="CF65" s="341"/>
      <c r="CG65" s="341"/>
      <c r="CH65" s="341"/>
      <c r="CI65" s="341"/>
      <c r="CJ65" s="341"/>
      <c r="CK65" s="341"/>
      <c r="CL65" s="341"/>
      <c r="CM65" s="341"/>
      <c r="CN65" s="341"/>
      <c r="CO65" s="341"/>
      <c r="CP65" s="341"/>
      <c r="CQ65" s="341"/>
      <c r="CR65" s="341"/>
      <c r="CS65" s="341"/>
      <c r="CT65" s="341"/>
      <c r="CU65" s="341"/>
      <c r="CV65" s="341"/>
      <c r="CW65" s="341"/>
      <c r="CX65" s="341"/>
      <c r="CY65" s="341"/>
      <c r="CZ65" s="341"/>
      <c r="DA65" s="341"/>
      <c r="DB65" s="341"/>
      <c r="DC65" s="341"/>
      <c r="DD65" s="341"/>
      <c r="DE65" s="341"/>
    </row>
    <row r="66" spans="1:109" s="136" customFormat="1">
      <c r="A66" s="341"/>
      <c r="B66" s="342"/>
      <c r="C66" s="339"/>
      <c r="D66" s="339"/>
      <c r="E66" s="339"/>
      <c r="F66" s="339"/>
      <c r="G66" s="339"/>
      <c r="H66" s="339"/>
      <c r="I66" s="339"/>
      <c r="J66" s="339"/>
      <c r="K66" s="341"/>
      <c r="L66" s="341"/>
      <c r="M66" s="341"/>
      <c r="N66" s="341"/>
      <c r="O66" s="341"/>
      <c r="P66" s="341"/>
      <c r="Q66" s="341"/>
      <c r="R66" s="341"/>
      <c r="S66" s="341"/>
      <c r="T66" s="341"/>
      <c r="U66" s="341"/>
      <c r="V66" s="341"/>
      <c r="W66" s="341"/>
      <c r="X66" s="341"/>
      <c r="Y66" s="341"/>
      <c r="Z66" s="341"/>
      <c r="AA66" s="341"/>
      <c r="AB66" s="341"/>
      <c r="AC66" s="341"/>
      <c r="AD66" s="341"/>
      <c r="AE66" s="341"/>
      <c r="AF66" s="341"/>
      <c r="AG66" s="341"/>
      <c r="AH66" s="341"/>
      <c r="AI66" s="341"/>
      <c r="AJ66" s="341"/>
      <c r="AK66" s="341"/>
      <c r="AL66" s="341"/>
      <c r="AM66" s="341"/>
      <c r="AN66" s="341"/>
      <c r="AO66" s="341"/>
      <c r="AP66" s="341"/>
      <c r="AQ66" s="341"/>
      <c r="AR66" s="341"/>
      <c r="AS66" s="341"/>
      <c r="AT66" s="341"/>
      <c r="AU66" s="341"/>
      <c r="AV66" s="341"/>
      <c r="AW66" s="341"/>
      <c r="AX66" s="341"/>
      <c r="AY66" s="341"/>
      <c r="AZ66" s="341"/>
      <c r="BA66" s="341"/>
      <c r="BB66" s="341"/>
      <c r="BC66" s="341"/>
      <c r="BD66" s="341"/>
      <c r="BE66" s="341"/>
      <c r="BF66" s="341"/>
      <c r="BG66" s="341"/>
      <c r="BH66" s="341"/>
      <c r="BI66" s="341"/>
      <c r="BJ66" s="341"/>
      <c r="BK66" s="341"/>
      <c r="BL66" s="341"/>
      <c r="BM66" s="341"/>
      <c r="BN66" s="341"/>
      <c r="BO66" s="341"/>
      <c r="BP66" s="341"/>
      <c r="BQ66" s="341"/>
      <c r="BR66" s="341"/>
      <c r="BS66" s="341"/>
      <c r="BT66" s="341"/>
      <c r="BU66" s="341"/>
      <c r="BV66" s="341"/>
      <c r="BW66" s="341"/>
      <c r="BX66" s="341"/>
      <c r="BY66" s="341"/>
      <c r="BZ66" s="341"/>
      <c r="CA66" s="341"/>
      <c r="CB66" s="341"/>
      <c r="CC66" s="341"/>
      <c r="CD66" s="341"/>
      <c r="CE66" s="341"/>
      <c r="CF66" s="341"/>
      <c r="CG66" s="341"/>
      <c r="CH66" s="341"/>
      <c r="CI66" s="341"/>
      <c r="CJ66" s="341"/>
      <c r="CK66" s="341"/>
      <c r="CL66" s="341"/>
      <c r="CM66" s="341"/>
      <c r="CN66" s="341"/>
      <c r="CO66" s="341"/>
      <c r="CP66" s="341"/>
      <c r="CQ66" s="341"/>
      <c r="CR66" s="341"/>
      <c r="CS66" s="341"/>
      <c r="CT66" s="341"/>
      <c r="CU66" s="341"/>
      <c r="CV66" s="341"/>
      <c r="CW66" s="341"/>
      <c r="CX66" s="341"/>
      <c r="CY66" s="341"/>
      <c r="CZ66" s="341"/>
      <c r="DA66" s="341"/>
      <c r="DB66" s="341"/>
      <c r="DC66" s="341"/>
      <c r="DD66" s="341"/>
      <c r="DE66" s="341"/>
    </row>
    <row r="67" spans="1:109">
      <c r="A67" s="343"/>
      <c r="B67" s="342"/>
      <c r="C67" s="339"/>
      <c r="D67" s="339"/>
      <c r="E67" s="339"/>
      <c r="F67" s="339"/>
      <c r="G67" s="339"/>
      <c r="H67" s="339"/>
      <c r="I67" s="339"/>
      <c r="J67" s="339"/>
    </row>
  </sheetData>
  <pageMargins left="0.7" right="0.7" top="0.75" bottom="0.75" header="0.3" footer="0.3"/>
  <pageSetup paperSize="9" orientation="portrait" verticalDpi="144" r:id="rId1"/>
  <ignoredErrors>
    <ignoredError sqref="D46"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3"/>
  <dimension ref="A1:AC58"/>
  <sheetViews>
    <sheetView showGridLines="0" zoomScale="85" zoomScaleNormal="85" workbookViewId="0">
      <selection activeCell="A86" sqref="A86"/>
    </sheetView>
  </sheetViews>
  <sheetFormatPr baseColWidth="10" defaultColWidth="11.42578125" defaultRowHeight="14.25"/>
  <cols>
    <col min="1" max="2" width="4.28515625" style="68" customWidth="1"/>
    <col min="3" max="3" width="48.42578125" style="68" bestFit="1" customWidth="1"/>
    <col min="4" max="4" width="14" style="68" customWidth="1"/>
    <col min="5" max="7" width="14.28515625" style="68" customWidth="1"/>
    <col min="8" max="8" width="14" style="68" customWidth="1"/>
    <col min="9" max="9" width="20.7109375" style="68" bestFit="1" customWidth="1"/>
    <col min="10" max="16384" width="11.42578125" style="68"/>
  </cols>
  <sheetData>
    <row r="1" spans="1:24" ht="18.75" customHeight="1"/>
    <row r="2" spans="1:24" ht="18.75" customHeight="1">
      <c r="A2" s="138" t="s">
        <v>503</v>
      </c>
      <c r="B2" s="98"/>
      <c r="C2" s="98"/>
      <c r="D2" s="98"/>
      <c r="E2" s="97"/>
      <c r="F2" s="97"/>
      <c r="G2" s="97"/>
    </row>
    <row r="3" spans="1:24" ht="14.25" customHeight="1">
      <c r="A3" s="138"/>
      <c r="B3" s="98"/>
      <c r="C3" s="98"/>
      <c r="D3" s="98"/>
      <c r="E3" s="97"/>
      <c r="F3" s="97"/>
      <c r="G3" s="97"/>
    </row>
    <row r="4" spans="1:24" ht="14.25" customHeight="1">
      <c r="A4" s="138"/>
      <c r="B4" s="95"/>
      <c r="C4" s="95"/>
      <c r="D4" s="96"/>
      <c r="E4" s="97"/>
      <c r="F4" s="97"/>
      <c r="G4" s="97"/>
    </row>
    <row r="5" spans="1:24" ht="14.25" customHeight="1">
      <c r="A5" s="138"/>
      <c r="B5" s="98"/>
      <c r="C5" s="108" t="s">
        <v>2</v>
      </c>
      <c r="D5" s="169" t="s">
        <v>521</v>
      </c>
      <c r="E5" s="170" t="s">
        <v>484</v>
      </c>
      <c r="F5" s="170" t="s">
        <v>409</v>
      </c>
      <c r="G5" s="170" t="s">
        <v>396</v>
      </c>
      <c r="H5" s="170" t="s">
        <v>383</v>
      </c>
      <c r="I5" s="226"/>
      <c r="J5" s="227"/>
    </row>
    <row r="6" spans="1:24" ht="14.25" customHeight="1">
      <c r="B6" s="24"/>
      <c r="C6" s="214" t="s">
        <v>117</v>
      </c>
      <c r="D6" s="219">
        <v>51588.224787510073</v>
      </c>
      <c r="E6" s="224">
        <v>49040.33</v>
      </c>
      <c r="F6" s="224">
        <v>48689.49</v>
      </c>
      <c r="G6" s="209">
        <v>48332.37</v>
      </c>
      <c r="H6" s="210">
        <v>48858.364974030097</v>
      </c>
      <c r="I6" s="228"/>
      <c r="J6" s="228"/>
      <c r="R6" s="243"/>
      <c r="S6" s="243"/>
      <c r="T6" s="243"/>
      <c r="U6" s="243"/>
      <c r="V6" s="243"/>
      <c r="W6" s="243"/>
      <c r="X6" s="243"/>
    </row>
    <row r="7" spans="1:24">
      <c r="B7" s="24"/>
      <c r="C7" s="25" t="s">
        <v>105</v>
      </c>
      <c r="D7" s="219">
        <v>8655.2922976100053</v>
      </c>
      <c r="E7" s="224">
        <v>7398.93</v>
      </c>
      <c r="F7" s="224">
        <v>6798.38</v>
      </c>
      <c r="G7" s="209">
        <v>6959.32</v>
      </c>
      <c r="H7" s="210">
        <v>6755.9251911000019</v>
      </c>
      <c r="I7" s="228"/>
      <c r="J7" s="228"/>
      <c r="R7" s="243"/>
      <c r="S7" s="243"/>
      <c r="T7" s="243"/>
      <c r="U7" s="243"/>
      <c r="V7" s="243"/>
      <c r="W7" s="243"/>
      <c r="X7" s="243"/>
    </row>
    <row r="8" spans="1:24" ht="14.25" customHeight="1">
      <c r="B8" s="24"/>
      <c r="C8" s="25" t="s">
        <v>106</v>
      </c>
      <c r="D8" s="219">
        <v>1395.4788021699981</v>
      </c>
      <c r="E8" s="224">
        <v>1470.2</v>
      </c>
      <c r="F8" s="224">
        <v>1139.8800000000001</v>
      </c>
      <c r="G8" s="209">
        <v>1245.71</v>
      </c>
      <c r="H8" s="210">
        <v>1240.8334177300007</v>
      </c>
      <c r="I8" s="228"/>
      <c r="J8" s="228"/>
      <c r="R8" s="243"/>
      <c r="S8" s="243"/>
      <c r="T8" s="243"/>
      <c r="U8" s="243"/>
      <c r="V8" s="243"/>
      <c r="W8" s="243"/>
      <c r="X8" s="243"/>
    </row>
    <row r="9" spans="1:24" ht="14.25" customHeight="1">
      <c r="B9" s="99"/>
      <c r="C9" s="25" t="s">
        <v>107</v>
      </c>
      <c r="D9" s="219">
        <v>505.54087925999988</v>
      </c>
      <c r="E9" s="224">
        <v>466.58</v>
      </c>
      <c r="F9" s="224">
        <v>454.08</v>
      </c>
      <c r="G9" s="209">
        <v>479.22</v>
      </c>
      <c r="H9" s="210">
        <v>460.94915398999956</v>
      </c>
      <c r="I9" s="228"/>
      <c r="J9" s="228"/>
      <c r="R9" s="243"/>
      <c r="S9" s="243"/>
      <c r="T9" s="243"/>
      <c r="U9" s="243"/>
      <c r="V9" s="243"/>
      <c r="W9" s="243"/>
      <c r="X9" s="243"/>
    </row>
    <row r="10" spans="1:24" ht="14.25" customHeight="1">
      <c r="B10" s="101"/>
      <c r="C10" s="25" t="s">
        <v>108</v>
      </c>
      <c r="D10" s="219">
        <v>1045.6121436900009</v>
      </c>
      <c r="E10" s="224">
        <v>1038.3699999999999</v>
      </c>
      <c r="F10" s="224">
        <v>1153.25</v>
      </c>
      <c r="G10" s="209">
        <v>1001.7</v>
      </c>
      <c r="H10" s="210">
        <v>928.08410359000095</v>
      </c>
      <c r="I10" s="228"/>
      <c r="J10" s="228"/>
      <c r="R10" s="243"/>
      <c r="S10" s="243"/>
      <c r="T10" s="243"/>
      <c r="U10" s="243"/>
      <c r="V10" s="243"/>
      <c r="W10" s="243"/>
      <c r="X10" s="243"/>
    </row>
    <row r="11" spans="1:24" ht="14.25" customHeight="1">
      <c r="B11" s="101"/>
      <c r="C11" s="25" t="s">
        <v>125</v>
      </c>
      <c r="D11" s="219">
        <v>1981.5573256700022</v>
      </c>
      <c r="E11" s="224">
        <v>2091.87</v>
      </c>
      <c r="F11" s="224">
        <v>2186.0700000000002</v>
      </c>
      <c r="G11" s="209">
        <v>2077.7800000000002</v>
      </c>
      <c r="H11" s="210">
        <v>2134.9773556299979</v>
      </c>
      <c r="I11" s="228"/>
      <c r="J11" s="228"/>
      <c r="R11" s="243"/>
      <c r="S11" s="243"/>
      <c r="T11" s="243"/>
      <c r="U11" s="243"/>
      <c r="V11" s="243"/>
      <c r="W11" s="243"/>
      <c r="X11" s="243"/>
    </row>
    <row r="12" spans="1:24" ht="14.25" customHeight="1">
      <c r="B12" s="99"/>
      <c r="C12" s="25" t="s">
        <v>110</v>
      </c>
      <c r="D12" s="219">
        <v>105.12583816999997</v>
      </c>
      <c r="E12" s="224">
        <v>108.91</v>
      </c>
      <c r="F12" s="224">
        <v>104.72</v>
      </c>
      <c r="G12" s="209">
        <v>107.81</v>
      </c>
      <c r="H12" s="210">
        <v>314.13980852000009</v>
      </c>
      <c r="I12" s="228"/>
      <c r="J12" s="228"/>
      <c r="R12" s="243"/>
      <c r="S12" s="243"/>
      <c r="T12" s="243"/>
      <c r="U12" s="243"/>
      <c r="V12" s="243"/>
      <c r="W12" s="243"/>
      <c r="X12" s="243"/>
    </row>
    <row r="13" spans="1:24" ht="14.25" customHeight="1">
      <c r="B13" s="101"/>
      <c r="C13" s="25" t="s">
        <v>111</v>
      </c>
      <c r="D13" s="219">
        <v>2684.8057339199859</v>
      </c>
      <c r="E13" s="224">
        <v>2308.6999999999998</v>
      </c>
      <c r="F13" s="224">
        <v>2198.81</v>
      </c>
      <c r="G13" s="209">
        <v>2159.41</v>
      </c>
      <c r="H13" s="210">
        <v>1947.1952784600035</v>
      </c>
      <c r="I13" s="228"/>
      <c r="J13" s="228"/>
      <c r="R13" s="243"/>
      <c r="S13" s="243"/>
      <c r="T13" s="243"/>
      <c r="U13" s="243"/>
      <c r="V13" s="243"/>
      <c r="W13" s="243"/>
      <c r="X13" s="243"/>
    </row>
    <row r="14" spans="1:24" ht="14.25" customHeight="1">
      <c r="B14" s="101"/>
      <c r="C14" s="25" t="s">
        <v>112</v>
      </c>
      <c r="D14" s="219">
        <v>416.22419070999996</v>
      </c>
      <c r="E14" s="224">
        <v>363.41</v>
      </c>
      <c r="F14" s="224">
        <v>368.76</v>
      </c>
      <c r="G14" s="209">
        <v>378.29</v>
      </c>
      <c r="H14" s="210">
        <v>340.83875581000012</v>
      </c>
      <c r="I14" s="228"/>
      <c r="J14" s="228"/>
      <c r="R14" s="243"/>
      <c r="S14" s="243"/>
      <c r="T14" s="243"/>
      <c r="U14" s="243"/>
      <c r="V14" s="243"/>
      <c r="W14" s="243"/>
      <c r="X14" s="243"/>
    </row>
    <row r="15" spans="1:24" ht="14.25" customHeight="1">
      <c r="B15" s="99"/>
      <c r="C15" s="25" t="s">
        <v>113</v>
      </c>
      <c r="D15" s="219">
        <v>4820.0310620099954</v>
      </c>
      <c r="E15" s="224">
        <v>4489.6499999999996</v>
      </c>
      <c r="F15" s="224">
        <v>3958.4</v>
      </c>
      <c r="G15" s="209">
        <v>4647.93</v>
      </c>
      <c r="H15" s="210">
        <v>4667.6507060999957</v>
      </c>
      <c r="I15" s="228"/>
      <c r="J15" s="228"/>
      <c r="R15" s="243"/>
      <c r="S15" s="243"/>
      <c r="T15" s="243"/>
      <c r="U15" s="243"/>
      <c r="V15" s="243"/>
      <c r="W15" s="243"/>
      <c r="X15" s="243"/>
    </row>
    <row r="16" spans="1:24" ht="14.25" customHeight="1">
      <c r="B16" s="101"/>
      <c r="C16" s="25" t="s">
        <v>114</v>
      </c>
      <c r="D16" s="219">
        <v>17644.270320110074</v>
      </c>
      <c r="E16" s="224">
        <v>17296.25</v>
      </c>
      <c r="F16" s="224">
        <v>17213.509999999998</v>
      </c>
      <c r="G16" s="209">
        <v>16767.57210451</v>
      </c>
      <c r="H16" s="210">
        <v>16620.914269619901</v>
      </c>
      <c r="I16" s="228"/>
      <c r="J16" s="228"/>
      <c r="R16" s="243"/>
      <c r="S16" s="243"/>
      <c r="T16" s="243"/>
      <c r="U16" s="243"/>
      <c r="V16" s="243"/>
      <c r="W16" s="243"/>
      <c r="X16" s="243"/>
    </row>
    <row r="17" spans="2:24" ht="14.25" customHeight="1">
      <c r="B17" s="99"/>
      <c r="C17" s="25" t="s">
        <v>126</v>
      </c>
      <c r="D17" s="219">
        <v>1708.5677545099977</v>
      </c>
      <c r="E17" s="224">
        <v>1402.99</v>
      </c>
      <c r="F17" s="224">
        <v>1347.54</v>
      </c>
      <c r="G17" s="209">
        <v>1338.55</v>
      </c>
      <c r="H17" s="210">
        <v>1211.2784572399983</v>
      </c>
      <c r="I17" s="228"/>
      <c r="J17" s="228"/>
      <c r="R17" s="243"/>
      <c r="S17" s="243"/>
      <c r="T17" s="243"/>
      <c r="U17" s="243"/>
      <c r="V17" s="243"/>
      <c r="W17" s="243"/>
      <c r="X17" s="243"/>
    </row>
    <row r="18" spans="2:24" ht="14.25" customHeight="1">
      <c r="B18" s="99"/>
      <c r="C18" s="211" t="s">
        <v>127</v>
      </c>
      <c r="D18" s="208">
        <v>0</v>
      </c>
      <c r="E18" s="224">
        <v>0</v>
      </c>
      <c r="F18" s="224">
        <v>0</v>
      </c>
      <c r="G18" s="209">
        <v>0</v>
      </c>
      <c r="H18" s="212">
        <v>0</v>
      </c>
      <c r="I18" s="228"/>
      <c r="J18" s="228"/>
      <c r="R18" s="243"/>
      <c r="S18" s="243"/>
      <c r="T18" s="243"/>
      <c r="U18" s="243"/>
      <c r="V18" s="243"/>
      <c r="W18" s="243"/>
      <c r="X18" s="243"/>
    </row>
    <row r="19" spans="2:24" ht="14.25" customHeight="1">
      <c r="B19" s="99"/>
      <c r="C19" s="213" t="s">
        <v>128</v>
      </c>
      <c r="D19" s="216">
        <f>SUM(D6:D18)</f>
        <v>92550.731135340146</v>
      </c>
      <c r="E19" s="225">
        <f>SUM(E6:E18)</f>
        <v>87476.190000000017</v>
      </c>
      <c r="F19" s="225">
        <f>SUM(F6:F18)</f>
        <v>85612.889999999985</v>
      </c>
      <c r="G19" s="225">
        <f>SUM(G6:G18)</f>
        <v>85495.662104509989</v>
      </c>
      <c r="H19" s="225">
        <f>SUM(H6:H18)</f>
        <v>85481.151471819991</v>
      </c>
      <c r="I19" s="228"/>
      <c r="J19" s="230"/>
      <c r="R19" s="243"/>
      <c r="S19" s="243"/>
      <c r="T19" s="243"/>
      <c r="U19" s="243"/>
      <c r="V19" s="243"/>
      <c r="W19" s="243"/>
      <c r="X19" s="243"/>
    </row>
    <row r="20" spans="2:24">
      <c r="C20" s="215"/>
      <c r="D20" s="222"/>
      <c r="E20" s="222"/>
      <c r="F20" s="222"/>
      <c r="G20" s="222"/>
      <c r="H20" s="222"/>
    </row>
    <row r="21" spans="2:24">
      <c r="C21" s="218"/>
      <c r="D21" s="223"/>
      <c r="E21" s="220"/>
      <c r="F21" s="220"/>
      <c r="G21" s="220"/>
      <c r="H21" s="220"/>
    </row>
    <row r="22" spans="2:24">
      <c r="C22" s="218"/>
      <c r="D22" s="223"/>
      <c r="E22" s="220"/>
      <c r="F22" s="220"/>
      <c r="G22" s="220"/>
      <c r="H22" s="220"/>
    </row>
    <row r="23" spans="2:24">
      <c r="C23" s="218"/>
      <c r="D23" s="223"/>
      <c r="E23" s="221"/>
      <c r="F23" s="221"/>
      <c r="G23" s="221"/>
      <c r="H23" s="221"/>
    </row>
    <row r="24" spans="2:24">
      <c r="C24" s="218"/>
      <c r="D24" s="223"/>
      <c r="E24" s="221"/>
      <c r="F24" s="221"/>
      <c r="G24" s="221"/>
      <c r="H24" s="221"/>
    </row>
    <row r="25" spans="2:24">
      <c r="C25" s="215"/>
      <c r="D25" s="222"/>
      <c r="E25" s="217"/>
      <c r="F25" s="217"/>
      <c r="G25" s="217"/>
      <c r="H25" s="217"/>
    </row>
    <row r="26" spans="2:24">
      <c r="C26" s="218"/>
      <c r="D26" s="223"/>
      <c r="E26" s="221"/>
      <c r="F26" s="221"/>
      <c r="G26" s="221"/>
      <c r="H26" s="221"/>
    </row>
    <row r="27" spans="2:24">
      <c r="C27" s="218"/>
      <c r="D27" s="223"/>
      <c r="E27" s="221"/>
      <c r="F27" s="221"/>
      <c r="G27" s="221"/>
      <c r="H27" s="221"/>
    </row>
    <row r="28" spans="2:24">
      <c r="C28" s="215"/>
      <c r="D28" s="222"/>
      <c r="E28" s="217"/>
      <c r="F28" s="217"/>
      <c r="G28" s="217"/>
      <c r="H28" s="217"/>
    </row>
    <row r="37" spans="1:29" ht="15">
      <c r="A37" s="138" t="s">
        <v>504</v>
      </c>
    </row>
    <row r="40" spans="1:29">
      <c r="C40" s="237" t="s">
        <v>231</v>
      </c>
      <c r="D40" s="169" t="s">
        <v>521</v>
      </c>
      <c r="E40" s="170" t="s">
        <v>484</v>
      </c>
      <c r="F40" s="170" t="s">
        <v>409</v>
      </c>
      <c r="G40" s="170" t="s">
        <v>396</v>
      </c>
      <c r="H40" s="170" t="s">
        <v>383</v>
      </c>
    </row>
    <row r="41" spans="1:29">
      <c r="C41" s="214" t="s">
        <v>234</v>
      </c>
      <c r="D41" s="353">
        <f>D19</f>
        <v>92550.731135340146</v>
      </c>
      <c r="E41" s="354">
        <v>85495.662104509989</v>
      </c>
      <c r="F41" s="354">
        <v>85495.662104509989</v>
      </c>
      <c r="G41" s="354">
        <v>85481.151471819991</v>
      </c>
      <c r="H41" s="354">
        <v>79901.205413700009</v>
      </c>
    </row>
    <row r="42" spans="1:29">
      <c r="C42" s="211" t="s">
        <v>236</v>
      </c>
      <c r="D42" s="208">
        <v>12756</v>
      </c>
      <c r="E42" s="351">
        <v>12136.7</v>
      </c>
      <c r="F42" s="351">
        <v>11009.71</v>
      </c>
      <c r="G42" s="352">
        <v>12123.2</v>
      </c>
      <c r="H42" s="352">
        <v>11811.54</v>
      </c>
    </row>
    <row r="43" spans="1:29">
      <c r="C43" s="349" t="s">
        <v>230</v>
      </c>
      <c r="D43" s="216">
        <f>D41-D42</f>
        <v>79794.731135340146</v>
      </c>
      <c r="E43" s="230">
        <f>E41-E42</f>
        <v>73358.962104509992</v>
      </c>
      <c r="F43" s="230">
        <f t="shared" ref="F43:H43" si="0">F41-F42</f>
        <v>74485.952104509983</v>
      </c>
      <c r="G43" s="350">
        <f t="shared" si="0"/>
        <v>73357.951471819993</v>
      </c>
      <c r="H43" s="350">
        <f t="shared" si="0"/>
        <v>68089.665413700015</v>
      </c>
      <c r="J43" s="143"/>
      <c r="K43" s="143"/>
      <c r="L43" s="143"/>
      <c r="M43" s="143"/>
      <c r="N43" s="143"/>
      <c r="O43" s="143"/>
      <c r="P43" s="143"/>
      <c r="Q43" s="143"/>
      <c r="R43" s="143"/>
      <c r="S43" s="143"/>
      <c r="T43" s="143"/>
      <c r="U43" s="143"/>
      <c r="V43" s="143"/>
      <c r="W43" s="143"/>
      <c r="X43" s="143"/>
      <c r="Y43" s="143"/>
      <c r="Z43" s="143"/>
      <c r="AA43" s="143"/>
      <c r="AB43" s="143"/>
      <c r="AC43" s="143"/>
    </row>
    <row r="49" spans="10:29">
      <c r="J49" s="143"/>
      <c r="K49" s="143"/>
      <c r="L49" s="143"/>
      <c r="M49" s="143"/>
      <c r="N49" s="143"/>
      <c r="O49" s="143"/>
      <c r="P49" s="143"/>
      <c r="Q49" s="143"/>
      <c r="R49" s="143"/>
      <c r="S49" s="143"/>
      <c r="T49" s="143"/>
      <c r="U49" s="143"/>
      <c r="V49" s="143"/>
      <c r="W49" s="143"/>
      <c r="X49" s="143"/>
      <c r="Y49" s="143"/>
      <c r="Z49" s="143"/>
      <c r="AA49" s="143"/>
      <c r="AB49" s="143"/>
      <c r="AC49" s="143"/>
    </row>
    <row r="55" spans="10:29">
      <c r="J55" s="143"/>
      <c r="K55" s="143"/>
      <c r="L55" s="143"/>
      <c r="M55" s="143"/>
      <c r="N55" s="143"/>
      <c r="O55" s="143"/>
      <c r="P55" s="143"/>
      <c r="Q55" s="143"/>
      <c r="R55" s="143"/>
      <c r="S55" s="143"/>
      <c r="T55" s="143"/>
      <c r="U55" s="143"/>
      <c r="V55" s="143"/>
      <c r="W55" s="143"/>
      <c r="X55" s="143"/>
      <c r="Y55" s="143"/>
      <c r="Z55" s="143"/>
      <c r="AA55" s="143"/>
      <c r="AB55" s="143"/>
      <c r="AC55" s="143"/>
    </row>
    <row r="58" spans="10:29">
      <c r="J58" s="143"/>
      <c r="K58" s="143"/>
      <c r="L58" s="143"/>
      <c r="M58" s="143"/>
      <c r="N58" s="143"/>
      <c r="O58" s="143"/>
      <c r="P58" s="143"/>
      <c r="Q58" s="143"/>
      <c r="R58" s="143"/>
      <c r="S58" s="143"/>
      <c r="T58" s="143"/>
      <c r="U58" s="143"/>
      <c r="V58" s="143"/>
      <c r="W58" s="143"/>
      <c r="X58" s="143"/>
      <c r="Y58" s="143"/>
      <c r="Z58" s="143"/>
      <c r="AA58" s="143"/>
      <c r="AB58" s="143"/>
      <c r="AC58" s="143"/>
    </row>
  </sheetData>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2:K19"/>
  <sheetViews>
    <sheetView showGridLines="0" zoomScale="85" zoomScaleNormal="85" workbookViewId="0">
      <selection activeCell="A101" sqref="A101"/>
    </sheetView>
  </sheetViews>
  <sheetFormatPr baseColWidth="10" defaultColWidth="11.42578125" defaultRowHeight="12.75"/>
  <cols>
    <col min="2" max="2" width="4.85546875" customWidth="1"/>
    <col min="3" max="3" width="15.140625" bestFit="1" customWidth="1"/>
  </cols>
  <sheetData>
    <row r="2" spans="1:11" ht="15">
      <c r="A2" s="138" t="s">
        <v>505</v>
      </c>
      <c r="B2" s="98"/>
      <c r="C2" s="98"/>
      <c r="D2" s="98"/>
      <c r="E2" s="97"/>
      <c r="F2" s="97"/>
      <c r="G2" s="97"/>
      <c r="H2" s="68"/>
    </row>
    <row r="3" spans="1:11" ht="15">
      <c r="A3" s="138"/>
      <c r="B3" s="98"/>
      <c r="C3" s="98"/>
      <c r="D3" s="98"/>
      <c r="E3" s="97"/>
      <c r="F3" s="97"/>
      <c r="G3" s="97"/>
      <c r="H3" s="68"/>
    </row>
    <row r="4" spans="1:11" ht="15">
      <c r="A4" s="138"/>
      <c r="B4" s="95"/>
      <c r="C4" s="95"/>
      <c r="D4" s="96"/>
      <c r="E4" s="97"/>
      <c r="F4" s="97"/>
      <c r="G4" s="97"/>
      <c r="H4" s="68"/>
    </row>
    <row r="5" spans="1:11" ht="15">
      <c r="A5" s="138"/>
      <c r="B5" s="98"/>
      <c r="C5" s="108" t="s">
        <v>2</v>
      </c>
      <c r="D5" s="169" t="s">
        <v>521</v>
      </c>
      <c r="E5" s="170" t="s">
        <v>484</v>
      </c>
      <c r="F5" s="170" t="s">
        <v>409</v>
      </c>
      <c r="G5" s="170" t="s">
        <v>396</v>
      </c>
      <c r="H5" s="170" t="s">
        <v>383</v>
      </c>
    </row>
    <row r="6" spans="1:11" ht="14.25">
      <c r="A6" s="68"/>
      <c r="B6" s="24"/>
      <c r="C6" s="214" t="s">
        <v>225</v>
      </c>
      <c r="D6" s="219">
        <v>365943</v>
      </c>
      <c r="E6" s="224">
        <v>361482</v>
      </c>
      <c r="F6" s="224">
        <v>365108</v>
      </c>
      <c r="G6" s="209">
        <v>362430</v>
      </c>
      <c r="H6" s="210">
        <v>356575</v>
      </c>
    </row>
    <row r="9" spans="1:11">
      <c r="C9" s="345" t="s">
        <v>226</v>
      </c>
    </row>
    <row r="16" spans="1:11">
      <c r="C16" s="193"/>
      <c r="D16" s="193"/>
      <c r="E16" s="193"/>
      <c r="F16" s="193"/>
      <c r="G16" s="193"/>
      <c r="H16" s="193"/>
      <c r="I16" s="193"/>
      <c r="J16" s="193"/>
      <c r="K16" s="193"/>
    </row>
    <row r="17" spans="3:11">
      <c r="C17" s="193"/>
      <c r="D17" s="405"/>
      <c r="E17" s="405"/>
      <c r="F17" s="405"/>
      <c r="G17" s="405"/>
      <c r="H17" s="405"/>
      <c r="I17" s="405"/>
      <c r="J17" s="193"/>
      <c r="K17" s="193"/>
    </row>
    <row r="18" spans="3:11">
      <c r="C18" s="193"/>
      <c r="D18" s="193"/>
      <c r="E18" s="193"/>
      <c r="F18" s="193"/>
      <c r="G18" s="193"/>
      <c r="H18" s="193"/>
      <c r="I18" s="193"/>
      <c r="J18" s="193"/>
      <c r="K18" s="193"/>
    </row>
    <row r="19" spans="3:11">
      <c r="C19" s="193"/>
      <c r="D19" s="193"/>
      <c r="E19" s="193"/>
      <c r="F19" s="193"/>
      <c r="G19" s="193"/>
      <c r="H19" s="193"/>
      <c r="I19" s="193"/>
      <c r="J19" s="193"/>
      <c r="K19" s="193"/>
    </row>
  </sheetData>
  <sortState xmlns:xlrd2="http://schemas.microsoft.com/office/spreadsheetml/2017/richdata2" columnSort="1" ref="D16:I17">
    <sortCondition descending="1" ref="D16:I16"/>
  </sortState>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B1BD1-AFF1-43F3-B880-30CD674B0B5F}">
  <dimension ref="A2:G13"/>
  <sheetViews>
    <sheetView showGridLines="0" zoomScale="85" zoomScaleNormal="85" workbookViewId="0">
      <selection activeCell="A83" sqref="A83"/>
    </sheetView>
  </sheetViews>
  <sheetFormatPr baseColWidth="10" defaultColWidth="11.42578125" defaultRowHeight="12.75"/>
  <cols>
    <col min="1" max="1" width="9.85546875" customWidth="1"/>
    <col min="2" max="2" width="50.28515625" bestFit="1" customWidth="1"/>
    <col min="3" max="3" width="9.42578125" customWidth="1"/>
    <col min="4" max="4" width="10.28515625" customWidth="1"/>
    <col min="5" max="5" width="11.28515625" customWidth="1"/>
    <col min="6" max="6" width="19.7109375" customWidth="1"/>
    <col min="7" max="7" width="12" customWidth="1"/>
  </cols>
  <sheetData>
    <row r="2" spans="1:7" ht="15">
      <c r="A2" s="138" t="s">
        <v>506</v>
      </c>
    </row>
    <row r="5" spans="1:7" ht="31.5" customHeight="1">
      <c r="B5" s="393"/>
      <c r="C5" s="394" t="s">
        <v>384</v>
      </c>
      <c r="D5" s="394" t="s">
        <v>385</v>
      </c>
      <c r="E5" s="400" t="s">
        <v>485</v>
      </c>
      <c r="F5" s="394" t="s">
        <v>486</v>
      </c>
      <c r="G5" s="400" t="s">
        <v>75</v>
      </c>
    </row>
    <row r="6" spans="1:7">
      <c r="B6" t="s">
        <v>387</v>
      </c>
      <c r="C6" s="395">
        <v>75.262999999999991</v>
      </c>
      <c r="D6" s="395">
        <v>164.34</v>
      </c>
      <c r="E6" s="401">
        <v>239.60300000000001</v>
      </c>
      <c r="F6" s="396">
        <v>85</v>
      </c>
      <c r="G6" s="401">
        <v>320.79000000000002</v>
      </c>
    </row>
    <row r="7" spans="1:7">
      <c r="B7" s="392" t="s">
        <v>388</v>
      </c>
      <c r="C7" s="396">
        <v>414.68</v>
      </c>
      <c r="D7" s="396">
        <v>745.26</v>
      </c>
      <c r="E7" s="401">
        <v>1159.94</v>
      </c>
      <c r="F7" s="396">
        <v>174.4</v>
      </c>
      <c r="G7" s="401">
        <v>1330.527</v>
      </c>
    </row>
    <row r="8" spans="1:7">
      <c r="B8" s="391" t="s">
        <v>389</v>
      </c>
      <c r="C8" s="397">
        <v>59.646999999999991</v>
      </c>
      <c r="D8" s="397">
        <v>102.29300000000001</v>
      </c>
      <c r="E8" s="402">
        <v>161.94</v>
      </c>
      <c r="F8" s="397">
        <v>63.6</v>
      </c>
      <c r="G8" s="402">
        <v>221.727</v>
      </c>
    </row>
    <row r="9" spans="1:7">
      <c r="B9" s="398" t="s">
        <v>390</v>
      </c>
      <c r="C9" s="399">
        <v>141.5848</v>
      </c>
      <c r="D9" s="399">
        <v>274.3193</v>
      </c>
      <c r="E9" s="399">
        <v>415.90410000000003</v>
      </c>
      <c r="F9" s="399">
        <v>100.74</v>
      </c>
      <c r="G9" s="399">
        <v>512.83109999999999</v>
      </c>
    </row>
    <row r="10" spans="1:7">
      <c r="B10" t="s">
        <v>391</v>
      </c>
      <c r="C10" s="395">
        <v>107.64309999999999</v>
      </c>
      <c r="D10" s="403">
        <v>216.22729999999999</v>
      </c>
      <c r="E10" s="401">
        <v>323.87040000000007</v>
      </c>
      <c r="F10" s="396">
        <v>91.8</v>
      </c>
      <c r="G10" s="401">
        <v>411.85740000000004</v>
      </c>
    </row>
    <row r="11" spans="1:7">
      <c r="B11" t="s">
        <v>392</v>
      </c>
      <c r="C11" s="395">
        <v>124.61394999999999</v>
      </c>
      <c r="D11" s="395">
        <v>245.27329999999998</v>
      </c>
      <c r="E11" s="401">
        <v>369.88725000000005</v>
      </c>
      <c r="F11" s="396">
        <v>96.27</v>
      </c>
      <c r="G11" s="401">
        <v>462.34425000000005</v>
      </c>
    </row>
    <row r="12" spans="1:7">
      <c r="B12" t="s">
        <v>393</v>
      </c>
      <c r="C12" s="395">
        <v>158.55564999999999</v>
      </c>
      <c r="D12" s="395">
        <v>303.36530000000005</v>
      </c>
      <c r="E12" s="401">
        <v>461.92095</v>
      </c>
      <c r="F12" s="396">
        <v>105.21</v>
      </c>
      <c r="G12" s="401">
        <v>563.31795</v>
      </c>
    </row>
    <row r="13" spans="1:7">
      <c r="B13" s="391" t="s">
        <v>394</v>
      </c>
      <c r="C13" s="397">
        <v>175.5265</v>
      </c>
      <c r="D13" s="397">
        <v>332.41130000000004</v>
      </c>
      <c r="E13" s="402">
        <v>507.93780000000004</v>
      </c>
      <c r="F13" s="397">
        <v>109.67999999999999</v>
      </c>
      <c r="G13" s="402">
        <v>613.8048</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4.9989318521683403E-2"/>
    <pageSetUpPr fitToPage="1"/>
  </sheetPr>
  <dimension ref="A1:G36"/>
  <sheetViews>
    <sheetView showGridLines="0" zoomScale="140" zoomScaleNormal="140" zoomScaleSheetLayoutView="90" workbookViewId="0">
      <selection activeCell="A68" sqref="A68"/>
    </sheetView>
  </sheetViews>
  <sheetFormatPr baseColWidth="10" defaultColWidth="11.42578125" defaultRowHeight="22.5" customHeight="1"/>
  <cols>
    <col min="1" max="1" width="29.140625" style="89" customWidth="1"/>
    <col min="2" max="2" width="14.7109375" style="89" customWidth="1"/>
    <col min="3" max="3" width="26.28515625" style="89" customWidth="1"/>
    <col min="4" max="4" width="28.5703125" style="89" customWidth="1"/>
    <col min="5" max="6" width="11.5703125" style="89" customWidth="1"/>
    <col min="7" max="16384" width="11.42578125" style="89"/>
  </cols>
  <sheetData>
    <row r="1" spans="1:4" s="72" customFormat="1" ht="22.5" customHeight="1">
      <c r="B1" s="73"/>
    </row>
    <row r="2" spans="1:4" s="77" customFormat="1" ht="26.25">
      <c r="A2" s="74" t="s">
        <v>56</v>
      </c>
      <c r="B2" s="75"/>
      <c r="C2" s="76"/>
      <c r="D2" s="76"/>
    </row>
    <row r="3" spans="1:4" s="78" customFormat="1" ht="12" customHeight="1"/>
    <row r="4" spans="1:4" s="81" customFormat="1" ht="15" customHeight="1">
      <c r="A4" s="79" t="s">
        <v>66</v>
      </c>
      <c r="B4" s="80"/>
    </row>
    <row r="5" spans="1:4" s="83" customFormat="1" ht="12.95" customHeight="1">
      <c r="A5" s="82" t="s">
        <v>65</v>
      </c>
      <c r="B5" s="82"/>
      <c r="C5" s="88" t="s">
        <v>132</v>
      </c>
      <c r="D5" s="88" t="s">
        <v>131</v>
      </c>
    </row>
    <row r="6" spans="1:4" s="78" customFormat="1" ht="12" customHeight="1"/>
    <row r="7" spans="1:4" s="81" customFormat="1" ht="15" customHeight="1">
      <c r="A7" s="79" t="s">
        <v>57</v>
      </c>
      <c r="B7" s="80"/>
    </row>
    <row r="8" spans="1:4" s="83" customFormat="1" ht="12.95" customHeight="1">
      <c r="A8" s="84" t="s">
        <v>63</v>
      </c>
      <c r="B8" s="84"/>
      <c r="C8" s="84" t="s">
        <v>64</v>
      </c>
      <c r="D8" s="85" t="s">
        <v>62</v>
      </c>
    </row>
    <row r="9" spans="1:4" s="83" customFormat="1" ht="12.95" customHeight="1">
      <c r="A9" s="84" t="s">
        <v>94</v>
      </c>
      <c r="B9" s="84"/>
      <c r="C9" s="82" t="s">
        <v>95</v>
      </c>
      <c r="D9" s="85" t="s">
        <v>96</v>
      </c>
    </row>
    <row r="10" spans="1:4" s="83" customFormat="1" ht="12.95" customHeight="1">
      <c r="A10" s="82"/>
      <c r="B10" s="82"/>
      <c r="C10" s="82"/>
      <c r="D10" s="86"/>
    </row>
    <row r="11" spans="1:4" s="78" customFormat="1" ht="12" customHeight="1"/>
    <row r="12" spans="1:4" s="81" customFormat="1" ht="15" customHeight="1">
      <c r="A12" s="79" t="s">
        <v>58</v>
      </c>
      <c r="B12" s="80"/>
      <c r="D12" s="87"/>
    </row>
    <row r="13" spans="1:4" s="83" customFormat="1" ht="12.95" customHeight="1">
      <c r="A13" s="82" t="s">
        <v>69</v>
      </c>
      <c r="B13" s="82"/>
      <c r="C13" s="82"/>
      <c r="D13" s="87"/>
    </row>
    <row r="14" spans="1:4" s="83" customFormat="1" ht="12.95" customHeight="1">
      <c r="A14" s="82" t="s">
        <v>68</v>
      </c>
      <c r="B14" s="82"/>
      <c r="C14" s="82"/>
      <c r="D14" s="87"/>
    </row>
    <row r="15" spans="1:4" s="78" customFormat="1" ht="12" customHeight="1"/>
    <row r="16" spans="1:4" s="81" customFormat="1" ht="15" customHeight="1">
      <c r="A16" s="79" t="s">
        <v>59</v>
      </c>
      <c r="B16" s="80"/>
      <c r="D16" s="87"/>
    </row>
    <row r="17" spans="1:7" s="83" customFormat="1" ht="12.95" customHeight="1">
      <c r="A17" s="88" t="s">
        <v>67</v>
      </c>
      <c r="B17" s="82"/>
      <c r="C17" s="82"/>
      <c r="D17" s="87"/>
    </row>
    <row r="18" spans="1:7" s="83" customFormat="1" ht="12.95" customHeight="1">
      <c r="A18" s="82"/>
      <c r="B18" s="82"/>
      <c r="C18" s="82"/>
      <c r="D18" s="87"/>
    </row>
    <row r="19" spans="1:7" s="81" customFormat="1" ht="15" customHeight="1">
      <c r="A19" s="79" t="s">
        <v>60</v>
      </c>
      <c r="B19" s="80"/>
    </row>
    <row r="20" spans="1:7" s="83" customFormat="1" ht="12.95" customHeight="1">
      <c r="A20" s="82" t="s">
        <v>137</v>
      </c>
      <c r="B20" s="247" t="s">
        <v>138</v>
      </c>
      <c r="C20" s="82"/>
      <c r="D20" s="87"/>
    </row>
    <row r="21" spans="1:7" ht="30" customHeight="1"/>
    <row r="22" spans="1:7" s="91" customFormat="1" ht="26.25">
      <c r="A22" s="74" t="s">
        <v>61</v>
      </c>
      <c r="B22" s="75"/>
      <c r="C22" s="90"/>
      <c r="D22" s="76"/>
    </row>
    <row r="23" spans="1:7" ht="9" customHeight="1"/>
    <row r="24" spans="1:7" ht="15" customHeight="1">
      <c r="A24" s="372">
        <v>2021</v>
      </c>
    </row>
    <row r="25" spans="1:7" s="83" customFormat="1" ht="12.95" customHeight="1">
      <c r="A25" s="359" t="s">
        <v>398</v>
      </c>
      <c r="B25" s="360" t="s">
        <v>399</v>
      </c>
      <c r="C25" s="82"/>
      <c r="D25" s="87"/>
      <c r="E25" s="93"/>
    </row>
    <row r="26" spans="1:7" s="83" customFormat="1" ht="12.95" customHeight="1">
      <c r="A26" s="359" t="s">
        <v>400</v>
      </c>
      <c r="B26" s="360" t="s">
        <v>401</v>
      </c>
      <c r="C26" s="82"/>
      <c r="D26" s="87"/>
      <c r="E26" s="92"/>
    </row>
    <row r="27" spans="1:7" s="83" customFormat="1" ht="12.95" customHeight="1">
      <c r="A27" s="359" t="s">
        <v>411</v>
      </c>
      <c r="B27" s="360" t="s">
        <v>410</v>
      </c>
      <c r="C27" s="82"/>
      <c r="D27" s="87"/>
      <c r="E27" s="92"/>
    </row>
    <row r="28" spans="1:7" s="83" customFormat="1" ht="12.95" customHeight="1">
      <c r="A28" s="359" t="s">
        <v>413</v>
      </c>
      <c r="B28" s="360" t="s">
        <v>412</v>
      </c>
      <c r="C28" s="82"/>
      <c r="D28" s="87"/>
      <c r="E28" s="92"/>
    </row>
    <row r="29" spans="1:7" s="83" customFormat="1" ht="12.95" customHeight="1">
      <c r="A29" s="359" t="s">
        <v>415</v>
      </c>
      <c r="B29" s="360" t="s">
        <v>414</v>
      </c>
      <c r="C29" s="82"/>
      <c r="D29" s="87"/>
      <c r="E29" s="92"/>
    </row>
    <row r="30" spans="1:7" s="83" customFormat="1" ht="12.95" customHeight="1">
      <c r="A30" s="359" t="s">
        <v>403</v>
      </c>
      <c r="B30" s="360" t="s">
        <v>402</v>
      </c>
      <c r="C30" s="82"/>
      <c r="D30" s="87"/>
      <c r="G30" s="92"/>
    </row>
    <row r="31" spans="1:7" s="83" customFormat="1" ht="12.95" customHeight="1">
      <c r="A31" s="92" t="s">
        <v>404</v>
      </c>
      <c r="B31" s="84" t="s">
        <v>406</v>
      </c>
      <c r="C31" s="82"/>
      <c r="D31" s="87"/>
      <c r="G31" s="92"/>
    </row>
    <row r="32" spans="1:7" s="83" customFormat="1" ht="12.95" customHeight="1">
      <c r="A32" s="92" t="s">
        <v>405</v>
      </c>
      <c r="B32" s="84" t="s">
        <v>407</v>
      </c>
      <c r="C32" s="82"/>
      <c r="D32" s="87"/>
      <c r="G32" s="92"/>
    </row>
    <row r="33" spans="1:7" s="83" customFormat="1" ht="12.95" customHeight="1">
      <c r="A33" s="92"/>
      <c r="B33" s="84"/>
      <c r="C33" s="82"/>
      <c r="D33" s="87"/>
      <c r="F33" s="89"/>
      <c r="G33" s="89"/>
    </row>
    <row r="34" spans="1:7" s="83" customFormat="1" ht="12.95" customHeight="1">
      <c r="A34" s="92"/>
      <c r="B34" s="84"/>
      <c r="C34" s="82"/>
      <c r="D34" s="87"/>
      <c r="F34" s="89"/>
      <c r="G34" s="89"/>
    </row>
    <row r="35" spans="1:7" s="83" customFormat="1" ht="19.5" customHeight="1">
      <c r="A35" s="82"/>
      <c r="B35" s="82"/>
      <c r="C35" s="93"/>
      <c r="D35" s="87"/>
      <c r="F35" s="89"/>
      <c r="G35" s="89"/>
    </row>
    <row r="36" spans="1:7" ht="21" customHeight="1">
      <c r="A36" s="471"/>
      <c r="B36" s="471"/>
      <c r="C36" s="471"/>
      <c r="D36" s="471"/>
    </row>
  </sheetData>
  <mergeCells count="1">
    <mergeCell ref="A36:D36"/>
  </mergeCells>
  <hyperlinks>
    <hyperlink ref="B20" r:id="rId1" xr:uid="{00000000-0004-0000-0100-000000000000}"/>
  </hyperlinks>
  <pageMargins left="0.70866141732283472" right="0.70866141732283472" top="0.6692913385826772" bottom="0.59055118110236227" header="0.51181102362204722" footer="0.51181102362204722"/>
  <pageSetup paperSize="9" scale="95" fitToHeight="0" orientation="portrait" r:id="rId2"/>
  <headerFooter scaleWithDoc="0"/>
  <ignoredErrors>
    <ignoredError sqref="A1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1">
    <pageSetUpPr fitToPage="1"/>
  </sheetPr>
  <dimension ref="A1:E58"/>
  <sheetViews>
    <sheetView showGridLines="0" zoomScaleNormal="100" zoomScaleSheetLayoutView="90" workbookViewId="0">
      <selection activeCell="B129" sqref="B129"/>
    </sheetView>
  </sheetViews>
  <sheetFormatPr baseColWidth="10" defaultColWidth="11.42578125" defaultRowHeight="12.75"/>
  <cols>
    <col min="1" max="1" width="4.7109375" style="7" customWidth="1"/>
    <col min="2" max="2" width="4.7109375" style="3" customWidth="1"/>
    <col min="3" max="3" width="86.140625" style="4" bestFit="1" customWidth="1"/>
    <col min="4" max="16384" width="11.42578125" style="3"/>
  </cols>
  <sheetData>
    <row r="1" spans="1:4" s="1" customFormat="1" ht="18.75" customHeight="1">
      <c r="A1" s="8"/>
      <c r="B1" s="9"/>
      <c r="C1" s="10"/>
    </row>
    <row r="2" spans="1:4" ht="18.75" customHeight="1">
      <c r="B2" s="2" t="s">
        <v>5</v>
      </c>
      <c r="C2" s="11"/>
    </row>
    <row r="3" spans="1:4" ht="14.25" customHeight="1">
      <c r="A3" s="12"/>
      <c r="B3" s="17" t="s">
        <v>4</v>
      </c>
      <c r="C3" s="18" t="s">
        <v>3</v>
      </c>
    </row>
    <row r="4" spans="1:4" ht="14.25" customHeight="1">
      <c r="A4" s="12"/>
      <c r="B4" s="357"/>
      <c r="C4" s="176" t="s">
        <v>238</v>
      </c>
    </row>
    <row r="5" spans="1:4" ht="14.25" customHeight="1">
      <c r="A5" s="12"/>
      <c r="B5" s="176">
        <v>1</v>
      </c>
      <c r="C5" s="176" t="s">
        <v>133</v>
      </c>
    </row>
    <row r="6" spans="1:4" ht="14.25" customHeight="1">
      <c r="A6" s="12"/>
      <c r="B6" s="176"/>
      <c r="C6" s="176" t="s">
        <v>218</v>
      </c>
      <c r="D6" s="317"/>
    </row>
    <row r="7" spans="1:4" ht="14.25" customHeight="1">
      <c r="A7" s="12"/>
      <c r="B7" s="176"/>
      <c r="C7" s="176" t="s">
        <v>219</v>
      </c>
      <c r="D7" s="317"/>
    </row>
    <row r="8" spans="1:4" ht="14.25" customHeight="1">
      <c r="A8" s="12"/>
      <c r="B8" s="176"/>
      <c r="C8" s="176" t="s">
        <v>220</v>
      </c>
      <c r="D8" s="317"/>
    </row>
    <row r="9" spans="1:4" ht="14.25" customHeight="1">
      <c r="A9" s="12"/>
      <c r="B9" s="176"/>
      <c r="C9" s="176" t="s">
        <v>221</v>
      </c>
      <c r="D9" s="317"/>
    </row>
    <row r="10" spans="1:4" ht="14.25" customHeight="1">
      <c r="A10" s="12"/>
      <c r="B10" s="176"/>
      <c r="C10" s="176" t="s">
        <v>367</v>
      </c>
      <c r="D10" s="317"/>
    </row>
    <row r="11" spans="1:4" ht="14.25" customHeight="1">
      <c r="A11" s="12"/>
      <c r="B11" s="176"/>
      <c r="C11" s="176" t="s">
        <v>368</v>
      </c>
      <c r="D11" s="317"/>
    </row>
    <row r="12" spans="1:4" ht="14.25" customHeight="1">
      <c r="A12" s="12"/>
      <c r="B12" s="176"/>
      <c r="C12" s="176" t="s">
        <v>369</v>
      </c>
      <c r="D12" s="317"/>
    </row>
    <row r="13" spans="1:4" ht="14.25" customHeight="1">
      <c r="A13" s="12"/>
      <c r="B13" s="176"/>
      <c r="C13" s="176" t="s">
        <v>345</v>
      </c>
      <c r="D13" s="317"/>
    </row>
    <row r="14" spans="1:4" ht="14.25" customHeight="1">
      <c r="A14" s="12"/>
      <c r="B14" s="176"/>
      <c r="C14" s="176" t="s">
        <v>346</v>
      </c>
      <c r="D14" s="317"/>
    </row>
    <row r="15" spans="1:4" ht="14.25" customHeight="1">
      <c r="A15" s="12"/>
      <c r="B15" s="176"/>
      <c r="C15" s="176" t="s">
        <v>347</v>
      </c>
      <c r="D15" s="317"/>
    </row>
    <row r="16" spans="1:4" ht="14.25" customHeight="1">
      <c r="A16" s="12"/>
      <c r="B16" s="176"/>
      <c r="C16" s="176" t="s">
        <v>348</v>
      </c>
      <c r="D16" s="317"/>
    </row>
    <row r="17" spans="1:4" ht="14.25" customHeight="1">
      <c r="A17" s="12"/>
      <c r="B17" s="176"/>
      <c r="C17" s="176" t="s">
        <v>349</v>
      </c>
      <c r="D17" s="317"/>
    </row>
    <row r="18" spans="1:4" ht="14.25" customHeight="1">
      <c r="A18" s="12"/>
      <c r="B18" s="176"/>
      <c r="C18" s="176" t="s">
        <v>350</v>
      </c>
      <c r="D18" s="317"/>
    </row>
    <row r="19" spans="1:4" ht="14.25" customHeight="1">
      <c r="A19" s="12"/>
      <c r="B19" s="176"/>
      <c r="C19" s="365" t="s">
        <v>351</v>
      </c>
      <c r="D19" s="317"/>
    </row>
    <row r="20" spans="1:4" ht="14.25" customHeight="1">
      <c r="A20" s="12"/>
      <c r="B20" s="176"/>
      <c r="C20" s="365" t="s">
        <v>352</v>
      </c>
      <c r="D20" s="317"/>
    </row>
    <row r="21" spans="1:4" ht="14.25" customHeight="1">
      <c r="A21" s="12"/>
      <c r="B21" s="176"/>
      <c r="C21" s="176" t="s">
        <v>353</v>
      </c>
      <c r="D21" s="176"/>
    </row>
    <row r="22" spans="1:4" ht="14.25" customHeight="1">
      <c r="A22" s="12"/>
      <c r="B22" s="176"/>
      <c r="C22" s="176" t="s">
        <v>354</v>
      </c>
      <c r="D22" s="252"/>
    </row>
    <row r="23" spans="1:4" ht="14.25" customHeight="1">
      <c r="A23" s="12"/>
      <c r="B23" s="176"/>
      <c r="C23" s="176" t="s">
        <v>355</v>
      </c>
      <c r="D23" s="322"/>
    </row>
    <row r="24" spans="1:4" ht="14.25" customHeight="1">
      <c r="A24" s="12"/>
      <c r="B24" s="176"/>
      <c r="C24" s="176" t="s">
        <v>356</v>
      </c>
      <c r="D24" s="323"/>
    </row>
    <row r="25" spans="1:4" ht="14.25" customHeight="1">
      <c r="A25" s="12"/>
      <c r="B25" s="176"/>
      <c r="C25" s="176" t="s">
        <v>357</v>
      </c>
      <c r="D25" s="323"/>
    </row>
    <row r="26" spans="1:4" ht="14.25" customHeight="1">
      <c r="A26" s="12"/>
      <c r="B26" s="176"/>
      <c r="C26" s="176" t="s">
        <v>358</v>
      </c>
      <c r="D26" s="323"/>
    </row>
    <row r="27" spans="1:4" ht="14.25" customHeight="1">
      <c r="A27" s="12"/>
      <c r="B27" s="176"/>
      <c r="C27" s="176" t="s">
        <v>359</v>
      </c>
      <c r="D27" s="323"/>
    </row>
    <row r="28" spans="1:4" ht="14.25" customHeight="1">
      <c r="A28" s="12"/>
      <c r="B28" s="176"/>
      <c r="C28" s="176" t="s">
        <v>360</v>
      </c>
      <c r="D28" s="323"/>
    </row>
    <row r="29" spans="1:4" ht="14.25" customHeight="1">
      <c r="A29" s="12"/>
      <c r="B29" s="176"/>
      <c r="C29" s="176" t="s">
        <v>361</v>
      </c>
      <c r="D29" s="323"/>
    </row>
    <row r="30" spans="1:4" ht="14.25" customHeight="1">
      <c r="A30" s="12"/>
      <c r="B30" s="176"/>
      <c r="C30" s="176" t="s">
        <v>362</v>
      </c>
      <c r="D30" s="323"/>
    </row>
    <row r="31" spans="1:4" ht="14.25" customHeight="1">
      <c r="A31" s="12"/>
      <c r="B31" s="176"/>
      <c r="C31" s="176" t="s">
        <v>363</v>
      </c>
      <c r="D31" s="323"/>
    </row>
    <row r="32" spans="1:4" ht="14.25" customHeight="1">
      <c r="A32" s="12"/>
      <c r="B32" s="176"/>
      <c r="C32" s="176" t="s">
        <v>364</v>
      </c>
      <c r="D32" s="323"/>
    </row>
    <row r="33" spans="1:5" ht="14.25" customHeight="1">
      <c r="A33" s="12"/>
      <c r="B33" s="176"/>
      <c r="C33" s="176" t="s">
        <v>365</v>
      </c>
      <c r="D33" s="323"/>
    </row>
    <row r="34" spans="1:5" ht="14.25" customHeight="1">
      <c r="A34" s="12"/>
      <c r="B34" s="176"/>
      <c r="C34" s="176" t="s">
        <v>366</v>
      </c>
      <c r="D34" s="323"/>
    </row>
    <row r="35" spans="1:5" s="6" customFormat="1" ht="16.5" customHeight="1">
      <c r="A35" s="5"/>
      <c r="B35" s="176">
        <v>2</v>
      </c>
      <c r="C35" s="176" t="s">
        <v>11</v>
      </c>
      <c r="E35" s="3"/>
    </row>
    <row r="36" spans="1:5" s="6" customFormat="1" ht="16.5" customHeight="1">
      <c r="A36" s="5"/>
      <c r="B36" s="176">
        <v>3</v>
      </c>
      <c r="C36" s="176" t="s">
        <v>507</v>
      </c>
      <c r="E36" s="3"/>
    </row>
    <row r="37" spans="1:5" s="6" customFormat="1" ht="16.5" customHeight="1">
      <c r="A37" s="5"/>
      <c r="B37" s="176">
        <v>4</v>
      </c>
      <c r="C37" s="176" t="s">
        <v>508</v>
      </c>
      <c r="E37" s="3"/>
    </row>
    <row r="38" spans="1:5" s="6" customFormat="1" ht="16.5" customHeight="1">
      <c r="A38" s="5"/>
      <c r="B38" s="176">
        <v>5</v>
      </c>
      <c r="C38" s="176" t="s">
        <v>83</v>
      </c>
      <c r="E38" s="3"/>
    </row>
    <row r="39" spans="1:5" s="6" customFormat="1" ht="16.5" customHeight="1">
      <c r="A39" s="5"/>
      <c r="B39" s="318"/>
      <c r="C39" s="319" t="s">
        <v>493</v>
      </c>
      <c r="D39" s="3"/>
      <c r="E39" s="3"/>
    </row>
    <row r="40" spans="1:5" s="6" customFormat="1" ht="16.5" customHeight="1">
      <c r="A40" s="5"/>
      <c r="B40" s="318"/>
      <c r="C40" s="319" t="s">
        <v>494</v>
      </c>
      <c r="D40" s="3"/>
      <c r="E40" s="3"/>
    </row>
    <row r="41" spans="1:5" s="6" customFormat="1" ht="16.5" customHeight="1">
      <c r="A41" s="5"/>
      <c r="B41" s="318"/>
      <c r="C41" s="319" t="s">
        <v>495</v>
      </c>
      <c r="D41" s="3"/>
      <c r="E41" s="3"/>
    </row>
    <row r="42" spans="1:5" s="6" customFormat="1" ht="16.5" customHeight="1">
      <c r="A42" s="5"/>
      <c r="B42" s="318"/>
      <c r="C42" s="319" t="s">
        <v>496</v>
      </c>
      <c r="D42" s="3"/>
      <c r="E42" s="3"/>
    </row>
    <row r="43" spans="1:5" s="6" customFormat="1" ht="16.5" customHeight="1">
      <c r="A43" s="450"/>
      <c r="B43" s="320">
        <v>6</v>
      </c>
      <c r="C43" s="320" t="s">
        <v>84</v>
      </c>
      <c r="E43" s="3"/>
    </row>
    <row r="44" spans="1:5" s="6" customFormat="1" ht="16.5" customHeight="1">
      <c r="A44" s="5"/>
      <c r="B44" s="318"/>
      <c r="C44" s="320" t="s">
        <v>497</v>
      </c>
      <c r="D44" s="3"/>
      <c r="E44" s="3"/>
    </row>
    <row r="45" spans="1:5" s="6" customFormat="1" ht="16.5" customHeight="1">
      <c r="A45" s="5"/>
      <c r="B45" s="318"/>
      <c r="C45" s="320" t="s">
        <v>498</v>
      </c>
      <c r="D45" s="3"/>
      <c r="E45" s="3"/>
    </row>
    <row r="46" spans="1:5" s="6" customFormat="1" ht="16.5" customHeight="1">
      <c r="A46" s="5"/>
      <c r="B46" s="320">
        <v>7</v>
      </c>
      <c r="C46" s="320" t="s">
        <v>85</v>
      </c>
      <c r="D46" s="3"/>
      <c r="E46" s="3"/>
    </row>
    <row r="47" spans="1:5" s="6" customFormat="1" ht="16.5" customHeight="1">
      <c r="A47" s="5"/>
      <c r="B47" s="318"/>
      <c r="C47" s="320" t="s">
        <v>499</v>
      </c>
      <c r="D47" s="3"/>
      <c r="E47" s="3"/>
    </row>
    <row r="48" spans="1:5" s="6" customFormat="1" ht="16.5" customHeight="1">
      <c r="A48" s="5"/>
      <c r="B48" s="318"/>
      <c r="C48" s="320" t="s">
        <v>500</v>
      </c>
      <c r="D48" s="3"/>
      <c r="E48" s="3"/>
    </row>
    <row r="49" spans="1:5" s="6" customFormat="1" ht="16.5" customHeight="1">
      <c r="A49" s="5"/>
      <c r="B49" s="320">
        <v>8</v>
      </c>
      <c r="C49" s="320" t="s">
        <v>129</v>
      </c>
      <c r="E49" s="3"/>
    </row>
    <row r="50" spans="1:5" s="6" customFormat="1" ht="16.5" customHeight="1">
      <c r="A50" s="5"/>
      <c r="B50" s="318"/>
      <c r="C50" s="320" t="s">
        <v>501</v>
      </c>
      <c r="D50" s="3"/>
      <c r="E50" s="3"/>
    </row>
    <row r="51" spans="1:5" s="6" customFormat="1" ht="16.5" customHeight="1">
      <c r="A51" s="5"/>
      <c r="B51" s="318"/>
      <c r="C51" s="320" t="s">
        <v>502</v>
      </c>
      <c r="D51" s="3"/>
      <c r="E51" s="3"/>
    </row>
    <row r="52" spans="1:5" s="6" customFormat="1" ht="16.5" customHeight="1">
      <c r="A52" s="5"/>
      <c r="B52" s="320">
        <v>9</v>
      </c>
      <c r="C52" s="320" t="s">
        <v>130</v>
      </c>
      <c r="D52" s="3"/>
      <c r="E52" s="3"/>
    </row>
    <row r="53" spans="1:5" s="6" customFormat="1" ht="16.5" customHeight="1">
      <c r="A53" s="5"/>
      <c r="B53" s="318"/>
      <c r="C53" s="320" t="s">
        <v>503</v>
      </c>
      <c r="E53" s="3"/>
    </row>
    <row r="54" spans="1:5" s="6" customFormat="1" ht="16.5" customHeight="1">
      <c r="A54" s="5"/>
      <c r="B54" s="318"/>
      <c r="C54" s="320" t="s">
        <v>504</v>
      </c>
      <c r="D54" s="3"/>
      <c r="E54" s="3"/>
    </row>
    <row r="55" spans="1:5">
      <c r="B55" s="320">
        <v>10</v>
      </c>
      <c r="C55" s="320" t="s">
        <v>227</v>
      </c>
    </row>
    <row r="56" spans="1:5">
      <c r="B56" s="318"/>
      <c r="C56" s="320" t="s">
        <v>505</v>
      </c>
    </row>
    <row r="57" spans="1:5">
      <c r="B57" s="320">
        <v>11</v>
      </c>
      <c r="C57" s="320" t="s">
        <v>386</v>
      </c>
    </row>
    <row r="58" spans="1:5">
      <c r="C58" s="320" t="s">
        <v>506</v>
      </c>
    </row>
  </sheetData>
  <hyperlinks>
    <hyperlink ref="C38" location="'3 Income'!A1" display="Income" xr:uid="{00000000-0004-0000-0200-000000000000}"/>
    <hyperlink ref="C43" location="'4 Expences'!A1" display="Expences" xr:uid="{00000000-0004-0000-0200-000001000000}"/>
    <hyperlink ref="C46" location="'5 Margins'!A1" display="Margins" xr:uid="{00000000-0004-0000-0200-000002000000}"/>
    <hyperlink ref="C49" location="'6 Lending'!A2" display="Lending" xr:uid="{00000000-0004-0000-0200-000003000000}"/>
    <hyperlink ref="C52" location="'7 Deposits'!A2" display="Deposits" xr:uid="{00000000-0004-0000-0200-000004000000}"/>
    <hyperlink ref="C39" location="'5 Income'!A2" display="5.1 Net interest income and commissionfees from covered bonds companies" xr:uid="{00000000-0004-0000-0200-000005000000}"/>
    <hyperlink ref="C40" location="'5 Income'!A43" display="5.2 Net commision and other income" xr:uid="{00000000-0004-0000-0200-000006000000}"/>
    <hyperlink ref="C41" location="'5 Income'!A90" display="5.3 Net income from financial assets and liabilities" xr:uid="{00000000-0004-0000-0200-000007000000}"/>
    <hyperlink ref="C42" location="'5 Income'!A103" display="5.4 Specification of the consolidated profit after tax in NOK millions:" xr:uid="{00000000-0004-0000-0200-000008000000}"/>
    <hyperlink ref="C44" location="'6 Expences'!A2" display="6.1 Expences Group" xr:uid="{00000000-0004-0000-0200-000009000000}"/>
    <hyperlink ref="C45" location="'6 Expences'!A44" display="6.2 Expences Parent bank (adjusted)" xr:uid="{00000000-0004-0000-0200-00000A000000}"/>
    <hyperlink ref="C47" location="'7 Margins'!A2" display="7.1 Deposit margins" xr:uid="{00000000-0004-0000-0200-00000B000000}"/>
    <hyperlink ref="C48" location="'7 Margins'!A31" display="7.2 Lending margins" xr:uid="{00000000-0004-0000-0200-00000C000000}"/>
    <hyperlink ref="C50" location="'8 Lending'!A2" display="8.1 Development in volumes - Loans to customers" xr:uid="{00000000-0004-0000-0200-00000D000000}"/>
    <hyperlink ref="C53" location="'9 Deposits'!A2" display="9.1 Development in volumes - Deposits from customers" xr:uid="{00000000-0004-0000-0200-00000E000000}"/>
    <hyperlink ref="B35" location="'2 Results and key figures'!A1" display="'2 Results and key figures'!A1" xr:uid="{00000000-0004-0000-0200-00000F000000}"/>
    <hyperlink ref="B38" location="'3 Income'!A1" display="'3 Income'!A1" xr:uid="{00000000-0004-0000-0200-000010000000}"/>
    <hyperlink ref="B43" location="'4 Expences'!A1" display="'4 Expences'!A1" xr:uid="{00000000-0004-0000-0200-000011000000}"/>
    <hyperlink ref="B46" location="'5 Margins'!A1" display="'5 Margins'!A1" xr:uid="{00000000-0004-0000-0200-000012000000}"/>
    <hyperlink ref="B49" location="'6 Lending'!A1" display="'6 Lending'!A1" xr:uid="{00000000-0004-0000-0200-000013000000}"/>
    <hyperlink ref="B52" location="'7 Deposits'!A1" display="'7 Deposits'!A1" xr:uid="{00000000-0004-0000-0200-000014000000}"/>
    <hyperlink ref="C5" location="'1 APM'!A2" display="APM" xr:uid="{00000000-0004-0000-0200-000015000000}"/>
    <hyperlink ref="C35" location="'2 Results and key figures'!A1" display="Results from the quarterly accounts Group" xr:uid="{00000000-0004-0000-0200-00002A000000}"/>
    <hyperlink ref="B5" location="'1 APM'!A1" display="'1 APM'!A1" xr:uid="{00000000-0004-0000-0200-00002B000000}"/>
    <hyperlink ref="C55" location="'9 Customers'!A2" display="Customers" xr:uid="{00000000-0004-0000-0200-00002C000000}"/>
    <hyperlink ref="C56" location="'10 Customers'!A2" display="10.1 Number of customers" xr:uid="{00000000-0004-0000-0200-00002D000000}"/>
    <hyperlink ref="B55" location="'9 Customers'!A1" display="'9 Customers'!A1" xr:uid="{00000000-0004-0000-0200-00002E000000}"/>
    <hyperlink ref="C54" location="'9 Deposits'!A37" display="9.2 Deposits sensitive to changes in the NIBOR rate" xr:uid="{00000000-0004-0000-0200-00002F000000}"/>
    <hyperlink ref="C51" location="'8 Lending'!A39" display="8.2 Loans sensitive to changes in the NIBOR rate" xr:uid="{00000000-0004-0000-0200-000030000000}"/>
    <hyperlink ref="C4" location="'APM definition'!A1" display="APM definition" xr:uid="{00000000-0004-0000-0200-000031000000}"/>
    <hyperlink ref="C21:D21" location="'1 APM'!A98" display="1.13 Gross defaulted commitments in percentage of gross loans" xr:uid="{00000000-0004-0000-0200-000034000000}"/>
    <hyperlink ref="C6" location="'1 APM'!A29" display="1.1 Return on equity capital " xr:uid="{E3722757-0BDA-444D-BB1B-2483C1964C80}"/>
    <hyperlink ref="C7" location="'1 APM'!A34" display="1.2 Cost-income-ratio " xr:uid="{B4C07C9C-F939-46B7-9B92-B3899B8274CC}"/>
    <hyperlink ref="C8" location="'1 APM'!A39" display="1.3 Gross loans including loans transferred to covered bond companies" xr:uid="{B76C108B-7C0D-4A53-9AE9-75B112E1DA2C}"/>
    <hyperlink ref="C9" location="'1 APM'!A45" display="1.4 Growth in loans during the last 12 months in per cent" xr:uid="{B0AE1687-E2C8-4420-A3EB-BE5BC09319B9}"/>
    <hyperlink ref="C10" location="'1 APM'!A52" display="1.5 Growth in loans incl. Loans transferred to CB companies during last 12 months" xr:uid="{594C6DA9-293D-49AE-A6C8-1B268277B8CB}"/>
    <hyperlink ref="C11" location="'1 APM'!A59" display="1.6 Growth in loans during the last quarter" xr:uid="{82274E70-4E5E-41C7-9BEE-0DBDDE4AB161}"/>
    <hyperlink ref="C12" location="'1 APM'!A66" display="1.7 Growth in loans incl. Loans transferred to covered bond companies during the last  quarter" xr:uid="{6B05C0CB-CEDE-49BA-8612-3597F96DAAB7}"/>
    <hyperlink ref="C13" location="'1 APM'!A71" display="1.8 Cost-income-ratio" xr:uid="{E22494B3-DB5D-4F1B-8B34-3D1D9A0623A9}"/>
    <hyperlink ref="C14" location="'1 APM'!A76" display="1.9 Cost-income-ratio incl. loans transferred to covered bond companies" xr:uid="{5710A2E9-D27B-4182-A120-84F2AF84A5DE}"/>
    <hyperlink ref="C15" location="Contents!A83" display="1.9 Growth in deposits in the last 12 months in per cent" xr:uid="{F7A932A0-3418-4D55-B015-EEE8329CF936}"/>
    <hyperlink ref="C16" location="'1 APM'!A90" display="1.10 Growth in deposits in the last 12 months in per cent" xr:uid="{C3D84BD5-04F5-4572-8D63-78C70EBB4D7F}"/>
    <hyperlink ref="C17" location="'1 APM'!A100" display="1.11 Total assets incl. Loans transferred to CB companies (Business capital)" xr:uid="{22072175-6277-4D80-8358-71B6E7B597B4}"/>
    <hyperlink ref="C18" location="'1 APM'!A107" display="1.12 Losses on loans and guarantees as a percentageof gross loans" xr:uid="{15D36DFA-B9FD-4AE7-AFD0-16B0A63F9AF2}"/>
    <hyperlink ref="C19" location="'1 APM'!A111" display="1.13 Loans and advances to customers at Stage 2 in percentage of gross loans" xr:uid="{1531F525-5BFF-45F5-ACE5-16E5C88F8655}"/>
    <hyperlink ref="C20" location="'1 APM'!A115" display="1.14 Loans and advances to customers at Stage 3 in percentage of gross loans" xr:uid="{8E1E3436-ACCE-4F3E-87D6-8B7C33430673}"/>
    <hyperlink ref="C21" location="'1 APM'!A19" display="1.15 Gross defaulted commitments in percentage of gross loans" xr:uid="{E641596C-8AA9-4771-BA38-0A9AAB9D0A7C}"/>
    <hyperlink ref="C22" location="'1 APM'!A123" display="1.16 Gross doubtful commitments (not in default) in percentage of gross loans" xr:uid="{98D40E90-C15B-463F-9A18-C01125EFC300}"/>
    <hyperlink ref="C23" location="'1 APM'!A129" display="1.17 Net commitments in default and other doutful commitments" xr:uid="{6C6FB1E6-800E-41B8-956E-1CCF67A38FBA}"/>
    <hyperlink ref="C24" location="'1 APM'!A134" display="1.18 Loan loss impairment ratio on defaulted commitments" xr:uid="{62E11BE3-E3DC-4576-A209-124005BB70C6}"/>
    <hyperlink ref="C25" location="'1 APM'!A138" display="1.19 Loan loss impairment ratio on doubtful commitments" xr:uid="{DD593CAE-5D85-4EF1-A45A-3FD77DCD08E1}"/>
    <hyperlink ref="C26" location="'1 APM'!A143" display="1.20 Equity ratio" xr:uid="{93295C34-16C4-4C4F-87E2-373E76616883}"/>
    <hyperlink ref="C27" location="'1 APM'!A154" display="1.21 Book equity per EC" xr:uid="{DDEC4EDD-263F-4B17-9133-7AE02C176273}"/>
    <hyperlink ref="C28" location="'1 APM'!A164" display="1.22 Earnings per equity certificate (in NOK)" xr:uid="{457772AA-2BD9-4D51-B4A7-B8B481B7C060}"/>
    <hyperlink ref="C29" location="'1 APM'!A170" display="1.23 Price/Earnings per EC" xr:uid="{84FD8DA3-5050-4D40-8698-156751E7B874}"/>
    <hyperlink ref="C30" location="'1 APM'!A174" display="1.24 Price/Book equity" xr:uid="{F442649D-D8B9-42F5-A1EC-A63491681A7B}"/>
    <hyperlink ref="C31" location="'1 APM'!A181" display="1.25 Diluted earnings per equity certificate (in NOK) " xr:uid="{49847193-82B4-43B6-81E6-5CC79AA89822}"/>
    <hyperlink ref="C32" location="'1 APM'!A186" display="1.26 Average equity certificates" xr:uid="{0CAA9D63-F28F-41E8-8A45-4275D3AFB51D}"/>
    <hyperlink ref="C33" location="'1 APM'!A190" display="1.27 Earnings per average equity certificate (in NOK) " xr:uid="{3E5FA5BC-F34A-451B-B175-2642BD672A2F}"/>
    <hyperlink ref="C34" location="Contents!A195" display="1.28 Diluted earnings earnings per average equity certificates" xr:uid="{D062C0F1-D765-4D0F-A422-2D4BB501BDC7}"/>
    <hyperlink ref="B57" location="'9 Makrosensitivitet'!A2" display="'9 Makrosensitivitet'!A2" xr:uid="{61392C7E-1165-49B3-9265-BB26E4E9D1D6}"/>
    <hyperlink ref="C58" location="'11 Macro sensitivity'!A1" display="11.1 Sensitivity related to key assumptions in the general loss model" xr:uid="{0214BD18-190D-43DB-AAAB-7C6ABD375B90}"/>
    <hyperlink ref="B36:C36" location="'3 Balance sheet'!A1" display="'3 Balance sheet'!A1" xr:uid="{71070649-B9EE-449C-9082-341245FF2D37}"/>
    <hyperlink ref="B37:C37" location="'4 Capital Adequacy'!A1" display="'4 Capital Adequacy'!A1" xr:uid="{7ED6A61B-EAA5-4EAB-A4C2-102C5979EF3F}"/>
    <hyperlink ref="B38:C38" location="'5 Income'!A1" display="'5 Income'!A1" xr:uid="{4EF4A446-071C-4FAD-AE3C-E1D705B25B27}"/>
    <hyperlink ref="B57:C57" location="'11 Macro sensitivity'!A1" display="'11 Macro sensitivity'!A1" xr:uid="{A414E6A0-290F-40C9-B218-9FC0F422492C}"/>
    <hyperlink ref="B43:C43" location="'6 Expences'!A1" display="'6 Expences'!A1" xr:uid="{D84AB759-CFE4-45B2-84B8-92EC948A01FC}"/>
    <hyperlink ref="B46:C46" location="'7 Margins'!A1" display="'7 Margins'!A1" xr:uid="{BE1BF75F-184B-4B14-8F92-55C9A3D382CA}"/>
    <hyperlink ref="B49:C49" location="'8 Lending'!A1" display="'8 Lending'!A1" xr:uid="{364FDA2B-17D9-44BC-93B5-E60B0BC48CED}"/>
    <hyperlink ref="B52:C52" location="'9 Deposits'!A1" display="'9 Deposits'!A1" xr:uid="{01494FD2-FF23-4286-964F-CE33DC051074}"/>
    <hyperlink ref="B55:C55" location="'10 Customers'!A1" display="'10 Customers'!A1" xr:uid="{79803A39-A518-4F3F-A267-6D51FFD59A5D}"/>
  </hyperlinks>
  <pageMargins left="0.70866141732283472" right="0.70866141732283472" top="0.6692913385826772" bottom="0.39370078740157483" header="0.51181102362204722" footer="0.51181102362204722"/>
  <pageSetup paperSize="9" scale="61" fitToHeight="0" orientation="portrait" r:id="rId1"/>
  <headerFooter scaleWithDoc="0">
    <oddHeader>&amp;L&amp;8FACT BOOK DNB - 4Q15&amp;R&amp;8CONTENTS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CFC1C-6974-4FAB-ACA2-A404B8FD4E02}">
  <sheetPr>
    <pageSetUpPr fitToPage="1"/>
  </sheetPr>
  <dimension ref="A1:AR198"/>
  <sheetViews>
    <sheetView showGridLines="0" workbookViewId="0">
      <selection activeCell="A173" sqref="A173"/>
    </sheetView>
  </sheetViews>
  <sheetFormatPr baseColWidth="10" defaultColWidth="11.42578125" defaultRowHeight="10.5"/>
  <cols>
    <col min="1" max="1" width="33" style="379" customWidth="1"/>
    <col min="2" max="2" width="78" style="379" customWidth="1"/>
    <col min="3" max="44" width="11.42578125" style="380"/>
    <col min="45" max="16384" width="11.42578125" style="390"/>
  </cols>
  <sheetData>
    <row r="1" spans="1:7" ht="39" customHeight="1"/>
    <row r="2" spans="1:7" ht="39" customHeight="1"/>
    <row r="3" spans="1:7" ht="39" customHeight="1"/>
    <row r="4" spans="1:7" ht="39" customHeight="1"/>
    <row r="5" spans="1:7" ht="39" customHeight="1"/>
    <row r="6" spans="1:7" ht="39" customHeight="1"/>
    <row r="7" spans="1:7" ht="39" customHeight="1"/>
    <row r="8" spans="1:7" ht="39" customHeight="1"/>
    <row r="9" spans="1:7" ht="39" customHeight="1"/>
    <row r="10" spans="1:7" ht="39" customHeight="1">
      <c r="A10" s="381" t="s">
        <v>136</v>
      </c>
      <c r="B10" s="382" t="s">
        <v>239</v>
      </c>
    </row>
    <row r="11" spans="1:7" ht="69" customHeight="1">
      <c r="A11" s="472" t="s">
        <v>306</v>
      </c>
      <c r="B11" s="382"/>
    </row>
    <row r="12" spans="1:7" ht="69" customHeight="1">
      <c r="A12" s="472"/>
      <c r="B12" s="383" t="s">
        <v>307</v>
      </c>
    </row>
    <row r="13" spans="1:7" ht="69" customHeight="1">
      <c r="A13" s="472" t="s">
        <v>240</v>
      </c>
      <c r="B13" s="384"/>
      <c r="G13" s="385"/>
    </row>
    <row r="14" spans="1:7" ht="69" customHeight="1">
      <c r="A14" s="472"/>
      <c r="B14" s="383" t="s">
        <v>241</v>
      </c>
    </row>
    <row r="15" spans="1:7" ht="39" customHeight="1">
      <c r="A15" s="472" t="s">
        <v>242</v>
      </c>
      <c r="B15" s="384"/>
    </row>
    <row r="16" spans="1:7" ht="39" customHeight="1">
      <c r="A16" s="472"/>
      <c r="B16" s="386" t="s">
        <v>243</v>
      </c>
    </row>
    <row r="17" spans="1:5" ht="39" customHeight="1">
      <c r="A17" s="472" t="s">
        <v>145</v>
      </c>
      <c r="B17" s="384"/>
    </row>
    <row r="18" spans="1:5" ht="39" customHeight="1">
      <c r="A18" s="472"/>
      <c r="B18" s="386" t="s">
        <v>244</v>
      </c>
    </row>
    <row r="19" spans="1:5" ht="39" customHeight="1">
      <c r="A19" s="472" t="s">
        <v>245</v>
      </c>
      <c r="B19" s="384"/>
    </row>
    <row r="20" spans="1:5" ht="39" customHeight="1">
      <c r="A20" s="472"/>
      <c r="B20" s="386" t="s">
        <v>246</v>
      </c>
    </row>
    <row r="21" spans="1:5" ht="39" customHeight="1">
      <c r="A21" s="381" t="s">
        <v>136</v>
      </c>
      <c r="B21" s="382" t="s">
        <v>239</v>
      </c>
      <c r="E21" s="387"/>
    </row>
    <row r="22" spans="1:5" ht="39" customHeight="1">
      <c r="A22" s="472" t="s">
        <v>247</v>
      </c>
      <c r="B22" s="386"/>
    </row>
    <row r="23" spans="1:5" ht="39" customHeight="1">
      <c r="A23" s="472"/>
      <c r="B23" s="386" t="s">
        <v>248</v>
      </c>
    </row>
    <row r="24" spans="1:5" ht="48.95" customHeight="1">
      <c r="A24" s="472" t="s">
        <v>249</v>
      </c>
      <c r="B24" s="386"/>
    </row>
    <row r="25" spans="1:5" ht="48.95" customHeight="1">
      <c r="A25" s="472"/>
      <c r="B25" s="386" t="s">
        <v>250</v>
      </c>
    </row>
    <row r="26" spans="1:5" ht="48.95" customHeight="1">
      <c r="A26" s="472" t="s">
        <v>251</v>
      </c>
      <c r="B26" s="386"/>
    </row>
    <row r="27" spans="1:5" ht="48.95" customHeight="1">
      <c r="A27" s="472"/>
      <c r="B27" s="386" t="s">
        <v>252</v>
      </c>
    </row>
    <row r="28" spans="1:5" ht="39" customHeight="1">
      <c r="A28" s="472" t="s">
        <v>253</v>
      </c>
      <c r="B28" s="386"/>
    </row>
    <row r="29" spans="1:5" ht="39" customHeight="1">
      <c r="A29" s="472"/>
      <c r="B29" s="386" t="s">
        <v>254</v>
      </c>
    </row>
    <row r="30" spans="1:5" ht="39" customHeight="1">
      <c r="A30" s="472" t="s">
        <v>255</v>
      </c>
      <c r="B30" s="386"/>
    </row>
    <row r="31" spans="1:5" ht="39" customHeight="1">
      <c r="A31" s="472"/>
      <c r="B31" s="386" t="s">
        <v>256</v>
      </c>
    </row>
    <row r="32" spans="1:5" ht="39" customHeight="1">
      <c r="A32" s="472" t="s">
        <v>257</v>
      </c>
      <c r="B32" s="386"/>
    </row>
    <row r="33" spans="1:4" ht="48.95" customHeight="1">
      <c r="A33" s="472"/>
      <c r="B33" s="386" t="s">
        <v>258</v>
      </c>
    </row>
    <row r="34" spans="1:4" ht="48.95" customHeight="1">
      <c r="A34" s="472" t="s">
        <v>259</v>
      </c>
      <c r="B34" s="386"/>
    </row>
    <row r="35" spans="1:4" ht="48.95" customHeight="1">
      <c r="A35" s="472"/>
      <c r="B35" s="386" t="s">
        <v>260</v>
      </c>
    </row>
    <row r="36" spans="1:4" ht="39" customHeight="1">
      <c r="A36" s="472" t="s">
        <v>261</v>
      </c>
      <c r="B36" s="386"/>
    </row>
    <row r="37" spans="1:4" ht="39" customHeight="1">
      <c r="A37" s="472"/>
      <c r="B37" s="386" t="s">
        <v>262</v>
      </c>
    </row>
    <row r="38" spans="1:4" ht="48.95" customHeight="1">
      <c r="A38" s="472" t="s">
        <v>263</v>
      </c>
      <c r="B38" s="386"/>
    </row>
    <row r="39" spans="1:4" ht="48.95" customHeight="1">
      <c r="A39" s="472"/>
      <c r="B39" s="386" t="s">
        <v>264</v>
      </c>
    </row>
    <row r="40" spans="1:4" ht="48.95" customHeight="1">
      <c r="A40" s="381" t="s">
        <v>136</v>
      </c>
      <c r="B40" s="382" t="s">
        <v>239</v>
      </c>
    </row>
    <row r="41" spans="1:4" ht="39" customHeight="1">
      <c r="A41" s="472" t="s">
        <v>36</v>
      </c>
      <c r="B41" s="386"/>
    </row>
    <row r="42" spans="1:4" ht="39" customHeight="1">
      <c r="A42" s="472"/>
      <c r="B42" s="386" t="s">
        <v>265</v>
      </c>
    </row>
    <row r="43" spans="1:4" ht="59.1" customHeight="1">
      <c r="A43" s="472" t="s">
        <v>266</v>
      </c>
      <c r="B43" s="386"/>
    </row>
    <row r="44" spans="1:4" ht="59.1" customHeight="1">
      <c r="A44" s="472"/>
      <c r="B44" s="386" t="s">
        <v>267</v>
      </c>
    </row>
    <row r="45" spans="1:4" ht="59.1" customHeight="1">
      <c r="A45" s="472" t="s">
        <v>376</v>
      </c>
      <c r="B45" s="386"/>
      <c r="D45" s="388"/>
    </row>
    <row r="46" spans="1:4" ht="39" customHeight="1">
      <c r="A46" s="472"/>
      <c r="B46" s="386" t="s">
        <v>269</v>
      </c>
      <c r="D46" s="388"/>
    </row>
    <row r="47" spans="1:4" ht="59.1" customHeight="1">
      <c r="A47" s="472" t="s">
        <v>377</v>
      </c>
      <c r="B47" s="386"/>
    </row>
    <row r="48" spans="1:4" ht="39" customHeight="1">
      <c r="A48" s="472"/>
      <c r="B48" s="386" t="s">
        <v>269</v>
      </c>
    </row>
    <row r="49" spans="1:2" ht="39" customHeight="1">
      <c r="A49" s="472" t="s">
        <v>268</v>
      </c>
      <c r="B49" s="386"/>
    </row>
    <row r="50" spans="1:2" ht="39" customHeight="1">
      <c r="A50" s="472"/>
      <c r="B50" s="386" t="s">
        <v>269</v>
      </c>
    </row>
    <row r="51" spans="1:2" ht="39" customHeight="1">
      <c r="A51" s="472" t="s">
        <v>270</v>
      </c>
      <c r="B51" s="386"/>
    </row>
    <row r="52" spans="1:2" ht="39" customHeight="1">
      <c r="A52" s="472"/>
      <c r="B52" s="386" t="s">
        <v>269</v>
      </c>
    </row>
    <row r="53" spans="1:2" ht="39" customHeight="1">
      <c r="A53" s="472" t="s">
        <v>271</v>
      </c>
      <c r="B53" s="386"/>
    </row>
    <row r="54" spans="1:2" ht="39" customHeight="1">
      <c r="A54" s="472"/>
      <c r="B54" s="386" t="s">
        <v>269</v>
      </c>
    </row>
    <row r="55" spans="1:2" ht="39" customHeight="1">
      <c r="A55" s="472" t="s">
        <v>272</v>
      </c>
      <c r="B55" s="386"/>
    </row>
    <row r="56" spans="1:2" ht="39" customHeight="1">
      <c r="A56" s="472"/>
      <c r="B56" s="386" t="s">
        <v>269</v>
      </c>
    </row>
    <row r="57" spans="1:2" ht="39" customHeight="1">
      <c r="A57" s="472" t="s">
        <v>273</v>
      </c>
      <c r="B57" s="386"/>
    </row>
    <row r="58" spans="1:2" ht="39" customHeight="1">
      <c r="A58" s="472"/>
      <c r="B58" s="386" t="s">
        <v>269</v>
      </c>
    </row>
    <row r="59" spans="1:2" ht="39" customHeight="1">
      <c r="A59" s="472" t="s">
        <v>188</v>
      </c>
      <c r="B59" s="386"/>
    </row>
    <row r="60" spans="1:2" ht="39" customHeight="1">
      <c r="A60" s="472"/>
      <c r="B60" s="386" t="s">
        <v>274</v>
      </c>
    </row>
    <row r="61" spans="1:2" ht="39" customHeight="1">
      <c r="A61" s="381" t="s">
        <v>136</v>
      </c>
      <c r="B61" s="382" t="s">
        <v>239</v>
      </c>
    </row>
    <row r="62" spans="1:2" ht="48.95" customHeight="1">
      <c r="A62" s="472" t="s">
        <v>196</v>
      </c>
      <c r="B62" s="386"/>
    </row>
    <row r="63" spans="1:2" ht="48.95" customHeight="1">
      <c r="A63" s="472"/>
      <c r="B63" s="386" t="s">
        <v>275</v>
      </c>
    </row>
    <row r="64" spans="1:2" ht="48.95" customHeight="1">
      <c r="A64" s="472" t="s">
        <v>203</v>
      </c>
      <c r="B64" s="386"/>
    </row>
    <row r="65" spans="1:2" ht="48.95" customHeight="1">
      <c r="A65" s="472"/>
      <c r="B65" s="386" t="s">
        <v>276</v>
      </c>
    </row>
    <row r="66" spans="1:2" ht="48.95" customHeight="1">
      <c r="A66" s="472" t="s">
        <v>277</v>
      </c>
      <c r="B66" s="386"/>
    </row>
    <row r="67" spans="1:2" ht="48.95" customHeight="1">
      <c r="A67" s="472"/>
      <c r="B67" s="386" t="s">
        <v>278</v>
      </c>
    </row>
    <row r="68" spans="1:2" ht="39" customHeight="1">
      <c r="A68" s="472" t="s">
        <v>279</v>
      </c>
      <c r="B68" s="386"/>
    </row>
    <row r="69" spans="1:2" ht="39" customHeight="1">
      <c r="A69" s="472"/>
      <c r="B69" s="386" t="s">
        <v>280</v>
      </c>
    </row>
    <row r="70" spans="1:2" ht="39" customHeight="1">
      <c r="A70" s="472" t="s">
        <v>281</v>
      </c>
      <c r="B70" s="386"/>
    </row>
    <row r="71" spans="1:2" ht="39" customHeight="1">
      <c r="A71" s="472"/>
      <c r="B71" s="386" t="s">
        <v>282</v>
      </c>
    </row>
    <row r="72" spans="1:2" ht="39" customHeight="1">
      <c r="A72" s="472" t="s">
        <v>283</v>
      </c>
      <c r="B72" s="386"/>
    </row>
    <row r="73" spans="1:2" ht="39" customHeight="1">
      <c r="A73" s="472"/>
      <c r="B73" s="386" t="s">
        <v>284</v>
      </c>
    </row>
    <row r="74" spans="1:2" ht="39" customHeight="1">
      <c r="A74" s="472" t="s">
        <v>285</v>
      </c>
      <c r="B74" s="386"/>
    </row>
    <row r="75" spans="1:2" ht="39" customHeight="1">
      <c r="A75" s="472"/>
      <c r="B75" s="386" t="s">
        <v>286</v>
      </c>
    </row>
    <row r="76" spans="1:2" ht="39" customHeight="1">
      <c r="A76" s="473" t="s">
        <v>378</v>
      </c>
      <c r="B76" s="382"/>
    </row>
    <row r="77" spans="1:2" ht="39" customHeight="1">
      <c r="A77" s="474"/>
      <c r="B77" s="386" t="s">
        <v>379</v>
      </c>
    </row>
    <row r="78" spans="1:2" ht="39" customHeight="1">
      <c r="A78" s="473" t="s">
        <v>380</v>
      </c>
      <c r="B78" s="382"/>
    </row>
    <row r="79" spans="1:2" ht="39" customHeight="1">
      <c r="A79" s="474"/>
      <c r="B79" s="386" t="s">
        <v>381</v>
      </c>
    </row>
    <row r="80" spans="1:2" s="380" customFormat="1">
      <c r="A80" s="389"/>
      <c r="B80" s="389"/>
    </row>
    <row r="81" spans="1:2" s="380" customFormat="1">
      <c r="A81" s="389"/>
      <c r="B81" s="389"/>
    </row>
    <row r="82" spans="1:2" s="380" customFormat="1">
      <c r="A82" s="389"/>
      <c r="B82" s="389"/>
    </row>
    <row r="83" spans="1:2" s="380" customFormat="1">
      <c r="A83" s="389"/>
      <c r="B83" s="389"/>
    </row>
    <row r="84" spans="1:2" s="380" customFormat="1">
      <c r="A84" s="389"/>
      <c r="B84" s="389"/>
    </row>
    <row r="85" spans="1:2" s="380" customFormat="1">
      <c r="A85" s="389"/>
      <c r="B85" s="389"/>
    </row>
    <row r="86" spans="1:2" s="380" customFormat="1">
      <c r="A86" s="389"/>
      <c r="B86" s="389"/>
    </row>
    <row r="87" spans="1:2" s="380" customFormat="1">
      <c r="A87" s="389"/>
      <c r="B87" s="389"/>
    </row>
    <row r="88" spans="1:2" s="380" customFormat="1">
      <c r="A88" s="389"/>
      <c r="B88" s="389"/>
    </row>
    <row r="89" spans="1:2" s="380" customFormat="1">
      <c r="A89" s="389"/>
      <c r="B89" s="389"/>
    </row>
    <row r="90" spans="1:2" s="380" customFormat="1">
      <c r="A90" s="389"/>
      <c r="B90" s="389"/>
    </row>
    <row r="91" spans="1:2" s="380" customFormat="1">
      <c r="A91" s="389"/>
      <c r="B91" s="389"/>
    </row>
    <row r="92" spans="1:2" s="380" customFormat="1">
      <c r="A92" s="389"/>
      <c r="B92" s="389"/>
    </row>
    <row r="93" spans="1:2" s="380" customFormat="1">
      <c r="A93" s="389"/>
      <c r="B93" s="389"/>
    </row>
    <row r="94" spans="1:2" s="380" customFormat="1">
      <c r="A94" s="389"/>
      <c r="B94" s="389"/>
    </row>
    <row r="95" spans="1:2" s="380" customFormat="1">
      <c r="A95" s="389"/>
      <c r="B95" s="389"/>
    </row>
    <row r="96" spans="1:2" s="380" customFormat="1">
      <c r="A96" s="389"/>
      <c r="B96" s="389"/>
    </row>
    <row r="97" spans="1:2" s="380" customFormat="1">
      <c r="A97" s="389"/>
      <c r="B97" s="389"/>
    </row>
    <row r="98" spans="1:2" s="380" customFormat="1">
      <c r="A98" s="389"/>
      <c r="B98" s="389"/>
    </row>
    <row r="99" spans="1:2" s="380" customFormat="1">
      <c r="A99" s="389"/>
      <c r="B99" s="389"/>
    </row>
    <row r="100" spans="1:2" s="380" customFormat="1">
      <c r="A100" s="389"/>
      <c r="B100" s="389"/>
    </row>
    <row r="101" spans="1:2" s="380" customFormat="1">
      <c r="A101" s="389"/>
      <c r="B101" s="389"/>
    </row>
    <row r="102" spans="1:2" s="380" customFormat="1">
      <c r="A102" s="389"/>
      <c r="B102" s="389"/>
    </row>
    <row r="103" spans="1:2" s="380" customFormat="1">
      <c r="A103" s="389"/>
      <c r="B103" s="389"/>
    </row>
    <row r="104" spans="1:2" s="380" customFormat="1">
      <c r="A104" s="389"/>
      <c r="B104" s="389"/>
    </row>
    <row r="105" spans="1:2" s="380" customFormat="1">
      <c r="A105" s="389"/>
      <c r="B105" s="389"/>
    </row>
    <row r="106" spans="1:2" s="380" customFormat="1">
      <c r="A106" s="389"/>
      <c r="B106" s="389"/>
    </row>
    <row r="107" spans="1:2" s="380" customFormat="1">
      <c r="A107" s="389"/>
      <c r="B107" s="389"/>
    </row>
    <row r="108" spans="1:2" s="380" customFormat="1">
      <c r="A108" s="389"/>
      <c r="B108" s="389"/>
    </row>
    <row r="109" spans="1:2" s="380" customFormat="1">
      <c r="A109" s="389"/>
      <c r="B109" s="389"/>
    </row>
    <row r="110" spans="1:2" s="380" customFormat="1">
      <c r="A110" s="389"/>
      <c r="B110" s="389"/>
    </row>
    <row r="111" spans="1:2" s="380" customFormat="1">
      <c r="A111" s="389"/>
      <c r="B111" s="389"/>
    </row>
    <row r="112" spans="1:2" s="380" customFormat="1">
      <c r="A112" s="389"/>
      <c r="B112" s="389"/>
    </row>
    <row r="113" spans="1:2" s="380" customFormat="1">
      <c r="A113" s="389"/>
      <c r="B113" s="389"/>
    </row>
    <row r="114" spans="1:2" s="380" customFormat="1">
      <c r="A114" s="389"/>
      <c r="B114" s="389"/>
    </row>
    <row r="115" spans="1:2" s="380" customFormat="1">
      <c r="A115" s="389"/>
      <c r="B115" s="389"/>
    </row>
    <row r="116" spans="1:2" s="380" customFormat="1">
      <c r="A116" s="389"/>
      <c r="B116" s="389"/>
    </row>
    <row r="117" spans="1:2" s="380" customFormat="1">
      <c r="A117" s="389"/>
      <c r="B117" s="389"/>
    </row>
    <row r="118" spans="1:2" s="380" customFormat="1">
      <c r="A118" s="389"/>
      <c r="B118" s="389"/>
    </row>
    <row r="119" spans="1:2" s="380" customFormat="1">
      <c r="A119" s="389"/>
      <c r="B119" s="389"/>
    </row>
    <row r="120" spans="1:2" s="380" customFormat="1">
      <c r="A120" s="389"/>
      <c r="B120" s="389"/>
    </row>
    <row r="121" spans="1:2" s="380" customFormat="1">
      <c r="A121" s="389"/>
      <c r="B121" s="389"/>
    </row>
    <row r="122" spans="1:2" s="380" customFormat="1">
      <c r="A122" s="389"/>
      <c r="B122" s="389"/>
    </row>
    <row r="123" spans="1:2" s="380" customFormat="1">
      <c r="A123" s="389"/>
      <c r="B123" s="389"/>
    </row>
    <row r="124" spans="1:2" s="380" customFormat="1">
      <c r="A124" s="389"/>
      <c r="B124" s="389"/>
    </row>
    <row r="125" spans="1:2" s="380" customFormat="1">
      <c r="A125" s="389"/>
      <c r="B125" s="389"/>
    </row>
    <row r="126" spans="1:2" s="380" customFormat="1">
      <c r="A126" s="389"/>
      <c r="B126" s="389"/>
    </row>
    <row r="127" spans="1:2" s="380" customFormat="1">
      <c r="A127" s="389"/>
      <c r="B127" s="389"/>
    </row>
    <row r="128" spans="1:2" s="380" customFormat="1">
      <c r="A128" s="389"/>
      <c r="B128" s="389"/>
    </row>
    <row r="129" spans="1:2" s="380" customFormat="1">
      <c r="A129" s="389"/>
      <c r="B129" s="389"/>
    </row>
    <row r="130" spans="1:2" s="380" customFormat="1">
      <c r="A130" s="389"/>
      <c r="B130" s="389"/>
    </row>
    <row r="131" spans="1:2" s="380" customFormat="1">
      <c r="A131" s="389"/>
      <c r="B131" s="389"/>
    </row>
    <row r="132" spans="1:2" s="380" customFormat="1">
      <c r="A132" s="389"/>
      <c r="B132" s="389"/>
    </row>
    <row r="133" spans="1:2" s="380" customFormat="1">
      <c r="A133" s="389"/>
      <c r="B133" s="389"/>
    </row>
    <row r="134" spans="1:2" s="380" customFormat="1">
      <c r="A134" s="389"/>
      <c r="B134" s="389"/>
    </row>
    <row r="135" spans="1:2" s="380" customFormat="1">
      <c r="A135" s="389"/>
      <c r="B135" s="389"/>
    </row>
    <row r="136" spans="1:2" s="380" customFormat="1">
      <c r="A136" s="389"/>
      <c r="B136" s="389"/>
    </row>
    <row r="137" spans="1:2" s="380" customFormat="1">
      <c r="A137" s="389"/>
      <c r="B137" s="389"/>
    </row>
    <row r="138" spans="1:2" s="380" customFormat="1">
      <c r="A138" s="389"/>
      <c r="B138" s="389"/>
    </row>
    <row r="139" spans="1:2" s="380" customFormat="1">
      <c r="A139" s="389"/>
      <c r="B139" s="389"/>
    </row>
    <row r="140" spans="1:2" s="380" customFormat="1">
      <c r="A140" s="389"/>
      <c r="B140" s="389"/>
    </row>
    <row r="141" spans="1:2" s="380" customFormat="1">
      <c r="A141" s="389"/>
      <c r="B141" s="389"/>
    </row>
    <row r="142" spans="1:2" s="380" customFormat="1">
      <c r="A142" s="389"/>
      <c r="B142" s="389"/>
    </row>
    <row r="143" spans="1:2" s="380" customFormat="1">
      <c r="A143" s="389"/>
      <c r="B143" s="389"/>
    </row>
    <row r="144" spans="1:2" s="380" customFormat="1">
      <c r="A144" s="389"/>
      <c r="B144" s="389"/>
    </row>
    <row r="145" spans="1:2" s="380" customFormat="1">
      <c r="A145" s="389"/>
      <c r="B145" s="389"/>
    </row>
    <row r="146" spans="1:2" s="380" customFormat="1">
      <c r="A146" s="389"/>
      <c r="B146" s="389"/>
    </row>
    <row r="147" spans="1:2" s="380" customFormat="1">
      <c r="A147" s="389"/>
      <c r="B147" s="389"/>
    </row>
    <row r="148" spans="1:2" s="380" customFormat="1">
      <c r="A148" s="389"/>
      <c r="B148" s="389"/>
    </row>
    <row r="149" spans="1:2" s="380" customFormat="1">
      <c r="A149" s="389"/>
      <c r="B149" s="389"/>
    </row>
    <row r="150" spans="1:2" s="380" customFormat="1">
      <c r="A150" s="389"/>
      <c r="B150" s="389"/>
    </row>
    <row r="151" spans="1:2" s="380" customFormat="1">
      <c r="A151" s="389"/>
      <c r="B151" s="389"/>
    </row>
    <row r="152" spans="1:2" s="380" customFormat="1">
      <c r="A152" s="389"/>
      <c r="B152" s="389"/>
    </row>
    <row r="153" spans="1:2" s="380" customFormat="1">
      <c r="A153" s="389"/>
      <c r="B153" s="389"/>
    </row>
    <row r="154" spans="1:2" s="380" customFormat="1">
      <c r="A154" s="389"/>
      <c r="B154" s="389"/>
    </row>
    <row r="155" spans="1:2" s="380" customFormat="1">
      <c r="A155" s="389"/>
      <c r="B155" s="389"/>
    </row>
    <row r="156" spans="1:2" s="380" customFormat="1">
      <c r="A156" s="389"/>
      <c r="B156" s="389"/>
    </row>
    <row r="157" spans="1:2" s="380" customFormat="1">
      <c r="A157" s="389"/>
      <c r="B157" s="389"/>
    </row>
    <row r="158" spans="1:2" s="380" customFormat="1">
      <c r="A158" s="389"/>
      <c r="B158" s="389"/>
    </row>
    <row r="159" spans="1:2" s="380" customFormat="1">
      <c r="A159" s="389"/>
      <c r="B159" s="389"/>
    </row>
    <row r="160" spans="1:2" s="380" customFormat="1">
      <c r="A160" s="389"/>
      <c r="B160" s="389"/>
    </row>
    <row r="161" spans="1:2" s="380" customFormat="1">
      <c r="A161" s="389"/>
      <c r="B161" s="389"/>
    </row>
    <row r="162" spans="1:2" s="380" customFormat="1">
      <c r="A162" s="389"/>
      <c r="B162" s="389"/>
    </row>
    <row r="163" spans="1:2" s="380" customFormat="1">
      <c r="A163" s="389"/>
      <c r="B163" s="389"/>
    </row>
    <row r="164" spans="1:2" s="380" customFormat="1">
      <c r="A164" s="389"/>
      <c r="B164" s="389"/>
    </row>
    <row r="165" spans="1:2" s="380" customFormat="1">
      <c r="A165" s="389"/>
      <c r="B165" s="389"/>
    </row>
    <row r="166" spans="1:2" s="380" customFormat="1">
      <c r="A166" s="389"/>
      <c r="B166" s="389"/>
    </row>
    <row r="167" spans="1:2" s="380" customFormat="1">
      <c r="A167" s="389"/>
      <c r="B167" s="389"/>
    </row>
    <row r="168" spans="1:2" s="380" customFormat="1">
      <c r="A168" s="389"/>
      <c r="B168" s="389"/>
    </row>
    <row r="169" spans="1:2" s="380" customFormat="1">
      <c r="A169" s="389"/>
      <c r="B169" s="389"/>
    </row>
    <row r="170" spans="1:2" s="380" customFormat="1">
      <c r="A170" s="389"/>
      <c r="B170" s="389"/>
    </row>
    <row r="171" spans="1:2" s="380" customFormat="1">
      <c r="A171" s="389"/>
      <c r="B171" s="389"/>
    </row>
    <row r="172" spans="1:2" s="380" customFormat="1">
      <c r="A172" s="389"/>
      <c r="B172" s="389"/>
    </row>
    <row r="173" spans="1:2" s="380" customFormat="1">
      <c r="A173" s="389"/>
      <c r="B173" s="389"/>
    </row>
    <row r="174" spans="1:2" s="380" customFormat="1">
      <c r="A174" s="389"/>
      <c r="B174" s="389"/>
    </row>
    <row r="175" spans="1:2" s="380" customFormat="1">
      <c r="A175" s="389"/>
      <c r="B175" s="389"/>
    </row>
    <row r="176" spans="1:2" s="380" customFormat="1">
      <c r="A176" s="389"/>
      <c r="B176" s="389"/>
    </row>
    <row r="177" spans="1:2" s="380" customFormat="1">
      <c r="A177" s="389"/>
      <c r="B177" s="389"/>
    </row>
    <row r="178" spans="1:2" s="380" customFormat="1">
      <c r="A178" s="389"/>
      <c r="B178" s="389"/>
    </row>
    <row r="179" spans="1:2" s="380" customFormat="1">
      <c r="A179" s="389"/>
      <c r="B179" s="389"/>
    </row>
    <row r="180" spans="1:2" s="380" customFormat="1">
      <c r="A180" s="389"/>
      <c r="B180" s="389"/>
    </row>
    <row r="181" spans="1:2" s="380" customFormat="1">
      <c r="A181" s="389"/>
      <c r="B181" s="389"/>
    </row>
    <row r="182" spans="1:2" s="380" customFormat="1">
      <c r="A182" s="389"/>
      <c r="B182" s="389"/>
    </row>
    <row r="183" spans="1:2" s="380" customFormat="1">
      <c r="A183" s="389"/>
      <c r="B183" s="389"/>
    </row>
    <row r="184" spans="1:2" s="380" customFormat="1">
      <c r="A184" s="389"/>
      <c r="B184" s="389"/>
    </row>
    <row r="185" spans="1:2" s="380" customFormat="1">
      <c r="A185" s="389"/>
      <c r="B185" s="389"/>
    </row>
    <row r="186" spans="1:2" s="380" customFormat="1">
      <c r="A186" s="389"/>
      <c r="B186" s="389"/>
    </row>
    <row r="187" spans="1:2" s="380" customFormat="1">
      <c r="A187" s="389"/>
      <c r="B187" s="389"/>
    </row>
    <row r="188" spans="1:2" s="380" customFormat="1">
      <c r="A188" s="389"/>
      <c r="B188" s="389"/>
    </row>
    <row r="189" spans="1:2" s="380" customFormat="1">
      <c r="A189" s="389"/>
      <c r="B189" s="389"/>
    </row>
    <row r="190" spans="1:2" s="380" customFormat="1">
      <c r="A190" s="389"/>
      <c r="B190" s="389"/>
    </row>
    <row r="191" spans="1:2" s="380" customFormat="1">
      <c r="A191" s="389"/>
      <c r="B191" s="389"/>
    </row>
    <row r="192" spans="1:2" s="380" customFormat="1">
      <c r="A192" s="389"/>
      <c r="B192" s="389"/>
    </row>
    <row r="193" spans="1:2" s="380" customFormat="1">
      <c r="A193" s="389"/>
      <c r="B193" s="389"/>
    </row>
    <row r="194" spans="1:2" s="380" customFormat="1">
      <c r="A194" s="389"/>
      <c r="B194" s="389"/>
    </row>
    <row r="195" spans="1:2" s="380" customFormat="1">
      <c r="A195" s="389"/>
      <c r="B195" s="389"/>
    </row>
    <row r="196" spans="1:2" s="380" customFormat="1">
      <c r="A196" s="389"/>
      <c r="B196" s="389"/>
    </row>
    <row r="197" spans="1:2" s="380" customFormat="1">
      <c r="A197" s="389"/>
      <c r="B197" s="389"/>
    </row>
    <row r="198" spans="1:2" s="380" customFormat="1">
      <c r="A198" s="389"/>
      <c r="B198" s="389"/>
    </row>
  </sheetData>
  <mergeCells count="33">
    <mergeCell ref="A34:A35"/>
    <mergeCell ref="A11:A12"/>
    <mergeCell ref="A13:A14"/>
    <mergeCell ref="A15:A16"/>
    <mergeCell ref="A17:A18"/>
    <mergeCell ref="A19:A20"/>
    <mergeCell ref="A22:A23"/>
    <mergeCell ref="A24:A25"/>
    <mergeCell ref="A26:A27"/>
    <mergeCell ref="A28:A29"/>
    <mergeCell ref="A30:A31"/>
    <mergeCell ref="A32:A33"/>
    <mergeCell ref="A59:A60"/>
    <mergeCell ref="A36:A37"/>
    <mergeCell ref="A38:A39"/>
    <mergeCell ref="A41:A42"/>
    <mergeCell ref="A43:A44"/>
    <mergeCell ref="A45:A46"/>
    <mergeCell ref="A47:A48"/>
    <mergeCell ref="A49:A50"/>
    <mergeCell ref="A51:A52"/>
    <mergeCell ref="A53:A54"/>
    <mergeCell ref="A55:A56"/>
    <mergeCell ref="A57:A58"/>
    <mergeCell ref="A74:A75"/>
    <mergeCell ref="A76:A77"/>
    <mergeCell ref="A78:A79"/>
    <mergeCell ref="A62:A63"/>
    <mergeCell ref="A64:A65"/>
    <mergeCell ref="A66:A67"/>
    <mergeCell ref="A68:A69"/>
    <mergeCell ref="A70:A71"/>
    <mergeCell ref="A72:A73"/>
  </mergeCells>
  <pageMargins left="0.70866141732283472" right="0.70866141732283472" top="0.74803149606299213" bottom="0.74803149606299213" header="0.31496062992125984" footer="0.31496062992125984"/>
  <pageSetup paperSize="9" scale="78" fitToHeight="4"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218"/>
  <sheetViews>
    <sheetView showGridLines="0" workbookViewId="0">
      <pane ySplit="5" topLeftCell="A6" activePane="bottomLeft" state="frozen"/>
      <selection pane="bottomLeft" activeCell="A296" sqref="A296"/>
    </sheetView>
  </sheetViews>
  <sheetFormatPr baseColWidth="10" defaultColWidth="11.42578125" defaultRowHeight="12.75"/>
  <cols>
    <col min="1" max="1" width="101" customWidth="1"/>
    <col min="2" max="2" width="106.5703125" customWidth="1"/>
  </cols>
  <sheetData>
    <row r="1" spans="1:54" ht="15">
      <c r="A1" s="245">
        <v>365</v>
      </c>
    </row>
    <row r="2" spans="1:54" ht="15">
      <c r="A2" s="20" t="s">
        <v>136</v>
      </c>
    </row>
    <row r="5" spans="1:54" ht="15">
      <c r="A5" s="244"/>
      <c r="B5" s="253"/>
      <c r="C5" s="348">
        <v>44377</v>
      </c>
      <c r="D5" s="348" t="s">
        <v>518</v>
      </c>
      <c r="E5" s="348">
        <v>44286</v>
      </c>
      <c r="F5" s="348" t="s">
        <v>483</v>
      </c>
      <c r="G5" s="348">
        <v>44196</v>
      </c>
      <c r="H5" s="348" t="s">
        <v>408</v>
      </c>
      <c r="I5" s="348">
        <v>44104</v>
      </c>
      <c r="J5" s="348" t="s">
        <v>395</v>
      </c>
      <c r="K5" s="348">
        <v>44012</v>
      </c>
      <c r="L5" s="348" t="s">
        <v>382</v>
      </c>
      <c r="M5" s="348">
        <v>43921</v>
      </c>
      <c r="N5" s="348" t="s">
        <v>323</v>
      </c>
      <c r="O5" s="348">
        <v>43830</v>
      </c>
      <c r="P5" s="348" t="s">
        <v>318</v>
      </c>
      <c r="Q5" s="348">
        <v>43738</v>
      </c>
      <c r="R5" s="348" t="s">
        <v>316</v>
      </c>
      <c r="S5" s="348">
        <v>43646</v>
      </c>
      <c r="T5" s="348" t="s">
        <v>310</v>
      </c>
      <c r="U5" s="348">
        <v>43555</v>
      </c>
      <c r="V5" s="348" t="s">
        <v>308</v>
      </c>
      <c r="W5" s="348">
        <v>43465</v>
      </c>
      <c r="X5" s="348" t="s">
        <v>309</v>
      </c>
      <c r="Y5" s="348">
        <v>43373</v>
      </c>
      <c r="Z5" s="348" t="s">
        <v>291</v>
      </c>
      <c r="AA5" s="348">
        <v>43281</v>
      </c>
      <c r="AB5" s="254" t="s">
        <v>292</v>
      </c>
      <c r="AC5" s="348">
        <v>43190</v>
      </c>
      <c r="AD5" s="254" t="s">
        <v>293</v>
      </c>
      <c r="AE5" s="348">
        <v>43100</v>
      </c>
      <c r="AF5" s="254" t="s">
        <v>294</v>
      </c>
      <c r="AG5" s="348">
        <v>43008</v>
      </c>
      <c r="AH5" s="254" t="s">
        <v>295</v>
      </c>
      <c r="AI5" s="348">
        <v>42916</v>
      </c>
      <c r="AJ5" s="254" t="s">
        <v>296</v>
      </c>
      <c r="AK5" s="348">
        <v>42825</v>
      </c>
      <c r="AL5" s="254" t="s">
        <v>297</v>
      </c>
      <c r="AM5" s="348">
        <v>42735</v>
      </c>
      <c r="AN5" s="254" t="s">
        <v>298</v>
      </c>
      <c r="AO5" s="348">
        <v>42643</v>
      </c>
      <c r="AP5" s="254" t="s">
        <v>299</v>
      </c>
      <c r="AQ5" s="348">
        <v>42551</v>
      </c>
      <c r="AR5" s="254" t="s">
        <v>300</v>
      </c>
      <c r="AS5" s="348">
        <v>42460</v>
      </c>
      <c r="AT5" s="254" t="s">
        <v>301</v>
      </c>
      <c r="AU5" s="348">
        <v>42369</v>
      </c>
      <c r="AV5" s="254" t="s">
        <v>302</v>
      </c>
      <c r="AW5" s="348">
        <v>42277</v>
      </c>
      <c r="AX5" s="254" t="s">
        <v>303</v>
      </c>
      <c r="AY5" s="348">
        <v>42185</v>
      </c>
      <c r="AZ5" s="254" t="s">
        <v>304</v>
      </c>
      <c r="BA5" s="348">
        <v>42094</v>
      </c>
      <c r="BB5" s="254" t="s">
        <v>305</v>
      </c>
    </row>
    <row r="6" spans="1:54" ht="15">
      <c r="A6" s="244"/>
      <c r="B6" s="253"/>
      <c r="C6" s="346">
        <v>44197</v>
      </c>
      <c r="D6" s="346">
        <v>44287</v>
      </c>
      <c r="E6" s="346">
        <v>44197</v>
      </c>
      <c r="F6" s="346">
        <v>44197</v>
      </c>
      <c r="G6" s="346">
        <v>43831</v>
      </c>
      <c r="H6" s="346">
        <v>44104</v>
      </c>
      <c r="I6" s="346">
        <v>43831</v>
      </c>
      <c r="J6" s="346">
        <v>43921</v>
      </c>
      <c r="K6" s="346">
        <v>43831</v>
      </c>
      <c r="L6" s="346">
        <v>43921</v>
      </c>
      <c r="M6" s="346">
        <v>43831</v>
      </c>
      <c r="N6" s="346">
        <v>43831</v>
      </c>
      <c r="O6" s="346">
        <v>43466</v>
      </c>
      <c r="P6" s="346">
        <v>43739</v>
      </c>
      <c r="Q6" s="346">
        <v>43466</v>
      </c>
      <c r="R6" s="346">
        <v>43647</v>
      </c>
      <c r="S6" s="346">
        <v>43466</v>
      </c>
      <c r="T6" s="346">
        <v>43556</v>
      </c>
      <c r="U6" s="346">
        <v>43466</v>
      </c>
      <c r="V6" s="346">
        <v>43466</v>
      </c>
      <c r="W6" s="346">
        <v>43101</v>
      </c>
      <c r="X6" s="346">
        <v>43374</v>
      </c>
      <c r="Y6" s="346">
        <v>43101</v>
      </c>
      <c r="Z6" s="346">
        <v>43282</v>
      </c>
      <c r="AA6" s="346">
        <v>43101</v>
      </c>
      <c r="AB6" s="346">
        <v>43191</v>
      </c>
      <c r="AC6" s="346">
        <v>43101</v>
      </c>
      <c r="AD6" s="346">
        <v>43101</v>
      </c>
      <c r="AE6" s="346">
        <v>42736</v>
      </c>
      <c r="AF6" s="346">
        <v>43009</v>
      </c>
      <c r="AG6" s="346">
        <v>42736</v>
      </c>
      <c r="AH6" s="346">
        <v>42917</v>
      </c>
      <c r="AI6" s="346">
        <v>42736</v>
      </c>
      <c r="AJ6" s="346">
        <v>42826</v>
      </c>
      <c r="AK6" s="346">
        <v>42736</v>
      </c>
      <c r="AL6" s="346">
        <v>42736</v>
      </c>
      <c r="AM6" s="346">
        <v>42370</v>
      </c>
      <c r="AN6" s="346">
        <v>42644</v>
      </c>
      <c r="AO6" s="346">
        <v>42370</v>
      </c>
      <c r="AP6" s="346">
        <v>42552</v>
      </c>
      <c r="AQ6" s="346">
        <v>42370</v>
      </c>
      <c r="AR6" s="346">
        <v>42461</v>
      </c>
      <c r="AS6" s="346">
        <v>42370</v>
      </c>
      <c r="AT6" s="346">
        <v>42370</v>
      </c>
      <c r="AU6" s="346">
        <v>42005</v>
      </c>
      <c r="AV6" s="346">
        <v>42278</v>
      </c>
      <c r="AW6" s="346">
        <v>42005</v>
      </c>
      <c r="AX6" s="346">
        <v>42186</v>
      </c>
      <c r="AY6" s="346">
        <v>42005</v>
      </c>
      <c r="AZ6" s="346">
        <v>42095</v>
      </c>
      <c r="BA6" s="346">
        <v>42005</v>
      </c>
      <c r="BB6" s="346">
        <v>42005</v>
      </c>
    </row>
    <row r="7" spans="1:54" ht="15">
      <c r="A7" s="244"/>
      <c r="B7" s="255"/>
      <c r="C7" s="347">
        <v>44377</v>
      </c>
      <c r="D7" s="347">
        <v>44377</v>
      </c>
      <c r="E7" s="347">
        <v>44286</v>
      </c>
      <c r="F7" s="347">
        <v>44286</v>
      </c>
      <c r="G7" s="347">
        <v>44196</v>
      </c>
      <c r="H7" s="347">
        <v>44196</v>
      </c>
      <c r="I7" s="347">
        <v>44104</v>
      </c>
      <c r="J7" s="347">
        <v>44104</v>
      </c>
      <c r="K7" s="347">
        <v>44012</v>
      </c>
      <c r="L7" s="347">
        <v>44012</v>
      </c>
      <c r="M7" s="347">
        <v>43921</v>
      </c>
      <c r="N7" s="347">
        <v>43921</v>
      </c>
      <c r="O7" s="347">
        <v>43830</v>
      </c>
      <c r="P7" s="347">
        <v>43830</v>
      </c>
      <c r="Q7" s="347">
        <v>43738</v>
      </c>
      <c r="R7" s="347">
        <v>43738</v>
      </c>
      <c r="S7" s="347">
        <v>43646</v>
      </c>
      <c r="T7" s="347">
        <v>43646</v>
      </c>
      <c r="U7" s="347">
        <v>43555</v>
      </c>
      <c r="V7" s="347">
        <v>43555</v>
      </c>
      <c r="W7" s="347">
        <v>43465</v>
      </c>
      <c r="X7" s="347">
        <v>43465</v>
      </c>
      <c r="Y7" s="347">
        <v>43373</v>
      </c>
      <c r="Z7" s="347">
        <v>43373</v>
      </c>
      <c r="AA7" s="347">
        <v>43281</v>
      </c>
      <c r="AB7" s="347">
        <v>43281</v>
      </c>
      <c r="AC7" s="347">
        <v>43190</v>
      </c>
      <c r="AD7" s="347">
        <v>43190</v>
      </c>
      <c r="AE7" s="347">
        <v>43100</v>
      </c>
      <c r="AF7" s="347">
        <v>43100</v>
      </c>
      <c r="AG7" s="347">
        <v>43008</v>
      </c>
      <c r="AH7" s="347">
        <v>43008</v>
      </c>
      <c r="AI7" s="347">
        <v>42916</v>
      </c>
      <c r="AJ7" s="347">
        <v>42916</v>
      </c>
      <c r="AK7" s="347">
        <v>42825</v>
      </c>
      <c r="AL7" s="347">
        <v>42825</v>
      </c>
      <c r="AM7" s="347">
        <v>42735</v>
      </c>
      <c r="AN7" s="347">
        <v>42735</v>
      </c>
      <c r="AO7" s="347">
        <v>42643</v>
      </c>
      <c r="AP7" s="347">
        <v>42643</v>
      </c>
      <c r="AQ7" s="347">
        <v>42551</v>
      </c>
      <c r="AR7" s="347">
        <v>42551</v>
      </c>
      <c r="AS7" s="347">
        <v>42460</v>
      </c>
      <c r="AT7" s="347">
        <v>42460</v>
      </c>
      <c r="AU7" s="347">
        <v>42369</v>
      </c>
      <c r="AV7" s="347">
        <v>42369</v>
      </c>
      <c r="AW7" s="347">
        <v>42277</v>
      </c>
      <c r="AX7" s="347">
        <v>42277</v>
      </c>
      <c r="AY7" s="347">
        <v>42185</v>
      </c>
      <c r="AZ7" s="347">
        <v>42185</v>
      </c>
      <c r="BA7" s="347">
        <v>42094</v>
      </c>
      <c r="BB7" s="347">
        <v>42094</v>
      </c>
    </row>
    <row r="8" spans="1:54" ht="15">
      <c r="B8" s="255" t="s">
        <v>149</v>
      </c>
      <c r="C8" s="361">
        <v>181</v>
      </c>
      <c r="D8" s="361">
        <v>91</v>
      </c>
      <c r="E8" s="361">
        <v>90</v>
      </c>
      <c r="F8" s="361">
        <v>90</v>
      </c>
      <c r="G8" s="361">
        <v>366</v>
      </c>
      <c r="H8" s="361">
        <v>92</v>
      </c>
      <c r="I8" s="361">
        <v>274</v>
      </c>
      <c r="J8" s="361">
        <v>92</v>
      </c>
      <c r="K8" s="361">
        <v>182</v>
      </c>
      <c r="L8" s="361">
        <v>91</v>
      </c>
      <c r="M8" s="361">
        <v>91</v>
      </c>
      <c r="N8" s="361">
        <v>91</v>
      </c>
      <c r="O8" s="361">
        <v>365</v>
      </c>
      <c r="P8" s="361">
        <v>92</v>
      </c>
      <c r="Q8" s="361">
        <v>273</v>
      </c>
      <c r="R8" s="362">
        <v>92</v>
      </c>
      <c r="S8" s="361">
        <f>_xlfn.DAYS(S7,S6-1)</f>
        <v>181</v>
      </c>
      <c r="T8" s="362">
        <f>_xlfn.DAYS(T7,T6-1)</f>
        <v>91</v>
      </c>
      <c r="U8" s="255">
        <v>90</v>
      </c>
      <c r="V8" s="255">
        <v>90</v>
      </c>
      <c r="W8" s="255">
        <v>365</v>
      </c>
      <c r="X8" s="255">
        <v>92</v>
      </c>
      <c r="Y8" s="255">
        <v>273</v>
      </c>
      <c r="Z8" s="255">
        <v>92</v>
      </c>
      <c r="AA8" s="255">
        <v>181</v>
      </c>
      <c r="AB8" s="255">
        <v>91</v>
      </c>
      <c r="AC8" s="255">
        <f>31+28+31</f>
        <v>90</v>
      </c>
      <c r="AD8" s="255">
        <f>31+28+31</f>
        <v>90</v>
      </c>
      <c r="AE8" s="255">
        <f>+AF8+AG8</f>
        <v>365</v>
      </c>
      <c r="AF8" s="255">
        <f>31+30+31</f>
        <v>92</v>
      </c>
      <c r="AG8" s="255">
        <f>+AH8+AI8</f>
        <v>273</v>
      </c>
      <c r="AH8" s="255">
        <f>31+31+30</f>
        <v>92</v>
      </c>
      <c r="AI8" s="255">
        <f>+AJ8+AL8</f>
        <v>181</v>
      </c>
      <c r="AJ8" s="255">
        <f>30+31+30</f>
        <v>91</v>
      </c>
      <c r="AK8" s="255">
        <f>+AL8</f>
        <v>90</v>
      </c>
      <c r="AL8" s="255">
        <f>31+28+31</f>
        <v>90</v>
      </c>
      <c r="AM8" s="255">
        <f>+AN8+AO8</f>
        <v>366</v>
      </c>
      <c r="AN8" s="255">
        <f>31+30+31</f>
        <v>92</v>
      </c>
      <c r="AO8" s="255">
        <f>+AP8+AQ8</f>
        <v>274</v>
      </c>
      <c r="AP8" s="255">
        <f>31+31+30</f>
        <v>92</v>
      </c>
      <c r="AQ8" s="255">
        <f>+AR8+AS8</f>
        <v>182</v>
      </c>
      <c r="AR8" s="255">
        <f>30+31+30</f>
        <v>91</v>
      </c>
      <c r="AS8" s="255">
        <f>+AT8</f>
        <v>91</v>
      </c>
      <c r="AT8" s="255">
        <f>31+29+31</f>
        <v>91</v>
      </c>
      <c r="AU8" s="255">
        <f>+AV8+AW8</f>
        <v>365</v>
      </c>
      <c r="AV8" s="255">
        <f>31+30+31</f>
        <v>92</v>
      </c>
      <c r="AW8" s="255">
        <f>+AX8+AY8</f>
        <v>273</v>
      </c>
      <c r="AX8" s="255">
        <f>31+31+30</f>
        <v>92</v>
      </c>
      <c r="AY8" s="255">
        <f>+AZ8+BB8</f>
        <v>181</v>
      </c>
      <c r="AZ8" s="255">
        <f>30+31+30</f>
        <v>91</v>
      </c>
      <c r="BA8" s="255">
        <f>+BB8</f>
        <v>90</v>
      </c>
      <c r="BB8" s="255">
        <f>31+28+31</f>
        <v>90</v>
      </c>
    </row>
    <row r="9" spans="1:54" ht="15">
      <c r="A9" s="245"/>
      <c r="B9" s="255"/>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5"/>
      <c r="AW9" s="257"/>
      <c r="AX9" s="257"/>
      <c r="AY9" s="257"/>
      <c r="AZ9" s="257"/>
      <c r="BA9" s="257"/>
      <c r="BB9" s="257"/>
    </row>
    <row r="10" spans="1:54">
      <c r="A10" s="246"/>
      <c r="B10" s="255" t="s">
        <v>32</v>
      </c>
      <c r="C10" s="258">
        <v>955.29416647999949</v>
      </c>
      <c r="D10" s="258">
        <v>515.95789824999974</v>
      </c>
      <c r="E10" s="258">
        <v>439.33630000000011</v>
      </c>
      <c r="F10" s="258">
        <v>439.33630000000011</v>
      </c>
      <c r="G10" s="258">
        <v>1608.4838</v>
      </c>
      <c r="H10" s="258">
        <v>466.33647999999994</v>
      </c>
      <c r="I10" s="258">
        <v>1142.1600000000001</v>
      </c>
      <c r="J10" s="258">
        <v>437.9</v>
      </c>
      <c r="K10" s="258">
        <v>704.26890106999986</v>
      </c>
      <c r="L10" s="258">
        <v>437.85398513999996</v>
      </c>
      <c r="M10" s="258">
        <v>266</v>
      </c>
      <c r="N10" s="258">
        <v>266</v>
      </c>
      <c r="O10" s="258">
        <v>1928.1664119999998</v>
      </c>
      <c r="P10" s="258">
        <v>291.48677683999989</v>
      </c>
      <c r="Q10" s="258">
        <v>1636.6796351600001</v>
      </c>
      <c r="R10" s="258">
        <v>409.28442015999985</v>
      </c>
      <c r="S10" s="258">
        <v>1227.3952150000005</v>
      </c>
      <c r="T10" s="258">
        <v>470.82553570000027</v>
      </c>
      <c r="U10" s="258">
        <v>756.56967929999973</v>
      </c>
      <c r="V10" s="258">
        <v>756.56967929999973</v>
      </c>
      <c r="W10" s="258">
        <v>1413.5559930000002</v>
      </c>
      <c r="X10" s="258">
        <v>321.80813815000039</v>
      </c>
      <c r="Y10" s="258">
        <v>1091.7478549999998</v>
      </c>
      <c r="Z10" s="258">
        <v>361.66793400000006</v>
      </c>
      <c r="AA10" s="258">
        <v>730.07992100000013</v>
      </c>
      <c r="AB10" s="258">
        <v>416.1546219999999</v>
      </c>
      <c r="AC10" s="258">
        <v>313.925299</v>
      </c>
      <c r="AD10" s="258">
        <v>313.925299</v>
      </c>
      <c r="AE10" s="258">
        <v>1262.8547599999997</v>
      </c>
      <c r="AF10" s="258">
        <v>336.63084299999963</v>
      </c>
      <c r="AG10" s="258">
        <v>925.79183999999987</v>
      </c>
      <c r="AH10" s="258">
        <v>376.79184000000026</v>
      </c>
      <c r="AI10" s="258">
        <v>547.89695000000029</v>
      </c>
      <c r="AJ10" s="258">
        <v>274.03295000000026</v>
      </c>
      <c r="AK10" s="258">
        <v>273.86399999999986</v>
      </c>
      <c r="AL10" s="258">
        <v>273.86399999999986</v>
      </c>
      <c r="AM10" s="258">
        <v>1099.5794989999999</v>
      </c>
      <c r="AN10" s="258">
        <v>281.49246836999998</v>
      </c>
      <c r="AO10" s="258">
        <v>819.40027437000026</v>
      </c>
      <c r="AP10" s="258">
        <v>423.74120293000004</v>
      </c>
      <c r="AQ10" s="258">
        <v>395.73999999999995</v>
      </c>
      <c r="AR10" s="258">
        <v>227.20000000000005</v>
      </c>
      <c r="AS10" s="258">
        <v>169.01000000000002</v>
      </c>
      <c r="AT10" s="258">
        <v>169.01000000000002</v>
      </c>
      <c r="AU10" s="258">
        <v>929.5</v>
      </c>
      <c r="AV10" s="258">
        <v>193.50000000000006</v>
      </c>
      <c r="AW10" s="258">
        <v>735.88799999999992</v>
      </c>
      <c r="AX10" s="258">
        <v>307.29000000000008</v>
      </c>
      <c r="AY10" s="258">
        <v>430</v>
      </c>
      <c r="AZ10" s="258">
        <v>190</v>
      </c>
      <c r="BA10" s="258">
        <v>240</v>
      </c>
      <c r="BB10" s="258">
        <v>240</v>
      </c>
    </row>
    <row r="11" spans="1:54">
      <c r="A11" s="246"/>
      <c r="B11" s="259" t="s">
        <v>150</v>
      </c>
      <c r="C11" s="260">
        <v>12.137389000000001</v>
      </c>
      <c r="D11" s="260">
        <v>6.2048890000000005</v>
      </c>
      <c r="E11" s="260">
        <v>5.9324999999999992</v>
      </c>
      <c r="F11" s="260">
        <v>5.9324999999999992</v>
      </c>
      <c r="G11" s="260">
        <v>19.578340000000001</v>
      </c>
      <c r="H11" s="260">
        <v>5.8433400000000013</v>
      </c>
      <c r="I11" s="260">
        <v>13.7354</v>
      </c>
      <c r="J11" s="260">
        <v>6.0016999999999996</v>
      </c>
      <c r="K11" s="260">
        <v>7.7336600000000075</v>
      </c>
      <c r="L11" s="260">
        <v>3.8026670000000076</v>
      </c>
      <c r="M11" s="260">
        <v>4</v>
      </c>
      <c r="N11" s="260">
        <v>4</v>
      </c>
      <c r="O11" s="260">
        <v>15.261431999999999</v>
      </c>
      <c r="P11" s="260">
        <v>6.1594199999999999</v>
      </c>
      <c r="Q11" s="260">
        <v>9.1020119999999984</v>
      </c>
      <c r="R11" s="260">
        <v>2.2946239999999998</v>
      </c>
      <c r="S11" s="260">
        <v>6.8073879999999996</v>
      </c>
      <c r="T11" s="260">
        <v>2.2233329999999998</v>
      </c>
      <c r="U11" s="260">
        <v>4.5840550000000002</v>
      </c>
      <c r="V11" s="260">
        <v>4.5840550000000002</v>
      </c>
      <c r="W11" s="260">
        <v>17.264553000000003</v>
      </c>
      <c r="X11" s="260">
        <v>4.3932770000000003</v>
      </c>
      <c r="Y11" s="260">
        <v>12.871276000000002</v>
      </c>
      <c r="Z11" s="260">
        <v>4.3728879999999997</v>
      </c>
      <c r="AA11" s="260">
        <v>8.4983880000000021</v>
      </c>
      <c r="AB11" s="260">
        <v>4.357888</v>
      </c>
      <c r="AC11" s="260">
        <v>4.140500000000003</v>
      </c>
      <c r="AD11" s="260">
        <v>4.140500000000003</v>
      </c>
      <c r="AE11" s="260">
        <v>17.059778000000001</v>
      </c>
      <c r="AF11" s="260">
        <v>4.1101669999999997</v>
      </c>
      <c r="AG11" s="260">
        <v>12.660722</v>
      </c>
      <c r="AH11" s="260">
        <v>4.1961110000000001</v>
      </c>
      <c r="AI11" s="260">
        <v>8.3062780000000007</v>
      </c>
      <c r="AJ11" s="260">
        <v>4.3544444000000002</v>
      </c>
      <c r="AK11" s="260">
        <v>4.3990559999999999</v>
      </c>
      <c r="AL11" s="260">
        <v>4.3990559999999999</v>
      </c>
      <c r="AM11" s="260">
        <v>13.238778</v>
      </c>
      <c r="AN11" s="260">
        <v>4.4033889999999998</v>
      </c>
      <c r="AO11" s="260">
        <v>8.8353889999999993</v>
      </c>
      <c r="AP11" s="260">
        <v>4.3999449999999998</v>
      </c>
      <c r="AQ11" s="260">
        <f>4.435444</f>
        <v>4.4354440000000004</v>
      </c>
      <c r="AR11" s="260">
        <f>4.435444</f>
        <v>4.4354440000000004</v>
      </c>
      <c r="AS11" s="260">
        <v>0</v>
      </c>
      <c r="AT11" s="260">
        <v>0</v>
      </c>
      <c r="AU11" s="260">
        <v>0</v>
      </c>
      <c r="AV11" s="260">
        <v>0</v>
      </c>
      <c r="AW11" s="260">
        <v>0</v>
      </c>
      <c r="AX11" s="260">
        <v>0</v>
      </c>
      <c r="AY11" s="260">
        <v>0</v>
      </c>
      <c r="AZ11" s="260">
        <v>0</v>
      </c>
      <c r="BA11" s="260">
        <v>0</v>
      </c>
      <c r="BB11" s="260">
        <v>0</v>
      </c>
    </row>
    <row r="12" spans="1:54">
      <c r="A12" s="246"/>
      <c r="B12" s="259" t="s">
        <v>151</v>
      </c>
      <c r="C12" s="260">
        <v>0</v>
      </c>
      <c r="D12" s="260">
        <v>0</v>
      </c>
      <c r="E12" s="260">
        <v>0</v>
      </c>
      <c r="F12" s="260">
        <v>0</v>
      </c>
      <c r="G12" s="260">
        <v>0</v>
      </c>
      <c r="H12" s="260">
        <v>0</v>
      </c>
      <c r="I12" s="260">
        <v>0</v>
      </c>
      <c r="J12" s="260">
        <v>0</v>
      </c>
      <c r="K12" s="260">
        <v>0</v>
      </c>
      <c r="L12" s="260">
        <v>0</v>
      </c>
      <c r="M12" s="260">
        <v>0</v>
      </c>
      <c r="N12" s="260">
        <v>0</v>
      </c>
      <c r="O12" s="260">
        <v>0</v>
      </c>
      <c r="P12" s="260">
        <v>0</v>
      </c>
      <c r="Q12" s="260">
        <v>0</v>
      </c>
      <c r="R12" s="260">
        <v>0</v>
      </c>
      <c r="S12" s="260">
        <v>0</v>
      </c>
      <c r="T12" s="260">
        <v>0</v>
      </c>
      <c r="U12" s="260">
        <v>0</v>
      </c>
      <c r="V12" s="260">
        <v>0</v>
      </c>
      <c r="W12" s="260">
        <v>0</v>
      </c>
      <c r="X12" s="260">
        <v>0</v>
      </c>
      <c r="Y12" s="260">
        <v>3.2178190000000004</v>
      </c>
      <c r="Z12" s="260">
        <v>1.0932219999999999</v>
      </c>
      <c r="AA12" s="260">
        <f t="shared" ref="AA12:AB12" si="0">+AA11*0.25</f>
        <v>2.1245970000000005</v>
      </c>
      <c r="AB12" s="260">
        <f t="shared" si="0"/>
        <v>1.089472</v>
      </c>
      <c r="AC12" s="260">
        <f t="shared" ref="AC12:AR12" si="1">+AC11*0.25</f>
        <v>1.0351250000000007</v>
      </c>
      <c r="AD12" s="260">
        <f t="shared" si="1"/>
        <v>1.0351250000000007</v>
      </c>
      <c r="AE12" s="260">
        <f t="shared" si="1"/>
        <v>4.2649445000000004</v>
      </c>
      <c r="AF12" s="260">
        <f t="shared" si="1"/>
        <v>1.0275417499999999</v>
      </c>
      <c r="AG12" s="260">
        <f t="shared" si="1"/>
        <v>3.1651805</v>
      </c>
      <c r="AH12" s="260">
        <f t="shared" si="1"/>
        <v>1.04902775</v>
      </c>
      <c r="AI12" s="260">
        <f t="shared" si="1"/>
        <v>2.0765695000000002</v>
      </c>
      <c r="AJ12" s="260">
        <f t="shared" si="1"/>
        <v>1.0886111000000001</v>
      </c>
      <c r="AK12" s="260">
        <f t="shared" si="1"/>
        <v>1.099764</v>
      </c>
      <c r="AL12" s="260">
        <f t="shared" si="1"/>
        <v>1.099764</v>
      </c>
      <c r="AM12" s="260">
        <f t="shared" si="1"/>
        <v>3.3096945</v>
      </c>
      <c r="AN12" s="260">
        <f t="shared" si="1"/>
        <v>1.1008472499999999</v>
      </c>
      <c r="AO12" s="260">
        <f t="shared" si="1"/>
        <v>2.2088472499999998</v>
      </c>
      <c r="AP12" s="260">
        <f t="shared" si="1"/>
        <v>1.0999862499999999</v>
      </c>
      <c r="AQ12" s="260">
        <f t="shared" si="1"/>
        <v>1.1088610000000001</v>
      </c>
      <c r="AR12" s="260">
        <f t="shared" si="1"/>
        <v>1.1088610000000001</v>
      </c>
      <c r="AS12" s="260">
        <v>0</v>
      </c>
      <c r="AT12" s="260">
        <v>0</v>
      </c>
      <c r="AU12" s="260">
        <v>0</v>
      </c>
      <c r="AV12" s="260">
        <v>0</v>
      </c>
      <c r="AW12" s="260">
        <v>0</v>
      </c>
      <c r="AX12" s="260">
        <v>0</v>
      </c>
      <c r="AY12" s="260">
        <v>0</v>
      </c>
      <c r="AZ12" s="260">
        <v>0</v>
      </c>
      <c r="BA12" s="260">
        <v>0</v>
      </c>
      <c r="BB12" s="260">
        <v>0</v>
      </c>
    </row>
    <row r="13" spans="1:54">
      <c r="A13" s="109"/>
      <c r="B13" s="261" t="s">
        <v>152</v>
      </c>
      <c r="C13" s="262">
        <v>0</v>
      </c>
      <c r="D13" s="262">
        <v>0</v>
      </c>
      <c r="E13" s="262">
        <v>0</v>
      </c>
      <c r="F13" s="262">
        <v>0</v>
      </c>
      <c r="G13" s="262">
        <v>0</v>
      </c>
      <c r="H13" s="262">
        <v>0</v>
      </c>
      <c r="I13" s="262">
        <v>0</v>
      </c>
      <c r="J13" s="262">
        <v>0</v>
      </c>
      <c r="K13" s="262">
        <v>0</v>
      </c>
      <c r="L13" s="262">
        <v>0</v>
      </c>
      <c r="M13" s="262">
        <v>0</v>
      </c>
      <c r="N13" s="262">
        <v>0</v>
      </c>
      <c r="O13" s="262">
        <v>0</v>
      </c>
      <c r="P13" s="262">
        <v>0</v>
      </c>
      <c r="Q13" s="262">
        <v>6.8073880000000004</v>
      </c>
      <c r="R13" s="262">
        <v>2.2233330000000002</v>
      </c>
      <c r="S13" s="262">
        <v>6.8073880000000004</v>
      </c>
      <c r="T13" s="262">
        <v>2.2233330000000002</v>
      </c>
      <c r="U13" s="262">
        <v>4.5840550000000002</v>
      </c>
      <c r="V13" s="262">
        <v>4.5840550000000002</v>
      </c>
      <c r="W13" s="262">
        <v>17.264553000000003</v>
      </c>
      <c r="X13" s="262">
        <v>4.3932770000000003</v>
      </c>
      <c r="Y13" s="262">
        <v>9.6534570000000013</v>
      </c>
      <c r="Z13" s="262">
        <v>3.2796659999999997</v>
      </c>
      <c r="AA13" s="262">
        <f>AA11-AA12</f>
        <v>6.3737910000000015</v>
      </c>
      <c r="AB13" s="262">
        <f t="shared" ref="AB13" si="2">AB11-AB12</f>
        <v>3.2684160000000002</v>
      </c>
      <c r="AC13" s="262">
        <f>AC11-AC12</f>
        <v>3.1053750000000022</v>
      </c>
      <c r="AD13" s="262">
        <f t="shared" ref="AD13:AR13" si="3">AD11-AD12</f>
        <v>3.1053750000000022</v>
      </c>
      <c r="AE13" s="262">
        <f t="shared" si="3"/>
        <v>12.794833500000001</v>
      </c>
      <c r="AF13" s="262">
        <f t="shared" si="3"/>
        <v>3.0826252499999995</v>
      </c>
      <c r="AG13" s="262">
        <f t="shared" si="3"/>
        <v>9.4955414999999999</v>
      </c>
      <c r="AH13" s="262">
        <f t="shared" si="3"/>
        <v>3.1470832500000001</v>
      </c>
      <c r="AI13" s="262">
        <f t="shared" si="3"/>
        <v>6.229708500000001</v>
      </c>
      <c r="AJ13" s="262">
        <f t="shared" si="3"/>
        <v>3.2658333000000002</v>
      </c>
      <c r="AK13" s="262">
        <f t="shared" si="3"/>
        <v>3.2992919999999999</v>
      </c>
      <c r="AL13" s="262">
        <f t="shared" si="3"/>
        <v>3.2992919999999999</v>
      </c>
      <c r="AM13" s="262">
        <f t="shared" si="3"/>
        <v>9.9290835000000008</v>
      </c>
      <c r="AN13" s="262">
        <f t="shared" si="3"/>
        <v>3.3025417499999996</v>
      </c>
      <c r="AO13" s="262">
        <f t="shared" si="3"/>
        <v>6.6265417499999995</v>
      </c>
      <c r="AP13" s="262">
        <f t="shared" si="3"/>
        <v>3.2999587500000001</v>
      </c>
      <c r="AQ13" s="262">
        <f t="shared" si="3"/>
        <v>3.3265830000000003</v>
      </c>
      <c r="AR13" s="262">
        <f t="shared" si="3"/>
        <v>3.3265830000000003</v>
      </c>
      <c r="AS13" s="262">
        <v>0</v>
      </c>
      <c r="AT13" s="262">
        <v>0</v>
      </c>
      <c r="AU13" s="262">
        <v>0</v>
      </c>
      <c r="AV13" s="262">
        <v>0</v>
      </c>
      <c r="AW13" s="262">
        <v>0</v>
      </c>
      <c r="AX13" s="262">
        <v>0</v>
      </c>
      <c r="AY13" s="262">
        <v>0</v>
      </c>
      <c r="AZ13" s="262">
        <v>0</v>
      </c>
      <c r="BA13" s="262">
        <v>0</v>
      </c>
      <c r="BB13" s="262">
        <v>0</v>
      </c>
    </row>
    <row r="14" spans="1:54">
      <c r="A14" s="246"/>
      <c r="B14" s="255" t="s">
        <v>153</v>
      </c>
      <c r="C14" s="258">
        <v>943.1567774799995</v>
      </c>
      <c r="D14" s="258">
        <v>509.75300924999976</v>
      </c>
      <c r="E14" s="258">
        <v>433.4038000000001</v>
      </c>
      <c r="F14" s="258">
        <v>433.4038000000001</v>
      </c>
      <c r="G14" s="258">
        <v>1588.9054599999999</v>
      </c>
      <c r="H14" s="258">
        <v>460.49313999999993</v>
      </c>
      <c r="I14" s="258">
        <v>1128.4246000000001</v>
      </c>
      <c r="J14" s="258">
        <v>431.89830000000001</v>
      </c>
      <c r="K14" s="258">
        <v>696.53524106999987</v>
      </c>
      <c r="L14" s="258">
        <v>434.05131813999998</v>
      </c>
      <c r="M14" s="258">
        <v>262</v>
      </c>
      <c r="N14" s="258">
        <v>262</v>
      </c>
      <c r="O14" s="258">
        <v>1912.9049799999998</v>
      </c>
      <c r="P14" s="258">
        <v>285.32735683999988</v>
      </c>
      <c r="Q14" s="258">
        <v>1629.8722471600001</v>
      </c>
      <c r="R14" s="258">
        <v>407.06108715999983</v>
      </c>
      <c r="S14" s="258">
        <f>+S10-S13</f>
        <v>1220.5878270000005</v>
      </c>
      <c r="T14" s="258">
        <f t="shared" ref="T14" si="4">+T10-T13</f>
        <v>468.60220270000025</v>
      </c>
      <c r="U14" s="258">
        <v>751.9856242999997</v>
      </c>
      <c r="V14" s="258">
        <v>751.9856242999997</v>
      </c>
      <c r="W14" s="258">
        <v>1396.2914400000002</v>
      </c>
      <c r="X14" s="258">
        <v>317.41486115000038</v>
      </c>
      <c r="Y14" s="258">
        <v>1082.094398</v>
      </c>
      <c r="Z14" s="258">
        <v>358.38826800000004</v>
      </c>
      <c r="AA14" s="258">
        <f>+AA10-AA13</f>
        <v>723.70613000000014</v>
      </c>
      <c r="AB14" s="258">
        <f t="shared" ref="AB14" si="5">+AB10-AB13</f>
        <v>412.8862059999999</v>
      </c>
      <c r="AC14" s="258">
        <f>+AC10-AC13</f>
        <v>310.81992400000001</v>
      </c>
      <c r="AD14" s="258">
        <f t="shared" ref="AD14:AP14" si="6">+AD10-AD13</f>
        <v>310.81992400000001</v>
      </c>
      <c r="AE14" s="258">
        <f t="shared" si="6"/>
        <v>1250.0599264999996</v>
      </c>
      <c r="AF14" s="258">
        <f t="shared" si="6"/>
        <v>333.54821774999965</v>
      </c>
      <c r="AG14" s="258">
        <f t="shared" si="6"/>
        <v>916.29629849999992</v>
      </c>
      <c r="AH14" s="258">
        <f t="shared" si="6"/>
        <v>373.64475675000028</v>
      </c>
      <c r="AI14" s="258">
        <f t="shared" si="6"/>
        <v>541.66724150000027</v>
      </c>
      <c r="AJ14" s="258">
        <f t="shared" si="6"/>
        <v>270.76711670000026</v>
      </c>
      <c r="AK14" s="258">
        <f t="shared" si="6"/>
        <v>270.56470799999988</v>
      </c>
      <c r="AL14" s="258">
        <f t="shared" si="6"/>
        <v>270.56470799999988</v>
      </c>
      <c r="AM14" s="258">
        <f t="shared" si="6"/>
        <v>1089.6504155</v>
      </c>
      <c r="AN14" s="258">
        <f t="shared" si="6"/>
        <v>278.18992661999999</v>
      </c>
      <c r="AO14" s="258">
        <f t="shared" si="6"/>
        <v>812.77373262000026</v>
      </c>
      <c r="AP14" s="258">
        <f t="shared" si="6"/>
        <v>420.44124418000007</v>
      </c>
      <c r="AQ14" s="258">
        <f t="shared" ref="AQ14:BA14" si="7">+AQ10-AQ11</f>
        <v>391.30455599999993</v>
      </c>
      <c r="AR14" s="258">
        <f t="shared" si="7"/>
        <v>222.76455600000006</v>
      </c>
      <c r="AS14" s="258">
        <f t="shared" si="7"/>
        <v>169.01000000000002</v>
      </c>
      <c r="AT14" s="258">
        <f t="shared" si="7"/>
        <v>169.01000000000002</v>
      </c>
      <c r="AU14" s="258">
        <f t="shared" si="7"/>
        <v>929.5</v>
      </c>
      <c r="AV14" s="258">
        <f t="shared" si="7"/>
        <v>193.50000000000006</v>
      </c>
      <c r="AW14" s="258">
        <f t="shared" si="7"/>
        <v>735.88799999999992</v>
      </c>
      <c r="AX14" s="258">
        <f t="shared" si="7"/>
        <v>307.29000000000008</v>
      </c>
      <c r="AY14" s="258">
        <f t="shared" si="7"/>
        <v>430</v>
      </c>
      <c r="AZ14" s="258">
        <f t="shared" si="7"/>
        <v>190</v>
      </c>
      <c r="BA14" s="258">
        <f t="shared" si="7"/>
        <v>240</v>
      </c>
      <c r="BB14" s="263">
        <v>240</v>
      </c>
    </row>
    <row r="15" spans="1:54">
      <c r="A15" s="246"/>
      <c r="B15" s="255"/>
      <c r="C15" s="264"/>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58"/>
      <c r="AI15" s="264"/>
      <c r="AJ15" s="264"/>
      <c r="AK15" s="264"/>
      <c r="AL15" s="264"/>
      <c r="AM15" s="264"/>
      <c r="AN15" s="264"/>
      <c r="AO15" s="258"/>
      <c r="AP15" s="258"/>
      <c r="AQ15" s="264"/>
      <c r="AR15" s="264"/>
      <c r="AS15" s="264"/>
      <c r="AT15" s="264"/>
      <c r="AU15" s="264"/>
      <c r="AV15" s="264"/>
      <c r="AW15" s="264"/>
      <c r="AX15" s="264"/>
      <c r="AY15" s="264"/>
      <c r="AZ15" s="264"/>
      <c r="BA15" s="264"/>
      <c r="BB15" s="265"/>
    </row>
    <row r="16" spans="1:54">
      <c r="A16" s="246"/>
      <c r="B16" s="255"/>
      <c r="C16" s="264"/>
      <c r="D16" s="264"/>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58"/>
      <c r="AI16" s="264"/>
      <c r="AJ16" s="264"/>
      <c r="AK16" s="264"/>
      <c r="AL16" s="264"/>
      <c r="AM16" s="264"/>
      <c r="AN16" s="264"/>
      <c r="AO16" s="258"/>
      <c r="AP16" s="258"/>
      <c r="AQ16" s="264"/>
      <c r="AR16" s="264"/>
      <c r="AS16" s="264"/>
      <c r="AT16" s="264"/>
      <c r="AU16" s="264"/>
      <c r="AV16" s="264"/>
      <c r="AW16" s="264"/>
      <c r="AX16" s="264"/>
      <c r="AY16" s="264"/>
      <c r="AZ16" s="264"/>
      <c r="BA16" s="264"/>
      <c r="BB16" s="265"/>
    </row>
    <row r="17" spans="1:54" ht="15">
      <c r="A17" s="245"/>
      <c r="B17" s="255"/>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58"/>
      <c r="AI17" s="264"/>
      <c r="AJ17" s="264"/>
      <c r="AK17" s="264"/>
      <c r="AL17" s="264"/>
      <c r="AM17" s="264"/>
      <c r="AN17" s="264"/>
      <c r="AO17" s="258"/>
      <c r="AP17" s="258"/>
      <c r="AQ17" s="264"/>
      <c r="AR17" s="264"/>
      <c r="AS17" s="264"/>
      <c r="AT17" s="264"/>
      <c r="AU17" s="264"/>
      <c r="AV17" s="264"/>
      <c r="AW17" s="264"/>
      <c r="AX17" s="264"/>
      <c r="AY17" s="264"/>
      <c r="AZ17" s="264"/>
      <c r="BA17" s="264"/>
      <c r="BB17" s="264"/>
    </row>
    <row r="18" spans="1:54" ht="15">
      <c r="A18" s="245"/>
      <c r="B18" s="255"/>
      <c r="C18" s="264"/>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58"/>
      <c r="AI18" s="264"/>
      <c r="AJ18" s="264"/>
      <c r="AK18" s="264"/>
      <c r="AL18" s="264"/>
      <c r="AM18" s="264"/>
      <c r="AN18" s="264"/>
      <c r="AO18" s="258"/>
      <c r="AP18" s="258"/>
      <c r="AQ18" s="264"/>
      <c r="AR18" s="264"/>
      <c r="AS18" s="264"/>
      <c r="AT18" s="264"/>
      <c r="AU18" s="264"/>
      <c r="AV18" s="264"/>
      <c r="AW18" s="264"/>
      <c r="AX18" s="264"/>
      <c r="AY18" s="264"/>
      <c r="AZ18" s="264"/>
      <c r="BA18" s="264"/>
      <c r="BB18" s="264"/>
    </row>
    <row r="19" spans="1:54">
      <c r="A19" s="246"/>
      <c r="B19" s="255" t="s">
        <v>154</v>
      </c>
      <c r="C19" s="258">
        <v>17791.42000573</v>
      </c>
      <c r="D19" s="258">
        <v>17791.42000573</v>
      </c>
      <c r="E19" s="258">
        <v>17304.41509002</v>
      </c>
      <c r="F19" s="258">
        <v>17304.41509002</v>
      </c>
      <c r="G19" s="258">
        <v>17135.459832</v>
      </c>
      <c r="H19" s="258">
        <v>17135.459832</v>
      </c>
      <c r="I19" s="258">
        <v>16654.883699999998</v>
      </c>
      <c r="J19" s="258">
        <v>16654.883699999998</v>
      </c>
      <c r="K19" s="258">
        <v>16244.309691809998</v>
      </c>
      <c r="L19" s="258">
        <v>16244.309691809998</v>
      </c>
      <c r="M19" s="258">
        <v>15504</v>
      </c>
      <c r="N19" s="258">
        <v>15504</v>
      </c>
      <c r="O19" s="258">
        <v>15902.865877999999</v>
      </c>
      <c r="P19" s="258">
        <v>15902.865877999999</v>
      </c>
      <c r="Q19" s="258">
        <v>15781.623224370029</v>
      </c>
      <c r="R19" s="258">
        <v>15781.623224370029</v>
      </c>
      <c r="S19" s="258">
        <v>15088.845469150001</v>
      </c>
      <c r="T19" s="258">
        <v>15088.845469150001</v>
      </c>
      <c r="U19" s="258">
        <v>14604.36419099</v>
      </c>
      <c r="V19" s="258">
        <v>14604.36419099</v>
      </c>
      <c r="W19" s="258">
        <v>14761.540622534032</v>
      </c>
      <c r="X19" s="258">
        <v>14761.540622534032</v>
      </c>
      <c r="Y19" s="258">
        <v>13772.911895999998</v>
      </c>
      <c r="Z19" s="258">
        <v>13772.911895999998</v>
      </c>
      <c r="AA19" s="258">
        <v>13419.826445000001</v>
      </c>
      <c r="AB19" s="258">
        <v>13419.826445000001</v>
      </c>
      <c r="AC19" s="258">
        <v>13006.999244000001</v>
      </c>
      <c r="AD19" s="258">
        <v>13006.999244000001</v>
      </c>
      <c r="AE19" s="258">
        <v>13331.214576718428</v>
      </c>
      <c r="AF19" s="258">
        <v>13331.214576718428</v>
      </c>
      <c r="AG19" s="258">
        <v>12991.201010299999</v>
      </c>
      <c r="AH19" s="258">
        <v>12991.201010299999</v>
      </c>
      <c r="AI19" s="258">
        <v>12591.153999999999</v>
      </c>
      <c r="AJ19" s="258">
        <v>12591.153999999999</v>
      </c>
      <c r="AK19" s="258">
        <v>12369.748290755098</v>
      </c>
      <c r="AL19" s="258">
        <v>12369.748290755098</v>
      </c>
      <c r="AM19" s="258">
        <v>12107.396449</v>
      </c>
      <c r="AN19" s="258">
        <v>12107.396449</v>
      </c>
      <c r="AO19" s="258">
        <v>11775.9</v>
      </c>
      <c r="AP19" s="258">
        <v>11775.9</v>
      </c>
      <c r="AQ19" s="258">
        <f>11350.12103489-400</f>
        <v>10950.12103489</v>
      </c>
      <c r="AR19" s="258">
        <f>11350.12103489-400</f>
        <v>10950.12103489</v>
      </c>
      <c r="AS19" s="258">
        <v>8995.4</v>
      </c>
      <c r="AT19" s="258">
        <f>+AS19</f>
        <v>8995.4</v>
      </c>
      <c r="AU19" s="258">
        <v>8717.7999999999993</v>
      </c>
      <c r="AV19" s="258">
        <f>+AU19</f>
        <v>8717.7999999999993</v>
      </c>
      <c r="AW19" s="258">
        <v>8449.2000000000007</v>
      </c>
      <c r="AX19" s="258">
        <f>+AW19</f>
        <v>8449.2000000000007</v>
      </c>
      <c r="AY19" s="258">
        <v>8128</v>
      </c>
      <c r="AZ19" s="258">
        <f>+AY19</f>
        <v>8128</v>
      </c>
      <c r="BA19" s="258">
        <v>7889</v>
      </c>
      <c r="BB19" s="258">
        <f>+BA19</f>
        <v>7889</v>
      </c>
    </row>
    <row r="20" spans="1:54">
      <c r="A20" s="246"/>
      <c r="B20" s="261" t="s">
        <v>155</v>
      </c>
      <c r="C20" s="262">
        <v>650</v>
      </c>
      <c r="D20" s="262">
        <v>650</v>
      </c>
      <c r="E20" s="262">
        <v>650</v>
      </c>
      <c r="F20" s="262">
        <v>650</v>
      </c>
      <c r="G20" s="262">
        <v>650</v>
      </c>
      <c r="H20" s="262">
        <v>650</v>
      </c>
      <c r="I20" s="262">
        <v>650</v>
      </c>
      <c r="J20" s="262">
        <v>650</v>
      </c>
      <c r="K20" s="262">
        <v>650</v>
      </c>
      <c r="L20" s="262">
        <v>650</v>
      </c>
      <c r="M20" s="262">
        <v>300</v>
      </c>
      <c r="N20" s="262">
        <v>300</v>
      </c>
      <c r="O20" s="262">
        <v>300.00475699999998</v>
      </c>
      <c r="P20" s="262">
        <v>300.00475699999998</v>
      </c>
      <c r="Q20" s="262">
        <v>493.44836554</v>
      </c>
      <c r="R20" s="262">
        <v>493.44836554</v>
      </c>
      <c r="S20" s="262">
        <v>200</v>
      </c>
      <c r="T20" s="262">
        <v>200</v>
      </c>
      <c r="U20" s="262">
        <v>200</v>
      </c>
      <c r="V20" s="262">
        <v>200</v>
      </c>
      <c r="W20" s="262">
        <v>400</v>
      </c>
      <c r="X20" s="262">
        <v>400</v>
      </c>
      <c r="Y20" s="262">
        <v>400</v>
      </c>
      <c r="Z20" s="262">
        <v>400</v>
      </c>
      <c r="AA20" s="262">
        <v>400</v>
      </c>
      <c r="AB20" s="262">
        <v>400</v>
      </c>
      <c r="AC20" s="262">
        <v>400</v>
      </c>
      <c r="AD20" s="262">
        <v>400</v>
      </c>
      <c r="AE20" s="262">
        <v>400</v>
      </c>
      <c r="AF20" s="262">
        <v>400</v>
      </c>
      <c r="AG20" s="262">
        <v>400</v>
      </c>
      <c r="AH20" s="262">
        <v>400</v>
      </c>
      <c r="AI20" s="262">
        <v>400</v>
      </c>
      <c r="AJ20" s="262">
        <v>400</v>
      </c>
      <c r="AK20" s="262">
        <v>400</v>
      </c>
      <c r="AL20" s="262">
        <v>400</v>
      </c>
      <c r="AM20" s="262">
        <v>400</v>
      </c>
      <c r="AN20" s="262">
        <v>400</v>
      </c>
      <c r="AO20" s="262">
        <v>400</v>
      </c>
      <c r="AP20" s="262">
        <v>400</v>
      </c>
      <c r="AQ20" s="262">
        <v>400</v>
      </c>
      <c r="AR20" s="262">
        <v>400</v>
      </c>
      <c r="AS20" s="262">
        <v>0</v>
      </c>
      <c r="AT20" s="262">
        <v>0</v>
      </c>
      <c r="AU20" s="262">
        <v>0</v>
      </c>
      <c r="AV20" s="262">
        <v>0</v>
      </c>
      <c r="AW20" s="262">
        <v>0</v>
      </c>
      <c r="AX20" s="262">
        <v>0</v>
      </c>
      <c r="AY20" s="262">
        <v>0</v>
      </c>
      <c r="AZ20" s="262">
        <v>0</v>
      </c>
      <c r="BA20" s="262">
        <v>0</v>
      </c>
      <c r="BB20" s="262">
        <v>0</v>
      </c>
    </row>
    <row r="21" spans="1:54">
      <c r="A21" s="246"/>
      <c r="B21" s="255" t="s">
        <v>156</v>
      </c>
      <c r="C21" s="258">
        <v>17141.42000573</v>
      </c>
      <c r="D21" s="258">
        <v>17141.42000573</v>
      </c>
      <c r="E21" s="258">
        <v>16654.41509002</v>
      </c>
      <c r="F21" s="258">
        <v>16654.41509002</v>
      </c>
      <c r="G21" s="258">
        <v>16485.459832</v>
      </c>
      <c r="H21" s="258">
        <v>16485.459832</v>
      </c>
      <c r="I21" s="258">
        <v>16004.8837</v>
      </c>
      <c r="J21" s="258">
        <v>16004.8837</v>
      </c>
      <c r="K21" s="258">
        <v>15594.309691809998</v>
      </c>
      <c r="L21" s="258">
        <v>15594.309691809998</v>
      </c>
      <c r="M21" s="258">
        <v>15204</v>
      </c>
      <c r="N21" s="258">
        <v>15204</v>
      </c>
      <c r="O21" s="258">
        <v>15602.861120999998</v>
      </c>
      <c r="P21" s="258">
        <v>15602.861120999998</v>
      </c>
      <c r="Q21" s="258">
        <v>15288.174858830029</v>
      </c>
      <c r="R21" s="258">
        <v>15288.174858830029</v>
      </c>
      <c r="S21" s="258">
        <f t="shared" ref="S21:T21" si="8">S19-S20</f>
        <v>14888.845469150001</v>
      </c>
      <c r="T21" s="258">
        <f t="shared" si="8"/>
        <v>14888.845469150001</v>
      </c>
      <c r="U21" s="258">
        <f t="shared" ref="U21:X21" si="9">U19-U20</f>
        <v>14404.36419099</v>
      </c>
      <c r="V21" s="258">
        <f t="shared" si="9"/>
        <v>14404.36419099</v>
      </c>
      <c r="W21" s="258">
        <f t="shared" si="9"/>
        <v>14361.540622534032</v>
      </c>
      <c r="X21" s="258">
        <f t="shared" si="9"/>
        <v>14361.540622534032</v>
      </c>
      <c r="Y21" s="258">
        <f>Y19-Y20</f>
        <v>13372.911895999998</v>
      </c>
      <c r="Z21" s="258">
        <f t="shared" ref="Z21" si="10">Z19-Z20</f>
        <v>13372.911895999998</v>
      </c>
      <c r="AA21" s="258">
        <f>AA19-AA20</f>
        <v>13019.826445000001</v>
      </c>
      <c r="AB21" s="258">
        <f t="shared" ref="AB21" si="11">AB19-AB20</f>
        <v>13019.826445000001</v>
      </c>
      <c r="AC21" s="258">
        <f>AC19-AC20</f>
        <v>12606.999244000001</v>
      </c>
      <c r="AD21" s="258">
        <f t="shared" ref="AD21:BB21" si="12">AD19-AD20</f>
        <v>12606.999244000001</v>
      </c>
      <c r="AE21" s="258">
        <f t="shared" si="12"/>
        <v>12931.214576718428</v>
      </c>
      <c r="AF21" s="258">
        <f t="shared" si="12"/>
        <v>12931.214576718428</v>
      </c>
      <c r="AG21" s="258">
        <f t="shared" si="12"/>
        <v>12591.201010299999</v>
      </c>
      <c r="AH21" s="258">
        <f t="shared" si="12"/>
        <v>12591.201010299999</v>
      </c>
      <c r="AI21" s="258">
        <f t="shared" si="12"/>
        <v>12191.153999999999</v>
      </c>
      <c r="AJ21" s="258">
        <f t="shared" si="12"/>
        <v>12191.153999999999</v>
      </c>
      <c r="AK21" s="258">
        <f t="shared" si="12"/>
        <v>11969.748290755098</v>
      </c>
      <c r="AL21" s="258">
        <f t="shared" si="12"/>
        <v>11969.748290755098</v>
      </c>
      <c r="AM21" s="258">
        <f t="shared" si="12"/>
        <v>11707.396449</v>
      </c>
      <c r="AN21" s="258">
        <f t="shared" si="12"/>
        <v>11707.396449</v>
      </c>
      <c r="AO21" s="258">
        <f t="shared" si="12"/>
        <v>11375.9</v>
      </c>
      <c r="AP21" s="258">
        <f t="shared" si="12"/>
        <v>11375.9</v>
      </c>
      <c r="AQ21" s="258">
        <f t="shared" si="12"/>
        <v>10550.12103489</v>
      </c>
      <c r="AR21" s="258">
        <f t="shared" si="12"/>
        <v>10550.12103489</v>
      </c>
      <c r="AS21" s="258">
        <f t="shared" si="12"/>
        <v>8995.4</v>
      </c>
      <c r="AT21" s="258">
        <f t="shared" si="12"/>
        <v>8995.4</v>
      </c>
      <c r="AU21" s="258">
        <f t="shared" si="12"/>
        <v>8717.7999999999993</v>
      </c>
      <c r="AV21" s="258">
        <f t="shared" si="12"/>
        <v>8717.7999999999993</v>
      </c>
      <c r="AW21" s="258">
        <f t="shared" si="12"/>
        <v>8449.2000000000007</v>
      </c>
      <c r="AX21" s="258">
        <f t="shared" si="12"/>
        <v>8449.2000000000007</v>
      </c>
      <c r="AY21" s="258">
        <f t="shared" si="12"/>
        <v>8128</v>
      </c>
      <c r="AZ21" s="258">
        <f t="shared" si="12"/>
        <v>8128</v>
      </c>
      <c r="BA21" s="258">
        <f t="shared" si="12"/>
        <v>7889</v>
      </c>
      <c r="BB21" s="258">
        <f t="shared" si="12"/>
        <v>7889</v>
      </c>
    </row>
    <row r="22" spans="1:54" ht="15">
      <c r="A22" s="245"/>
      <c r="B22" s="255"/>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58"/>
      <c r="AP22" s="258"/>
      <c r="AQ22" s="264"/>
      <c r="AR22" s="264"/>
      <c r="AS22" s="264"/>
      <c r="AT22" s="264"/>
      <c r="AU22" s="264"/>
      <c r="AV22" s="264"/>
      <c r="AW22" s="264"/>
      <c r="AX22" s="264"/>
      <c r="AY22" s="264"/>
      <c r="AZ22" s="264"/>
      <c r="BA22" s="264"/>
      <c r="BB22" s="264"/>
    </row>
    <row r="23" spans="1:54" ht="15">
      <c r="A23" s="245"/>
      <c r="B23" s="255"/>
      <c r="C23" s="264"/>
      <c r="D23" s="264"/>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58"/>
      <c r="AP23" s="258"/>
      <c r="AQ23" s="264"/>
      <c r="AR23" s="264"/>
      <c r="AS23" s="264"/>
      <c r="AT23" s="264"/>
      <c r="AU23" s="264"/>
      <c r="AV23" s="264"/>
      <c r="AW23" s="264"/>
      <c r="AX23" s="264"/>
      <c r="AY23" s="258"/>
      <c r="AZ23" s="264"/>
      <c r="BA23" s="264"/>
      <c r="BB23" s="264"/>
    </row>
    <row r="24" spans="1:54">
      <c r="A24" s="246"/>
      <c r="B24" s="256" t="s">
        <v>157</v>
      </c>
      <c r="C24" s="258">
        <v>16760.431642583335</v>
      </c>
      <c r="D24" s="258"/>
      <c r="E24" s="258">
        <v>16569.937461009999</v>
      </c>
      <c r="F24" s="258"/>
      <c r="G24" s="258">
        <v>15778.284375975996</v>
      </c>
      <c r="H24" s="258"/>
      <c r="I24" s="258">
        <v>15601.4905</v>
      </c>
      <c r="J24" s="258"/>
      <c r="K24" s="258">
        <v>15467.026119293332</v>
      </c>
      <c r="L24" s="258"/>
      <c r="M24" s="258">
        <v>15403</v>
      </c>
      <c r="N24" s="258"/>
      <c r="O24" s="258">
        <v>14909.157252500812</v>
      </c>
      <c r="P24" s="258"/>
      <c r="Q24" s="258">
        <v>14735.731285376014</v>
      </c>
      <c r="R24" s="258"/>
      <c r="S24" s="258">
        <v>14551.583427558013</v>
      </c>
      <c r="T24" s="258"/>
      <c r="U24" s="258">
        <v>14382.952406762015</v>
      </c>
      <c r="V24" s="258"/>
      <c r="W24" s="258">
        <v>13258.498556850493</v>
      </c>
      <c r="X24" s="258"/>
      <c r="Y24" s="258">
        <f>(Y21+AC21++AA21+AE21)/4</f>
        <v>12982.738040429605</v>
      </c>
      <c r="Z24" s="258"/>
      <c r="AA24" s="258">
        <f>(AA21+AC21+AE21)/3</f>
        <v>12852.68008857281</v>
      </c>
      <c r="AB24" s="255"/>
      <c r="AC24" s="258">
        <f>(AC21+AE21)/2</f>
        <v>12769.106910359214</v>
      </c>
      <c r="AD24" s="255"/>
      <c r="AE24" s="258">
        <f>(AE21+AG21+AI21+AK21+AM21)/5</f>
        <v>12278.142865354706</v>
      </c>
      <c r="AF24" s="264"/>
      <c r="AG24" s="258">
        <f>(AG21+AI21+AK21+AM21)/4</f>
        <v>12114.874937513774</v>
      </c>
      <c r="AH24" s="258"/>
      <c r="AI24" s="258">
        <f>(AI21+AK21+AM21)/3</f>
        <v>11956.099579918366</v>
      </c>
      <c r="AJ24" s="258"/>
      <c r="AK24" s="258">
        <f>(AK21+AM21)/2</f>
        <v>11838.572369877549</v>
      </c>
      <c r="AL24" s="258"/>
      <c r="AM24" s="258">
        <f>(AM21+AO21+AQ21+AS21+AU21)/5</f>
        <v>10269.323496778001</v>
      </c>
      <c r="AN24" s="258"/>
      <c r="AO24" s="258">
        <f>(AO21+AQ21+AS21+AU21)/4</f>
        <v>9909.8052587224993</v>
      </c>
      <c r="AP24" s="258"/>
      <c r="AQ24" s="258">
        <f>(AQ21+AS21+AU21)/3</f>
        <v>9421.1070116299998</v>
      </c>
      <c r="AR24" s="258"/>
      <c r="AS24" s="258">
        <f>(AS21+AU21)/2</f>
        <v>8856.5999999999985</v>
      </c>
      <c r="AT24" s="258"/>
      <c r="AU24" s="258">
        <f>(AU21+AW21+AY21+BA21+7624)/5</f>
        <v>8161.6</v>
      </c>
      <c r="AV24" s="258"/>
      <c r="AW24" s="258">
        <f>(AW21+AY21+BA21+7624)/4</f>
        <v>8022.55</v>
      </c>
      <c r="AX24" s="266"/>
      <c r="AY24" s="258">
        <f>(AY21+BA21+7624)/3</f>
        <v>7880.333333333333</v>
      </c>
      <c r="AZ24" s="264"/>
      <c r="BA24" s="258">
        <f>(BA21+7624)/2</f>
        <v>7756.5</v>
      </c>
      <c r="BB24" s="258"/>
    </row>
    <row r="25" spans="1:54">
      <c r="A25" s="246"/>
      <c r="B25" s="256" t="s">
        <v>158</v>
      </c>
      <c r="C25" s="258"/>
      <c r="D25" s="258">
        <v>16897.917547875</v>
      </c>
      <c r="E25" s="258"/>
      <c r="F25" s="258">
        <v>16569.937461009999</v>
      </c>
      <c r="G25" s="258"/>
      <c r="H25" s="258">
        <v>16245.171761</v>
      </c>
      <c r="I25" s="258"/>
      <c r="J25" s="258">
        <v>15799.5967</v>
      </c>
      <c r="K25" s="258">
        <v>0</v>
      </c>
      <c r="L25" s="258">
        <v>15399.108618439997</v>
      </c>
      <c r="M25" s="258"/>
      <c r="N25" s="258">
        <v>15403</v>
      </c>
      <c r="O25" s="258">
        <v>0</v>
      </c>
      <c r="P25" s="258">
        <v>15445.517989915013</v>
      </c>
      <c r="Q25" s="258">
        <v>0</v>
      </c>
      <c r="R25" s="258">
        <v>15088.510163990015</v>
      </c>
      <c r="S25" s="258"/>
      <c r="T25" s="258">
        <v>14646.60483007</v>
      </c>
      <c r="U25" s="258"/>
      <c r="V25" s="258">
        <v>14382.952406762015</v>
      </c>
      <c r="W25" s="258"/>
      <c r="X25" s="258">
        <v>13867.226259267016</v>
      </c>
      <c r="Y25" s="258"/>
      <c r="Z25" s="258">
        <f>+(Y21+AA21)/2</f>
        <v>13196.369170499998</v>
      </c>
      <c r="AA25" s="258"/>
      <c r="AB25" s="267">
        <f>+(AA21+AC21)/2</f>
        <v>12813.412844500001</v>
      </c>
      <c r="AC25" s="258"/>
      <c r="AD25" s="267">
        <f>+(AC21+AE21)/2</f>
        <v>12769.106910359214</v>
      </c>
      <c r="AE25" s="264"/>
      <c r="AF25" s="267">
        <f>+(AE21+AG21)/2</f>
        <v>12761.207793509213</v>
      </c>
      <c r="AG25" s="258"/>
      <c r="AH25" s="267">
        <f>+(AG21+AI21)/2</f>
        <v>12391.177505149999</v>
      </c>
      <c r="AI25" s="258"/>
      <c r="AJ25" s="267">
        <f>+(AI21+AK21)/2</f>
        <v>12080.451145377549</v>
      </c>
      <c r="AK25" s="258"/>
      <c r="AL25" s="267">
        <f>+(AK21+AM21)/2</f>
        <v>11838.572369877549</v>
      </c>
      <c r="AM25" s="258"/>
      <c r="AN25" s="267">
        <f>+(AM21+AO21)/2</f>
        <v>11541.648224500001</v>
      </c>
      <c r="AO25" s="258"/>
      <c r="AP25" s="267">
        <f>+(AO21+AQ21)/2</f>
        <v>10963.010517445</v>
      </c>
      <c r="AQ25" s="258"/>
      <c r="AR25" s="267">
        <f>+(AQ21+AS21)/2</f>
        <v>9772.760517445</v>
      </c>
      <c r="AS25" s="258"/>
      <c r="AT25" s="267">
        <f>+(AS21+AU21)/2</f>
        <v>8856.5999999999985</v>
      </c>
      <c r="AU25" s="258"/>
      <c r="AV25" s="267">
        <f>+(AU21+AW21)/2</f>
        <v>8583.5</v>
      </c>
      <c r="AW25" s="258"/>
      <c r="AX25" s="267">
        <f>+(AW21+AY21)/2</f>
        <v>8288.6</v>
      </c>
      <c r="AY25" s="264"/>
      <c r="AZ25" s="267">
        <f>+(AY21+BA21)/2</f>
        <v>8008.5</v>
      </c>
      <c r="BA25" s="258"/>
      <c r="BB25" s="267">
        <f>+(BA21+7624)/2</f>
        <v>7756.5</v>
      </c>
    </row>
    <row r="26" spans="1:54" ht="15">
      <c r="A26" s="245"/>
      <c r="B26" s="255"/>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4"/>
      <c r="AM26" s="264"/>
      <c r="AN26" s="264"/>
      <c r="AO26" s="258"/>
      <c r="AP26" s="258"/>
      <c r="AQ26" s="264"/>
      <c r="AR26" s="264"/>
      <c r="AS26" s="264"/>
      <c r="AT26" s="264"/>
      <c r="AU26" s="258"/>
      <c r="AV26" s="264"/>
      <c r="AW26" s="258"/>
      <c r="AX26" s="258"/>
      <c r="AY26" s="264"/>
      <c r="AZ26" s="264"/>
      <c r="BA26" s="264"/>
      <c r="BB26" s="264"/>
    </row>
    <row r="27" spans="1:54">
      <c r="A27" s="246"/>
      <c r="B27" s="255" t="s">
        <v>159</v>
      </c>
      <c r="C27" s="258">
        <v>1901.9459877359106</v>
      </c>
      <c r="D27" s="258">
        <v>2044.613718420329</v>
      </c>
      <c r="E27" s="258">
        <v>1757.6931888888892</v>
      </c>
      <c r="F27" s="258">
        <v>1757.6931888888892</v>
      </c>
      <c r="G27" s="258">
        <v>1588.9054599999997</v>
      </c>
      <c r="H27" s="258">
        <v>1831.9618395652171</v>
      </c>
      <c r="I27" s="258">
        <v>1507.3117</v>
      </c>
      <c r="J27" s="258">
        <v>1718.204</v>
      </c>
      <c r="K27" s="258">
        <v>1400.7247155583514</v>
      </c>
      <c r="L27" s="258">
        <v>1745.7448619696702</v>
      </c>
      <c r="M27" s="258">
        <v>1056</v>
      </c>
      <c r="N27" s="258">
        <v>1056</v>
      </c>
      <c r="O27" s="258">
        <v>1912.9049799999998</v>
      </c>
      <c r="P27" s="258">
        <v>1132.0052744195648</v>
      </c>
      <c r="Q27" s="258">
        <v>2179.1332242249086</v>
      </c>
      <c r="R27" s="258">
        <v>1614.9706175369558</v>
      </c>
      <c r="S27" s="258">
        <f t="shared" ref="S27:T27" si="13">S14/S8*$A$1</f>
        <v>2461.4063914640892</v>
      </c>
      <c r="T27" s="258">
        <f t="shared" si="13"/>
        <v>1879.558285554946</v>
      </c>
      <c r="U27" s="258">
        <f t="shared" ref="U27:V27" si="14">U14/U8*$A$1</f>
        <v>3049.7194763277766</v>
      </c>
      <c r="V27" s="258">
        <f t="shared" si="14"/>
        <v>3049.7194763277766</v>
      </c>
      <c r="W27" s="258">
        <f>W14/W8*$A$1</f>
        <v>1396.2914400000002</v>
      </c>
      <c r="X27" s="258">
        <f>X14/X8*$A$1</f>
        <v>1259.3089599972841</v>
      </c>
      <c r="Y27" s="258">
        <f>Y14/Y8*$A$1</f>
        <v>1446.7562464102564</v>
      </c>
      <c r="Z27" s="258">
        <f>Z14/Z8*$A$1</f>
        <v>1421.8664980434785</v>
      </c>
      <c r="AA27" s="258">
        <f>AA14/AA8*$A$1</f>
        <v>1459.4073892265196</v>
      </c>
      <c r="AB27" s="258">
        <f t="shared" ref="AB27" si="15">AB14/AB8*$A$1</f>
        <v>1656.0820350549448</v>
      </c>
      <c r="AC27" s="258">
        <f>AC14/AC8*$A$1</f>
        <v>1260.5474695555556</v>
      </c>
      <c r="AD27" s="258">
        <f t="shared" ref="AD27:BB27" si="16">AD14/AD8*$A$1</f>
        <v>1260.5474695555556</v>
      </c>
      <c r="AE27" s="258">
        <f t="shared" si="16"/>
        <v>1250.0599264999996</v>
      </c>
      <c r="AF27" s="258">
        <f t="shared" si="16"/>
        <v>1323.3162986820639</v>
      </c>
      <c r="AG27" s="258">
        <f t="shared" si="16"/>
        <v>1225.0847946978022</v>
      </c>
      <c r="AH27" s="258">
        <f t="shared" si="16"/>
        <v>1482.3949588451098</v>
      </c>
      <c r="AI27" s="258">
        <f t="shared" si="16"/>
        <v>1092.312393080111</v>
      </c>
      <c r="AJ27" s="258">
        <f t="shared" si="16"/>
        <v>1086.0439296208801</v>
      </c>
      <c r="AK27" s="258">
        <f t="shared" si="16"/>
        <v>1097.2902046666661</v>
      </c>
      <c r="AL27" s="258">
        <f t="shared" si="16"/>
        <v>1097.2902046666661</v>
      </c>
      <c r="AM27" s="258">
        <f t="shared" si="16"/>
        <v>1086.6732285724045</v>
      </c>
      <c r="AN27" s="258">
        <f t="shared" si="16"/>
        <v>1103.6882958293479</v>
      </c>
      <c r="AO27" s="258">
        <f t="shared" si="16"/>
        <v>1082.7095343295625</v>
      </c>
      <c r="AP27" s="258">
        <f t="shared" si="16"/>
        <v>1668.0549361489132</v>
      </c>
      <c r="AQ27" s="258">
        <f t="shared" si="16"/>
        <v>784.75913703296692</v>
      </c>
      <c r="AR27" s="258">
        <f t="shared" si="16"/>
        <v>893.50618615384633</v>
      </c>
      <c r="AS27" s="258">
        <f t="shared" si="16"/>
        <v>677.89725274725276</v>
      </c>
      <c r="AT27" s="258">
        <f t="shared" si="16"/>
        <v>677.89725274725276</v>
      </c>
      <c r="AU27" s="258">
        <f t="shared" si="16"/>
        <v>929.5</v>
      </c>
      <c r="AV27" s="258">
        <f t="shared" si="16"/>
        <v>767.6902173913046</v>
      </c>
      <c r="AW27" s="258">
        <f t="shared" si="16"/>
        <v>983.87956043956024</v>
      </c>
      <c r="AX27" s="258">
        <f t="shared" si="16"/>
        <v>1219.1396739130439</v>
      </c>
      <c r="AY27" s="258">
        <f t="shared" si="16"/>
        <v>867.12707182320435</v>
      </c>
      <c r="AZ27" s="258">
        <f t="shared" si="16"/>
        <v>762.08791208791217</v>
      </c>
      <c r="BA27" s="258">
        <f t="shared" si="16"/>
        <v>973.33333333333326</v>
      </c>
      <c r="BB27" s="258">
        <f t="shared" si="16"/>
        <v>973.33333333333326</v>
      </c>
    </row>
    <row r="28" spans="1:54">
      <c r="A28" s="246"/>
      <c r="B28" s="255" t="s">
        <v>160</v>
      </c>
      <c r="C28" s="258">
        <v>16760.431642583335</v>
      </c>
      <c r="D28" s="258">
        <v>16897.917547875</v>
      </c>
      <c r="E28" s="258">
        <v>16569.937461009999</v>
      </c>
      <c r="F28" s="258">
        <v>16569.937461009999</v>
      </c>
      <c r="G28" s="258">
        <v>15778.284375975996</v>
      </c>
      <c r="H28" s="258">
        <v>16245.171761</v>
      </c>
      <c r="I28" s="258">
        <v>15601.4905</v>
      </c>
      <c r="J28" s="258">
        <v>15799.5967</v>
      </c>
      <c r="K28" s="258">
        <v>15467.026119293332</v>
      </c>
      <c r="L28" s="258">
        <v>15399.108618439997</v>
      </c>
      <c r="M28" s="258">
        <v>15403</v>
      </c>
      <c r="N28" s="258">
        <v>15403</v>
      </c>
      <c r="O28" s="258">
        <v>14909.157252500812</v>
      </c>
      <c r="P28" s="258">
        <v>15445.517989915013</v>
      </c>
      <c r="Q28" s="258">
        <v>14735.731285376014</v>
      </c>
      <c r="R28" s="258">
        <v>15088.510163990015</v>
      </c>
      <c r="S28" s="258">
        <f>+S24</f>
        <v>14551.583427558013</v>
      </c>
      <c r="T28" s="258">
        <f>+T25</f>
        <v>14646.60483007</v>
      </c>
      <c r="U28" s="258">
        <f>+U24</f>
        <v>14382.952406762015</v>
      </c>
      <c r="V28" s="258">
        <f>+V25</f>
        <v>14382.952406762015</v>
      </c>
      <c r="W28" s="258">
        <f>+W24</f>
        <v>13258.498556850493</v>
      </c>
      <c r="X28" s="258">
        <f>+X25</f>
        <v>13867.226259267016</v>
      </c>
      <c r="Y28" s="258">
        <f>+Y24</f>
        <v>12982.738040429605</v>
      </c>
      <c r="Z28" s="258">
        <f>+Z25</f>
        <v>13196.369170499998</v>
      </c>
      <c r="AA28" s="258">
        <f>+AA24</f>
        <v>12852.68008857281</v>
      </c>
      <c r="AB28" s="258">
        <f>+AB25</f>
        <v>12813.412844500001</v>
      </c>
      <c r="AC28" s="258">
        <f>+AC24</f>
        <v>12769.106910359214</v>
      </c>
      <c r="AD28" s="258">
        <f>+AD25</f>
        <v>12769.106910359214</v>
      </c>
      <c r="AE28" s="258">
        <f>AE24</f>
        <v>12278.142865354706</v>
      </c>
      <c r="AF28" s="258">
        <f>+AF25</f>
        <v>12761.207793509213</v>
      </c>
      <c r="AG28" s="258">
        <f>AG24</f>
        <v>12114.874937513774</v>
      </c>
      <c r="AH28" s="258">
        <f>+AH25</f>
        <v>12391.177505149999</v>
      </c>
      <c r="AI28" s="258">
        <f>AI24</f>
        <v>11956.099579918366</v>
      </c>
      <c r="AJ28" s="258">
        <f>+AJ25</f>
        <v>12080.451145377549</v>
      </c>
      <c r="AK28" s="258">
        <f>AK24</f>
        <v>11838.572369877549</v>
      </c>
      <c r="AL28" s="258">
        <f>+AL25</f>
        <v>11838.572369877549</v>
      </c>
      <c r="AM28" s="258">
        <f>AM24</f>
        <v>10269.323496778001</v>
      </c>
      <c r="AN28" s="258">
        <f>+AN25</f>
        <v>11541.648224500001</v>
      </c>
      <c r="AO28" s="258">
        <f>AO24</f>
        <v>9909.8052587224993</v>
      </c>
      <c r="AP28" s="258">
        <f>+AP25</f>
        <v>10963.010517445</v>
      </c>
      <c r="AQ28" s="258">
        <f>AQ24</f>
        <v>9421.1070116299998</v>
      </c>
      <c r="AR28" s="258">
        <f>+AR25</f>
        <v>9772.760517445</v>
      </c>
      <c r="AS28" s="258">
        <f>AS24</f>
        <v>8856.5999999999985</v>
      </c>
      <c r="AT28" s="258">
        <f>+AT25</f>
        <v>8856.5999999999985</v>
      </c>
      <c r="AU28" s="258">
        <f>AU24</f>
        <v>8161.6</v>
      </c>
      <c r="AV28" s="258">
        <f>+AV25</f>
        <v>8583.5</v>
      </c>
      <c r="AW28" s="258">
        <f>AW24</f>
        <v>8022.55</v>
      </c>
      <c r="AX28" s="258">
        <f>+AX25</f>
        <v>8288.6</v>
      </c>
      <c r="AY28" s="258">
        <f>AY24</f>
        <v>7880.333333333333</v>
      </c>
      <c r="AZ28" s="258">
        <f>+AZ25</f>
        <v>8008.5</v>
      </c>
      <c r="BA28" s="258">
        <f>BA24</f>
        <v>7756.5</v>
      </c>
      <c r="BB28" s="258">
        <f>+BB25</f>
        <v>7756.5</v>
      </c>
    </row>
    <row r="29" spans="1:54" ht="13.5" thickBot="1">
      <c r="A29" s="321" t="s">
        <v>218</v>
      </c>
      <c r="B29" s="268" t="s">
        <v>161</v>
      </c>
      <c r="C29" s="269">
        <v>0.11347834162597725</v>
      </c>
      <c r="D29" s="269">
        <v>0.12099796987572883</v>
      </c>
      <c r="E29" s="269">
        <v>0.10607723734774743</v>
      </c>
      <c r="F29" s="269">
        <v>0.10607723734774743</v>
      </c>
      <c r="G29" s="269">
        <v>0.10070204225874303</v>
      </c>
      <c r="H29" s="269">
        <v>0.11276961958403126</v>
      </c>
      <c r="I29" s="269">
        <v>9.6600000000000005E-2</v>
      </c>
      <c r="J29" s="269">
        <v>0.1087</v>
      </c>
      <c r="K29" s="269">
        <v>9.0561993285257908E-2</v>
      </c>
      <c r="L29" s="269">
        <v>0.11336661784950267</v>
      </c>
      <c r="M29" s="269">
        <v>6.9000000000000006E-2</v>
      </c>
      <c r="N29" s="269">
        <v>6.9000000000000006E-2</v>
      </c>
      <c r="O29" s="269">
        <v>0.12830403138172922</v>
      </c>
      <c r="P29" s="269">
        <v>7.3290211125240062E-2</v>
      </c>
      <c r="Q29" s="269">
        <v>0.14788090132910586</v>
      </c>
      <c r="R29" s="269">
        <v>0.10703313978547846</v>
      </c>
      <c r="S29" s="269">
        <f t="shared" ref="S29:T29" si="17">S27/S28</f>
        <v>0.16915041608479803</v>
      </c>
      <c r="T29" s="269">
        <f t="shared" si="17"/>
        <v>0.12832723401509039</v>
      </c>
      <c r="U29" s="269">
        <f t="shared" ref="U29:V29" si="18">U27/U28</f>
        <v>0.21203709711880703</v>
      </c>
      <c r="V29" s="269">
        <f t="shared" si="18"/>
        <v>0.21203709711880703</v>
      </c>
      <c r="W29" s="269">
        <f>W27/W28</f>
        <v>0.10531293826468417</v>
      </c>
      <c r="X29" s="269">
        <f t="shared" ref="X29:AB29" si="19">X27/X28</f>
        <v>9.0811885264778805E-2</v>
      </c>
      <c r="Y29" s="269">
        <f>Y27/Y28</f>
        <v>0.11143691276099894</v>
      </c>
      <c r="Z29" s="269">
        <f t="shared" si="19"/>
        <v>0.10774679608251708</v>
      </c>
      <c r="AA29" s="269">
        <f>AA27/AA28</f>
        <v>0.11354887690109584</v>
      </c>
      <c r="AB29" s="269">
        <f t="shared" si="19"/>
        <v>0.1292459749133735</v>
      </c>
      <c r="AC29" s="269">
        <f>AC27/AC28</f>
        <v>9.8718530466129092E-2</v>
      </c>
      <c r="AD29" s="269">
        <f t="shared" ref="AD29:BB29" si="20">AD27/AD28</f>
        <v>9.8718530466129092E-2</v>
      </c>
      <c r="AE29" s="269">
        <f t="shared" si="20"/>
        <v>0.10181180820328289</v>
      </c>
      <c r="AF29" s="269">
        <f t="shared" si="20"/>
        <v>0.10369835834466608</v>
      </c>
      <c r="AG29" s="269">
        <f t="shared" si="20"/>
        <v>0.10112236411985737</v>
      </c>
      <c r="AH29" s="269">
        <f t="shared" si="20"/>
        <v>0.11963309848712921</v>
      </c>
      <c r="AI29" s="269">
        <f t="shared" si="20"/>
        <v>9.1360262247629179E-2</v>
      </c>
      <c r="AJ29" s="269">
        <f t="shared" si="20"/>
        <v>8.9900941326718817E-2</v>
      </c>
      <c r="AK29" s="269">
        <f t="shared" si="20"/>
        <v>9.2687713550549999E-2</v>
      </c>
      <c r="AL29" s="269">
        <f t="shared" si="20"/>
        <v>9.2687713550549999E-2</v>
      </c>
      <c r="AM29" s="269">
        <f t="shared" si="20"/>
        <v>0.10581741133321471</v>
      </c>
      <c r="AN29" s="269">
        <f t="shared" si="20"/>
        <v>9.5626575542867159E-2</v>
      </c>
      <c r="AO29" s="269">
        <f t="shared" si="20"/>
        <v>0.10925638860325472</v>
      </c>
      <c r="AP29" s="269">
        <f t="shared" si="20"/>
        <v>0.15215299971614585</v>
      </c>
      <c r="AQ29" s="269">
        <f t="shared" si="20"/>
        <v>8.3297975074926062E-2</v>
      </c>
      <c r="AR29" s="269">
        <f t="shared" si="20"/>
        <v>9.1428228959348878E-2</v>
      </c>
      <c r="AS29" s="269">
        <f t="shared" si="20"/>
        <v>7.6541477852364662E-2</v>
      </c>
      <c r="AT29" s="269">
        <f t="shared" si="20"/>
        <v>7.6541477852364662E-2</v>
      </c>
      <c r="AU29" s="269">
        <f t="shared" si="20"/>
        <v>0.11388698294452068</v>
      </c>
      <c r="AV29" s="269">
        <f t="shared" si="20"/>
        <v>8.9437900319369087E-2</v>
      </c>
      <c r="AW29" s="269">
        <f t="shared" si="20"/>
        <v>0.12263925565307293</v>
      </c>
      <c r="AX29" s="269">
        <f t="shared" si="20"/>
        <v>0.14708632023659532</v>
      </c>
      <c r="AY29" s="269">
        <f t="shared" si="20"/>
        <v>0.11003685188738264</v>
      </c>
      <c r="AZ29" s="269">
        <f t="shared" si="20"/>
        <v>9.5159881636749974E-2</v>
      </c>
      <c r="BA29" s="269">
        <f t="shared" si="20"/>
        <v>0.12548615139990116</v>
      </c>
      <c r="BB29" s="269">
        <f t="shared" si="20"/>
        <v>0.12548615139990116</v>
      </c>
    </row>
    <row r="30" spans="1:54">
      <c r="A30" s="252"/>
      <c r="B30" s="255"/>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58"/>
      <c r="AW30" s="264"/>
      <c r="AX30" s="264"/>
      <c r="AY30" s="264"/>
      <c r="AZ30" s="264"/>
      <c r="BA30" s="264"/>
      <c r="BB30" s="264"/>
    </row>
    <row r="31" spans="1:54">
      <c r="A31" s="252"/>
      <c r="B31" s="255"/>
      <c r="C31" s="264"/>
      <c r="D31" s="264"/>
      <c r="E31" s="264"/>
      <c r="F31" s="264"/>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4"/>
      <c r="AM31" s="264"/>
      <c r="AN31" s="264"/>
      <c r="AO31" s="264"/>
      <c r="AP31" s="264"/>
      <c r="AQ31" s="264"/>
      <c r="AR31" s="264"/>
      <c r="AS31" s="264"/>
      <c r="AT31" s="264"/>
      <c r="AU31" s="264"/>
      <c r="AV31" s="264"/>
      <c r="AW31" s="264"/>
      <c r="AX31" s="264"/>
      <c r="AY31" s="264"/>
      <c r="AZ31" s="264"/>
      <c r="BA31" s="264"/>
      <c r="BB31" s="264"/>
    </row>
    <row r="32" spans="1:54">
      <c r="A32" s="252"/>
      <c r="B32" s="255" t="s">
        <v>27</v>
      </c>
      <c r="C32" s="258">
        <v>976.41022638999982</v>
      </c>
      <c r="D32" s="258">
        <v>491.55559354000002</v>
      </c>
      <c r="E32" s="258">
        <v>484.8546</v>
      </c>
      <c r="F32" s="258">
        <v>484.8546</v>
      </c>
      <c r="G32" s="258">
        <v>1902.2408</v>
      </c>
      <c r="H32" s="258">
        <v>503.52843999999999</v>
      </c>
      <c r="I32" s="258">
        <v>1398.71</v>
      </c>
      <c r="J32" s="258">
        <v>465.3</v>
      </c>
      <c r="K32" s="258">
        <v>933.40687057999992</v>
      </c>
      <c r="L32" s="258">
        <v>446.87732463999998</v>
      </c>
      <c r="M32" s="258">
        <v>487</v>
      </c>
      <c r="N32" s="258">
        <v>487</v>
      </c>
      <c r="O32" s="258">
        <v>1930.1984729999999</v>
      </c>
      <c r="P32" s="258">
        <v>489.68872420999998</v>
      </c>
      <c r="Q32" s="258">
        <v>1440.5097487899998</v>
      </c>
      <c r="R32" s="258">
        <v>457.45256878999999</v>
      </c>
      <c r="S32" s="258">
        <v>983.0571799999999</v>
      </c>
      <c r="T32" s="258">
        <v>489.34983629999999</v>
      </c>
      <c r="U32" s="258">
        <v>493.70734370000002</v>
      </c>
      <c r="V32" s="258">
        <v>493.70734370000002</v>
      </c>
      <c r="W32" s="258">
        <v>1880.8809209999999</v>
      </c>
      <c r="X32" s="258">
        <v>506.0202109999999</v>
      </c>
      <c r="Y32" s="258">
        <v>1374.8607099999999</v>
      </c>
      <c r="Z32" s="258">
        <v>456.97613200000001</v>
      </c>
      <c r="AA32" s="258">
        <v>917.88457799999992</v>
      </c>
      <c r="AB32" s="258">
        <v>468.38580300000001</v>
      </c>
      <c r="AC32" s="258">
        <v>449.49877500000002</v>
      </c>
      <c r="AD32" s="258">
        <v>449.49877500000002</v>
      </c>
      <c r="AE32" s="258">
        <v>1898.1372920000001</v>
      </c>
      <c r="AF32" s="258">
        <v>550.32229100000006</v>
      </c>
      <c r="AG32" s="258">
        <v>1347.8150009999999</v>
      </c>
      <c r="AH32" s="270">
        <v>432.81500099999994</v>
      </c>
      <c r="AI32" s="258">
        <v>915.47488900000008</v>
      </c>
      <c r="AJ32" s="270">
        <v>478.14488899999998</v>
      </c>
      <c r="AK32" s="258">
        <v>437.33000000000004</v>
      </c>
      <c r="AL32" s="258">
        <v>437.33000000000004</v>
      </c>
      <c r="AM32" s="258">
        <v>1203.043874</v>
      </c>
      <c r="AN32" s="255">
        <v>477</v>
      </c>
      <c r="AO32" s="258">
        <v>726.52359346000003</v>
      </c>
      <c r="AP32" s="258">
        <v>213.72041817000002</v>
      </c>
      <c r="AQ32" s="258">
        <v>512.69000000000005</v>
      </c>
      <c r="AR32" s="258">
        <v>259</v>
      </c>
      <c r="AS32" s="258">
        <v>253.10000000000002</v>
      </c>
      <c r="AT32" s="258">
        <v>253.10000000000002</v>
      </c>
      <c r="AU32" s="258">
        <v>1050.9000000000001</v>
      </c>
      <c r="AV32" s="258">
        <v>291.90000000000003</v>
      </c>
      <c r="AW32" s="258">
        <v>758.3</v>
      </c>
      <c r="AX32" s="258">
        <v>248.42000000000002</v>
      </c>
      <c r="AY32" s="258">
        <v>509</v>
      </c>
      <c r="AZ32" s="258">
        <v>251</v>
      </c>
      <c r="BA32" s="258">
        <v>258</v>
      </c>
      <c r="BB32" s="258">
        <v>258</v>
      </c>
    </row>
    <row r="33" spans="1:54">
      <c r="A33" s="252"/>
      <c r="B33" s="255" t="s">
        <v>23</v>
      </c>
      <c r="C33" s="258">
        <v>2160.0270291699994</v>
      </c>
      <c r="D33" s="258">
        <v>1138.9486030699998</v>
      </c>
      <c r="E33" s="258">
        <v>1021.0784000000001</v>
      </c>
      <c r="F33" s="258">
        <v>1021.0784000000001</v>
      </c>
      <c r="G33" s="258">
        <v>4163.7633999999998</v>
      </c>
      <c r="H33" s="258">
        <v>1101.6992299999999</v>
      </c>
      <c r="I33" s="258">
        <v>3062.07</v>
      </c>
      <c r="J33" s="258">
        <v>1061.17</v>
      </c>
      <c r="K33" s="258">
        <v>2000.9016221299999</v>
      </c>
      <c r="L33" s="258">
        <v>1112.1121814799999</v>
      </c>
      <c r="M33" s="258">
        <v>889</v>
      </c>
      <c r="N33" s="258">
        <v>889</v>
      </c>
      <c r="O33" s="258">
        <v>4288.8856759999999</v>
      </c>
      <c r="P33" s="258">
        <v>928.38598292999984</v>
      </c>
      <c r="Q33" s="258">
        <v>3360.4996930699999</v>
      </c>
      <c r="R33" s="258">
        <v>1007.4615580699999</v>
      </c>
      <c r="S33" s="258">
        <v>2353.0381350000002</v>
      </c>
      <c r="T33" s="258">
        <v>1082.0003480000003</v>
      </c>
      <c r="U33" s="258">
        <v>1271.0377869999998</v>
      </c>
      <c r="V33" s="258">
        <v>1271.0377869999998</v>
      </c>
      <c r="W33" s="258">
        <v>3651.2358140000001</v>
      </c>
      <c r="X33" s="258">
        <v>864.13029015000029</v>
      </c>
      <c r="Y33" s="258">
        <v>2787.1055239999996</v>
      </c>
      <c r="Z33" s="258">
        <v>929.55842200000006</v>
      </c>
      <c r="AA33" s="258">
        <v>1857.547102</v>
      </c>
      <c r="AB33" s="258">
        <v>993.71646899999996</v>
      </c>
      <c r="AC33" s="258">
        <v>863.83063300000003</v>
      </c>
      <c r="AD33" s="258">
        <v>863.83063300000003</v>
      </c>
      <c r="AE33" s="258">
        <v>3496.446023</v>
      </c>
      <c r="AF33" s="258">
        <v>958.90158899999972</v>
      </c>
      <c r="AG33" s="258">
        <v>2537.3532829999999</v>
      </c>
      <c r="AH33" s="258">
        <v>923.35328300000015</v>
      </c>
      <c r="AI33" s="258">
        <v>1613.8758500000004</v>
      </c>
      <c r="AJ33" s="258">
        <v>841.29085000000021</v>
      </c>
      <c r="AK33" s="258">
        <v>772.58499999999992</v>
      </c>
      <c r="AL33" s="258">
        <v>772.58499999999992</v>
      </c>
      <c r="AM33" s="258">
        <v>2648.862271</v>
      </c>
      <c r="AN33" s="258">
        <v>813.49246836999998</v>
      </c>
      <c r="AO33" s="258">
        <v>1836.0397904000001</v>
      </c>
      <c r="AP33" s="258">
        <v>804.08037246000004</v>
      </c>
      <c r="AQ33" s="258">
        <v>1031.73</v>
      </c>
      <c r="AR33" s="258">
        <v>568.6</v>
      </c>
      <c r="AS33" s="258">
        <v>464.01000000000005</v>
      </c>
      <c r="AT33" s="258">
        <v>464.01000000000005</v>
      </c>
      <c r="AU33" s="258">
        <v>2270.4</v>
      </c>
      <c r="AV33" s="258">
        <v>551.40000000000009</v>
      </c>
      <c r="AW33" s="258">
        <v>1718.4879999999998</v>
      </c>
      <c r="AX33" s="258">
        <v>643.18000000000006</v>
      </c>
      <c r="AY33" s="258">
        <v>1076</v>
      </c>
      <c r="AZ33" s="258">
        <v>519</v>
      </c>
      <c r="BA33" s="258">
        <v>557</v>
      </c>
      <c r="BB33" s="258">
        <v>557</v>
      </c>
    </row>
    <row r="34" spans="1:54" ht="13.5" thickBot="1">
      <c r="A34" s="321" t="s">
        <v>219</v>
      </c>
      <c r="B34" s="268" t="s">
        <v>162</v>
      </c>
      <c r="C34" s="269">
        <v>0.45203611492083506</v>
      </c>
      <c r="D34" s="269">
        <v>0.43158716048733675</v>
      </c>
      <c r="E34" s="269">
        <v>0.47484561420553012</v>
      </c>
      <c r="F34" s="269">
        <v>0.47484561420553012</v>
      </c>
      <c r="G34" s="269">
        <v>0.45685612203613685</v>
      </c>
      <c r="H34" s="269">
        <v>0.45704710168491269</v>
      </c>
      <c r="I34" s="269">
        <v>0.45679999999999998</v>
      </c>
      <c r="J34" s="269">
        <v>0.4385</v>
      </c>
      <c r="K34" s="269">
        <v>0.46649313502298512</v>
      </c>
      <c r="L34" s="269">
        <v>0.40182756027840216</v>
      </c>
      <c r="M34" s="269">
        <v>0.54700000000000004</v>
      </c>
      <c r="N34" s="269">
        <v>0.54700000000000004</v>
      </c>
      <c r="O34" s="269">
        <v>0.4500466132266287</v>
      </c>
      <c r="P34" s="269">
        <v>0.52746242749651939</v>
      </c>
      <c r="Q34" s="269">
        <v>0.42865939007838905</v>
      </c>
      <c r="R34" s="269">
        <v>0.45406453985831935</v>
      </c>
      <c r="S34" s="269">
        <f t="shared" ref="S34:T34" si="21">S32/S33</f>
        <v>0.41778208579692222</v>
      </c>
      <c r="T34" s="269">
        <f t="shared" si="21"/>
        <v>0.4522640285694251</v>
      </c>
      <c r="U34" s="269">
        <f t="shared" ref="U34:Z34" si="22">U32/U33</f>
        <v>0.38842853355704376</v>
      </c>
      <c r="V34" s="269">
        <f t="shared" si="22"/>
        <v>0.38842853355704376</v>
      </c>
      <c r="W34" s="269">
        <f t="shared" si="22"/>
        <v>0.51513542724030692</v>
      </c>
      <c r="X34" s="269">
        <f t="shared" si="22"/>
        <v>0.58558323526902667</v>
      </c>
      <c r="Y34" s="269">
        <f t="shared" si="22"/>
        <v>0.49329338202696632</v>
      </c>
      <c r="Z34" s="269">
        <f t="shared" si="22"/>
        <v>0.49160560668880687</v>
      </c>
      <c r="AA34" s="269">
        <f t="shared" ref="AA34:AB34" si="23">AA32/AA33</f>
        <v>0.49413798283323418</v>
      </c>
      <c r="AB34" s="269">
        <f t="shared" si="23"/>
        <v>0.47134752981536832</v>
      </c>
      <c r="AC34" s="269">
        <f t="shared" ref="AC34:AD34" si="24">AC32/AC33</f>
        <v>0.520355215279799</v>
      </c>
      <c r="AD34" s="269">
        <f t="shared" si="24"/>
        <v>0.520355215279799</v>
      </c>
      <c r="AE34" s="269">
        <f>AE32/AE33</f>
        <v>0.54287618899701229</v>
      </c>
      <c r="AF34" s="269">
        <f t="shared" ref="AF34:BB34" si="25">AF32/AF33</f>
        <v>0.57390904062836023</v>
      </c>
      <c r="AG34" s="269">
        <f t="shared" si="25"/>
        <v>0.53118933418937708</v>
      </c>
      <c r="AH34" s="269">
        <f t="shared" si="25"/>
        <v>0.46874258094775179</v>
      </c>
      <c r="AI34" s="269">
        <f t="shared" si="25"/>
        <v>0.56725236268948442</v>
      </c>
      <c r="AJ34" s="269">
        <f t="shared" si="25"/>
        <v>0.56834671267374404</v>
      </c>
      <c r="AK34" s="269">
        <f t="shared" si="25"/>
        <v>0.56606069235100354</v>
      </c>
      <c r="AL34" s="269">
        <f t="shared" si="25"/>
        <v>0.56606069235100354</v>
      </c>
      <c r="AM34" s="269">
        <f t="shared" si="25"/>
        <v>0.45417381159112746</v>
      </c>
      <c r="AN34" s="269">
        <f t="shared" si="25"/>
        <v>0.58636068377592721</v>
      </c>
      <c r="AO34" s="269">
        <f t="shared" si="25"/>
        <v>0.39570144245170163</v>
      </c>
      <c r="AP34" s="269">
        <f t="shared" si="25"/>
        <v>0.26579484525426816</v>
      </c>
      <c r="AQ34" s="269">
        <f t="shared" si="25"/>
        <v>0.49692264449032214</v>
      </c>
      <c r="AR34" s="269">
        <f t="shared" si="25"/>
        <v>0.45550474850510025</v>
      </c>
      <c r="AS34" s="269">
        <f t="shared" si="25"/>
        <v>0.545462382276244</v>
      </c>
      <c r="AT34" s="269">
        <f t="shared" si="25"/>
        <v>0.545462382276244</v>
      </c>
      <c r="AU34" s="269">
        <f t="shared" si="25"/>
        <v>0.46286997885835096</v>
      </c>
      <c r="AV34" s="269">
        <f t="shared" si="25"/>
        <v>0.52937976060935799</v>
      </c>
      <c r="AW34" s="269">
        <f t="shared" si="25"/>
        <v>0.44125999134122557</v>
      </c>
      <c r="AX34" s="269">
        <f t="shared" si="25"/>
        <v>0.38623713423924871</v>
      </c>
      <c r="AY34" s="269">
        <f t="shared" si="25"/>
        <v>0.47304832713754646</v>
      </c>
      <c r="AZ34" s="269">
        <f t="shared" si="25"/>
        <v>0.48362235067437381</v>
      </c>
      <c r="BA34" s="269">
        <f t="shared" si="25"/>
        <v>0.46319569120287252</v>
      </c>
      <c r="BB34" s="269">
        <f t="shared" si="25"/>
        <v>0.46319569120287252</v>
      </c>
    </row>
    <row r="35" spans="1:54">
      <c r="A35" s="252"/>
      <c r="B35" s="255"/>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4"/>
      <c r="AY35" s="258"/>
      <c r="AZ35" s="264"/>
      <c r="BA35" s="264"/>
      <c r="BB35" s="264"/>
    </row>
    <row r="36" spans="1:54">
      <c r="A36" s="252"/>
      <c r="B36" s="255" t="s">
        <v>34</v>
      </c>
      <c r="C36" s="258">
        <v>118131.69884341676</v>
      </c>
      <c r="D36" s="258"/>
      <c r="E36" s="258">
        <v>114037.49212344014</v>
      </c>
      <c r="F36" s="258"/>
      <c r="G36" s="258">
        <v>113368.40780000002</v>
      </c>
      <c r="H36" s="258"/>
      <c r="I36" s="258">
        <v>113623.98480000001</v>
      </c>
      <c r="J36" s="258"/>
      <c r="K36" s="258">
        <v>112381.12907763624</v>
      </c>
      <c r="L36" s="258"/>
      <c r="M36" s="258">
        <v>108811</v>
      </c>
      <c r="N36" s="258"/>
      <c r="O36" s="258">
        <v>107035.45492119202</v>
      </c>
      <c r="P36" s="258"/>
      <c r="Q36" s="258">
        <v>104037.30788707999</v>
      </c>
      <c r="R36" s="258"/>
      <c r="S36" s="258">
        <v>101668.24776078029</v>
      </c>
      <c r="T36" s="258"/>
      <c r="U36" s="258">
        <v>98744.151407699988</v>
      </c>
      <c r="V36" s="258"/>
      <c r="W36" s="258">
        <v>98940.269777329799</v>
      </c>
      <c r="X36" s="258"/>
      <c r="Y36" s="258">
        <v>98258.985487460028</v>
      </c>
      <c r="Z36" s="258"/>
      <c r="AA36" s="258">
        <v>96039.543704459997</v>
      </c>
      <c r="AB36" s="264"/>
      <c r="AC36" s="258">
        <v>92817.744119980198</v>
      </c>
      <c r="AD36" s="264"/>
      <c r="AE36" s="258">
        <v>90460.14825605003</v>
      </c>
      <c r="AF36" s="264"/>
      <c r="AG36" s="258">
        <v>88945.039514610005</v>
      </c>
      <c r="AH36" s="264"/>
      <c r="AI36" s="258">
        <v>87527.837190519887</v>
      </c>
      <c r="AJ36" s="264"/>
      <c r="AK36" s="258">
        <v>84901.214854689984</v>
      </c>
      <c r="AL36" s="264"/>
      <c r="AM36" s="258">
        <v>82944.802144999994</v>
      </c>
      <c r="AN36" s="264"/>
      <c r="AO36" s="258">
        <v>81336.069999999992</v>
      </c>
      <c r="AP36" s="264"/>
      <c r="AQ36" s="258">
        <v>79286.388672980014</v>
      </c>
      <c r="AR36" s="264"/>
      <c r="AS36" s="258">
        <v>44307.5</v>
      </c>
      <c r="AT36" s="264"/>
      <c r="AU36" s="258">
        <v>43779.16</v>
      </c>
      <c r="AV36" s="264"/>
      <c r="AW36" s="258">
        <v>42793.5</v>
      </c>
      <c r="AX36" s="264"/>
      <c r="AY36" s="258">
        <v>42090.69</v>
      </c>
      <c r="AZ36" s="264"/>
      <c r="BA36" s="258">
        <v>40483.611327409999</v>
      </c>
      <c r="BB36" s="264"/>
    </row>
    <row r="37" spans="1:54">
      <c r="A37" s="252"/>
      <c r="B37" s="272" t="s">
        <v>146</v>
      </c>
      <c r="C37" s="258">
        <v>48162.76504868998</v>
      </c>
      <c r="D37" s="258"/>
      <c r="E37" s="258">
        <v>47522.061958350001</v>
      </c>
      <c r="F37" s="258"/>
      <c r="G37" s="258">
        <v>46872.051399999997</v>
      </c>
      <c r="H37" s="258"/>
      <c r="I37" s="258">
        <v>46153.341399999998</v>
      </c>
      <c r="J37" s="258"/>
      <c r="K37" s="258">
        <v>44559.051670249995</v>
      </c>
      <c r="L37" s="258"/>
      <c r="M37" s="258">
        <v>44020</v>
      </c>
      <c r="N37" s="258"/>
      <c r="O37" s="258">
        <v>42630.288198770002</v>
      </c>
      <c r="P37" s="258"/>
      <c r="Q37" s="258">
        <v>42243.659336410004</v>
      </c>
      <c r="R37" s="258"/>
      <c r="S37" s="258">
        <v>41438.065000000002</v>
      </c>
      <c r="T37" s="258"/>
      <c r="U37" s="258">
        <v>40919.316098639996</v>
      </c>
      <c r="V37" s="258"/>
      <c r="W37" s="258">
        <v>39791.910470000003</v>
      </c>
      <c r="X37" s="258"/>
      <c r="Y37" s="258">
        <v>38414.786999999997</v>
      </c>
      <c r="Z37" s="258"/>
      <c r="AA37" s="258">
        <v>37943.764000000003</v>
      </c>
      <c r="AB37" s="264"/>
      <c r="AC37" s="258">
        <v>38009.275000000001</v>
      </c>
      <c r="AD37" s="264"/>
      <c r="AE37" s="258">
        <v>37451.131987000001</v>
      </c>
      <c r="AF37" s="264"/>
      <c r="AG37" s="258">
        <v>36650.008250999999</v>
      </c>
      <c r="AH37" s="264"/>
      <c r="AI37" s="258">
        <v>35532.226698999999</v>
      </c>
      <c r="AJ37" s="264"/>
      <c r="AK37" s="258">
        <v>35521.066979000003</v>
      </c>
      <c r="AL37" s="264"/>
      <c r="AM37" s="258">
        <v>35197.497000000003</v>
      </c>
      <c r="AN37" s="264"/>
      <c r="AO37" s="258">
        <v>35129.561126999994</v>
      </c>
      <c r="AP37" s="264"/>
      <c r="AQ37" s="258">
        <v>34766.900999999998</v>
      </c>
      <c r="AR37" s="264"/>
      <c r="AS37" s="273">
        <v>17288.619168000001</v>
      </c>
      <c r="AT37" s="264"/>
      <c r="AU37" s="273">
        <v>16796.622458000002</v>
      </c>
      <c r="AV37" s="264"/>
      <c r="AW37" s="258">
        <v>16076.098374450001</v>
      </c>
      <c r="AX37" s="264"/>
      <c r="AY37" s="258">
        <v>15329.815615</v>
      </c>
      <c r="AZ37" s="264"/>
      <c r="BA37" s="258">
        <v>15533.628225</v>
      </c>
      <c r="BB37" s="264"/>
    </row>
    <row r="38" spans="1:54">
      <c r="A38" s="252"/>
      <c r="B38" s="272" t="s">
        <v>147</v>
      </c>
      <c r="C38" s="258">
        <v>995.63519871999995</v>
      </c>
      <c r="D38" s="258"/>
      <c r="E38" s="258">
        <v>1007.48431772</v>
      </c>
      <c r="F38" s="258"/>
      <c r="G38" s="258">
        <v>1018.1911</v>
      </c>
      <c r="H38" s="258"/>
      <c r="I38" s="258">
        <v>1215.4574</v>
      </c>
      <c r="J38" s="258"/>
      <c r="K38" s="258">
        <v>1015.88665297</v>
      </c>
      <c r="L38" s="258"/>
      <c r="M38" s="258">
        <v>1015</v>
      </c>
      <c r="N38" s="258"/>
      <c r="O38" s="258">
        <v>1022.4164379700001</v>
      </c>
      <c r="P38" s="258"/>
      <c r="Q38" s="258">
        <v>1028.9756779700001</v>
      </c>
      <c r="R38" s="258"/>
      <c r="S38" s="258">
        <v>1230.3109999999999</v>
      </c>
      <c r="T38" s="258"/>
      <c r="U38" s="258">
        <v>1415.1529349700002</v>
      </c>
      <c r="V38" s="258"/>
      <c r="W38" s="258">
        <v>1432.9786079999999</v>
      </c>
      <c r="X38" s="258"/>
      <c r="Y38" s="258">
        <v>1478.806</v>
      </c>
      <c r="Z38" s="258"/>
      <c r="AA38" s="258">
        <v>1508.4760000000001</v>
      </c>
      <c r="AB38" s="264"/>
      <c r="AC38" s="258">
        <v>1605.809</v>
      </c>
      <c r="AD38" s="264"/>
      <c r="AE38" s="258">
        <v>1623.794453</v>
      </c>
      <c r="AF38" s="264"/>
      <c r="AG38" s="258">
        <v>1324.1435019999999</v>
      </c>
      <c r="AH38" s="264"/>
      <c r="AI38" s="258">
        <v>1333.118905</v>
      </c>
      <c r="AJ38" s="264"/>
      <c r="AK38" s="258">
        <v>1278.919551</v>
      </c>
      <c r="AL38" s="264"/>
      <c r="AM38" s="258">
        <v>1307.7759999999998</v>
      </c>
      <c r="AN38" s="264"/>
      <c r="AO38" s="258">
        <v>1159.912239</v>
      </c>
      <c r="AP38" s="264"/>
      <c r="AQ38" s="258">
        <v>1169.7469999999998</v>
      </c>
      <c r="AR38" s="264"/>
      <c r="AS38" s="273">
        <v>560.18392900000003</v>
      </c>
      <c r="AT38" s="264"/>
      <c r="AU38" s="273">
        <v>564.16929500000003</v>
      </c>
      <c r="AV38" s="264"/>
      <c r="AW38" s="258">
        <v>568.14836700000001</v>
      </c>
      <c r="AX38" s="264"/>
      <c r="AY38" s="258">
        <v>574.10100399999999</v>
      </c>
      <c r="AZ38" s="264"/>
      <c r="BA38" s="258">
        <v>601.47104200000001</v>
      </c>
      <c r="BB38" s="264"/>
    </row>
    <row r="39" spans="1:54" ht="13.5" thickBot="1">
      <c r="A39" s="321" t="s">
        <v>220</v>
      </c>
      <c r="B39" s="268" t="s">
        <v>163</v>
      </c>
      <c r="C39" s="274">
        <v>167290.09909082673</v>
      </c>
      <c r="D39" s="274"/>
      <c r="E39" s="274">
        <v>162567.03839951014</v>
      </c>
      <c r="F39" s="274"/>
      <c r="G39" s="274">
        <v>161258.65030000001</v>
      </c>
      <c r="H39" s="274"/>
      <c r="I39" s="274">
        <v>160992.7836</v>
      </c>
      <c r="J39" s="274"/>
      <c r="K39" s="274">
        <v>157956.06740085623</v>
      </c>
      <c r="L39" s="274"/>
      <c r="M39" s="274">
        <v>153846</v>
      </c>
      <c r="N39" s="274"/>
      <c r="O39" s="274">
        <v>150688.15955793203</v>
      </c>
      <c r="P39" s="274"/>
      <c r="Q39" s="274">
        <v>147309.94290146002</v>
      </c>
      <c r="R39" s="274"/>
      <c r="S39" s="274">
        <f t="shared" ref="S39" si="26">+S36+S37+S38</f>
        <v>144336.62376078026</v>
      </c>
      <c r="T39" s="274"/>
      <c r="U39" s="274">
        <f t="shared" ref="U39:Y39" si="27">+U36+U37+U38</f>
        <v>141078.62044130999</v>
      </c>
      <c r="V39" s="274"/>
      <c r="W39" s="274">
        <f t="shared" si="27"/>
        <v>140165.15885532982</v>
      </c>
      <c r="X39" s="274"/>
      <c r="Y39" s="274">
        <f t="shared" si="27"/>
        <v>138152.57848746004</v>
      </c>
      <c r="Z39" s="274"/>
      <c r="AA39" s="274">
        <f t="shared" ref="AA39:AC39" si="28">+AA36+AA37+AA38</f>
        <v>135491.78370445999</v>
      </c>
      <c r="AB39" s="275"/>
      <c r="AC39" s="274">
        <f t="shared" si="28"/>
        <v>132432.8281199802</v>
      </c>
      <c r="AD39" s="275"/>
      <c r="AE39" s="274">
        <f>+AE36+AE37+AE38</f>
        <v>129535.07469605003</v>
      </c>
      <c r="AF39" s="275"/>
      <c r="AG39" s="274">
        <f t="shared" ref="AG39" si="29">+AG36+AG37+AG38</f>
        <v>126919.19126761002</v>
      </c>
      <c r="AH39" s="275"/>
      <c r="AI39" s="274">
        <f t="shared" ref="AI39" si="30">+AI36+AI37+AI38</f>
        <v>124393.18279451989</v>
      </c>
      <c r="AJ39" s="275"/>
      <c r="AK39" s="274">
        <f t="shared" ref="AK39" si="31">+AK36+AK37+AK38</f>
        <v>121701.20138468998</v>
      </c>
      <c r="AL39" s="275"/>
      <c r="AM39" s="274">
        <f t="shared" ref="AM39" si="32">+AM36+AM37+AM38</f>
        <v>119450.075145</v>
      </c>
      <c r="AN39" s="275"/>
      <c r="AO39" s="274">
        <f t="shared" ref="AO39" si="33">+AO36+AO37+AO38</f>
        <v>117625.54336599998</v>
      </c>
      <c r="AP39" s="275"/>
      <c r="AQ39" s="274">
        <f t="shared" ref="AQ39" si="34">+AQ36+AQ37+AQ38</f>
        <v>115223.03667298002</v>
      </c>
      <c r="AR39" s="275"/>
      <c r="AS39" s="274">
        <f t="shared" ref="AS39" si="35">+AS36+AS37+AS38</f>
        <v>62156.303097000004</v>
      </c>
      <c r="AT39" s="275"/>
      <c r="AU39" s="274">
        <f t="shared" ref="AU39" si="36">+AU36+AU37+AU38</f>
        <v>61139.951753000001</v>
      </c>
      <c r="AV39" s="275"/>
      <c r="AW39" s="274">
        <f t="shared" ref="AW39" si="37">+AW36+AW37+AW38</f>
        <v>59437.746741449999</v>
      </c>
      <c r="AX39" s="275"/>
      <c r="AY39" s="274">
        <f t="shared" ref="AY39" si="38">+AY36+AY37+AY38</f>
        <v>57994.606618999998</v>
      </c>
      <c r="AZ39" s="275"/>
      <c r="BA39" s="274">
        <f t="shared" ref="BA39" si="39">+BA36+BA37+BA38</f>
        <v>56618.710594409997</v>
      </c>
      <c r="BB39" s="275"/>
    </row>
    <row r="40" spans="1:54">
      <c r="A40" s="252"/>
      <c r="B40" s="255"/>
      <c r="C40" s="264"/>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58"/>
      <c r="AZ40" s="264"/>
      <c r="BA40" s="264"/>
      <c r="BB40" s="264"/>
    </row>
    <row r="41" spans="1:54">
      <c r="A41" s="252"/>
      <c r="B41" s="255" t="s">
        <v>164</v>
      </c>
      <c r="C41" s="258">
        <v>118131.69884341676</v>
      </c>
      <c r="D41" s="258"/>
      <c r="E41" s="258">
        <v>114037.49212344014</v>
      </c>
      <c r="F41" s="258"/>
      <c r="G41" s="258">
        <v>113368.40780000002</v>
      </c>
      <c r="H41" s="258"/>
      <c r="I41" s="258">
        <v>113623.98480000001</v>
      </c>
      <c r="J41" s="258"/>
      <c r="K41" s="258">
        <v>112381.12907763624</v>
      </c>
      <c r="L41" s="258"/>
      <c r="M41" s="258">
        <v>108811</v>
      </c>
      <c r="N41" s="258"/>
      <c r="O41" s="258">
        <v>107035.45492119202</v>
      </c>
      <c r="P41" s="258"/>
      <c r="Q41" s="258">
        <v>104037.30788707999</v>
      </c>
      <c r="R41" s="258"/>
      <c r="S41" s="258">
        <v>101668.24776078029</v>
      </c>
      <c r="T41" s="258"/>
      <c r="U41" s="258">
        <v>98744.151407699988</v>
      </c>
      <c r="V41" s="258"/>
      <c r="W41" s="258">
        <f>+W36</f>
        <v>98940.269777329799</v>
      </c>
      <c r="X41" s="258"/>
      <c r="Y41" s="258">
        <f>+Y36</f>
        <v>98258.985487460028</v>
      </c>
      <c r="Z41" s="258"/>
      <c r="AA41" s="258">
        <v>96039.543704459997</v>
      </c>
      <c r="AB41" s="264"/>
      <c r="AC41" s="258">
        <f>+AC36</f>
        <v>92817.744119980198</v>
      </c>
      <c r="AD41" s="264"/>
      <c r="AE41" s="258">
        <f>+AE36</f>
        <v>90460.14825605003</v>
      </c>
      <c r="AF41" s="264"/>
      <c r="AG41" s="258">
        <f>+AG36</f>
        <v>88945.039514610005</v>
      </c>
      <c r="AH41" s="264"/>
      <c r="AI41" s="258">
        <f>+AI36</f>
        <v>87527.837190519887</v>
      </c>
      <c r="AJ41" s="258"/>
      <c r="AK41" s="258">
        <f>+AK36</f>
        <v>84901.214854689984</v>
      </c>
      <c r="AL41" s="258"/>
      <c r="AM41" s="258">
        <f>+AM36</f>
        <v>82944.802144999994</v>
      </c>
      <c r="AN41" s="258"/>
      <c r="AO41" s="258">
        <f>+AO36</f>
        <v>81336.069999999992</v>
      </c>
      <c r="AP41" s="258"/>
      <c r="AQ41" s="258">
        <f>+AQ36</f>
        <v>79286.388672980014</v>
      </c>
      <c r="AR41" s="264"/>
      <c r="AS41" s="258">
        <f>+AS36</f>
        <v>44307.5</v>
      </c>
      <c r="AT41" s="264"/>
      <c r="AU41" s="258">
        <f>+AU36</f>
        <v>43779.16</v>
      </c>
      <c r="AV41" s="264"/>
      <c r="AW41" s="258">
        <f>+AW36</f>
        <v>42793.5</v>
      </c>
      <c r="AX41" s="264"/>
      <c r="AY41" s="258">
        <f>+AY36</f>
        <v>42090.69</v>
      </c>
      <c r="AZ41" s="264"/>
      <c r="BA41" s="258">
        <f>+BA36</f>
        <v>40483.611327409999</v>
      </c>
      <c r="BB41" s="264"/>
    </row>
    <row r="42" spans="1:54">
      <c r="A42" s="252"/>
      <c r="B42" s="276" t="s">
        <v>165</v>
      </c>
      <c r="C42" s="262">
        <v>112381.12907763624</v>
      </c>
      <c r="D42" s="262"/>
      <c r="E42" s="262">
        <v>108810.93195658</v>
      </c>
      <c r="F42" s="262"/>
      <c r="G42" s="262">
        <v>107035.04244061932</v>
      </c>
      <c r="H42" s="262"/>
      <c r="I42" s="262">
        <v>104037.26</v>
      </c>
      <c r="J42" s="262"/>
      <c r="K42" s="262">
        <v>101668.37312252022</v>
      </c>
      <c r="L42" s="262"/>
      <c r="M42" s="262">
        <v>98744</v>
      </c>
      <c r="N42" s="262"/>
      <c r="O42" s="262">
        <v>98940.269777329799</v>
      </c>
      <c r="P42" s="262"/>
      <c r="Q42" s="262">
        <v>98258.985487460028</v>
      </c>
      <c r="R42" s="262"/>
      <c r="S42" s="262">
        <v>96039.543704459997</v>
      </c>
      <c r="T42" s="262"/>
      <c r="U42" s="262">
        <v>92817.744119980198</v>
      </c>
      <c r="V42" s="262"/>
      <c r="W42" s="262">
        <v>90460.14825605003</v>
      </c>
      <c r="X42" s="262"/>
      <c r="Y42" s="262">
        <v>88945.039514610005</v>
      </c>
      <c r="Z42" s="262"/>
      <c r="AA42" s="262">
        <v>87527.837190519902</v>
      </c>
      <c r="AB42" s="277"/>
      <c r="AC42" s="262">
        <f>+AK41</f>
        <v>84901.214854689984</v>
      </c>
      <c r="AD42" s="277"/>
      <c r="AE42" s="262">
        <f>+AM41</f>
        <v>82944.802144999994</v>
      </c>
      <c r="AF42" s="277"/>
      <c r="AG42" s="262">
        <f>+AO41</f>
        <v>81336.069999999992</v>
      </c>
      <c r="AH42" s="277"/>
      <c r="AI42" s="262">
        <f>+AQ41</f>
        <v>79286.388672980014</v>
      </c>
      <c r="AJ42" s="277"/>
      <c r="AK42" s="262">
        <f>+AS41</f>
        <v>44307.5</v>
      </c>
      <c r="AL42" s="277"/>
      <c r="AM42" s="262">
        <f>+AU41</f>
        <v>43779.16</v>
      </c>
      <c r="AN42" s="277"/>
      <c r="AO42" s="262">
        <f>+AW41</f>
        <v>42793.5</v>
      </c>
      <c r="AP42" s="277"/>
      <c r="AQ42" s="262">
        <f>+AY41</f>
        <v>42090.69</v>
      </c>
      <c r="AR42" s="277"/>
      <c r="AS42" s="262">
        <f>+BA41</f>
        <v>40483.611327409999</v>
      </c>
      <c r="AT42" s="277"/>
      <c r="AU42" s="278">
        <v>39936</v>
      </c>
      <c r="AV42" s="279"/>
      <c r="AW42" s="278">
        <v>39233</v>
      </c>
      <c r="AX42" s="279"/>
      <c r="AY42" s="278">
        <v>38256</v>
      </c>
      <c r="AZ42" s="279"/>
      <c r="BA42" s="278">
        <v>36885</v>
      </c>
      <c r="BB42" s="277"/>
    </row>
    <row r="43" spans="1:54">
      <c r="A43" s="252"/>
      <c r="B43" s="272" t="s">
        <v>166</v>
      </c>
      <c r="C43" s="258">
        <v>5750.569765780514</v>
      </c>
      <c r="D43" s="258"/>
      <c r="E43" s="258">
        <v>5226.5601668601448</v>
      </c>
      <c r="F43" s="258"/>
      <c r="G43" s="258">
        <v>6333.3653593806957</v>
      </c>
      <c r="H43" s="258"/>
      <c r="I43" s="258">
        <v>9586.7248</v>
      </c>
      <c r="J43" s="258"/>
      <c r="K43" s="258">
        <v>10712.755955116023</v>
      </c>
      <c r="L43" s="258"/>
      <c r="M43" s="258">
        <v>10067</v>
      </c>
      <c r="N43" s="258"/>
      <c r="O43" s="258">
        <v>8095.1851438622252</v>
      </c>
      <c r="P43" s="258"/>
      <c r="Q43" s="258">
        <v>5778.3223996199667</v>
      </c>
      <c r="R43" s="258"/>
      <c r="S43" s="258">
        <f>+S41-S42</f>
        <v>5628.70405632029</v>
      </c>
      <c r="T43" s="258"/>
      <c r="U43" s="258">
        <v>5926.4072877197905</v>
      </c>
      <c r="V43" s="258"/>
      <c r="W43" s="258">
        <f>+W41-W42</f>
        <v>8480.1215212797688</v>
      </c>
      <c r="X43" s="258"/>
      <c r="Y43" s="258">
        <f>+Y41-Y42</f>
        <v>9313.9459728500224</v>
      </c>
      <c r="Z43" s="258"/>
      <c r="AA43" s="258">
        <f>+AA41-AA42</f>
        <v>8511.7065139400947</v>
      </c>
      <c r="AB43" s="264"/>
      <c r="AC43" s="258">
        <f>+AC41-AC42</f>
        <v>7916.5292652902135</v>
      </c>
      <c r="AD43" s="264"/>
      <c r="AE43" s="258">
        <f>+AE41-AE42</f>
        <v>7515.3461110500357</v>
      </c>
      <c r="AF43" s="264"/>
      <c r="AG43" s="258">
        <f>+AG41-AG42</f>
        <v>7608.969514610013</v>
      </c>
      <c r="AH43" s="264"/>
      <c r="AI43" s="258">
        <f>+AI41-AI42</f>
        <v>8241.4485175398731</v>
      </c>
      <c r="AJ43" s="264"/>
      <c r="AK43" s="258">
        <f>+AK41-AK42</f>
        <v>40593.714854689984</v>
      </c>
      <c r="AL43" s="264"/>
      <c r="AM43" s="258">
        <f>+AM41-AM42</f>
        <v>39165.642144999991</v>
      </c>
      <c r="AN43" s="264"/>
      <c r="AO43" s="258">
        <f>+AO41-AO42</f>
        <v>38542.569999999992</v>
      </c>
      <c r="AP43" s="264"/>
      <c r="AQ43" s="258">
        <f>+AQ41-AQ42</f>
        <v>37195.698672980012</v>
      </c>
      <c r="AR43" s="264"/>
      <c r="AS43" s="258">
        <f>+AS41-AS42</f>
        <v>3823.8886725900011</v>
      </c>
      <c r="AT43" s="264"/>
      <c r="AU43" s="258">
        <f>+AU41-AU42</f>
        <v>3843.1600000000035</v>
      </c>
      <c r="AV43" s="264"/>
      <c r="AW43" s="258">
        <f>+AW41-AW42</f>
        <v>3560.5</v>
      </c>
      <c r="AX43" s="264"/>
      <c r="AY43" s="258">
        <f>+AY41-AY42</f>
        <v>3834.6900000000023</v>
      </c>
      <c r="AZ43" s="264"/>
      <c r="BA43" s="258">
        <f>+BA41-BA42</f>
        <v>3598.6113274099989</v>
      </c>
      <c r="BB43" s="264"/>
    </row>
    <row r="44" spans="1:54">
      <c r="A44" s="252"/>
      <c r="B44" s="280" t="s">
        <v>325</v>
      </c>
      <c r="C44" s="258">
        <v>112381.12907763624</v>
      </c>
      <c r="D44" s="258"/>
      <c r="E44" s="258">
        <v>108810.93195658</v>
      </c>
      <c r="F44" s="258"/>
      <c r="G44" s="258">
        <v>107035.04244061932</v>
      </c>
      <c r="H44" s="258"/>
      <c r="I44" s="258">
        <v>104037.26</v>
      </c>
      <c r="J44" s="258"/>
      <c r="K44" s="258">
        <v>101668.37312252022</v>
      </c>
      <c r="L44" s="258"/>
      <c r="M44" s="258">
        <v>98744</v>
      </c>
      <c r="N44" s="258"/>
      <c r="O44" s="258">
        <v>98940.269777329799</v>
      </c>
      <c r="P44" s="258"/>
      <c r="Q44" s="258">
        <v>98258.985487460028</v>
      </c>
      <c r="R44" s="258"/>
      <c r="S44" s="258">
        <f>+S42</f>
        <v>96039.543704459997</v>
      </c>
      <c r="T44" s="258"/>
      <c r="U44" s="258">
        <v>92817.744119980198</v>
      </c>
      <c r="V44" s="258"/>
      <c r="W44" s="258">
        <f>+W42</f>
        <v>90460.14825605003</v>
      </c>
      <c r="X44" s="258"/>
      <c r="Y44" s="258">
        <f>+Y42</f>
        <v>88945.039514610005</v>
      </c>
      <c r="Z44" s="258"/>
      <c r="AA44" s="258">
        <f>+AA42</f>
        <v>87527.837190519902</v>
      </c>
      <c r="AB44" s="264"/>
      <c r="AC44" s="258">
        <f>+AC42</f>
        <v>84901.214854689984</v>
      </c>
      <c r="AD44" s="264"/>
      <c r="AE44" s="258">
        <f>+AE42</f>
        <v>82944.802144999994</v>
      </c>
      <c r="AF44" s="264"/>
      <c r="AG44" s="258">
        <f>+AG42</f>
        <v>81336.069999999992</v>
      </c>
      <c r="AH44" s="264"/>
      <c r="AI44" s="258">
        <f>+AI42</f>
        <v>79286.388672980014</v>
      </c>
      <c r="AJ44" s="264"/>
      <c r="AK44" s="258">
        <f>+AK42</f>
        <v>44307.5</v>
      </c>
      <c r="AL44" s="264"/>
      <c r="AM44" s="258">
        <f>+AM42</f>
        <v>43779.16</v>
      </c>
      <c r="AN44" s="264"/>
      <c r="AO44" s="258">
        <f>+AO42</f>
        <v>42793.5</v>
      </c>
      <c r="AP44" s="264"/>
      <c r="AQ44" s="258">
        <f>+AQ42</f>
        <v>42090.69</v>
      </c>
      <c r="AR44" s="264"/>
      <c r="AS44" s="258">
        <f>+AS42</f>
        <v>40483.611327409999</v>
      </c>
      <c r="AT44" s="264"/>
      <c r="AU44" s="258">
        <f>+AU42</f>
        <v>39936</v>
      </c>
      <c r="AV44" s="264"/>
      <c r="AW44" s="258">
        <f>+AW42</f>
        <v>39233</v>
      </c>
      <c r="AX44" s="264"/>
      <c r="AY44" s="258">
        <f>+AY42</f>
        <v>38256</v>
      </c>
      <c r="AZ44" s="264"/>
      <c r="BA44" s="258">
        <f>+BA42</f>
        <v>36885</v>
      </c>
      <c r="BB44" s="264"/>
    </row>
    <row r="45" spans="1:54" ht="13.5" thickBot="1">
      <c r="A45" s="321" t="s">
        <v>221</v>
      </c>
      <c r="B45" s="268" t="s">
        <v>167</v>
      </c>
      <c r="C45" s="269">
        <v>5.1170243732004586E-2</v>
      </c>
      <c r="D45" s="269"/>
      <c r="E45" s="269">
        <v>4.8033410548728284E-2</v>
      </c>
      <c r="F45" s="269"/>
      <c r="G45" s="269">
        <v>5.9170952007556843E-2</v>
      </c>
      <c r="H45" s="269"/>
      <c r="I45" s="269">
        <v>9.2100000000000001E-2</v>
      </c>
      <c r="J45" s="269"/>
      <c r="K45" s="269">
        <v>0.10536960144140514</v>
      </c>
      <c r="L45" s="269"/>
      <c r="M45" s="269">
        <v>0.10199999999999999</v>
      </c>
      <c r="N45" s="269"/>
      <c r="O45" s="269">
        <v>8.1818911168130615E-2</v>
      </c>
      <c r="P45" s="269"/>
      <c r="Q45" s="269">
        <v>5.8807063506241937E-2</v>
      </c>
      <c r="R45" s="269"/>
      <c r="S45" s="269">
        <f>+S43/S44</f>
        <v>5.860819240917424E-2</v>
      </c>
      <c r="T45" s="269"/>
      <c r="U45" s="269">
        <f>+U43/U44</f>
        <v>6.3849938865774003E-2</v>
      </c>
      <c r="V45" s="269"/>
      <c r="W45" s="269">
        <f>+W43/W44</f>
        <v>9.3744280600519717E-2</v>
      </c>
      <c r="X45" s="269"/>
      <c r="Y45" s="269">
        <f>+Y43/Y44</f>
        <v>0.10471574383099942</v>
      </c>
      <c r="Z45" s="269"/>
      <c r="AA45" s="269">
        <f>(AA36-AI36)/AI36</f>
        <v>9.7245708190102628E-2</v>
      </c>
      <c r="AB45" s="271"/>
      <c r="AC45" s="269">
        <f>(AC36-AK36)/AK36</f>
        <v>9.3244004562708566E-2</v>
      </c>
      <c r="AD45" s="271"/>
      <c r="AE45" s="269">
        <f>AE43/AE44</f>
        <v>9.0606595189799591E-2</v>
      </c>
      <c r="AF45" s="271"/>
      <c r="AG45" s="269">
        <f>AG43/AG44</f>
        <v>9.3549756148901875E-2</v>
      </c>
      <c r="AH45" s="271"/>
      <c r="AI45" s="269">
        <f>AI43/AI44</f>
        <v>0.10394531338199887</v>
      </c>
      <c r="AJ45" s="271"/>
      <c r="AK45" s="269">
        <f>AK43/AK44</f>
        <v>0.91618156868904777</v>
      </c>
      <c r="AL45" s="271"/>
      <c r="AM45" s="269">
        <f>AM43/AM44</f>
        <v>0.8946184016550337</v>
      </c>
      <c r="AN45" s="271"/>
      <c r="AO45" s="269">
        <f>AO43/AO44</f>
        <v>0.90066411955086623</v>
      </c>
      <c r="AP45" s="271"/>
      <c r="AQ45" s="269">
        <f>AQ43/AQ44</f>
        <v>0.88370370438165802</v>
      </c>
      <c r="AR45" s="271"/>
      <c r="AS45" s="269">
        <f>AS43/AS44</f>
        <v>9.4455226379495036E-2</v>
      </c>
      <c r="AT45" s="271"/>
      <c r="AU45" s="269">
        <f>AU43/AU44</f>
        <v>9.6232972756410337E-2</v>
      </c>
      <c r="AV45" s="271"/>
      <c r="AW45" s="269">
        <f>AW43/AW44</f>
        <v>9.0752682690592099E-2</v>
      </c>
      <c r="AX45" s="271"/>
      <c r="AY45" s="269">
        <f>AY43/AY44</f>
        <v>0.10023760978670018</v>
      </c>
      <c r="AZ45" s="271"/>
      <c r="BA45" s="269">
        <f>BA43/BA44</f>
        <v>9.7563001963128615E-2</v>
      </c>
      <c r="BB45" s="271"/>
    </row>
    <row r="46" spans="1:54">
      <c r="A46" s="252"/>
      <c r="B46" s="255"/>
      <c r="C46" s="264"/>
      <c r="D46" s="264"/>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264"/>
      <c r="AY46" s="264"/>
      <c r="AZ46" s="264"/>
      <c r="BA46" s="264"/>
      <c r="BB46" s="264"/>
    </row>
    <row r="47" spans="1:54">
      <c r="A47" s="252"/>
      <c r="B47" s="255"/>
      <c r="C47" s="264"/>
      <c r="D47" s="264"/>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4"/>
      <c r="AQ47" s="264"/>
      <c r="AR47" s="264"/>
      <c r="AS47" s="264"/>
      <c r="AT47" s="264"/>
      <c r="AU47" s="264"/>
      <c r="AV47" s="264"/>
      <c r="AW47" s="264"/>
      <c r="AX47" s="264"/>
      <c r="AY47" s="264"/>
      <c r="AZ47" s="264"/>
      <c r="BA47" s="264"/>
      <c r="BB47" s="264"/>
    </row>
    <row r="48" spans="1:54">
      <c r="A48" s="252"/>
      <c r="B48" s="256" t="s">
        <v>168</v>
      </c>
      <c r="C48" s="258">
        <v>167290.09909082673</v>
      </c>
      <c r="D48" s="258"/>
      <c r="E48" s="258">
        <v>162567.03839951014</v>
      </c>
      <c r="F48" s="258"/>
      <c r="G48" s="258">
        <v>161258.65030000001</v>
      </c>
      <c r="H48" s="258"/>
      <c r="I48" s="258">
        <v>160992.7836</v>
      </c>
      <c r="J48" s="258"/>
      <c r="K48" s="258">
        <v>157956.06740085623</v>
      </c>
      <c r="L48" s="258"/>
      <c r="M48" s="258">
        <v>153846</v>
      </c>
      <c r="N48" s="258"/>
      <c r="O48" s="258">
        <v>150688.15955793203</v>
      </c>
      <c r="P48" s="258"/>
      <c r="Q48" s="258">
        <v>147309.94290146002</v>
      </c>
      <c r="R48" s="258"/>
      <c r="S48" s="258">
        <v>144336.62376078026</v>
      </c>
      <c r="T48" s="258"/>
      <c r="U48" s="258">
        <v>141078.62044130999</v>
      </c>
      <c r="V48" s="258"/>
      <c r="W48" s="258">
        <v>140165.15885532982</v>
      </c>
      <c r="X48" s="258"/>
      <c r="Y48" s="258">
        <v>138152.57848746004</v>
      </c>
      <c r="Z48" s="258"/>
      <c r="AA48" s="258">
        <v>135491.78370445999</v>
      </c>
      <c r="AB48" s="264"/>
      <c r="AC48" s="258">
        <f>AC39</f>
        <v>132432.8281199802</v>
      </c>
      <c r="AD48" s="264"/>
      <c r="AE48" s="258">
        <f>AE39</f>
        <v>129535.07469605003</v>
      </c>
      <c r="AF48" s="264"/>
      <c r="AG48" s="258">
        <f>AG39</f>
        <v>126919.19126761002</v>
      </c>
      <c r="AH48" s="264"/>
      <c r="AI48" s="258">
        <f>AI39</f>
        <v>124393.18279451989</v>
      </c>
      <c r="AJ48" s="264"/>
      <c r="AK48" s="258">
        <f>AK39</f>
        <v>121701.20138468998</v>
      </c>
      <c r="AL48" s="264"/>
      <c r="AM48" s="258">
        <f>AM39</f>
        <v>119450.075145</v>
      </c>
      <c r="AN48" s="264"/>
      <c r="AO48" s="258">
        <f>AO39</f>
        <v>117625.54336599998</v>
      </c>
      <c r="AP48" s="264"/>
      <c r="AQ48" s="258">
        <f>AQ39</f>
        <v>115223.03667298002</v>
      </c>
      <c r="AR48" s="264"/>
      <c r="AS48" s="258">
        <f>AS39</f>
        <v>62156.303097000004</v>
      </c>
      <c r="AT48" s="264"/>
      <c r="AU48" s="258">
        <f>AU39</f>
        <v>61139.951753000001</v>
      </c>
      <c r="AV48" s="264"/>
      <c r="AW48" s="258">
        <f>AW39</f>
        <v>59437.746741449999</v>
      </c>
      <c r="AX48" s="264"/>
      <c r="AY48" s="258">
        <f>AY39</f>
        <v>57994.606618999998</v>
      </c>
      <c r="AZ48" s="264"/>
      <c r="BA48" s="258">
        <f>BA39</f>
        <v>56618.710594409997</v>
      </c>
      <c r="BB48" s="264"/>
    </row>
    <row r="49" spans="1:54">
      <c r="A49" s="252"/>
      <c r="B49" s="276" t="s">
        <v>169</v>
      </c>
      <c r="C49" s="262">
        <v>157956.06740085623</v>
      </c>
      <c r="D49" s="262"/>
      <c r="E49" s="262">
        <v>153845.74316593996</v>
      </c>
      <c r="F49" s="262"/>
      <c r="G49" s="262">
        <v>150687.74644061932</v>
      </c>
      <c r="H49" s="262"/>
      <c r="I49" s="262">
        <v>147309.9</v>
      </c>
      <c r="J49" s="262"/>
      <c r="K49" s="262">
        <v>144336.74926297023</v>
      </c>
      <c r="L49" s="262"/>
      <c r="M49" s="262">
        <v>141079</v>
      </c>
      <c r="N49" s="262"/>
      <c r="O49" s="262">
        <v>140165.15885532982</v>
      </c>
      <c r="P49" s="262"/>
      <c r="Q49" s="262">
        <v>138152.57848746004</v>
      </c>
      <c r="R49" s="262"/>
      <c r="S49" s="262">
        <v>135491.78370445999</v>
      </c>
      <c r="T49" s="262"/>
      <c r="U49" s="262">
        <v>132432.8281199802</v>
      </c>
      <c r="V49" s="262"/>
      <c r="W49" s="262">
        <v>129535.07469605003</v>
      </c>
      <c r="X49" s="262"/>
      <c r="Y49" s="262">
        <v>126919.19126761002</v>
      </c>
      <c r="Z49" s="262"/>
      <c r="AA49" s="262">
        <v>124393.18279451989</v>
      </c>
      <c r="AB49" s="277"/>
      <c r="AC49" s="262">
        <f>+AK39</f>
        <v>121701.20138468998</v>
      </c>
      <c r="AD49" s="277"/>
      <c r="AE49" s="262">
        <f>+AM39</f>
        <v>119450.075145</v>
      </c>
      <c r="AF49" s="277"/>
      <c r="AG49" s="262">
        <f>+AO39</f>
        <v>117625.54336599998</v>
      </c>
      <c r="AH49" s="277"/>
      <c r="AI49" s="262">
        <f>+AQ39</f>
        <v>115223.03667298002</v>
      </c>
      <c r="AJ49" s="277"/>
      <c r="AK49" s="262">
        <f>+AS39</f>
        <v>62156.303097000004</v>
      </c>
      <c r="AL49" s="277"/>
      <c r="AM49" s="262">
        <f>+AU39</f>
        <v>61139.951753000001</v>
      </c>
      <c r="AN49" s="277"/>
      <c r="AO49" s="262">
        <f>+AW39</f>
        <v>59437.746741449999</v>
      </c>
      <c r="AP49" s="277"/>
      <c r="AQ49" s="262">
        <f>+AY39</f>
        <v>57994.606618999998</v>
      </c>
      <c r="AR49" s="277"/>
      <c r="AS49" s="262">
        <f>+BA39</f>
        <v>56618.710594409997</v>
      </c>
      <c r="AT49" s="277"/>
      <c r="AU49" s="278">
        <v>55930</v>
      </c>
      <c r="AV49" s="279"/>
      <c r="AW49" s="278">
        <v>54806</v>
      </c>
      <c r="AX49" s="279"/>
      <c r="AY49" s="278">
        <v>53916</v>
      </c>
      <c r="AZ49" s="279"/>
      <c r="BA49" s="278">
        <v>52579</v>
      </c>
      <c r="BB49" s="277"/>
    </row>
    <row r="50" spans="1:54">
      <c r="A50" s="252"/>
      <c r="B50" s="272" t="s">
        <v>170</v>
      </c>
      <c r="C50" s="258">
        <v>9334.0316899704922</v>
      </c>
      <c r="D50" s="258"/>
      <c r="E50" s="258">
        <v>8721.2952335701848</v>
      </c>
      <c r="F50" s="258"/>
      <c r="G50" s="258">
        <v>10570.903859380691</v>
      </c>
      <c r="H50" s="258"/>
      <c r="I50" s="258">
        <v>13682.883599999999</v>
      </c>
      <c r="J50" s="258"/>
      <c r="K50" s="258">
        <v>13619.318137886003</v>
      </c>
      <c r="L50" s="258"/>
      <c r="M50" s="258">
        <v>12767</v>
      </c>
      <c r="N50" s="258"/>
      <c r="O50" s="258">
        <v>10523.000702602207</v>
      </c>
      <c r="P50" s="258"/>
      <c r="Q50" s="258">
        <v>9157.3644139999815</v>
      </c>
      <c r="R50" s="258"/>
      <c r="S50" s="258">
        <f>S48-S49</f>
        <v>8844.840056320274</v>
      </c>
      <c r="T50" s="258"/>
      <c r="U50" s="258">
        <v>8645.7923213297909</v>
      </c>
      <c r="V50" s="258"/>
      <c r="W50" s="258">
        <f>W48-W49</f>
        <v>10630.084159279795</v>
      </c>
      <c r="X50" s="258"/>
      <c r="Y50" s="258">
        <f>Y48-Y49</f>
        <v>11233.387219850018</v>
      </c>
      <c r="Z50" s="258"/>
      <c r="AA50" s="258">
        <f>AA48-AA49</f>
        <v>11098.600909940098</v>
      </c>
      <c r="AB50" s="264"/>
      <c r="AC50" s="258">
        <f>AC48-AC49</f>
        <v>10731.626735290221</v>
      </c>
      <c r="AD50" s="264"/>
      <c r="AE50" s="258">
        <f>AE48-AE49</f>
        <v>10084.99955105003</v>
      </c>
      <c r="AF50" s="264"/>
      <c r="AG50" s="258">
        <f>AG48-AG49</f>
        <v>9293.6479016100348</v>
      </c>
      <c r="AH50" s="264"/>
      <c r="AI50" s="258">
        <f>AI48-AI49</f>
        <v>9170.146121539874</v>
      </c>
      <c r="AJ50" s="264"/>
      <c r="AK50" s="258">
        <f>AK48-AK49</f>
        <v>59544.898287689975</v>
      </c>
      <c r="AL50" s="264"/>
      <c r="AM50" s="258">
        <f>AM48-AM49</f>
        <v>58310.123391999994</v>
      </c>
      <c r="AN50" s="264"/>
      <c r="AO50" s="258">
        <f>AO48-AO49</f>
        <v>58187.796624549985</v>
      </c>
      <c r="AP50" s="264"/>
      <c r="AQ50" s="258">
        <f>AQ48-AQ49</f>
        <v>57228.430053980017</v>
      </c>
      <c r="AR50" s="264"/>
      <c r="AS50" s="258">
        <f>AS48-AS49</f>
        <v>5537.5925025900069</v>
      </c>
      <c r="AT50" s="264"/>
      <c r="AU50" s="258">
        <f>AU48-AU49</f>
        <v>5209.9517530000012</v>
      </c>
      <c r="AV50" s="264"/>
      <c r="AW50" s="258">
        <f>AW48-AW49</f>
        <v>4631.7467414499988</v>
      </c>
      <c r="AX50" s="264"/>
      <c r="AY50" s="258">
        <f>AY48-AY49</f>
        <v>4078.6066189999983</v>
      </c>
      <c r="AZ50" s="264"/>
      <c r="BA50" s="258">
        <f>BA48-BA49</f>
        <v>4039.7105944099967</v>
      </c>
      <c r="BB50" s="264"/>
    </row>
    <row r="51" spans="1:54">
      <c r="A51" s="252"/>
      <c r="B51" s="280" t="s">
        <v>171</v>
      </c>
      <c r="C51" s="258">
        <v>157956.06740085623</v>
      </c>
      <c r="D51" s="258"/>
      <c r="E51" s="258">
        <v>153845.74316593996</v>
      </c>
      <c r="F51" s="258"/>
      <c r="G51" s="258">
        <v>150687.74644061932</v>
      </c>
      <c r="H51" s="258"/>
      <c r="I51" s="258">
        <v>147309.9</v>
      </c>
      <c r="J51" s="258"/>
      <c r="K51" s="258">
        <v>144336.74926297023</v>
      </c>
      <c r="L51" s="258"/>
      <c r="M51" s="258">
        <v>141079</v>
      </c>
      <c r="N51" s="258"/>
      <c r="O51" s="258">
        <v>140165.15885532982</v>
      </c>
      <c r="P51" s="258"/>
      <c r="Q51" s="258">
        <v>138152.57848746004</v>
      </c>
      <c r="R51" s="258"/>
      <c r="S51" s="258">
        <f>+S49</f>
        <v>135491.78370445999</v>
      </c>
      <c r="T51" s="258"/>
      <c r="U51" s="258">
        <v>132432.8281199802</v>
      </c>
      <c r="V51" s="258"/>
      <c r="W51" s="258">
        <f>+W49</f>
        <v>129535.07469605003</v>
      </c>
      <c r="X51" s="258"/>
      <c r="Y51" s="258">
        <f>+Y49</f>
        <v>126919.19126761002</v>
      </c>
      <c r="Z51" s="258"/>
      <c r="AA51" s="258">
        <f>AA49</f>
        <v>124393.18279451989</v>
      </c>
      <c r="AB51" s="264"/>
      <c r="AC51" s="258">
        <f>AC49</f>
        <v>121701.20138468998</v>
      </c>
      <c r="AD51" s="264"/>
      <c r="AE51" s="258">
        <f>AE49</f>
        <v>119450.075145</v>
      </c>
      <c r="AF51" s="264"/>
      <c r="AG51" s="258">
        <f>AG49</f>
        <v>117625.54336599998</v>
      </c>
      <c r="AH51" s="264"/>
      <c r="AI51" s="258">
        <f>AI49</f>
        <v>115223.03667298002</v>
      </c>
      <c r="AJ51" s="264"/>
      <c r="AK51" s="258">
        <f>AK49</f>
        <v>62156.303097000004</v>
      </c>
      <c r="AL51" s="264"/>
      <c r="AM51" s="258">
        <f>AM49</f>
        <v>61139.951753000001</v>
      </c>
      <c r="AN51" s="264"/>
      <c r="AO51" s="258">
        <f>AO49</f>
        <v>59437.746741449999</v>
      </c>
      <c r="AP51" s="264"/>
      <c r="AQ51" s="258">
        <f>AQ49</f>
        <v>57994.606618999998</v>
      </c>
      <c r="AR51" s="264"/>
      <c r="AS51" s="258">
        <f>AS49</f>
        <v>56618.710594409997</v>
      </c>
      <c r="AT51" s="264"/>
      <c r="AU51" s="258">
        <f>AU49</f>
        <v>55930</v>
      </c>
      <c r="AV51" s="264"/>
      <c r="AW51" s="258">
        <f>AW49</f>
        <v>54806</v>
      </c>
      <c r="AX51" s="264"/>
      <c r="AY51" s="258">
        <f>AY49</f>
        <v>53916</v>
      </c>
      <c r="AZ51" s="264"/>
      <c r="BA51" s="258">
        <f>BA49</f>
        <v>52579</v>
      </c>
      <c r="BB51" s="264"/>
    </row>
    <row r="52" spans="1:54" ht="13.5" thickBot="1">
      <c r="A52" s="321" t="s">
        <v>367</v>
      </c>
      <c r="B52" s="281" t="s">
        <v>172</v>
      </c>
      <c r="C52" s="269">
        <v>5.9092580890120941E-2</v>
      </c>
      <c r="D52" s="269"/>
      <c r="E52" s="269">
        <v>5.668857034388846E-2</v>
      </c>
      <c r="F52" s="269"/>
      <c r="G52" s="269">
        <v>7.0151051489420926E-2</v>
      </c>
      <c r="H52" s="269"/>
      <c r="I52" s="269">
        <v>9.2899999999999996E-2</v>
      </c>
      <c r="J52" s="269"/>
      <c r="K52" s="269">
        <v>9.4357938691501733E-2</v>
      </c>
      <c r="L52" s="269"/>
      <c r="M52" s="269">
        <v>0.09</v>
      </c>
      <c r="N52" s="269"/>
      <c r="O52" s="269">
        <v>7.5075723443251863E-2</v>
      </c>
      <c r="P52" s="269"/>
      <c r="Q52" s="269">
        <v>6.6284426351341574E-2</v>
      </c>
      <c r="R52" s="269"/>
      <c r="S52" s="269">
        <f>+S50/S51</f>
        <v>6.5279530717618911E-2</v>
      </c>
      <c r="T52" s="269"/>
      <c r="U52" s="269">
        <f>+U50/U51</f>
        <v>6.5284359203572701E-2</v>
      </c>
      <c r="V52" s="269"/>
      <c r="W52" s="269">
        <f>+W50/W51</f>
        <v>8.206336534118619E-2</v>
      </c>
      <c r="X52" s="269"/>
      <c r="Y52" s="269">
        <f>+Y50/Y51</f>
        <v>8.850818467763745E-2</v>
      </c>
      <c r="Z52" s="269"/>
      <c r="AA52" s="269">
        <f>(AA39-AI39)/AI39</f>
        <v>8.9221938538813911E-2</v>
      </c>
      <c r="AB52" s="271"/>
      <c r="AC52" s="269">
        <f>(AC39-AK39)/AK39</f>
        <v>8.8180121586213536E-2</v>
      </c>
      <c r="AD52" s="271"/>
      <c r="AE52" s="269">
        <f>AE50/AE51</f>
        <v>8.4428574354665636E-2</v>
      </c>
      <c r="AF52" s="271"/>
      <c r="AG52" s="269">
        <f>(AG39-AO39)/AO39</f>
        <v>7.9010456705753185E-2</v>
      </c>
      <c r="AH52" s="271"/>
      <c r="AI52" s="269">
        <f>(AI39-AQ39)/AQ39</f>
        <v>7.9586047949474742E-2</v>
      </c>
      <c r="AJ52" s="271"/>
      <c r="AK52" s="269">
        <f>(AK39-AS39)/AS39</f>
        <v>0.95798648440794942</v>
      </c>
      <c r="AL52" s="271"/>
      <c r="AM52" s="269">
        <f>(AM39-AU39)/AU39</f>
        <v>0.95371556110426348</v>
      </c>
      <c r="AN52" s="271"/>
      <c r="AO52" s="269">
        <f>(AO39-AW39)/AW39</f>
        <v>0.97897043233591596</v>
      </c>
      <c r="AP52" s="271"/>
      <c r="AQ52" s="269">
        <f>(AQ39-AY39)/AY39</f>
        <v>0.98678883072604606</v>
      </c>
      <c r="AR52" s="271"/>
      <c r="AS52" s="269">
        <f>(AS39-BA39)/BA39</f>
        <v>9.7804991396902935E-2</v>
      </c>
      <c r="AT52" s="271"/>
      <c r="AU52" s="269">
        <f>AU50/AU51</f>
        <v>9.3151291846951562E-2</v>
      </c>
      <c r="AV52" s="271"/>
      <c r="AW52" s="269">
        <f>AW50/AW51</f>
        <v>8.4511672836003332E-2</v>
      </c>
      <c r="AX52" s="271"/>
      <c r="AY52" s="269">
        <f>AY50/AY51</f>
        <v>7.5647425977446364E-2</v>
      </c>
      <c r="AZ52" s="271"/>
      <c r="BA52" s="269">
        <f>BA50/BA51</f>
        <v>7.6831255718252472E-2</v>
      </c>
      <c r="BB52" s="271"/>
    </row>
    <row r="53" spans="1:54">
      <c r="A53" s="252"/>
      <c r="B53" s="255"/>
      <c r="C53" s="264"/>
      <c r="D53" s="264"/>
      <c r="E53" s="264"/>
      <c r="F53" s="264"/>
      <c r="G53" s="264"/>
      <c r="H53" s="264"/>
      <c r="I53" s="264"/>
      <c r="J53" s="264"/>
      <c r="K53" s="264"/>
      <c r="L53" s="264"/>
      <c r="M53" s="264"/>
      <c r="N53" s="264"/>
      <c r="O53" s="264"/>
      <c r="P53" s="264"/>
      <c r="Q53" s="264"/>
      <c r="R53" s="264"/>
      <c r="S53" s="264"/>
      <c r="T53" s="264"/>
      <c r="U53" s="264"/>
      <c r="V53" s="264"/>
      <c r="W53" s="264"/>
      <c r="X53" s="264"/>
      <c r="Y53" s="264"/>
      <c r="Z53" s="264"/>
      <c r="AA53" s="264"/>
      <c r="AB53" s="264"/>
      <c r="AC53" s="264"/>
      <c r="AD53" s="264"/>
      <c r="AE53" s="264"/>
      <c r="AF53" s="264"/>
      <c r="AG53" s="264"/>
      <c r="AH53" s="264"/>
      <c r="AI53" s="264"/>
      <c r="AJ53" s="264"/>
      <c r="AK53" s="264"/>
      <c r="AL53" s="264"/>
      <c r="AM53" s="264"/>
      <c r="AN53" s="264"/>
      <c r="AO53" s="264"/>
      <c r="AP53" s="264"/>
      <c r="AQ53" s="264"/>
      <c r="AR53" s="264"/>
      <c r="AS53" s="264"/>
      <c r="AT53" s="264"/>
      <c r="AU53" s="264"/>
      <c r="AV53" s="264"/>
      <c r="AW53" s="264"/>
      <c r="AX53" s="264"/>
      <c r="AY53" s="264"/>
      <c r="AZ53" s="264"/>
      <c r="BA53" s="264"/>
      <c r="BB53" s="264"/>
    </row>
    <row r="54" spans="1:54">
      <c r="A54" s="252"/>
      <c r="B54" s="255"/>
      <c r="C54" s="264"/>
      <c r="D54" s="264"/>
      <c r="E54" s="264"/>
      <c r="F54" s="264"/>
      <c r="G54" s="264"/>
      <c r="H54" s="264"/>
      <c r="I54" s="264"/>
      <c r="J54" s="264"/>
      <c r="K54" s="264"/>
      <c r="L54" s="264"/>
      <c r="M54" s="264"/>
      <c r="N54" s="264"/>
      <c r="O54" s="264"/>
      <c r="P54" s="264"/>
      <c r="Q54" s="264"/>
      <c r="R54" s="264"/>
      <c r="S54" s="264"/>
      <c r="T54" s="264"/>
      <c r="U54" s="264"/>
      <c r="V54" s="264"/>
      <c r="W54" s="264"/>
      <c r="X54" s="264"/>
      <c r="Y54" s="264"/>
      <c r="Z54" s="264"/>
      <c r="AA54" s="264"/>
      <c r="AB54" s="264"/>
      <c r="AC54" s="264"/>
      <c r="AD54" s="264"/>
      <c r="AE54" s="264"/>
      <c r="AF54" s="264"/>
      <c r="AG54" s="264"/>
      <c r="AH54" s="264"/>
      <c r="AI54" s="264"/>
      <c r="AJ54" s="264"/>
      <c r="AK54" s="264"/>
      <c r="AL54" s="264"/>
      <c r="AM54" s="264"/>
      <c r="AN54" s="264"/>
      <c r="AO54" s="264"/>
      <c r="AP54" s="264"/>
      <c r="AQ54" s="264"/>
      <c r="AR54" s="264"/>
      <c r="AS54" s="264"/>
      <c r="AT54" s="264"/>
      <c r="AU54" s="264"/>
      <c r="AV54" s="264"/>
      <c r="AW54" s="264"/>
      <c r="AX54" s="264"/>
      <c r="AY54" s="264"/>
      <c r="AZ54" s="264"/>
      <c r="BA54" s="264"/>
      <c r="BB54" s="264"/>
    </row>
    <row r="55" spans="1:54">
      <c r="A55" s="252"/>
      <c r="B55" s="255"/>
      <c r="C55" s="264"/>
      <c r="D55" s="264"/>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4"/>
      <c r="AU55" s="264"/>
      <c r="AV55" s="264"/>
      <c r="AW55" s="264"/>
      <c r="AX55" s="264"/>
      <c r="AY55" s="264"/>
      <c r="AZ55" s="264"/>
      <c r="BA55" s="264"/>
      <c r="BB55" s="264"/>
    </row>
    <row r="56" spans="1:54">
      <c r="A56" s="252"/>
      <c r="B56" s="255" t="s">
        <v>164</v>
      </c>
      <c r="C56" s="258">
        <v>118131.69884341676</v>
      </c>
      <c r="D56" s="258"/>
      <c r="E56" s="258">
        <v>114037.49212344014</v>
      </c>
      <c r="F56" s="258"/>
      <c r="G56" s="258">
        <v>113368.40780000002</v>
      </c>
      <c r="H56" s="258"/>
      <c r="I56" s="258">
        <v>113623.98480000001</v>
      </c>
      <c r="J56" s="258"/>
      <c r="K56" s="258">
        <v>112381.12907763624</v>
      </c>
      <c r="L56" s="258"/>
      <c r="M56" s="258">
        <v>108811</v>
      </c>
      <c r="N56" s="258"/>
      <c r="O56" s="258">
        <v>107035</v>
      </c>
      <c r="P56" s="258"/>
      <c r="Q56" s="258">
        <v>104037</v>
      </c>
      <c r="R56" s="258"/>
      <c r="S56" s="258">
        <v>101668</v>
      </c>
      <c r="T56" s="258"/>
      <c r="U56" s="258">
        <v>98744</v>
      </c>
      <c r="V56" s="258"/>
      <c r="W56" s="258">
        <v>98940</v>
      </c>
      <c r="X56" s="258"/>
      <c r="Y56" s="258">
        <v>98259</v>
      </c>
      <c r="Z56" s="258"/>
      <c r="AA56" s="258">
        <v>96040</v>
      </c>
      <c r="AB56" s="264"/>
      <c r="AC56" s="258">
        <v>92818</v>
      </c>
      <c r="AD56" s="264"/>
      <c r="AE56" s="258">
        <v>90460</v>
      </c>
      <c r="AF56" s="264"/>
      <c r="AG56" s="258">
        <v>88945</v>
      </c>
      <c r="AH56" s="264"/>
      <c r="AI56" s="258">
        <v>87528</v>
      </c>
      <c r="AJ56" s="258"/>
      <c r="AK56" s="258">
        <v>84901</v>
      </c>
      <c r="AL56" s="258"/>
      <c r="AM56" s="258">
        <v>82945</v>
      </c>
      <c r="AN56" s="258"/>
      <c r="AO56" s="258">
        <v>81336</v>
      </c>
      <c r="AP56" s="258"/>
      <c r="AQ56" s="258">
        <v>79286</v>
      </c>
      <c r="AR56" s="264"/>
      <c r="AS56" s="258">
        <v>44308</v>
      </c>
      <c r="AT56" s="264"/>
      <c r="AU56" s="258">
        <v>43779</v>
      </c>
      <c r="AV56" s="264"/>
      <c r="AW56" s="258">
        <v>42794</v>
      </c>
      <c r="AX56" s="264"/>
      <c r="AY56" s="258">
        <v>42091</v>
      </c>
      <c r="AZ56" s="264"/>
      <c r="BA56" s="258">
        <v>40484</v>
      </c>
      <c r="BB56" s="264"/>
    </row>
    <row r="57" spans="1:54">
      <c r="A57" s="252"/>
      <c r="B57" s="276" t="s">
        <v>324</v>
      </c>
      <c r="C57" s="262">
        <v>114037.49212344014</v>
      </c>
      <c r="D57" s="262"/>
      <c r="E57" s="262">
        <v>113368.40780000002</v>
      </c>
      <c r="F57" s="262"/>
      <c r="G57" s="262">
        <v>113623.98480000001</v>
      </c>
      <c r="H57" s="262"/>
      <c r="I57" s="262">
        <v>112381.12910000001</v>
      </c>
      <c r="J57" s="262"/>
      <c r="K57" s="262">
        <v>108810.93195658</v>
      </c>
      <c r="L57" s="262"/>
      <c r="M57" s="262">
        <v>107035</v>
      </c>
      <c r="N57" s="262"/>
      <c r="O57" s="262">
        <v>104037</v>
      </c>
      <c r="P57" s="262"/>
      <c r="Q57" s="262">
        <v>101668</v>
      </c>
      <c r="R57" s="262"/>
      <c r="S57" s="262">
        <v>98744</v>
      </c>
      <c r="T57" s="262"/>
      <c r="U57" s="262">
        <v>98940</v>
      </c>
      <c r="V57" s="262"/>
      <c r="W57" s="262">
        <v>98259</v>
      </c>
      <c r="X57" s="262"/>
      <c r="Y57" s="262">
        <v>96040</v>
      </c>
      <c r="Z57" s="262"/>
      <c r="AA57" s="262">
        <v>92818</v>
      </c>
      <c r="AB57" s="277"/>
      <c r="AC57" s="262">
        <v>90460</v>
      </c>
      <c r="AD57" s="277"/>
      <c r="AE57" s="262">
        <v>88945</v>
      </c>
      <c r="AF57" s="277"/>
      <c r="AG57" s="262">
        <v>87528</v>
      </c>
      <c r="AH57" s="277"/>
      <c r="AI57" s="262">
        <v>84901</v>
      </c>
      <c r="AJ57" s="277"/>
      <c r="AK57" s="262">
        <v>82945</v>
      </c>
      <c r="AL57" s="277"/>
      <c r="AM57" s="262">
        <v>81336</v>
      </c>
      <c r="AN57" s="277"/>
      <c r="AO57" s="262">
        <v>79286</v>
      </c>
      <c r="AP57" s="277"/>
      <c r="AQ57" s="262">
        <v>44308</v>
      </c>
      <c r="AR57" s="277"/>
      <c r="AS57" s="262">
        <v>43779</v>
      </c>
      <c r="AT57" s="277"/>
      <c r="AU57" s="278">
        <v>42794</v>
      </c>
      <c r="AV57" s="279"/>
      <c r="AW57" s="278">
        <v>42091</v>
      </c>
      <c r="AX57" s="279"/>
      <c r="AY57" s="278">
        <v>40484</v>
      </c>
      <c r="AZ57" s="279"/>
      <c r="BA57" s="278"/>
      <c r="BB57" s="277"/>
    </row>
    <row r="58" spans="1:54">
      <c r="A58" s="252"/>
      <c r="B58" s="272" t="s">
        <v>166</v>
      </c>
      <c r="C58" s="258">
        <v>4094.206719976617</v>
      </c>
      <c r="D58" s="258"/>
      <c r="E58" s="258">
        <v>669.08432344012544</v>
      </c>
      <c r="F58" s="258"/>
      <c r="G58" s="258">
        <v>-255.57699999999022</v>
      </c>
      <c r="H58" s="258"/>
      <c r="I58" s="258">
        <v>1242.8557000000001</v>
      </c>
      <c r="J58" s="258"/>
      <c r="K58" s="258">
        <v>3570.1971210562479</v>
      </c>
      <c r="L58" s="258"/>
      <c r="M58" s="258">
        <v>1775</v>
      </c>
      <c r="N58" s="258"/>
      <c r="O58" s="258">
        <v>2998</v>
      </c>
      <c r="P58" s="258"/>
      <c r="Q58" s="258">
        <v>2369</v>
      </c>
      <c r="R58" s="258"/>
      <c r="S58" s="258">
        <v>2924</v>
      </c>
      <c r="T58" s="258"/>
      <c r="U58" s="258">
        <v>-196</v>
      </c>
      <c r="V58" s="258"/>
      <c r="W58" s="258">
        <v>681</v>
      </c>
      <c r="X58" s="258"/>
      <c r="Y58" s="258">
        <v>2219</v>
      </c>
      <c r="Z58" s="258"/>
      <c r="AA58" s="258">
        <v>3222</v>
      </c>
      <c r="AB58" s="264"/>
      <c r="AC58" s="258">
        <v>2358</v>
      </c>
      <c r="AD58" s="264"/>
      <c r="AE58" s="258">
        <v>1515</v>
      </c>
      <c r="AF58" s="264"/>
      <c r="AG58" s="258">
        <v>1417</v>
      </c>
      <c r="AH58" s="264"/>
      <c r="AI58" s="258">
        <v>2627</v>
      </c>
      <c r="AJ58" s="264"/>
      <c r="AK58" s="258">
        <v>1956</v>
      </c>
      <c r="AL58" s="264"/>
      <c r="AM58" s="258">
        <v>1609</v>
      </c>
      <c r="AN58" s="264"/>
      <c r="AO58" s="258">
        <v>2050</v>
      </c>
      <c r="AP58" s="264"/>
      <c r="AQ58" s="258">
        <v>34979</v>
      </c>
      <c r="AR58" s="264"/>
      <c r="AS58" s="258">
        <v>528</v>
      </c>
      <c r="AT58" s="264"/>
      <c r="AU58" s="258">
        <v>986</v>
      </c>
      <c r="AV58" s="264"/>
      <c r="AW58" s="258">
        <v>703</v>
      </c>
      <c r="AX58" s="264"/>
      <c r="AY58" s="258">
        <v>1607</v>
      </c>
      <c r="AZ58" s="264"/>
      <c r="BA58" s="258">
        <v>40484</v>
      </c>
      <c r="BB58" s="264"/>
    </row>
    <row r="59" spans="1:54">
      <c r="A59" s="252"/>
      <c r="B59" s="280" t="s">
        <v>326</v>
      </c>
      <c r="C59" s="258">
        <v>114037.49212344014</v>
      </c>
      <c r="D59" s="258"/>
      <c r="E59" s="258">
        <v>113368.40780000002</v>
      </c>
      <c r="F59" s="258"/>
      <c r="G59" s="258">
        <v>113623.98480000001</v>
      </c>
      <c r="H59" s="258"/>
      <c r="I59" s="258">
        <v>112381.12910000001</v>
      </c>
      <c r="J59" s="258"/>
      <c r="K59" s="258">
        <v>108810.93195658</v>
      </c>
      <c r="L59" s="258"/>
      <c r="M59" s="258">
        <v>107035</v>
      </c>
      <c r="N59" s="258"/>
      <c r="O59" s="258">
        <v>104037</v>
      </c>
      <c r="P59" s="258"/>
      <c r="Q59" s="258">
        <v>101668</v>
      </c>
      <c r="R59" s="258"/>
      <c r="S59" s="258">
        <v>98744</v>
      </c>
      <c r="T59" s="258"/>
      <c r="U59" s="258">
        <v>98940</v>
      </c>
      <c r="V59" s="258"/>
      <c r="W59" s="258">
        <v>98259</v>
      </c>
      <c r="X59" s="258"/>
      <c r="Y59" s="258">
        <v>96040</v>
      </c>
      <c r="Z59" s="258"/>
      <c r="AA59" s="258">
        <v>92818</v>
      </c>
      <c r="AB59" s="264"/>
      <c r="AC59" s="258">
        <v>90460</v>
      </c>
      <c r="AD59" s="264"/>
      <c r="AE59" s="258">
        <v>88945</v>
      </c>
      <c r="AF59" s="264"/>
      <c r="AG59" s="258">
        <v>87528</v>
      </c>
      <c r="AH59" s="264"/>
      <c r="AI59" s="258">
        <v>84901</v>
      </c>
      <c r="AJ59" s="264"/>
      <c r="AK59" s="258">
        <v>82945</v>
      </c>
      <c r="AL59" s="264"/>
      <c r="AM59" s="258">
        <v>81336</v>
      </c>
      <c r="AN59" s="264"/>
      <c r="AO59" s="258">
        <v>79286</v>
      </c>
      <c r="AP59" s="264"/>
      <c r="AQ59" s="258">
        <v>44308</v>
      </c>
      <c r="AR59" s="264"/>
      <c r="AS59" s="258">
        <v>43779</v>
      </c>
      <c r="AT59" s="264"/>
      <c r="AU59" s="258">
        <v>42794</v>
      </c>
      <c r="AV59" s="264"/>
      <c r="AW59" s="258">
        <v>42091</v>
      </c>
      <c r="AX59" s="264"/>
      <c r="AY59" s="258">
        <v>40484</v>
      </c>
      <c r="AZ59" s="264"/>
      <c r="BA59" s="258">
        <v>0</v>
      </c>
      <c r="BB59" s="264"/>
    </row>
    <row r="60" spans="1:54" ht="13.5" thickBot="1">
      <c r="A60" s="321" t="s">
        <v>368</v>
      </c>
      <c r="B60" s="268" t="s">
        <v>327</v>
      </c>
      <c r="C60" s="269">
        <v>3.5902286552784185E-2</v>
      </c>
      <c r="D60" s="269"/>
      <c r="E60" s="269">
        <v>5.9018586961236772E-3</v>
      </c>
      <c r="F60" s="269"/>
      <c r="G60" s="269">
        <v>-2.2493226271711447E-3</v>
      </c>
      <c r="H60" s="269"/>
      <c r="I60" s="269">
        <v>1.11E-2</v>
      </c>
      <c r="J60" s="269"/>
      <c r="K60" s="269">
        <v>3.2811015004272755E-2</v>
      </c>
      <c r="L60" s="269"/>
      <c r="M60" s="269">
        <v>1.7000000000000001E-2</v>
      </c>
      <c r="N60" s="269"/>
      <c r="O60" s="269">
        <v>2.9000000000000001E-2</v>
      </c>
      <c r="P60" s="269"/>
      <c r="Q60" s="269">
        <v>2.3E-2</v>
      </c>
      <c r="R60" s="269"/>
      <c r="S60" s="269">
        <v>0.03</v>
      </c>
      <c r="T60" s="269"/>
      <c r="U60" s="269">
        <v>-2E-3</v>
      </c>
      <c r="V60" s="269"/>
      <c r="W60" s="269">
        <v>7.0000000000000001E-3</v>
      </c>
      <c r="X60" s="269"/>
      <c r="Y60" s="269">
        <v>2.3E-2</v>
      </c>
      <c r="Z60" s="269"/>
      <c r="AA60" s="269">
        <v>3.5000000000000003E-2</v>
      </c>
      <c r="AB60" s="271"/>
      <c r="AC60" s="269">
        <v>2.5999999999999999E-2</v>
      </c>
      <c r="AD60" s="271"/>
      <c r="AE60" s="269">
        <v>1.7000000000000001E-2</v>
      </c>
      <c r="AF60" s="271"/>
      <c r="AG60" s="269">
        <v>1.6E-2</v>
      </c>
      <c r="AH60" s="271"/>
      <c r="AI60" s="269">
        <v>3.1E-2</v>
      </c>
      <c r="AJ60" s="271"/>
      <c r="AK60" s="269">
        <v>2.4E-2</v>
      </c>
      <c r="AL60" s="271"/>
      <c r="AM60" s="269">
        <v>0.02</v>
      </c>
      <c r="AN60" s="271"/>
      <c r="AO60" s="269">
        <v>2.5999999999999999E-2</v>
      </c>
      <c r="AP60" s="271"/>
      <c r="AQ60" s="269">
        <v>0.78900000000000003</v>
      </c>
      <c r="AR60" s="271"/>
      <c r="AS60" s="269">
        <v>1.2E-2</v>
      </c>
      <c r="AT60" s="271"/>
      <c r="AU60" s="269">
        <v>2.3E-2</v>
      </c>
      <c r="AV60" s="271"/>
      <c r="AW60" s="269">
        <v>1.7000000000000001E-2</v>
      </c>
      <c r="AX60" s="271"/>
      <c r="AY60" s="269">
        <v>0.04</v>
      </c>
      <c r="AZ60" s="271"/>
      <c r="BA60" s="269"/>
      <c r="BB60" s="271"/>
    </row>
    <row r="61" spans="1:54">
      <c r="A61" s="252"/>
      <c r="B61" s="255"/>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4"/>
      <c r="AA61" s="264"/>
      <c r="AB61" s="264"/>
      <c r="AC61" s="264"/>
      <c r="AD61" s="264"/>
      <c r="AE61" s="264"/>
      <c r="AF61" s="264"/>
      <c r="AG61" s="264"/>
      <c r="AH61" s="264"/>
      <c r="AI61" s="264"/>
      <c r="AJ61" s="264"/>
      <c r="AK61" s="264"/>
      <c r="AL61" s="264"/>
      <c r="AM61" s="264"/>
      <c r="AN61" s="264"/>
      <c r="AO61" s="264"/>
      <c r="AP61" s="264"/>
      <c r="AQ61" s="264"/>
      <c r="AR61" s="264"/>
      <c r="AS61" s="264"/>
      <c r="AT61" s="264"/>
      <c r="AU61" s="264"/>
      <c r="AV61" s="264"/>
      <c r="AW61" s="264"/>
      <c r="AX61" s="264"/>
      <c r="AY61" s="264"/>
      <c r="AZ61" s="264"/>
      <c r="BA61" s="264"/>
      <c r="BB61" s="264"/>
    </row>
    <row r="62" spans="1:54">
      <c r="A62" s="252"/>
      <c r="B62" s="255"/>
      <c r="C62" s="264"/>
      <c r="D62" s="264"/>
      <c r="E62" s="264"/>
      <c r="F62" s="264"/>
      <c r="G62" s="264"/>
      <c r="H62" s="264"/>
      <c r="I62" s="264"/>
      <c r="J62" s="264"/>
      <c r="K62" s="264"/>
      <c r="L62" s="264"/>
      <c r="M62" s="264"/>
      <c r="N62" s="264"/>
      <c r="O62" s="264"/>
      <c r="P62" s="264"/>
      <c r="Q62" s="264"/>
      <c r="R62" s="264"/>
      <c r="S62" s="264"/>
      <c r="T62" s="264"/>
      <c r="U62" s="264"/>
      <c r="V62" s="264"/>
      <c r="W62" s="264"/>
      <c r="X62" s="264"/>
      <c r="Y62" s="264"/>
      <c r="Z62" s="264"/>
      <c r="AA62" s="264"/>
      <c r="AB62" s="264"/>
      <c r="AC62" s="264"/>
      <c r="AD62" s="264"/>
      <c r="AE62" s="264"/>
      <c r="AF62" s="264"/>
      <c r="AG62" s="264"/>
      <c r="AH62" s="264"/>
      <c r="AI62" s="264"/>
      <c r="AJ62" s="264"/>
      <c r="AK62" s="264"/>
      <c r="AL62" s="264"/>
      <c r="AM62" s="264"/>
      <c r="AN62" s="264"/>
      <c r="AO62" s="264"/>
      <c r="AP62" s="264"/>
      <c r="AQ62" s="264"/>
      <c r="AR62" s="264"/>
      <c r="AS62" s="264"/>
      <c r="AT62" s="264"/>
      <c r="AU62" s="264"/>
      <c r="AV62" s="264"/>
      <c r="AW62" s="264"/>
      <c r="AX62" s="264"/>
      <c r="AY62" s="264"/>
      <c r="AZ62" s="264"/>
      <c r="BA62" s="264"/>
      <c r="BB62" s="264"/>
    </row>
    <row r="63" spans="1:54">
      <c r="A63" s="252"/>
      <c r="B63" s="256" t="s">
        <v>168</v>
      </c>
      <c r="C63" s="258">
        <v>167290.09909082673</v>
      </c>
      <c r="D63" s="258"/>
      <c r="E63" s="258">
        <v>162567.03839951014</v>
      </c>
      <c r="F63" s="258"/>
      <c r="G63" s="258">
        <v>161258.65030000001</v>
      </c>
      <c r="H63" s="258"/>
      <c r="I63" s="258">
        <v>160992.7836</v>
      </c>
      <c r="J63" s="258"/>
      <c r="K63" s="258">
        <v>157956.06740085623</v>
      </c>
      <c r="L63" s="258"/>
      <c r="M63" s="258">
        <v>153846</v>
      </c>
      <c r="N63" s="258"/>
      <c r="O63" s="258">
        <v>150688</v>
      </c>
      <c r="P63" s="258"/>
      <c r="Q63" s="258">
        <v>147310</v>
      </c>
      <c r="R63" s="258"/>
      <c r="S63" s="258">
        <v>144337</v>
      </c>
      <c r="T63" s="258"/>
      <c r="U63" s="258">
        <v>141079</v>
      </c>
      <c r="V63" s="258"/>
      <c r="W63" s="258">
        <v>140165</v>
      </c>
      <c r="X63" s="258"/>
      <c r="Y63" s="258">
        <v>138153</v>
      </c>
      <c r="Z63" s="258"/>
      <c r="AA63" s="258">
        <v>135492</v>
      </c>
      <c r="AB63" s="264"/>
      <c r="AC63" s="258">
        <v>132433</v>
      </c>
      <c r="AD63" s="264"/>
      <c r="AE63" s="258">
        <v>129535</v>
      </c>
      <c r="AF63" s="264"/>
      <c r="AG63" s="258">
        <v>126919</v>
      </c>
      <c r="AH63" s="264"/>
      <c r="AI63" s="258">
        <v>124393</v>
      </c>
      <c r="AJ63" s="264"/>
      <c r="AK63" s="258">
        <v>121701</v>
      </c>
      <c r="AL63" s="264"/>
      <c r="AM63" s="258">
        <v>119450</v>
      </c>
      <c r="AN63" s="264"/>
      <c r="AO63" s="258">
        <v>117626</v>
      </c>
      <c r="AP63" s="264"/>
      <c r="AQ63" s="258">
        <v>115223</v>
      </c>
      <c r="AR63" s="264"/>
      <c r="AS63" s="258">
        <v>62156</v>
      </c>
      <c r="AT63" s="264"/>
      <c r="AU63" s="258">
        <v>61140</v>
      </c>
      <c r="AV63" s="264"/>
      <c r="AW63" s="258">
        <v>59438</v>
      </c>
      <c r="AX63" s="264"/>
      <c r="AY63" s="258">
        <v>57995</v>
      </c>
      <c r="AZ63" s="264"/>
      <c r="BA63" s="258">
        <v>56619</v>
      </c>
      <c r="BB63" s="264"/>
    </row>
    <row r="64" spans="1:54">
      <c r="A64" s="252"/>
      <c r="B64" s="276" t="s">
        <v>330</v>
      </c>
      <c r="C64" s="262">
        <v>162567.03839951014</v>
      </c>
      <c r="D64" s="262"/>
      <c r="E64" s="262">
        <v>161258.65030000001</v>
      </c>
      <c r="F64" s="262"/>
      <c r="G64" s="262">
        <v>160992.78360000002</v>
      </c>
      <c r="H64" s="262"/>
      <c r="I64" s="262">
        <v>157956.0674</v>
      </c>
      <c r="J64" s="262"/>
      <c r="K64" s="262">
        <v>153845.74316593996</v>
      </c>
      <c r="L64" s="262"/>
      <c r="M64" s="262">
        <v>150688</v>
      </c>
      <c r="N64" s="262"/>
      <c r="O64" s="262">
        <v>147310</v>
      </c>
      <c r="P64" s="262"/>
      <c r="Q64" s="262">
        <v>144337</v>
      </c>
      <c r="R64" s="262"/>
      <c r="S64" s="262">
        <v>141079</v>
      </c>
      <c r="T64" s="262"/>
      <c r="U64" s="262">
        <v>140165</v>
      </c>
      <c r="V64" s="262"/>
      <c r="W64" s="262">
        <v>138153</v>
      </c>
      <c r="X64" s="262"/>
      <c r="Y64" s="262">
        <v>135492</v>
      </c>
      <c r="Z64" s="262"/>
      <c r="AA64" s="262">
        <v>132433</v>
      </c>
      <c r="AB64" s="277"/>
      <c r="AC64" s="262">
        <v>129535</v>
      </c>
      <c r="AD64" s="277"/>
      <c r="AE64" s="262">
        <v>126919</v>
      </c>
      <c r="AF64" s="277"/>
      <c r="AG64" s="262">
        <v>124393</v>
      </c>
      <c r="AH64" s="277"/>
      <c r="AI64" s="262">
        <v>121701</v>
      </c>
      <c r="AJ64" s="277"/>
      <c r="AK64" s="262">
        <v>119450</v>
      </c>
      <c r="AL64" s="277"/>
      <c r="AM64" s="262">
        <v>117626</v>
      </c>
      <c r="AN64" s="277"/>
      <c r="AO64" s="262">
        <v>115223</v>
      </c>
      <c r="AP64" s="277"/>
      <c r="AQ64" s="262">
        <v>62156</v>
      </c>
      <c r="AR64" s="277"/>
      <c r="AS64" s="262">
        <v>61140</v>
      </c>
      <c r="AT64" s="277"/>
      <c r="AU64" s="278">
        <v>59438</v>
      </c>
      <c r="AV64" s="279"/>
      <c r="AW64" s="278">
        <v>57995</v>
      </c>
      <c r="AX64" s="279"/>
      <c r="AY64" s="278">
        <v>56619</v>
      </c>
      <c r="AZ64" s="279"/>
      <c r="BA64" s="278">
        <v>0</v>
      </c>
      <c r="BB64" s="277"/>
    </row>
    <row r="65" spans="1:54">
      <c r="A65" s="252"/>
      <c r="B65" s="272" t="s">
        <v>170</v>
      </c>
      <c r="C65" s="258">
        <v>4723.060691316583</v>
      </c>
      <c r="D65" s="258"/>
      <c r="E65" s="258">
        <v>1308.3880995101354</v>
      </c>
      <c r="F65" s="258"/>
      <c r="G65" s="258">
        <v>265.86669999998412</v>
      </c>
      <c r="H65" s="258"/>
      <c r="I65" s="258">
        <v>3036.7161999999998</v>
      </c>
      <c r="J65" s="258"/>
      <c r="K65" s="258">
        <v>4110.3242349162756</v>
      </c>
      <c r="L65" s="258"/>
      <c r="M65" s="258">
        <v>3158</v>
      </c>
      <c r="N65" s="258"/>
      <c r="O65" s="258">
        <v>3378</v>
      </c>
      <c r="P65" s="258"/>
      <c r="Q65" s="258">
        <v>2973</v>
      </c>
      <c r="R65" s="258"/>
      <c r="S65" s="258">
        <v>3258</v>
      </c>
      <c r="T65" s="258"/>
      <c r="U65" s="258">
        <v>913</v>
      </c>
      <c r="V65" s="258"/>
      <c r="W65" s="258">
        <v>2013</v>
      </c>
      <c r="X65" s="258"/>
      <c r="Y65" s="258">
        <v>2661</v>
      </c>
      <c r="Z65" s="258"/>
      <c r="AA65" s="258">
        <v>3059</v>
      </c>
      <c r="AB65" s="264"/>
      <c r="AC65" s="258">
        <v>2898</v>
      </c>
      <c r="AD65" s="264"/>
      <c r="AE65" s="258">
        <v>2616</v>
      </c>
      <c r="AF65" s="264"/>
      <c r="AG65" s="258">
        <v>2526</v>
      </c>
      <c r="AH65" s="264"/>
      <c r="AI65" s="258">
        <v>2692</v>
      </c>
      <c r="AJ65" s="264"/>
      <c r="AK65" s="258">
        <v>2251</v>
      </c>
      <c r="AL65" s="264"/>
      <c r="AM65" s="258">
        <v>1825</v>
      </c>
      <c r="AN65" s="264"/>
      <c r="AO65" s="258">
        <v>2403</v>
      </c>
      <c r="AP65" s="264"/>
      <c r="AQ65" s="258">
        <v>53067</v>
      </c>
      <c r="AR65" s="264"/>
      <c r="AS65" s="258">
        <v>1016</v>
      </c>
      <c r="AT65" s="264"/>
      <c r="AU65" s="258">
        <v>1702</v>
      </c>
      <c r="AV65" s="264"/>
      <c r="AW65" s="258">
        <v>1443</v>
      </c>
      <c r="AX65" s="264"/>
      <c r="AY65" s="258">
        <v>1376</v>
      </c>
      <c r="AZ65" s="264"/>
      <c r="BA65" s="258">
        <v>56619</v>
      </c>
      <c r="BB65" s="264"/>
    </row>
    <row r="66" spans="1:54">
      <c r="A66" s="252"/>
      <c r="B66" s="280" t="s">
        <v>329</v>
      </c>
      <c r="C66" s="258">
        <v>162567.03839951014</v>
      </c>
      <c r="D66" s="258"/>
      <c r="E66" s="258">
        <v>161258.65030000001</v>
      </c>
      <c r="F66" s="258"/>
      <c r="G66" s="258">
        <v>160992.78360000002</v>
      </c>
      <c r="H66" s="258"/>
      <c r="I66" s="258">
        <v>157956.0674</v>
      </c>
      <c r="J66" s="258"/>
      <c r="K66" s="258">
        <v>153845.74316593996</v>
      </c>
      <c r="L66" s="258"/>
      <c r="M66" s="258">
        <v>150688</v>
      </c>
      <c r="N66" s="258"/>
      <c r="O66" s="258">
        <v>147310</v>
      </c>
      <c r="P66" s="258"/>
      <c r="Q66" s="258">
        <v>144337</v>
      </c>
      <c r="R66" s="258"/>
      <c r="S66" s="258">
        <v>141079</v>
      </c>
      <c r="T66" s="258"/>
      <c r="U66" s="258">
        <v>140165</v>
      </c>
      <c r="V66" s="258"/>
      <c r="W66" s="258">
        <v>138153</v>
      </c>
      <c r="X66" s="258"/>
      <c r="Y66" s="258">
        <v>135492</v>
      </c>
      <c r="Z66" s="258"/>
      <c r="AA66" s="258">
        <v>132433</v>
      </c>
      <c r="AB66" s="264"/>
      <c r="AC66" s="258">
        <v>129535</v>
      </c>
      <c r="AD66" s="264"/>
      <c r="AE66" s="258">
        <v>126919</v>
      </c>
      <c r="AF66" s="264"/>
      <c r="AG66" s="258">
        <v>124393</v>
      </c>
      <c r="AH66" s="264"/>
      <c r="AI66" s="258">
        <v>121701</v>
      </c>
      <c r="AJ66" s="264"/>
      <c r="AK66" s="258">
        <v>119450</v>
      </c>
      <c r="AL66" s="264"/>
      <c r="AM66" s="258">
        <v>117626</v>
      </c>
      <c r="AN66" s="264"/>
      <c r="AO66" s="258">
        <v>115223</v>
      </c>
      <c r="AP66" s="264"/>
      <c r="AQ66" s="258">
        <v>62156</v>
      </c>
      <c r="AR66" s="264"/>
      <c r="AS66" s="258">
        <v>61140</v>
      </c>
      <c r="AT66" s="264"/>
      <c r="AU66" s="258">
        <v>59438</v>
      </c>
      <c r="AV66" s="264"/>
      <c r="AW66" s="258">
        <v>57995</v>
      </c>
      <c r="AX66" s="264"/>
      <c r="AY66" s="258">
        <v>56619</v>
      </c>
      <c r="AZ66" s="264"/>
      <c r="BA66" s="258">
        <v>0</v>
      </c>
      <c r="BB66" s="264"/>
    </row>
    <row r="67" spans="1:54" ht="13.5" thickBot="1">
      <c r="A67" s="321" t="s">
        <v>369</v>
      </c>
      <c r="B67" s="281" t="s">
        <v>328</v>
      </c>
      <c r="C67" s="269">
        <v>2.9053003227564579E-2</v>
      </c>
      <c r="D67" s="269"/>
      <c r="E67" s="269">
        <v>8.1135994693993501E-3</v>
      </c>
      <c r="F67" s="269"/>
      <c r="G67" s="269">
        <v>1.6514199832742321E-3</v>
      </c>
      <c r="H67" s="269"/>
      <c r="I67" s="269">
        <v>1.9199999999999998E-2</v>
      </c>
      <c r="J67" s="269"/>
      <c r="K67" s="269">
        <v>2.671717884636449E-2</v>
      </c>
      <c r="L67" s="269"/>
      <c r="M67" s="269">
        <v>2.1000000000000001E-2</v>
      </c>
      <c r="N67" s="269"/>
      <c r="O67" s="269">
        <v>2.3E-2</v>
      </c>
      <c r="P67" s="269"/>
      <c r="Q67" s="269">
        <v>2.1000000000000001E-2</v>
      </c>
      <c r="R67" s="269"/>
      <c r="S67" s="269">
        <v>2.3E-2</v>
      </c>
      <c r="T67" s="269"/>
      <c r="U67" s="269">
        <v>7.0000000000000001E-3</v>
      </c>
      <c r="V67" s="269"/>
      <c r="W67" s="269">
        <v>1.4999999999999999E-2</v>
      </c>
      <c r="X67" s="269"/>
      <c r="Y67" s="269">
        <v>0.02</v>
      </c>
      <c r="Z67" s="269"/>
      <c r="AA67" s="269">
        <v>2.3E-2</v>
      </c>
      <c r="AB67" s="271"/>
      <c r="AC67" s="269">
        <v>2.1999999999999999E-2</v>
      </c>
      <c r="AD67" s="271"/>
      <c r="AE67" s="269">
        <v>2.1000000000000001E-2</v>
      </c>
      <c r="AF67" s="271"/>
      <c r="AG67" s="269">
        <v>0.02</v>
      </c>
      <c r="AH67" s="271"/>
      <c r="AI67" s="269">
        <v>2.1999999999999999E-2</v>
      </c>
      <c r="AJ67" s="271"/>
      <c r="AK67" s="269">
        <v>1.9E-2</v>
      </c>
      <c r="AL67" s="271"/>
      <c r="AM67" s="269">
        <v>1.6E-2</v>
      </c>
      <c r="AN67" s="271"/>
      <c r="AO67" s="269">
        <v>2.1000000000000001E-2</v>
      </c>
      <c r="AP67" s="271"/>
      <c r="AQ67" s="269">
        <v>0.85399999999999998</v>
      </c>
      <c r="AR67" s="271"/>
      <c r="AS67" s="269">
        <v>1.7000000000000001E-2</v>
      </c>
      <c r="AT67" s="271"/>
      <c r="AU67" s="269">
        <v>2.9000000000000001E-2</v>
      </c>
      <c r="AV67" s="271"/>
      <c r="AW67" s="269">
        <v>2.5000000000000001E-2</v>
      </c>
      <c r="AX67" s="271"/>
      <c r="AY67" s="269">
        <v>2.4E-2</v>
      </c>
      <c r="AZ67" s="271"/>
      <c r="BA67" s="269"/>
      <c r="BB67" s="271"/>
    </row>
    <row r="68" spans="1:54">
      <c r="A68" s="252"/>
      <c r="B68" s="255"/>
      <c r="C68" s="264"/>
      <c r="D68" s="264"/>
      <c r="E68" s="264"/>
      <c r="F68" s="264"/>
      <c r="G68" s="264"/>
      <c r="H68" s="264"/>
      <c r="I68" s="264"/>
      <c r="J68" s="264"/>
      <c r="K68" s="264"/>
      <c r="L68" s="264"/>
      <c r="M68" s="264"/>
      <c r="N68" s="264"/>
      <c r="O68" s="264"/>
      <c r="P68" s="264"/>
      <c r="Q68" s="264"/>
      <c r="R68" s="264"/>
      <c r="S68" s="264"/>
      <c r="T68" s="264"/>
      <c r="U68" s="264"/>
      <c r="V68" s="264"/>
      <c r="W68" s="264"/>
      <c r="X68" s="264"/>
      <c r="Y68" s="264"/>
      <c r="Z68" s="264"/>
      <c r="AA68" s="264"/>
      <c r="AB68" s="264"/>
      <c r="AC68" s="264"/>
      <c r="AD68" s="264"/>
      <c r="AE68" s="264"/>
      <c r="AF68" s="264"/>
      <c r="AG68" s="264"/>
      <c r="AH68" s="264"/>
      <c r="AI68" s="264"/>
      <c r="AJ68" s="264"/>
      <c r="AK68" s="264"/>
      <c r="AL68" s="264"/>
      <c r="AM68" s="264"/>
      <c r="AN68" s="264"/>
      <c r="AO68" s="264"/>
      <c r="AP68" s="264"/>
      <c r="AQ68" s="264"/>
      <c r="AR68" s="264"/>
      <c r="AS68" s="264"/>
      <c r="AT68" s="264"/>
      <c r="AU68" s="264"/>
      <c r="AV68" s="264"/>
      <c r="AW68" s="264"/>
      <c r="AX68" s="264"/>
      <c r="AY68" s="264"/>
      <c r="AZ68" s="264"/>
      <c r="BA68" s="264"/>
      <c r="BB68" s="264"/>
    </row>
    <row r="69" spans="1:54">
      <c r="A69" s="252"/>
      <c r="B69" s="255"/>
      <c r="C69" s="264"/>
      <c r="D69" s="264"/>
      <c r="E69" s="264"/>
      <c r="F69" s="264"/>
      <c r="G69" s="264"/>
      <c r="H69" s="264"/>
      <c r="I69" s="264"/>
      <c r="J69" s="264"/>
      <c r="K69" s="264"/>
      <c r="L69" s="264"/>
      <c r="M69" s="264"/>
      <c r="N69" s="264"/>
      <c r="O69" s="264"/>
      <c r="P69" s="264"/>
      <c r="Q69" s="264"/>
      <c r="R69" s="264"/>
      <c r="S69" s="264"/>
      <c r="T69" s="264"/>
      <c r="U69" s="264"/>
      <c r="V69" s="264"/>
      <c r="W69" s="264"/>
      <c r="X69" s="264"/>
      <c r="Y69" s="264"/>
      <c r="Z69" s="264"/>
      <c r="AA69" s="264"/>
      <c r="AB69" s="264"/>
      <c r="AC69" s="264"/>
      <c r="AD69" s="264"/>
      <c r="AE69" s="264"/>
      <c r="AF69" s="264"/>
      <c r="AG69" s="264"/>
      <c r="AH69" s="264"/>
      <c r="AI69" s="264"/>
      <c r="AJ69" s="264"/>
      <c r="AK69" s="264"/>
      <c r="AL69" s="264"/>
      <c r="AM69" s="264"/>
      <c r="AN69" s="264"/>
      <c r="AO69" s="264"/>
      <c r="AP69" s="264"/>
      <c r="AQ69" s="264"/>
      <c r="AR69" s="264"/>
      <c r="AS69" s="264"/>
      <c r="AT69" s="264"/>
      <c r="AU69" s="264"/>
      <c r="AV69" s="264"/>
      <c r="AW69" s="264"/>
      <c r="AX69" s="264"/>
      <c r="AY69" s="264"/>
      <c r="AZ69" s="264"/>
      <c r="BA69" s="264"/>
      <c r="BB69" s="264"/>
    </row>
    <row r="70" spans="1:54">
      <c r="A70" s="252"/>
      <c r="B70" s="255" t="s">
        <v>148</v>
      </c>
      <c r="C70" s="258">
        <v>92550.731135340044</v>
      </c>
      <c r="D70" s="258"/>
      <c r="E70" s="258">
        <v>87476.178799999994</v>
      </c>
      <c r="F70" s="258"/>
      <c r="G70" s="258">
        <v>85613.011799999993</v>
      </c>
      <c r="H70" s="258"/>
      <c r="I70" s="258">
        <v>85495.609500000006</v>
      </c>
      <c r="J70" s="258"/>
      <c r="K70" s="258">
        <v>85481.013749749996</v>
      </c>
      <c r="L70" s="258"/>
      <c r="M70" s="258">
        <v>79901</v>
      </c>
      <c r="N70" s="258"/>
      <c r="O70" s="258">
        <v>78493.732629149992</v>
      </c>
      <c r="P70" s="258"/>
      <c r="Q70" s="258">
        <v>76866.417997609999</v>
      </c>
      <c r="R70" s="258"/>
      <c r="S70" s="258">
        <v>77352.269637999998</v>
      </c>
      <c r="T70" s="258"/>
      <c r="U70" s="258">
        <v>72377.261180020068</v>
      </c>
      <c r="V70" s="258"/>
      <c r="W70" s="258">
        <v>71496.705265899989</v>
      </c>
      <c r="X70" s="258"/>
      <c r="Y70" s="258">
        <v>70251.127166959704</v>
      </c>
      <c r="Z70" s="258"/>
      <c r="AA70" s="258">
        <v>70644.62560828017</v>
      </c>
      <c r="AB70" s="264"/>
      <c r="AC70" s="258">
        <v>66109.582498999996</v>
      </c>
      <c r="AD70" s="264"/>
      <c r="AE70" s="258">
        <v>65985.425443</v>
      </c>
      <c r="AF70" s="264"/>
      <c r="AG70" s="258">
        <v>65267.820076999997</v>
      </c>
      <c r="AH70" s="264"/>
      <c r="AI70" s="258">
        <v>66652.514345999996</v>
      </c>
      <c r="AJ70" s="264"/>
      <c r="AK70" s="258">
        <v>62781.777000000002</v>
      </c>
      <c r="AL70" s="264"/>
      <c r="AM70" s="258">
        <v>63070.315360000001</v>
      </c>
      <c r="AN70" s="264"/>
      <c r="AO70" s="258">
        <v>62106.781999999999</v>
      </c>
      <c r="AP70" s="264"/>
      <c r="AQ70" s="258">
        <v>62636.800000000003</v>
      </c>
      <c r="AR70" s="264"/>
      <c r="AS70" s="258">
        <v>33674.5</v>
      </c>
      <c r="AT70" s="264"/>
      <c r="AU70" s="258">
        <v>33458.199999999997</v>
      </c>
      <c r="AV70" s="264"/>
      <c r="AW70" s="258">
        <v>33052.400000000001</v>
      </c>
      <c r="AX70" s="264"/>
      <c r="AY70" s="258">
        <v>33205</v>
      </c>
      <c r="AZ70" s="264"/>
      <c r="BA70" s="258">
        <v>31054</v>
      </c>
      <c r="BB70" s="264"/>
    </row>
    <row r="71" spans="1:54">
      <c r="A71" s="252"/>
      <c r="B71" s="255" t="s">
        <v>173</v>
      </c>
      <c r="C71" s="258">
        <v>118131.69884341676</v>
      </c>
      <c r="D71" s="258"/>
      <c r="E71" s="258">
        <v>114037.49212344014</v>
      </c>
      <c r="F71" s="258"/>
      <c r="G71" s="258">
        <v>113368.40780000002</v>
      </c>
      <c r="H71" s="258"/>
      <c r="I71" s="258">
        <v>113623.98480000001</v>
      </c>
      <c r="J71" s="258"/>
      <c r="K71" s="258">
        <v>112381.12907763624</v>
      </c>
      <c r="L71" s="258"/>
      <c r="M71" s="258">
        <v>108811</v>
      </c>
      <c r="N71" s="258"/>
      <c r="O71" s="258">
        <v>107035.45492119202</v>
      </c>
      <c r="P71" s="258"/>
      <c r="Q71" s="258">
        <v>104037.30788707999</v>
      </c>
      <c r="R71" s="258"/>
      <c r="S71" s="258">
        <v>101668.24776078029</v>
      </c>
      <c r="T71" s="258"/>
      <c r="U71" s="258">
        <v>98744.151407699988</v>
      </c>
      <c r="V71" s="258"/>
      <c r="W71" s="258">
        <f>+W41</f>
        <v>98940.269777329799</v>
      </c>
      <c r="X71" s="258"/>
      <c r="Y71" s="258">
        <f>+Y41</f>
        <v>98258.985487460028</v>
      </c>
      <c r="Z71" s="258"/>
      <c r="AA71" s="258">
        <v>96039.543704459997</v>
      </c>
      <c r="AB71" s="264"/>
      <c r="AC71" s="258">
        <f>+AC36</f>
        <v>92817.744119980198</v>
      </c>
      <c r="AD71" s="264"/>
      <c r="AE71" s="258">
        <f>+AE36</f>
        <v>90460.14825605003</v>
      </c>
      <c r="AF71" s="264"/>
      <c r="AG71" s="258">
        <f>+AG36</f>
        <v>88945.039514610005</v>
      </c>
      <c r="AH71" s="264"/>
      <c r="AI71" s="258">
        <f>+AI36</f>
        <v>87527.837190519887</v>
      </c>
      <c r="AJ71" s="264"/>
      <c r="AK71" s="258">
        <f>+AK36</f>
        <v>84901.214854689984</v>
      </c>
      <c r="AL71" s="264"/>
      <c r="AM71" s="258">
        <f>+AM36</f>
        <v>82944.802144999994</v>
      </c>
      <c r="AN71" s="264"/>
      <c r="AO71" s="258">
        <f>+AO36</f>
        <v>81336.069999999992</v>
      </c>
      <c r="AP71" s="264"/>
      <c r="AQ71" s="258">
        <f>+AQ36</f>
        <v>79286.388672980014</v>
      </c>
      <c r="AR71" s="264"/>
      <c r="AS71" s="258">
        <f>+AS36</f>
        <v>44307.5</v>
      </c>
      <c r="AT71" s="264"/>
      <c r="AU71" s="258">
        <f>+AU36</f>
        <v>43779.16</v>
      </c>
      <c r="AV71" s="264"/>
      <c r="AW71" s="258">
        <f>+AW36</f>
        <v>42793.5</v>
      </c>
      <c r="AX71" s="264"/>
      <c r="AY71" s="258">
        <f>+AY36</f>
        <v>42090.69</v>
      </c>
      <c r="AZ71" s="264"/>
      <c r="BA71" s="258">
        <f>+BA36</f>
        <v>40483.611327409999</v>
      </c>
      <c r="BB71" s="264"/>
    </row>
    <row r="72" spans="1:54" ht="13.5" thickBot="1">
      <c r="A72" s="321" t="s">
        <v>345</v>
      </c>
      <c r="B72" s="268" t="s">
        <v>145</v>
      </c>
      <c r="C72" s="269">
        <v>0.78345382349927761</v>
      </c>
      <c r="D72" s="269"/>
      <c r="E72" s="269">
        <v>0.76708262494330559</v>
      </c>
      <c r="F72" s="269"/>
      <c r="G72" s="269">
        <v>0.75517521557712108</v>
      </c>
      <c r="H72" s="269"/>
      <c r="I72" s="269">
        <v>0.75239999999999996</v>
      </c>
      <c r="J72" s="269"/>
      <c r="K72" s="269">
        <v>0.76063494335154047</v>
      </c>
      <c r="L72" s="269"/>
      <c r="M72" s="269">
        <v>0.73399999999999999</v>
      </c>
      <c r="N72" s="269"/>
      <c r="O72" s="269">
        <v>0.7333432897252905</v>
      </c>
      <c r="P72" s="269"/>
      <c r="Q72" s="269">
        <v>0.73883513096128228</v>
      </c>
      <c r="R72" s="269"/>
      <c r="S72" s="269">
        <f>S70/S71</f>
        <v>0.76083016420235328</v>
      </c>
      <c r="T72" s="269"/>
      <c r="U72" s="269">
        <f>U70/U71</f>
        <v>0.73297770195203837</v>
      </c>
      <c r="V72" s="269"/>
      <c r="W72" s="269">
        <f>W70/W71</f>
        <v>0.72262492741132633</v>
      </c>
      <c r="X72" s="269"/>
      <c r="Y72" s="269">
        <f>Y70/Y71</f>
        <v>0.71495880828044234</v>
      </c>
      <c r="Z72" s="269"/>
      <c r="AA72" s="269">
        <f>AA70/AA36</f>
        <v>0.73557852196458839</v>
      </c>
      <c r="AB72" s="271"/>
      <c r="AC72" s="269">
        <f>AC70/AC36</f>
        <v>0.71225155411603103</v>
      </c>
      <c r="AD72" s="271"/>
      <c r="AE72" s="269">
        <f>AE70/AE71</f>
        <v>0.72944193343820718</v>
      </c>
      <c r="AF72" s="271"/>
      <c r="AG72" s="269">
        <f t="shared" ref="AG72:BA72" si="40">AG70/AG71</f>
        <v>0.73379943876779308</v>
      </c>
      <c r="AH72" s="271"/>
      <c r="AI72" s="269">
        <f t="shared" si="40"/>
        <v>0.76150075776371529</v>
      </c>
      <c r="AJ72" s="271"/>
      <c r="AK72" s="269">
        <f t="shared" si="40"/>
        <v>0.73946853537316504</v>
      </c>
      <c r="AL72" s="271"/>
      <c r="AM72" s="269">
        <f t="shared" si="40"/>
        <v>0.7603890024325286</v>
      </c>
      <c r="AN72" s="271"/>
      <c r="AO72" s="269">
        <f t="shared" si="40"/>
        <v>0.76358228274368312</v>
      </c>
      <c r="AP72" s="271"/>
      <c r="AQ72" s="269">
        <f t="shared" si="40"/>
        <v>0.79000697406396037</v>
      </c>
      <c r="AR72" s="271"/>
      <c r="AS72" s="269">
        <f t="shared" si="40"/>
        <v>0.760018055633922</v>
      </c>
      <c r="AT72" s="271"/>
      <c r="AU72" s="269">
        <f t="shared" si="40"/>
        <v>0.76424947395061926</v>
      </c>
      <c r="AV72" s="271"/>
      <c r="AW72" s="269">
        <f t="shared" si="40"/>
        <v>0.77236963557549632</v>
      </c>
      <c r="AX72" s="271"/>
      <c r="AY72" s="269">
        <f t="shared" si="40"/>
        <v>0.78889179531150466</v>
      </c>
      <c r="AZ72" s="271"/>
      <c r="BA72" s="269">
        <f t="shared" si="40"/>
        <v>0.76707583591917483</v>
      </c>
      <c r="BB72" s="271"/>
    </row>
    <row r="73" spans="1:54">
      <c r="A73" s="252"/>
      <c r="B73" s="255"/>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c r="AD73" s="264"/>
      <c r="AE73" s="264"/>
      <c r="AF73" s="264"/>
      <c r="AG73" s="264"/>
      <c r="AH73" s="264"/>
      <c r="AI73" s="264"/>
      <c r="AJ73" s="264"/>
      <c r="AK73" s="264"/>
      <c r="AL73" s="264"/>
      <c r="AM73" s="264"/>
      <c r="AN73" s="264"/>
      <c r="AO73" s="264"/>
      <c r="AP73" s="264"/>
      <c r="AQ73" s="264"/>
      <c r="AR73" s="264"/>
      <c r="AS73" s="264"/>
      <c r="AT73" s="264"/>
      <c r="AU73" s="264"/>
      <c r="AV73" s="264"/>
      <c r="AW73" s="264"/>
      <c r="AX73" s="264"/>
      <c r="AY73" s="264"/>
      <c r="AZ73" s="264"/>
      <c r="BA73" s="264"/>
      <c r="BB73" s="264"/>
    </row>
    <row r="74" spans="1:54">
      <c r="A74" s="252"/>
      <c r="B74" s="255"/>
      <c r="C74" s="264"/>
      <c r="D74" s="264"/>
      <c r="E74" s="264"/>
      <c r="F74" s="264"/>
      <c r="G74" s="264"/>
      <c r="H74" s="264"/>
      <c r="I74" s="264"/>
      <c r="J74" s="264"/>
      <c r="K74" s="264"/>
      <c r="L74" s="264"/>
      <c r="M74" s="264"/>
      <c r="N74" s="264"/>
      <c r="O74" s="264"/>
      <c r="P74" s="264"/>
      <c r="Q74" s="264"/>
      <c r="R74" s="264"/>
      <c r="S74" s="264"/>
      <c r="T74" s="264"/>
      <c r="U74" s="264"/>
      <c r="V74" s="264"/>
      <c r="W74" s="264"/>
      <c r="X74" s="264"/>
      <c r="Y74" s="264"/>
      <c r="Z74" s="264"/>
      <c r="AA74" s="264"/>
      <c r="AB74" s="264"/>
      <c r="AC74" s="264"/>
      <c r="AD74" s="264"/>
      <c r="AE74" s="264"/>
      <c r="AF74" s="264"/>
      <c r="AG74" s="264"/>
      <c r="AH74" s="264"/>
      <c r="AI74" s="264"/>
      <c r="AJ74" s="264"/>
      <c r="AK74" s="264"/>
      <c r="AL74" s="264"/>
      <c r="AM74" s="264"/>
      <c r="AN74" s="264"/>
      <c r="AO74" s="264"/>
      <c r="AP74" s="264"/>
      <c r="AQ74" s="264"/>
      <c r="AR74" s="264"/>
      <c r="AS74" s="264"/>
      <c r="AT74" s="264"/>
      <c r="AU74" s="264"/>
      <c r="AV74" s="264"/>
      <c r="AW74" s="264"/>
      <c r="AX74" s="264"/>
      <c r="AY74" s="264"/>
      <c r="AZ74" s="264"/>
      <c r="BA74" s="264"/>
      <c r="BB74" s="264"/>
    </row>
    <row r="75" spans="1:54">
      <c r="A75" s="252"/>
      <c r="B75" s="255" t="s">
        <v>148</v>
      </c>
      <c r="C75" s="258">
        <v>92550.731135340044</v>
      </c>
      <c r="D75" s="258"/>
      <c r="E75" s="258">
        <v>87476.178799999994</v>
      </c>
      <c r="F75" s="258"/>
      <c r="G75" s="258">
        <v>85613.011799999993</v>
      </c>
      <c r="H75" s="258"/>
      <c r="I75" s="258">
        <v>85495.609500000006</v>
      </c>
      <c r="J75" s="258"/>
      <c r="K75" s="258">
        <v>85481.013749749996</v>
      </c>
      <c r="L75" s="258"/>
      <c r="M75" s="258">
        <v>79901</v>
      </c>
      <c r="N75" s="258"/>
      <c r="O75" s="258">
        <v>78493.732629149992</v>
      </c>
      <c r="P75" s="258"/>
      <c r="Q75" s="258">
        <v>76866.417997609999</v>
      </c>
      <c r="R75" s="258"/>
      <c r="S75" s="258">
        <f>+S70</f>
        <v>77352.269637999998</v>
      </c>
      <c r="T75" s="258"/>
      <c r="U75" s="258">
        <v>72377.261180020068</v>
      </c>
      <c r="V75" s="258"/>
      <c r="W75" s="258">
        <f>+W70</f>
        <v>71496.705265899989</v>
      </c>
      <c r="X75" s="258"/>
      <c r="Y75" s="258">
        <f>+Y70</f>
        <v>70251.127166959704</v>
      </c>
      <c r="Z75" s="258"/>
      <c r="AA75" s="258">
        <f>+AA70</f>
        <v>70644.62560828017</v>
      </c>
      <c r="AB75" s="264"/>
      <c r="AC75" s="258">
        <f>+AC70</f>
        <v>66109.582498999996</v>
      </c>
      <c r="AD75" s="264"/>
      <c r="AE75" s="258">
        <f>+AE70</f>
        <v>65985.425443</v>
      </c>
      <c r="AF75" s="264"/>
      <c r="AG75" s="258">
        <f>+AG70</f>
        <v>65267.820076999997</v>
      </c>
      <c r="AH75" s="264"/>
      <c r="AI75" s="258">
        <f>+AI70</f>
        <v>66652.514345999996</v>
      </c>
      <c r="AJ75" s="264"/>
      <c r="AK75" s="258">
        <f>+AK70</f>
        <v>62781.777000000002</v>
      </c>
      <c r="AL75" s="264"/>
      <c r="AM75" s="258">
        <f>+AM70</f>
        <v>63070.315360000001</v>
      </c>
      <c r="AN75" s="264"/>
      <c r="AO75" s="258">
        <f>+AO70</f>
        <v>62106.781999999999</v>
      </c>
      <c r="AP75" s="264"/>
      <c r="AQ75" s="258">
        <f>+AQ70</f>
        <v>62636.800000000003</v>
      </c>
      <c r="AR75" s="264"/>
      <c r="AS75" s="258">
        <f>+AS70</f>
        <v>33674.5</v>
      </c>
      <c r="AT75" s="264"/>
      <c r="AU75" s="258">
        <f>+AU70</f>
        <v>33458.199999999997</v>
      </c>
      <c r="AV75" s="264"/>
      <c r="AW75" s="258">
        <f>+AW70</f>
        <v>33052.400000000001</v>
      </c>
      <c r="AX75" s="264"/>
      <c r="AY75" s="258">
        <f>+AY70</f>
        <v>33205</v>
      </c>
      <c r="AZ75" s="264"/>
      <c r="BA75" s="258">
        <f>+BA70</f>
        <v>31054</v>
      </c>
      <c r="BB75" s="264"/>
    </row>
    <row r="76" spans="1:54">
      <c r="A76" s="252"/>
      <c r="B76" s="280" t="s">
        <v>174</v>
      </c>
      <c r="C76" s="258">
        <v>167290.09909082673</v>
      </c>
      <c r="D76" s="258"/>
      <c r="E76" s="258">
        <v>162567.03839951014</v>
      </c>
      <c r="F76" s="258"/>
      <c r="G76" s="258">
        <v>161258.65030000001</v>
      </c>
      <c r="H76" s="258"/>
      <c r="I76" s="258">
        <v>160992.7836</v>
      </c>
      <c r="J76" s="258"/>
      <c r="K76" s="258">
        <v>157956.06740085623</v>
      </c>
      <c r="L76" s="258"/>
      <c r="M76" s="258">
        <v>153846</v>
      </c>
      <c r="N76" s="258"/>
      <c r="O76" s="258">
        <v>150688.15955793203</v>
      </c>
      <c r="P76" s="258"/>
      <c r="Q76" s="258">
        <v>147309.94290146002</v>
      </c>
      <c r="R76" s="258"/>
      <c r="S76" s="258">
        <f>+S48</f>
        <v>144336.62376078026</v>
      </c>
      <c r="T76" s="258"/>
      <c r="U76" s="258">
        <v>141078.62044130999</v>
      </c>
      <c r="V76" s="258"/>
      <c r="W76" s="258">
        <f>W48</f>
        <v>140165.15885532982</v>
      </c>
      <c r="X76" s="258"/>
      <c r="Y76" s="258">
        <f>+Y48</f>
        <v>138152.57848746004</v>
      </c>
      <c r="Z76" s="258"/>
      <c r="AA76" s="258">
        <f>+AA48</f>
        <v>135491.78370445999</v>
      </c>
      <c r="AB76" s="264"/>
      <c r="AC76" s="258">
        <f>+AC48</f>
        <v>132432.8281199802</v>
      </c>
      <c r="AD76" s="264"/>
      <c r="AE76" s="258">
        <f>+AE48</f>
        <v>129535.07469605003</v>
      </c>
      <c r="AF76" s="264"/>
      <c r="AG76" s="258">
        <f>+AG48</f>
        <v>126919.19126761002</v>
      </c>
      <c r="AH76" s="264"/>
      <c r="AI76" s="258">
        <f>+AI48</f>
        <v>124393.18279451989</v>
      </c>
      <c r="AJ76" s="264"/>
      <c r="AK76" s="258">
        <f>+AK48</f>
        <v>121701.20138468998</v>
      </c>
      <c r="AL76" s="264"/>
      <c r="AM76" s="258">
        <f>+AM48</f>
        <v>119450.075145</v>
      </c>
      <c r="AN76" s="264"/>
      <c r="AO76" s="258">
        <f>+AO48</f>
        <v>117625.54336599998</v>
      </c>
      <c r="AP76" s="264"/>
      <c r="AQ76" s="258">
        <f>+AQ48</f>
        <v>115223.03667298002</v>
      </c>
      <c r="AR76" s="264"/>
      <c r="AS76" s="258">
        <f>+AS48</f>
        <v>62156.303097000004</v>
      </c>
      <c r="AT76" s="264"/>
      <c r="AU76" s="258">
        <f>+AU48</f>
        <v>61139.951753000001</v>
      </c>
      <c r="AV76" s="264"/>
      <c r="AW76" s="258">
        <f>+AW48</f>
        <v>59437.746741449999</v>
      </c>
      <c r="AX76" s="264"/>
      <c r="AY76" s="258">
        <f>+AY48</f>
        <v>57994.606618999998</v>
      </c>
      <c r="AZ76" s="264"/>
      <c r="BA76" s="258">
        <f>+BA48</f>
        <v>56618.710594409997</v>
      </c>
      <c r="BB76" s="264"/>
    </row>
    <row r="77" spans="1:54" ht="13.5" thickBot="1">
      <c r="A77" s="321" t="s">
        <v>346</v>
      </c>
      <c r="B77" s="268" t="s">
        <v>175</v>
      </c>
      <c r="C77" s="269">
        <v>0.5532349591417931</v>
      </c>
      <c r="D77" s="269"/>
      <c r="E77" s="269">
        <v>0.53809295944130076</v>
      </c>
      <c r="F77" s="269"/>
      <c r="G77" s="269">
        <v>0.53090492597283001</v>
      </c>
      <c r="H77" s="269"/>
      <c r="I77" s="269">
        <v>0.53110000000000002</v>
      </c>
      <c r="J77" s="269"/>
      <c r="K77" s="269">
        <v>0.54116954895324665</v>
      </c>
      <c r="L77" s="269"/>
      <c r="M77" s="269">
        <v>0.51900000000000002</v>
      </c>
      <c r="N77" s="269"/>
      <c r="O77" s="269">
        <v>0.52090179387301561</v>
      </c>
      <c r="P77" s="269"/>
      <c r="Q77" s="269">
        <v>0.52180060954221008</v>
      </c>
      <c r="R77" s="269"/>
      <c r="S77" s="269">
        <f>S75/S76</f>
        <v>0.53591574766361183</v>
      </c>
      <c r="T77" s="269"/>
      <c r="U77" s="269">
        <f>U75/U76</f>
        <v>0.51302784896546161</v>
      </c>
      <c r="V77" s="269"/>
      <c r="W77" s="269">
        <f>W75/W76</f>
        <v>0.51008899679338038</v>
      </c>
      <c r="X77" s="269"/>
      <c r="Y77" s="269">
        <f>Y75/Y76</f>
        <v>0.50850391600426281</v>
      </c>
      <c r="Z77" s="269"/>
      <c r="AA77" s="269">
        <f>AA75/AA76</f>
        <v>0.52139416632356839</v>
      </c>
      <c r="AB77" s="271"/>
      <c r="AC77" s="269">
        <f>AC75/AC76</f>
        <v>0.49919331511297699</v>
      </c>
      <c r="AD77" s="271"/>
      <c r="AE77" s="269">
        <f>AE75/AE76</f>
        <v>0.50940199477116699</v>
      </c>
      <c r="AF77" s="271"/>
      <c r="AG77" s="269">
        <f>AG75/AG76</f>
        <v>0.51424705298808859</v>
      </c>
      <c r="AH77" s="271"/>
      <c r="AI77" s="269">
        <f>AI75/AI76</f>
        <v>0.53582127933892176</v>
      </c>
      <c r="AJ77" s="271"/>
      <c r="AK77" s="269">
        <f>AK75/AK76</f>
        <v>0.51586817784608952</v>
      </c>
      <c r="AL77" s="271"/>
      <c r="AM77" s="269">
        <f>AM75/AM76</f>
        <v>0.52800565661795673</v>
      </c>
      <c r="AN77" s="271"/>
      <c r="AO77" s="269">
        <f>AO75/AO76</f>
        <v>0.52800420914316604</v>
      </c>
      <c r="AP77" s="271"/>
      <c r="AQ77" s="269">
        <f>AQ75/AQ76</f>
        <v>0.5436135152189443</v>
      </c>
      <c r="AR77" s="271"/>
      <c r="AS77" s="269">
        <f>AS75/AS76</f>
        <v>0.54177128178695222</v>
      </c>
      <c r="AT77" s="271"/>
      <c r="AU77" s="269">
        <f>AU75/AU76</f>
        <v>0.54723955516301626</v>
      </c>
      <c r="AV77" s="271"/>
      <c r="AW77" s="269">
        <f>AW75/AW76</f>
        <v>0.55608433717677097</v>
      </c>
      <c r="AX77" s="271"/>
      <c r="AY77" s="269">
        <f>AY75/AY76</f>
        <v>0.57255324134091956</v>
      </c>
      <c r="AZ77" s="271"/>
      <c r="BA77" s="269">
        <f>BA75/BA76</f>
        <v>0.54847593090659297</v>
      </c>
      <c r="BB77" s="271"/>
    </row>
    <row r="78" spans="1:54">
      <c r="A78" s="252"/>
      <c r="B78" s="255"/>
      <c r="C78" s="264"/>
      <c r="D78" s="264"/>
      <c r="E78" s="264"/>
      <c r="F78" s="264"/>
      <c r="G78" s="264"/>
      <c r="H78" s="264"/>
      <c r="I78" s="264"/>
      <c r="J78" s="264"/>
      <c r="K78" s="264"/>
      <c r="L78" s="264"/>
      <c r="M78" s="264"/>
      <c r="N78" s="264"/>
      <c r="O78" s="264"/>
      <c r="P78" s="264"/>
      <c r="Q78" s="264"/>
      <c r="R78" s="264"/>
      <c r="S78" s="264"/>
      <c r="T78" s="264"/>
      <c r="U78" s="264"/>
      <c r="V78" s="264"/>
      <c r="W78" s="264"/>
      <c r="X78" s="264"/>
      <c r="Y78" s="264"/>
      <c r="Z78" s="264"/>
      <c r="AA78" s="264"/>
      <c r="AB78" s="264"/>
      <c r="AC78" s="264"/>
      <c r="AD78" s="264"/>
      <c r="AE78" s="264"/>
      <c r="AF78" s="264"/>
      <c r="AG78" s="264"/>
      <c r="AH78" s="264"/>
      <c r="AI78" s="264"/>
      <c r="AJ78" s="264"/>
      <c r="AK78" s="264"/>
      <c r="AL78" s="264"/>
      <c r="AM78" s="264"/>
      <c r="AN78" s="264"/>
      <c r="AO78" s="264"/>
      <c r="AP78" s="264"/>
      <c r="AQ78" s="264"/>
      <c r="AR78" s="264"/>
      <c r="AS78" s="264"/>
      <c r="AT78" s="264"/>
      <c r="AU78" s="264"/>
      <c r="AV78" s="264"/>
      <c r="AW78" s="258"/>
      <c r="AX78" s="264"/>
      <c r="AY78" s="264"/>
      <c r="AZ78" s="264"/>
      <c r="BA78" s="264"/>
      <c r="BB78" s="264"/>
    </row>
    <row r="79" spans="1:54">
      <c r="A79" s="252"/>
      <c r="B79" s="255"/>
      <c r="C79" s="264"/>
      <c r="D79" s="264"/>
      <c r="E79" s="264"/>
      <c r="F79" s="264"/>
      <c r="G79" s="264"/>
      <c r="H79" s="264"/>
      <c r="I79" s="264"/>
      <c r="J79" s="264"/>
      <c r="K79" s="264"/>
      <c r="L79" s="264"/>
      <c r="M79" s="264"/>
      <c r="N79" s="264"/>
      <c r="O79" s="264"/>
      <c r="P79" s="264"/>
      <c r="Q79" s="264"/>
      <c r="R79" s="264"/>
      <c r="S79" s="264"/>
      <c r="T79" s="264"/>
      <c r="U79" s="264"/>
      <c r="V79" s="264"/>
      <c r="W79" s="264"/>
      <c r="X79" s="264"/>
      <c r="Y79" s="264"/>
      <c r="Z79" s="264"/>
      <c r="AA79" s="264"/>
      <c r="AB79" s="264"/>
      <c r="AC79" s="264"/>
      <c r="AD79" s="264"/>
      <c r="AE79" s="264"/>
      <c r="AF79" s="264"/>
      <c r="AG79" s="264"/>
      <c r="AH79" s="264"/>
      <c r="AI79" s="264"/>
      <c r="AJ79" s="264"/>
      <c r="AK79" s="264"/>
      <c r="AL79" s="264"/>
      <c r="AM79" s="264"/>
      <c r="AN79" s="264"/>
      <c r="AO79" s="264"/>
      <c r="AP79" s="264"/>
      <c r="AQ79" s="264"/>
      <c r="AR79" s="264"/>
      <c r="AS79" s="264"/>
      <c r="AT79" s="264"/>
      <c r="AU79" s="264"/>
      <c r="AV79" s="264"/>
      <c r="AW79" s="264"/>
      <c r="AX79" s="264"/>
      <c r="AY79" s="264"/>
      <c r="AZ79" s="264"/>
      <c r="BA79" s="264"/>
      <c r="BB79" s="264"/>
    </row>
    <row r="80" spans="1:54">
      <c r="A80" s="252"/>
      <c r="B80" s="255" t="s">
        <v>176</v>
      </c>
      <c r="C80" s="258">
        <v>92550.731135340044</v>
      </c>
      <c r="D80" s="258"/>
      <c r="E80" s="258">
        <v>87476.178799999994</v>
      </c>
      <c r="F80" s="258"/>
      <c r="G80" s="258">
        <v>85613.011799999993</v>
      </c>
      <c r="H80" s="258"/>
      <c r="I80" s="258">
        <v>85495.609500000006</v>
      </c>
      <c r="J80" s="258"/>
      <c r="K80" s="258">
        <v>85481.013749749996</v>
      </c>
      <c r="L80" s="258"/>
      <c r="M80" s="258">
        <v>79901</v>
      </c>
      <c r="N80" s="258"/>
      <c r="O80" s="258">
        <v>78493.732629149992</v>
      </c>
      <c r="P80" s="258"/>
      <c r="Q80" s="258">
        <v>76866.417997609999</v>
      </c>
      <c r="R80" s="258"/>
      <c r="S80" s="258">
        <f>+S75</f>
        <v>77352.269637999998</v>
      </c>
      <c r="T80" s="258"/>
      <c r="U80" s="258">
        <v>72377.261180020068</v>
      </c>
      <c r="V80" s="258"/>
      <c r="W80" s="258">
        <f>+W75</f>
        <v>71496.705265899989</v>
      </c>
      <c r="X80" s="258"/>
      <c r="Y80" s="258">
        <f>+Y75</f>
        <v>70251.127166959704</v>
      </c>
      <c r="Z80" s="258"/>
      <c r="AA80" s="258">
        <f>+AA70</f>
        <v>70644.62560828017</v>
      </c>
      <c r="AB80" s="264"/>
      <c r="AC80" s="258">
        <f>+AC70</f>
        <v>66109.582498999996</v>
      </c>
      <c r="AD80" s="264"/>
      <c r="AE80" s="258">
        <f>AE70</f>
        <v>65985.425443</v>
      </c>
      <c r="AF80" s="264"/>
      <c r="AG80" s="258">
        <f>AG70</f>
        <v>65267.820076999997</v>
      </c>
      <c r="AH80" s="264"/>
      <c r="AI80" s="258">
        <f>AI70</f>
        <v>66652.514345999996</v>
      </c>
      <c r="AJ80" s="264"/>
      <c r="AK80" s="258">
        <f>AK70</f>
        <v>62781.777000000002</v>
      </c>
      <c r="AL80" s="264"/>
      <c r="AM80" s="258">
        <f>AM70</f>
        <v>63070.315360000001</v>
      </c>
      <c r="AN80" s="264"/>
      <c r="AO80" s="258">
        <f>AO70</f>
        <v>62106.781999999999</v>
      </c>
      <c r="AP80" s="264"/>
      <c r="AQ80" s="258">
        <f>AQ70</f>
        <v>62636.800000000003</v>
      </c>
      <c r="AR80" s="264"/>
      <c r="AS80" s="258">
        <f>AS70</f>
        <v>33674.5</v>
      </c>
      <c r="AT80" s="264"/>
      <c r="AU80" s="258">
        <f>AU70</f>
        <v>33458.199999999997</v>
      </c>
      <c r="AV80" s="264"/>
      <c r="AW80" s="258">
        <f>AW70</f>
        <v>33052.400000000001</v>
      </c>
      <c r="AX80" s="264"/>
      <c r="AY80" s="258">
        <f>AY70</f>
        <v>33205</v>
      </c>
      <c r="AZ80" s="264"/>
      <c r="BA80" s="258">
        <f>BA70</f>
        <v>31054</v>
      </c>
      <c r="BB80" s="264"/>
    </row>
    <row r="81" spans="1:54">
      <c r="A81" s="252"/>
      <c r="B81" s="276" t="s">
        <v>177</v>
      </c>
      <c r="C81" s="262">
        <v>85481.013749749996</v>
      </c>
      <c r="D81" s="262"/>
      <c r="E81" s="262">
        <v>79901.205413660005</v>
      </c>
      <c r="F81" s="262"/>
      <c r="G81" s="262">
        <v>78493.732629149992</v>
      </c>
      <c r="H81" s="262"/>
      <c r="I81" s="262">
        <v>76866.418000000005</v>
      </c>
      <c r="J81" s="262"/>
      <c r="K81" s="262">
        <v>77352.269637999998</v>
      </c>
      <c r="L81" s="262"/>
      <c r="M81" s="262">
        <v>72377</v>
      </c>
      <c r="N81" s="262"/>
      <c r="O81" s="262">
        <v>71496.705265899989</v>
      </c>
      <c r="P81" s="262"/>
      <c r="Q81" s="262">
        <v>70251.127166959704</v>
      </c>
      <c r="R81" s="262"/>
      <c r="S81" s="262">
        <f>+AC80</f>
        <v>66109.582498999996</v>
      </c>
      <c r="T81" s="262"/>
      <c r="U81" s="262">
        <v>66109.582498999996</v>
      </c>
      <c r="V81" s="262"/>
      <c r="W81" s="262">
        <v>65985.425443</v>
      </c>
      <c r="X81" s="262"/>
      <c r="Y81" s="262">
        <v>65268.037390600002</v>
      </c>
      <c r="Z81" s="262"/>
      <c r="AA81" s="262">
        <f>+AI80</f>
        <v>66652.514345999996</v>
      </c>
      <c r="AB81" s="277"/>
      <c r="AC81" s="262">
        <f>+AK80</f>
        <v>62781.777000000002</v>
      </c>
      <c r="AD81" s="277"/>
      <c r="AE81" s="262">
        <f>AM70</f>
        <v>63070.315360000001</v>
      </c>
      <c r="AF81" s="277"/>
      <c r="AG81" s="262">
        <f>+AO80</f>
        <v>62106.781999999999</v>
      </c>
      <c r="AH81" s="277"/>
      <c r="AI81" s="262">
        <f>+AQ80</f>
        <v>62636.800000000003</v>
      </c>
      <c r="AJ81" s="277"/>
      <c r="AK81" s="262">
        <f>+AS80</f>
        <v>33674.5</v>
      </c>
      <c r="AL81" s="277"/>
      <c r="AM81" s="262">
        <f>+AU80</f>
        <v>33458.199999999997</v>
      </c>
      <c r="AN81" s="277"/>
      <c r="AO81" s="262">
        <f>+AW80</f>
        <v>33052.400000000001</v>
      </c>
      <c r="AP81" s="277"/>
      <c r="AQ81" s="262">
        <f>+AY80</f>
        <v>33205</v>
      </c>
      <c r="AR81" s="277"/>
      <c r="AS81" s="262">
        <f>+BA80</f>
        <v>31054</v>
      </c>
      <c r="AT81" s="277"/>
      <c r="AU81" s="262">
        <v>31070</v>
      </c>
      <c r="AV81" s="277"/>
      <c r="AW81" s="262">
        <v>31575</v>
      </c>
      <c r="AX81" s="277"/>
      <c r="AY81" s="262">
        <v>32052.640421</v>
      </c>
      <c r="AZ81" s="277"/>
      <c r="BA81" s="262">
        <v>29948</v>
      </c>
      <c r="BB81" s="277"/>
    </row>
    <row r="82" spans="1:54">
      <c r="A82" s="252"/>
      <c r="B82" s="255" t="s">
        <v>178</v>
      </c>
      <c r="C82" s="258">
        <v>7069.7173855900473</v>
      </c>
      <c r="D82" s="258"/>
      <c r="E82" s="258">
        <v>7574.9733863399888</v>
      </c>
      <c r="F82" s="258"/>
      <c r="G82" s="258">
        <v>7119.2791708500008</v>
      </c>
      <c r="H82" s="258"/>
      <c r="I82" s="258">
        <v>8629.1915000000008</v>
      </c>
      <c r="J82" s="258"/>
      <c r="K82" s="258">
        <v>8128.7441117499984</v>
      </c>
      <c r="L82" s="258"/>
      <c r="M82" s="258">
        <v>7524</v>
      </c>
      <c r="N82" s="258"/>
      <c r="O82" s="258">
        <v>6997.027363250003</v>
      </c>
      <c r="P82" s="258"/>
      <c r="Q82" s="258">
        <v>6615.2908306502941</v>
      </c>
      <c r="R82" s="258"/>
      <c r="S82" s="258">
        <f>+S80-S81</f>
        <v>11242.687139000001</v>
      </c>
      <c r="T82" s="258"/>
      <c r="U82" s="258">
        <v>6267.678681020072</v>
      </c>
      <c r="V82" s="258"/>
      <c r="W82" s="258">
        <f>+W80-W81</f>
        <v>5511.2798228999891</v>
      </c>
      <c r="X82" s="258"/>
      <c r="Y82" s="258">
        <f>+Y80-Y81</f>
        <v>4983.0897763597022</v>
      </c>
      <c r="Z82" s="258"/>
      <c r="AA82" s="258">
        <f>+AA80-AA81</f>
        <v>3992.1112622801738</v>
      </c>
      <c r="AB82" s="264"/>
      <c r="AC82" s="258">
        <f>+AC80-AC81</f>
        <v>3327.8054989999946</v>
      </c>
      <c r="AD82" s="264"/>
      <c r="AE82" s="258">
        <f>AE80-AE81</f>
        <v>2915.1100829999996</v>
      </c>
      <c r="AF82" s="264"/>
      <c r="AG82" s="258">
        <f>AG80-AG81</f>
        <v>3161.0380769999974</v>
      </c>
      <c r="AH82" s="264"/>
      <c r="AI82" s="258">
        <f>AI80-AI81</f>
        <v>4015.7143459999934</v>
      </c>
      <c r="AJ82" s="264"/>
      <c r="AK82" s="258">
        <f>AK80-AK81</f>
        <v>29107.277000000002</v>
      </c>
      <c r="AL82" s="264"/>
      <c r="AM82" s="258">
        <f>AM80-AM81</f>
        <v>29612.115360000003</v>
      </c>
      <c r="AN82" s="264"/>
      <c r="AO82" s="258">
        <f>AO80-AO81</f>
        <v>29054.381999999998</v>
      </c>
      <c r="AP82" s="264"/>
      <c r="AQ82" s="258">
        <f>AQ80-AQ81</f>
        <v>29431.800000000003</v>
      </c>
      <c r="AR82" s="264"/>
      <c r="AS82" s="258">
        <f>AS80-AS81</f>
        <v>2620.5</v>
      </c>
      <c r="AT82" s="264"/>
      <c r="AU82" s="258">
        <f>AU80-AU81</f>
        <v>2388.1999999999971</v>
      </c>
      <c r="AV82" s="264"/>
      <c r="AW82" s="258">
        <f>AW80-AW81</f>
        <v>1477.4000000000015</v>
      </c>
      <c r="AX82" s="264"/>
      <c r="AY82" s="258">
        <f>AY80-AY81</f>
        <v>1152.3595789999999</v>
      </c>
      <c r="AZ82" s="264"/>
      <c r="BA82" s="258">
        <f>BA80-BA81</f>
        <v>1106</v>
      </c>
      <c r="BB82" s="264"/>
    </row>
    <row r="83" spans="1:54">
      <c r="A83" s="252"/>
      <c r="B83" s="256" t="s">
        <v>179</v>
      </c>
      <c r="C83" s="258">
        <v>85481.013749749996</v>
      </c>
      <c r="D83" s="258"/>
      <c r="E83" s="258">
        <v>79901.205413660005</v>
      </c>
      <c r="F83" s="258"/>
      <c r="G83" s="258">
        <v>78493.732629149992</v>
      </c>
      <c r="H83" s="258"/>
      <c r="I83" s="258">
        <v>76866.418000000005</v>
      </c>
      <c r="J83" s="258"/>
      <c r="K83" s="258">
        <v>77352.269637999998</v>
      </c>
      <c r="L83" s="258"/>
      <c r="M83" s="258">
        <v>72377</v>
      </c>
      <c r="N83" s="258"/>
      <c r="O83" s="258">
        <v>71496.705265899989</v>
      </c>
      <c r="P83" s="258"/>
      <c r="Q83" s="258">
        <v>70251.127166959704</v>
      </c>
      <c r="R83" s="258"/>
      <c r="S83" s="258">
        <f>+S81</f>
        <v>66109.582498999996</v>
      </c>
      <c r="T83" s="258"/>
      <c r="U83" s="258">
        <v>66109.582498999996</v>
      </c>
      <c r="V83" s="258"/>
      <c r="W83" s="258">
        <f>+W81</f>
        <v>65985.425443</v>
      </c>
      <c r="X83" s="258"/>
      <c r="Y83" s="258">
        <f>+Y81</f>
        <v>65268.037390600002</v>
      </c>
      <c r="Z83" s="258"/>
      <c r="AA83" s="258">
        <f>AA81</f>
        <v>66652.514345999996</v>
      </c>
      <c r="AB83" s="264"/>
      <c r="AC83" s="258">
        <f>AC81</f>
        <v>62781.777000000002</v>
      </c>
      <c r="AD83" s="264"/>
      <c r="AE83" s="258">
        <f>+AE81</f>
        <v>63070.315360000001</v>
      </c>
      <c r="AF83" s="264"/>
      <c r="AG83" s="258">
        <f>+AG81</f>
        <v>62106.781999999999</v>
      </c>
      <c r="AH83" s="264"/>
      <c r="AI83" s="258">
        <f>+AI81</f>
        <v>62636.800000000003</v>
      </c>
      <c r="AJ83" s="264"/>
      <c r="AK83" s="258">
        <f>+AK81</f>
        <v>33674.5</v>
      </c>
      <c r="AL83" s="264"/>
      <c r="AM83" s="258">
        <f>+AM81</f>
        <v>33458.199999999997</v>
      </c>
      <c r="AN83" s="264"/>
      <c r="AO83" s="258">
        <f>+AO81</f>
        <v>33052.400000000001</v>
      </c>
      <c r="AP83" s="264"/>
      <c r="AQ83" s="258">
        <f>+AQ81</f>
        <v>33205</v>
      </c>
      <c r="AR83" s="264"/>
      <c r="AS83" s="258">
        <f>+AS81</f>
        <v>31054</v>
      </c>
      <c r="AT83" s="264"/>
      <c r="AU83" s="258">
        <f>+AU81</f>
        <v>31070</v>
      </c>
      <c r="AV83" s="264"/>
      <c r="AW83" s="258">
        <f>+AW81</f>
        <v>31575</v>
      </c>
      <c r="AX83" s="264"/>
      <c r="AY83" s="258">
        <f>+AY81</f>
        <v>32052.640421</v>
      </c>
      <c r="AZ83" s="264"/>
      <c r="BA83" s="258">
        <f>+BA81</f>
        <v>29948</v>
      </c>
      <c r="BB83" s="264"/>
    </row>
    <row r="84" spans="1:54" ht="13.5" thickBot="1">
      <c r="A84" s="321" t="s">
        <v>347</v>
      </c>
      <c r="B84" s="268" t="s">
        <v>180</v>
      </c>
      <c r="C84" s="269">
        <v>8.2705118662806262E-2</v>
      </c>
      <c r="D84" s="269"/>
      <c r="E84" s="269">
        <v>9.4804244155307346E-2</v>
      </c>
      <c r="F84" s="269"/>
      <c r="G84" s="269">
        <v>9.0698695709702237E-2</v>
      </c>
      <c r="H84" s="269"/>
      <c r="I84" s="269">
        <v>0.1123</v>
      </c>
      <c r="J84" s="269"/>
      <c r="K84" s="269">
        <v>0.10508733809352479</v>
      </c>
      <c r="L84" s="269"/>
      <c r="M84" s="269">
        <v>0.104</v>
      </c>
      <c r="N84" s="269"/>
      <c r="O84" s="269">
        <v>9.7865032202920282E-2</v>
      </c>
      <c r="P84" s="269"/>
      <c r="Q84" s="269">
        <v>9.4166330099278148E-2</v>
      </c>
      <c r="R84" s="269"/>
      <c r="S84" s="269">
        <f>S82/S83</f>
        <v>0.17006138465887397</v>
      </c>
      <c r="T84" s="269"/>
      <c r="U84" s="269">
        <f>U82/U83</f>
        <v>9.4807415870685308E-2</v>
      </c>
      <c r="V84" s="269"/>
      <c r="W84" s="269">
        <f>W82/W83</f>
        <v>8.352268377296107E-2</v>
      </c>
      <c r="X84" s="269"/>
      <c r="Y84" s="269">
        <f>Y82/Y83</f>
        <v>7.6348086683503888E-2</v>
      </c>
      <c r="Z84" s="269"/>
      <c r="AA84" s="269">
        <f>AA82/AA83</f>
        <v>5.9894383602045638E-2</v>
      </c>
      <c r="AB84" s="271"/>
      <c r="AC84" s="269">
        <f>AC82/AC83</f>
        <v>5.3005914423224984E-2</v>
      </c>
      <c r="AD84" s="271"/>
      <c r="AE84" s="269">
        <f>AE82/AE83</f>
        <v>4.6220001697483179E-2</v>
      </c>
      <c r="AF84" s="271"/>
      <c r="AG84" s="269">
        <f>AG82/AG83</f>
        <v>5.089682600202982E-2</v>
      </c>
      <c r="AH84" s="271"/>
      <c r="AI84" s="269">
        <f>AI82/AI83</f>
        <v>6.4111103153417684E-2</v>
      </c>
      <c r="AJ84" s="271"/>
      <c r="AK84" s="269">
        <f>AK82/AK83</f>
        <v>0.86437146802476661</v>
      </c>
      <c r="AL84" s="271"/>
      <c r="AM84" s="269">
        <f>AM82/AM83</f>
        <v>0.8850480707270566</v>
      </c>
      <c r="AN84" s="271"/>
      <c r="AO84" s="269">
        <f>AO82/AO83</f>
        <v>0.87904000919751657</v>
      </c>
      <c r="AP84" s="271"/>
      <c r="AQ84" s="269">
        <f>AQ82/AQ83</f>
        <v>0.88636651106761044</v>
      </c>
      <c r="AR84" s="271"/>
      <c r="AS84" s="269">
        <f>AS82/AS83</f>
        <v>8.4385264378179947E-2</v>
      </c>
      <c r="AT84" s="271"/>
      <c r="AU84" s="269">
        <f>AU82/AU83</f>
        <v>7.6865143224975771E-2</v>
      </c>
      <c r="AV84" s="271"/>
      <c r="AW84" s="269">
        <f>AW82/AW83</f>
        <v>4.6790182106096645E-2</v>
      </c>
      <c r="AX84" s="271"/>
      <c r="AY84" s="269">
        <f>AY82/AY83</f>
        <v>3.5952095174193698E-2</v>
      </c>
      <c r="AZ84" s="271"/>
      <c r="BA84" s="269">
        <f>BA82/BA83</f>
        <v>3.6930679845064776E-2</v>
      </c>
      <c r="BB84" s="271"/>
    </row>
    <row r="85" spans="1:54">
      <c r="A85" s="252"/>
      <c r="B85" s="255"/>
      <c r="C85" s="264"/>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264"/>
      <c r="AQ85" s="264"/>
      <c r="AR85" s="264"/>
      <c r="AS85" s="264"/>
      <c r="AT85" s="264"/>
      <c r="AU85" s="264"/>
      <c r="AV85" s="264"/>
      <c r="AW85" s="264"/>
      <c r="AX85" s="264"/>
      <c r="AY85" s="264"/>
      <c r="AZ85" s="264"/>
      <c r="BA85" s="264"/>
      <c r="BB85" s="264"/>
    </row>
    <row r="86" spans="1:54">
      <c r="A86" s="252"/>
      <c r="B86" s="255"/>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c r="AK86" s="264"/>
      <c r="AL86" s="264"/>
      <c r="AM86" s="264"/>
      <c r="AN86" s="264"/>
      <c r="AO86" s="264"/>
      <c r="AP86" s="264"/>
      <c r="AQ86" s="264"/>
      <c r="AR86" s="264"/>
      <c r="AS86" s="264"/>
      <c r="AT86" s="264"/>
      <c r="AU86" s="264"/>
      <c r="AV86" s="264"/>
      <c r="AW86" s="264"/>
      <c r="AX86" s="264"/>
      <c r="AY86" s="264"/>
      <c r="AZ86" s="264"/>
      <c r="BA86" s="264"/>
      <c r="BB86" s="264"/>
    </row>
    <row r="87" spans="1:54">
      <c r="A87" s="252"/>
      <c r="B87" s="255" t="s">
        <v>176</v>
      </c>
      <c r="C87" s="258">
        <v>92550.731135340044</v>
      </c>
      <c r="D87" s="258"/>
      <c r="E87" s="258">
        <v>87476.178799999994</v>
      </c>
      <c r="F87" s="258"/>
      <c r="G87" s="258">
        <v>85613.011799999993</v>
      </c>
      <c r="H87" s="258"/>
      <c r="I87" s="258">
        <v>85495.609500000006</v>
      </c>
      <c r="J87" s="258"/>
      <c r="K87" s="258">
        <v>85481.013749749996</v>
      </c>
      <c r="L87" s="258"/>
      <c r="M87" s="258">
        <v>79901</v>
      </c>
      <c r="N87" s="258"/>
      <c r="O87" s="258">
        <v>78494</v>
      </c>
      <c r="P87" s="258"/>
      <c r="Q87" s="258">
        <v>76866</v>
      </c>
      <c r="R87" s="258"/>
      <c r="S87" s="258">
        <v>77352</v>
      </c>
      <c r="T87" s="258"/>
      <c r="U87" s="258">
        <v>72377</v>
      </c>
      <c r="V87" s="258"/>
      <c r="W87" s="258">
        <v>71497</v>
      </c>
      <c r="X87" s="258"/>
      <c r="Y87" s="258">
        <v>70251</v>
      </c>
      <c r="Z87" s="258"/>
      <c r="AA87" s="258">
        <v>70645</v>
      </c>
      <c r="AB87" s="264"/>
      <c r="AC87" s="258">
        <v>66110</v>
      </c>
      <c r="AD87" s="264"/>
      <c r="AE87" s="258">
        <v>65985</v>
      </c>
      <c r="AF87" s="264"/>
      <c r="AG87" s="258">
        <v>65268</v>
      </c>
      <c r="AH87" s="264"/>
      <c r="AI87" s="258">
        <v>66653</v>
      </c>
      <c r="AJ87" s="264"/>
      <c r="AK87" s="258">
        <v>62782</v>
      </c>
      <c r="AL87" s="264"/>
      <c r="AM87" s="258">
        <v>63070</v>
      </c>
      <c r="AN87" s="264"/>
      <c r="AO87" s="258">
        <v>62107</v>
      </c>
      <c r="AP87" s="264"/>
      <c r="AQ87" s="258">
        <v>62637</v>
      </c>
      <c r="AR87" s="264"/>
      <c r="AS87" s="258">
        <v>33675</v>
      </c>
      <c r="AT87" s="264"/>
      <c r="AU87" s="258">
        <v>33458</v>
      </c>
      <c r="AV87" s="264"/>
      <c r="AW87" s="258">
        <v>33052</v>
      </c>
      <c r="AX87" s="264"/>
      <c r="AY87" s="258">
        <v>33205</v>
      </c>
      <c r="AZ87" s="264"/>
      <c r="BA87" s="258">
        <v>31054</v>
      </c>
      <c r="BB87" s="264"/>
    </row>
    <row r="88" spans="1:54">
      <c r="A88" s="252"/>
      <c r="B88" s="276" t="s">
        <v>331</v>
      </c>
      <c r="C88" s="262">
        <v>87476.178799999994</v>
      </c>
      <c r="D88" s="262"/>
      <c r="E88" s="262">
        <v>85613.011799999993</v>
      </c>
      <c r="F88" s="262"/>
      <c r="G88" s="262">
        <v>85495.609540000005</v>
      </c>
      <c r="H88" s="262"/>
      <c r="I88" s="262">
        <v>85481.013699999996</v>
      </c>
      <c r="J88" s="262"/>
      <c r="K88" s="262">
        <v>79901.205413660005</v>
      </c>
      <c r="L88" s="262"/>
      <c r="M88" s="262">
        <v>78494</v>
      </c>
      <c r="N88" s="262"/>
      <c r="O88" s="262">
        <v>76866</v>
      </c>
      <c r="P88" s="262"/>
      <c r="Q88" s="262">
        <v>77352</v>
      </c>
      <c r="R88" s="262"/>
      <c r="S88" s="262">
        <v>72377</v>
      </c>
      <c r="T88" s="262"/>
      <c r="U88" s="262">
        <v>71497</v>
      </c>
      <c r="V88" s="262"/>
      <c r="W88" s="262">
        <v>70251</v>
      </c>
      <c r="X88" s="262"/>
      <c r="Y88" s="262">
        <v>70645</v>
      </c>
      <c r="Z88" s="262"/>
      <c r="AA88" s="262">
        <v>66110</v>
      </c>
      <c r="AB88" s="277"/>
      <c r="AC88" s="262">
        <v>65985</v>
      </c>
      <c r="AD88" s="277"/>
      <c r="AE88" s="262">
        <v>65268</v>
      </c>
      <c r="AF88" s="277"/>
      <c r="AG88" s="262">
        <v>66653</v>
      </c>
      <c r="AH88" s="277"/>
      <c r="AI88" s="262">
        <v>62782</v>
      </c>
      <c r="AJ88" s="277"/>
      <c r="AK88" s="262">
        <v>63070</v>
      </c>
      <c r="AL88" s="277"/>
      <c r="AM88" s="262">
        <v>62107</v>
      </c>
      <c r="AN88" s="277"/>
      <c r="AO88" s="262">
        <v>62637</v>
      </c>
      <c r="AP88" s="277"/>
      <c r="AQ88" s="262">
        <v>33675</v>
      </c>
      <c r="AR88" s="277"/>
      <c r="AS88" s="262">
        <v>33458</v>
      </c>
      <c r="AT88" s="277"/>
      <c r="AU88" s="262">
        <v>33052</v>
      </c>
      <c r="AV88" s="277"/>
      <c r="AW88" s="262">
        <v>33205</v>
      </c>
      <c r="AX88" s="277"/>
      <c r="AY88" s="262">
        <v>31054</v>
      </c>
      <c r="AZ88" s="277"/>
      <c r="BA88" s="262">
        <v>0</v>
      </c>
      <c r="BB88" s="277"/>
    </row>
    <row r="89" spans="1:54">
      <c r="A89" s="252"/>
      <c r="B89" s="255" t="s">
        <v>332</v>
      </c>
      <c r="C89" s="258">
        <v>5074.5523353400495</v>
      </c>
      <c r="D89" s="258"/>
      <c r="E89" s="258">
        <v>1863.1670000000013</v>
      </c>
      <c r="F89" s="258"/>
      <c r="G89" s="258">
        <v>117.40225999998802</v>
      </c>
      <c r="H89" s="258"/>
      <c r="I89" s="258">
        <v>14.595800000000001</v>
      </c>
      <c r="J89" s="258"/>
      <c r="K89" s="258">
        <v>5579.8083360899909</v>
      </c>
      <c r="L89" s="258"/>
      <c r="M89" s="258">
        <v>1407</v>
      </c>
      <c r="N89" s="258"/>
      <c r="O89" s="258">
        <v>1627</v>
      </c>
      <c r="P89" s="258"/>
      <c r="Q89" s="258">
        <v>-486</v>
      </c>
      <c r="R89" s="258"/>
      <c r="S89" s="258">
        <v>4975</v>
      </c>
      <c r="T89" s="258"/>
      <c r="U89" s="258">
        <v>881</v>
      </c>
      <c r="V89" s="258"/>
      <c r="W89" s="258">
        <v>1246</v>
      </c>
      <c r="X89" s="258"/>
      <c r="Y89" s="258">
        <v>-393</v>
      </c>
      <c r="Z89" s="258"/>
      <c r="AA89" s="258">
        <v>4535</v>
      </c>
      <c r="AB89" s="264"/>
      <c r="AC89" s="258">
        <v>124</v>
      </c>
      <c r="AD89" s="264"/>
      <c r="AE89" s="258">
        <v>718</v>
      </c>
      <c r="AF89" s="264"/>
      <c r="AG89" s="258">
        <v>-1385</v>
      </c>
      <c r="AH89" s="264"/>
      <c r="AI89" s="258">
        <v>3871</v>
      </c>
      <c r="AJ89" s="264"/>
      <c r="AK89" s="258">
        <v>-289</v>
      </c>
      <c r="AL89" s="264"/>
      <c r="AM89" s="258">
        <v>964</v>
      </c>
      <c r="AN89" s="264"/>
      <c r="AO89" s="258">
        <v>-530</v>
      </c>
      <c r="AP89" s="264"/>
      <c r="AQ89" s="258">
        <v>28962</v>
      </c>
      <c r="AR89" s="264"/>
      <c r="AS89" s="258">
        <v>216</v>
      </c>
      <c r="AT89" s="264"/>
      <c r="AU89" s="258">
        <v>406</v>
      </c>
      <c r="AV89" s="264"/>
      <c r="AW89" s="258">
        <v>-153</v>
      </c>
      <c r="AX89" s="264"/>
      <c r="AY89" s="258">
        <v>2151</v>
      </c>
      <c r="AZ89" s="264"/>
      <c r="BA89" s="258">
        <v>31054</v>
      </c>
      <c r="BB89" s="264"/>
    </row>
    <row r="90" spans="1:54">
      <c r="A90" s="252"/>
      <c r="B90" s="256" t="s">
        <v>333</v>
      </c>
      <c r="C90" s="258">
        <v>87476.178799999994</v>
      </c>
      <c r="D90" s="258"/>
      <c r="E90" s="258">
        <v>85613.011799999993</v>
      </c>
      <c r="F90" s="258"/>
      <c r="G90" s="258">
        <v>85495.609540000005</v>
      </c>
      <c r="H90" s="258"/>
      <c r="I90" s="258">
        <v>85481.013699999996</v>
      </c>
      <c r="J90" s="258"/>
      <c r="K90" s="258">
        <v>79901.205413660005</v>
      </c>
      <c r="L90" s="258"/>
      <c r="M90" s="258">
        <v>78494</v>
      </c>
      <c r="N90" s="258"/>
      <c r="O90" s="258">
        <v>76866</v>
      </c>
      <c r="P90" s="258"/>
      <c r="Q90" s="258">
        <v>77352</v>
      </c>
      <c r="R90" s="258"/>
      <c r="S90" s="258">
        <v>72377</v>
      </c>
      <c r="T90" s="258"/>
      <c r="U90" s="258">
        <v>71497</v>
      </c>
      <c r="V90" s="258"/>
      <c r="W90" s="258">
        <v>70251</v>
      </c>
      <c r="X90" s="258"/>
      <c r="Y90" s="258">
        <v>70645</v>
      </c>
      <c r="Z90" s="258"/>
      <c r="AA90" s="258">
        <v>66110</v>
      </c>
      <c r="AB90" s="264"/>
      <c r="AC90" s="258">
        <v>65985</v>
      </c>
      <c r="AD90" s="264"/>
      <c r="AE90" s="258">
        <v>65268</v>
      </c>
      <c r="AF90" s="264"/>
      <c r="AG90" s="258">
        <v>66653</v>
      </c>
      <c r="AH90" s="264"/>
      <c r="AI90" s="258">
        <v>62782</v>
      </c>
      <c r="AJ90" s="264"/>
      <c r="AK90" s="258">
        <v>63070</v>
      </c>
      <c r="AL90" s="264"/>
      <c r="AM90" s="258">
        <v>62107</v>
      </c>
      <c r="AN90" s="264"/>
      <c r="AO90" s="258">
        <v>62637</v>
      </c>
      <c r="AP90" s="264"/>
      <c r="AQ90" s="258">
        <v>33675</v>
      </c>
      <c r="AR90" s="264"/>
      <c r="AS90" s="258">
        <v>33458</v>
      </c>
      <c r="AT90" s="264"/>
      <c r="AU90" s="258">
        <v>33052</v>
      </c>
      <c r="AV90" s="264"/>
      <c r="AW90" s="258">
        <v>33205</v>
      </c>
      <c r="AX90" s="264"/>
      <c r="AY90" s="258">
        <v>31054</v>
      </c>
      <c r="AZ90" s="264"/>
      <c r="BA90" s="258">
        <v>0</v>
      </c>
      <c r="BB90" s="264"/>
    </row>
    <row r="91" spans="1:54" ht="13.5" thickBot="1">
      <c r="A91" s="321" t="s">
        <v>348</v>
      </c>
      <c r="B91" s="268" t="s">
        <v>334</v>
      </c>
      <c r="C91" s="269">
        <v>5.8010676791703318E-2</v>
      </c>
      <c r="D91" s="269"/>
      <c r="E91" s="269">
        <v>2.1762661549070764E-2</v>
      </c>
      <c r="F91" s="269"/>
      <c r="G91" s="269">
        <v>1.3731963621483997E-3</v>
      </c>
      <c r="H91" s="269"/>
      <c r="I91" s="269">
        <v>2.0000000000000001E-4</v>
      </c>
      <c r="J91" s="269"/>
      <c r="K91" s="269">
        <v>6.983384427309354E-2</v>
      </c>
      <c r="L91" s="269"/>
      <c r="M91" s="269">
        <v>1.7999999999999999E-2</v>
      </c>
      <c r="N91" s="269"/>
      <c r="O91" s="269">
        <v>2.1000000000000001E-2</v>
      </c>
      <c r="P91" s="269"/>
      <c r="Q91" s="269">
        <v>-6.0000000000000001E-3</v>
      </c>
      <c r="R91" s="269"/>
      <c r="S91" s="269">
        <v>6.9000000000000006E-2</v>
      </c>
      <c r="T91" s="269"/>
      <c r="U91" s="269">
        <v>1.2E-2</v>
      </c>
      <c r="V91" s="269"/>
      <c r="W91" s="269">
        <v>1.7999999999999999E-2</v>
      </c>
      <c r="X91" s="269"/>
      <c r="Y91" s="269">
        <v>-6.0000000000000001E-3</v>
      </c>
      <c r="Z91" s="269"/>
      <c r="AA91" s="269">
        <v>6.9000000000000006E-2</v>
      </c>
      <c r="AB91" s="271"/>
      <c r="AC91" s="269">
        <v>2E-3</v>
      </c>
      <c r="AD91" s="271"/>
      <c r="AE91" s="269">
        <v>1.0999999999999999E-2</v>
      </c>
      <c r="AF91" s="271"/>
      <c r="AG91" s="269">
        <v>-2.1000000000000001E-2</v>
      </c>
      <c r="AH91" s="271"/>
      <c r="AI91" s="269">
        <v>6.2E-2</v>
      </c>
      <c r="AJ91" s="271"/>
      <c r="AK91" s="269">
        <v>-5.0000000000000001E-3</v>
      </c>
      <c r="AL91" s="271"/>
      <c r="AM91" s="269">
        <v>1.6E-2</v>
      </c>
      <c r="AN91" s="271"/>
      <c r="AO91" s="269">
        <v>-8.0000000000000002E-3</v>
      </c>
      <c r="AP91" s="271"/>
      <c r="AQ91" s="269">
        <v>0.86</v>
      </c>
      <c r="AR91" s="271"/>
      <c r="AS91" s="269">
        <v>6.0000000000000001E-3</v>
      </c>
      <c r="AT91" s="271"/>
      <c r="AU91" s="269">
        <v>1.2E-2</v>
      </c>
      <c r="AV91" s="271"/>
      <c r="AW91" s="269">
        <v>-5.0000000000000001E-3</v>
      </c>
      <c r="AX91" s="271"/>
      <c r="AY91" s="269">
        <v>6.9000000000000006E-2</v>
      </c>
      <c r="AZ91" s="271"/>
      <c r="BA91" s="269"/>
      <c r="BB91" s="271"/>
    </row>
    <row r="92" spans="1:54">
      <c r="A92" s="252"/>
      <c r="B92" s="255"/>
      <c r="C92" s="264"/>
      <c r="D92" s="264"/>
      <c r="E92" s="264"/>
      <c r="F92" s="264"/>
      <c r="G92" s="264"/>
      <c r="H92" s="264"/>
      <c r="I92" s="264"/>
      <c r="J92" s="264"/>
      <c r="K92" s="264"/>
      <c r="L92" s="264"/>
      <c r="M92" s="264"/>
      <c r="N92" s="264"/>
      <c r="O92" s="264"/>
      <c r="P92" s="264"/>
      <c r="Q92" s="264"/>
      <c r="R92" s="264"/>
      <c r="S92" s="264"/>
      <c r="T92" s="264"/>
      <c r="U92" s="264"/>
      <c r="V92" s="264"/>
      <c r="W92" s="264"/>
      <c r="X92" s="264"/>
      <c r="Y92" s="264"/>
      <c r="Z92" s="264"/>
      <c r="AA92" s="264"/>
      <c r="AB92" s="264"/>
      <c r="AC92" s="264"/>
      <c r="AD92" s="264"/>
      <c r="AE92" s="264"/>
      <c r="AF92" s="264"/>
      <c r="AG92" s="264"/>
      <c r="AH92" s="264"/>
      <c r="AI92" s="264"/>
      <c r="AJ92" s="264"/>
      <c r="AK92" s="264"/>
      <c r="AL92" s="264"/>
      <c r="AM92" s="264"/>
      <c r="AN92" s="264"/>
      <c r="AO92" s="264"/>
      <c r="AP92" s="264"/>
      <c r="AQ92" s="264"/>
      <c r="AR92" s="264"/>
      <c r="AS92" s="264"/>
      <c r="AT92" s="264"/>
      <c r="AU92" s="264"/>
      <c r="AV92" s="264"/>
      <c r="AW92" s="264"/>
      <c r="AX92" s="264"/>
      <c r="AY92" s="264"/>
      <c r="AZ92" s="264"/>
      <c r="BA92" s="264"/>
      <c r="BB92" s="264"/>
    </row>
    <row r="93" spans="1:54">
      <c r="A93" s="252"/>
      <c r="B93" s="255"/>
      <c r="C93" s="264"/>
      <c r="D93" s="264"/>
      <c r="E93" s="264"/>
      <c r="F93" s="264"/>
      <c r="G93" s="264"/>
      <c r="H93" s="264"/>
      <c r="I93" s="264"/>
      <c r="J93" s="264"/>
      <c r="K93" s="264"/>
      <c r="L93" s="264"/>
      <c r="M93" s="264"/>
      <c r="N93" s="264"/>
      <c r="O93" s="264"/>
      <c r="P93" s="264"/>
      <c r="Q93" s="264"/>
      <c r="R93" s="264"/>
      <c r="S93" s="264"/>
      <c r="T93" s="264"/>
      <c r="U93" s="264"/>
      <c r="V93" s="264"/>
      <c r="W93" s="264"/>
      <c r="X93" s="264"/>
      <c r="Y93" s="264"/>
      <c r="Z93" s="264"/>
      <c r="AA93" s="264"/>
      <c r="AB93" s="264"/>
      <c r="AC93" s="264"/>
      <c r="AD93" s="264"/>
      <c r="AE93" s="264"/>
      <c r="AF93" s="264"/>
      <c r="AG93" s="264"/>
      <c r="AH93" s="264"/>
      <c r="AI93" s="264"/>
      <c r="AJ93" s="264"/>
      <c r="AK93" s="264"/>
      <c r="AL93" s="264"/>
      <c r="AM93" s="264"/>
      <c r="AN93" s="264"/>
      <c r="AO93" s="264"/>
      <c r="AP93" s="264"/>
      <c r="AQ93" s="264"/>
      <c r="AR93" s="264"/>
      <c r="AS93" s="264"/>
      <c r="AT93" s="264"/>
      <c r="AU93" s="264"/>
      <c r="AV93" s="264"/>
      <c r="AW93" s="264"/>
      <c r="AX93" s="264"/>
      <c r="AY93" s="264"/>
      <c r="AZ93" s="264"/>
      <c r="BA93" s="264"/>
      <c r="BB93" s="264"/>
    </row>
    <row r="94" spans="1:54">
      <c r="A94" s="252"/>
      <c r="B94" s="255" t="s">
        <v>1</v>
      </c>
      <c r="C94" s="258">
        <v>155242.86618750019</v>
      </c>
      <c r="D94" s="258"/>
      <c r="E94" s="258">
        <v>150118.14197999999</v>
      </c>
      <c r="F94" s="258"/>
      <c r="G94" s="258">
        <v>146073.80200999998</v>
      </c>
      <c r="H94" s="258"/>
      <c r="I94" s="258">
        <v>148898.13930000001</v>
      </c>
      <c r="J94" s="258"/>
      <c r="K94" s="258">
        <v>147197.40538354</v>
      </c>
      <c r="L94" s="258"/>
      <c r="M94" s="258">
        <v>143586</v>
      </c>
      <c r="N94" s="258"/>
      <c r="O94" s="258">
        <v>134782.94005149015</v>
      </c>
      <c r="P94" s="258"/>
      <c r="Q94" s="258">
        <v>136568.11884102001</v>
      </c>
      <c r="R94" s="258"/>
      <c r="S94" s="258">
        <v>130854.10594534002</v>
      </c>
      <c r="T94" s="258"/>
      <c r="U94" s="258">
        <v>126291.54656699001</v>
      </c>
      <c r="V94" s="258"/>
      <c r="W94" s="258">
        <v>123471.57226353404</v>
      </c>
      <c r="X94" s="258"/>
      <c r="Y94" s="258">
        <v>121318.88338399999</v>
      </c>
      <c r="Z94" s="258"/>
      <c r="AA94" s="258">
        <v>119591.87386200001</v>
      </c>
      <c r="AB94" s="264"/>
      <c r="AC94" s="258">
        <v>114088.20773600001</v>
      </c>
      <c r="AD94" s="264"/>
      <c r="AE94" s="258">
        <v>108321.32653799999</v>
      </c>
      <c r="AF94" s="264"/>
      <c r="AG94" s="258">
        <v>106311.634504</v>
      </c>
      <c r="AH94" s="264"/>
      <c r="AI94" s="258">
        <v>107652.02759400001</v>
      </c>
      <c r="AJ94" s="264"/>
      <c r="AK94" s="258">
        <v>101861.10500000003</v>
      </c>
      <c r="AL94" s="264"/>
      <c r="AM94" s="258">
        <v>101241.63347000002</v>
      </c>
      <c r="AN94" s="264"/>
      <c r="AO94" s="258">
        <v>99719.943000000014</v>
      </c>
      <c r="AP94" s="264"/>
      <c r="AQ94" s="258">
        <v>100882.75</v>
      </c>
      <c r="AR94" s="264"/>
      <c r="AS94" s="258">
        <v>57184.580000000009</v>
      </c>
      <c r="AT94" s="264"/>
      <c r="AU94" s="258">
        <v>55970</v>
      </c>
      <c r="AV94" s="264"/>
      <c r="AW94" s="258">
        <v>54500.600000000006</v>
      </c>
      <c r="AX94" s="264"/>
      <c r="AY94" s="258">
        <v>53558.399999999994</v>
      </c>
      <c r="AZ94" s="258"/>
      <c r="BA94" s="258">
        <v>51101</v>
      </c>
      <c r="BB94" s="263"/>
    </row>
    <row r="95" spans="1:54">
      <c r="A95" s="252"/>
      <c r="B95" s="255" t="s">
        <v>181</v>
      </c>
      <c r="C95" s="258">
        <v>150478.27005916671</v>
      </c>
      <c r="D95" s="258"/>
      <c r="E95" s="258">
        <v>148095.97199499997</v>
      </c>
      <c r="F95" s="258"/>
      <c r="G95" s="258">
        <v>144107.59548683002</v>
      </c>
      <c r="H95" s="258"/>
      <c r="I95" s="258">
        <v>143616.04389999999</v>
      </c>
      <c r="J95" s="258"/>
      <c r="K95" s="258">
        <v>141855.34537805003</v>
      </c>
      <c r="L95" s="258"/>
      <c r="M95" s="258">
        <v>139184</v>
      </c>
      <c r="N95" s="258"/>
      <c r="O95" s="258">
        <v>130393.65673367486</v>
      </c>
      <c r="P95" s="258"/>
      <c r="Q95" s="258">
        <v>129296.33590422102</v>
      </c>
      <c r="R95" s="258"/>
      <c r="S95" s="258">
        <v>126872.40825862135</v>
      </c>
      <c r="T95" s="258"/>
      <c r="U95" s="258">
        <v>124881.55941526202</v>
      </c>
      <c r="V95" s="258"/>
      <c r="W95" s="258">
        <f>(W94+AC94+Y94+AA94+AE94)/5</f>
        <v>117358.37275670681</v>
      </c>
      <c r="X95" s="258"/>
      <c r="Y95" s="258">
        <f>(Y94+AC94++AA94+AE94)/4</f>
        <v>115830.07287999999</v>
      </c>
      <c r="Z95" s="258"/>
      <c r="AA95" s="258">
        <f>(AA94+AC94+AE94)/3</f>
        <v>114000.46937866668</v>
      </c>
      <c r="AB95" s="258"/>
      <c r="AC95" s="258">
        <v>111204.767137</v>
      </c>
      <c r="AD95" s="258"/>
      <c r="AE95" s="258">
        <v>105077.54542120002</v>
      </c>
      <c r="AF95" s="264"/>
      <c r="AG95" s="258">
        <v>104266.60014200001</v>
      </c>
      <c r="AH95" s="264"/>
      <c r="AI95" s="258">
        <v>103584.92202133335</v>
      </c>
      <c r="AJ95" s="264"/>
      <c r="AK95" s="258">
        <v>101551.36923500002</v>
      </c>
      <c r="AL95" s="264"/>
      <c r="AM95" s="258">
        <v>82999.781294000015</v>
      </c>
      <c r="AN95" s="264"/>
      <c r="AO95" s="258">
        <v>78439.318250000011</v>
      </c>
      <c r="AP95" s="264"/>
      <c r="AQ95" s="258">
        <f>(AQ94+AS94+AU94)/3</f>
        <v>71345.776666666672</v>
      </c>
      <c r="AR95" s="264"/>
      <c r="AS95" s="258">
        <f>(AS94+AU94)/2</f>
        <v>56577.290000000008</v>
      </c>
      <c r="AT95" s="264"/>
      <c r="AU95" s="258">
        <f>(AU94+AW94+AY94+BA94+BC15)/5</f>
        <v>43026</v>
      </c>
      <c r="AV95" s="264"/>
      <c r="AW95" s="258">
        <f>(AW94+AY94+BA94+49934)/4</f>
        <v>52273.5</v>
      </c>
      <c r="AX95" s="264"/>
      <c r="AY95" s="258">
        <f>(AY94+BA94+49934)/3</f>
        <v>51531.133333333331</v>
      </c>
      <c r="AZ95" s="258"/>
      <c r="BA95" s="258">
        <f>(BA94+49934)/2</f>
        <v>50517.5</v>
      </c>
      <c r="BB95" s="263"/>
    </row>
    <row r="96" spans="1:54">
      <c r="A96" s="252"/>
      <c r="B96" s="255" t="s">
        <v>182</v>
      </c>
      <c r="C96" s="258"/>
      <c r="D96" s="258">
        <v>150658.33409875009</v>
      </c>
      <c r="E96" s="258"/>
      <c r="F96" s="258">
        <v>148095.97199499997</v>
      </c>
      <c r="G96" s="258"/>
      <c r="H96" s="258">
        <v>147485.97064999997</v>
      </c>
      <c r="I96" s="258"/>
      <c r="J96" s="258">
        <v>148047.77230000001</v>
      </c>
      <c r="K96" s="258"/>
      <c r="L96" s="258">
        <v>145391.54804133001</v>
      </c>
      <c r="M96" s="258"/>
      <c r="N96" s="258">
        <v>139184</v>
      </c>
      <c r="O96" s="258"/>
      <c r="P96" s="258">
        <v>135675.52944625507</v>
      </c>
      <c r="Q96" s="258"/>
      <c r="R96" s="258">
        <v>133711.11239318002</v>
      </c>
      <c r="S96" s="258"/>
      <c r="T96" s="258"/>
      <c r="U96" s="258"/>
      <c r="V96" s="258">
        <v>61735.786131767018</v>
      </c>
      <c r="W96" s="258"/>
      <c r="X96" s="258">
        <f>(W94+Y94)/2</f>
        <v>122395.22782376701</v>
      </c>
      <c r="Y96" s="258"/>
      <c r="Z96" s="258">
        <f>(Y94+AA94)/2</f>
        <v>120455.378623</v>
      </c>
      <c r="AA96" s="258"/>
      <c r="AB96" s="258">
        <v>111204.767137</v>
      </c>
      <c r="AC96" s="258"/>
      <c r="AD96" s="258">
        <v>111204.767137</v>
      </c>
      <c r="AE96" s="264"/>
      <c r="AF96" s="258">
        <v>107316.48052099999</v>
      </c>
      <c r="AG96" s="258"/>
      <c r="AH96" s="258">
        <v>106981.831049</v>
      </c>
      <c r="AI96" s="258"/>
      <c r="AJ96" s="258">
        <v>104756.56629700001</v>
      </c>
      <c r="AK96" s="258"/>
      <c r="AL96" s="258">
        <v>101551.36923500002</v>
      </c>
      <c r="AM96" s="258"/>
      <c r="AN96" s="258">
        <v>100480.78823500001</v>
      </c>
      <c r="AO96" s="258"/>
      <c r="AP96" s="258">
        <v>100301.34650000001</v>
      </c>
      <c r="AQ96" s="258"/>
      <c r="AR96" s="258">
        <f>(AQ94+AS94)/2</f>
        <v>79033.665000000008</v>
      </c>
      <c r="AS96" s="258"/>
      <c r="AT96" s="258">
        <f>(AS94+AU94)/2</f>
        <v>56577.290000000008</v>
      </c>
      <c r="AU96" s="258"/>
      <c r="AV96" s="258">
        <f>(AU94+AW94)/2</f>
        <v>55235.3</v>
      </c>
      <c r="AW96" s="264"/>
      <c r="AX96" s="258">
        <f>(AW94+AY94)/2</f>
        <v>54029.5</v>
      </c>
      <c r="AY96" s="264"/>
      <c r="AZ96" s="258">
        <f>(AY94+BA94)/2</f>
        <v>52329.7</v>
      </c>
      <c r="BA96" s="258"/>
      <c r="BB96" s="258">
        <f>(BA94+49934)/2</f>
        <v>50517.5</v>
      </c>
    </row>
    <row r="97" spans="1:54">
      <c r="A97" s="252"/>
      <c r="B97" s="255"/>
      <c r="C97" s="264"/>
      <c r="D97" s="264"/>
      <c r="E97" s="264"/>
      <c r="F97" s="264"/>
      <c r="G97" s="264"/>
      <c r="H97" s="264"/>
      <c r="I97" s="264"/>
      <c r="J97" s="264"/>
      <c r="K97" s="264"/>
      <c r="L97" s="264"/>
      <c r="M97" s="264"/>
      <c r="N97" s="264"/>
      <c r="O97" s="264"/>
      <c r="P97" s="264"/>
      <c r="Q97" s="264"/>
      <c r="R97" s="264"/>
      <c r="S97" s="264"/>
      <c r="T97" s="264"/>
      <c r="U97" s="264"/>
      <c r="V97" s="264"/>
      <c r="W97" s="264"/>
      <c r="X97" s="264"/>
      <c r="Y97" s="264"/>
      <c r="Z97" s="264"/>
      <c r="AA97" s="264"/>
      <c r="AB97" s="264"/>
      <c r="AC97" s="264"/>
      <c r="AD97" s="264"/>
      <c r="AE97" s="264"/>
      <c r="AF97" s="264"/>
      <c r="AG97" s="258"/>
      <c r="AH97" s="264"/>
      <c r="AI97" s="258"/>
      <c r="AJ97" s="264"/>
      <c r="AK97" s="258"/>
      <c r="AL97" s="264"/>
      <c r="AM97" s="258"/>
      <c r="AN97" s="264"/>
      <c r="AO97" s="258"/>
      <c r="AP97" s="264"/>
      <c r="AQ97" s="258"/>
      <c r="AR97" s="264"/>
      <c r="AS97" s="258"/>
      <c r="AT97" s="264"/>
      <c r="AU97" s="258"/>
      <c r="AV97" s="264"/>
      <c r="AW97" s="264"/>
      <c r="AX97" s="264"/>
      <c r="AY97" s="264"/>
      <c r="AZ97" s="264"/>
      <c r="BA97" s="264"/>
      <c r="BB97" s="264"/>
    </row>
    <row r="98" spans="1:54">
      <c r="A98" s="252"/>
      <c r="B98" s="255" t="s">
        <v>1</v>
      </c>
      <c r="C98" s="258">
        <v>155242.86618750019</v>
      </c>
      <c r="D98" s="258"/>
      <c r="E98" s="258">
        <v>150118.14197999999</v>
      </c>
      <c r="F98" s="258"/>
      <c r="G98" s="258">
        <v>146073.80200999998</v>
      </c>
      <c r="H98" s="258"/>
      <c r="I98" s="258">
        <v>148898.13930000001</v>
      </c>
      <c r="J98" s="258"/>
      <c r="K98" s="258">
        <v>147197.40538354</v>
      </c>
      <c r="L98" s="258"/>
      <c r="M98" s="258">
        <v>143586</v>
      </c>
      <c r="N98" s="258"/>
      <c r="O98" s="258">
        <v>134782.94005149015</v>
      </c>
      <c r="P98" s="258"/>
      <c r="Q98" s="258">
        <v>136568.11884102001</v>
      </c>
      <c r="R98" s="258"/>
      <c r="S98" s="258">
        <f>+S94</f>
        <v>130854.10594534002</v>
      </c>
      <c r="T98" s="258"/>
      <c r="U98" s="258">
        <v>126291.54656699001</v>
      </c>
      <c r="V98" s="258"/>
      <c r="W98" s="258">
        <f>+W94</f>
        <v>123471.57226353404</v>
      </c>
      <c r="X98" s="258"/>
      <c r="Y98" s="258">
        <f>+Y94</f>
        <v>121318.88338399999</v>
      </c>
      <c r="Z98" s="258"/>
      <c r="AA98" s="258">
        <f>AA94</f>
        <v>119591.87386200001</v>
      </c>
      <c r="AB98" s="264"/>
      <c r="AC98" s="258">
        <f>AC94</f>
        <v>114088.20773600001</v>
      </c>
      <c r="AD98" s="264"/>
      <c r="AE98" s="258">
        <f>AE94</f>
        <v>108321.32653799999</v>
      </c>
      <c r="AF98" s="264"/>
      <c r="AG98" s="258">
        <f>AG94</f>
        <v>106311.634504</v>
      </c>
      <c r="AH98" s="264"/>
      <c r="AI98" s="258">
        <f>AI94</f>
        <v>107652.02759400001</v>
      </c>
      <c r="AJ98" s="264"/>
      <c r="AK98" s="258">
        <f>AK94</f>
        <v>101861.10500000003</v>
      </c>
      <c r="AL98" s="264"/>
      <c r="AM98" s="258">
        <f>AM94</f>
        <v>101241.63347000002</v>
      </c>
      <c r="AN98" s="264"/>
      <c r="AO98" s="258">
        <f>AO94</f>
        <v>99719.943000000014</v>
      </c>
      <c r="AP98" s="264"/>
      <c r="AQ98" s="258">
        <f>AQ94</f>
        <v>100882.75</v>
      </c>
      <c r="AR98" s="264"/>
      <c r="AS98" s="258">
        <f>AS94</f>
        <v>57184.580000000009</v>
      </c>
      <c r="AT98" s="264"/>
      <c r="AU98" s="258">
        <f>AU94</f>
        <v>55970</v>
      </c>
      <c r="AV98" s="264"/>
      <c r="AW98" s="258">
        <f>AW94</f>
        <v>54500.600000000006</v>
      </c>
      <c r="AX98" s="264"/>
      <c r="AY98" s="258">
        <f>AY94</f>
        <v>53558.399999999994</v>
      </c>
      <c r="AZ98" s="264"/>
      <c r="BA98" s="258">
        <f>BA94</f>
        <v>51101</v>
      </c>
      <c r="BB98" s="264"/>
    </row>
    <row r="99" spans="1:54">
      <c r="A99" s="252"/>
      <c r="B99" s="272" t="s">
        <v>146</v>
      </c>
      <c r="C99" s="258">
        <v>48162.76504868998</v>
      </c>
      <c r="D99" s="258"/>
      <c r="E99" s="258">
        <v>47522.061958350001</v>
      </c>
      <c r="F99" s="258"/>
      <c r="G99" s="258">
        <v>46872.051399999997</v>
      </c>
      <c r="H99" s="258"/>
      <c r="I99" s="258">
        <v>46153.341399999998</v>
      </c>
      <c r="J99" s="258"/>
      <c r="K99" s="258">
        <v>44559.051670249995</v>
      </c>
      <c r="L99" s="258"/>
      <c r="M99" s="258">
        <v>44020</v>
      </c>
      <c r="N99" s="258"/>
      <c r="O99" s="258">
        <v>42630.288198770002</v>
      </c>
      <c r="P99" s="258"/>
      <c r="Q99" s="258">
        <v>42243.659336410004</v>
      </c>
      <c r="R99" s="258"/>
      <c r="S99" s="258">
        <f>+S37</f>
        <v>41438.065000000002</v>
      </c>
      <c r="T99" s="258"/>
      <c r="U99" s="258">
        <v>40919.316098639996</v>
      </c>
      <c r="V99" s="258"/>
      <c r="W99" s="258">
        <f>+W37</f>
        <v>39791.910470000003</v>
      </c>
      <c r="X99" s="258"/>
      <c r="Y99" s="258">
        <f>+Y37</f>
        <v>38414.786999999997</v>
      </c>
      <c r="Z99" s="258"/>
      <c r="AA99" s="258">
        <f>+AA37</f>
        <v>37943.764000000003</v>
      </c>
      <c r="AB99" s="264"/>
      <c r="AC99" s="258">
        <f>+AC37</f>
        <v>38009.275000000001</v>
      </c>
      <c r="AD99" s="264"/>
      <c r="AE99" s="258">
        <f>+AE37</f>
        <v>37451.131987000001</v>
      </c>
      <c r="AF99" s="264"/>
      <c r="AG99" s="258">
        <f>+AG37</f>
        <v>36650.008250999999</v>
      </c>
      <c r="AH99" s="264"/>
      <c r="AI99" s="258">
        <f>+AI37</f>
        <v>35532.226698999999</v>
      </c>
      <c r="AJ99" s="264"/>
      <c r="AK99" s="258">
        <f>+AK37</f>
        <v>35521.066979000003</v>
      </c>
      <c r="AL99" s="264"/>
      <c r="AM99" s="258">
        <f>+AM37</f>
        <v>35197.497000000003</v>
      </c>
      <c r="AN99" s="264"/>
      <c r="AO99" s="258">
        <f>+AO37</f>
        <v>35129.561126999994</v>
      </c>
      <c r="AP99" s="264"/>
      <c r="AQ99" s="258">
        <f>+AQ37</f>
        <v>34766.900999999998</v>
      </c>
      <c r="AR99" s="264"/>
      <c r="AS99" s="258">
        <f>+AS37</f>
        <v>17288.619168000001</v>
      </c>
      <c r="AT99" s="264"/>
      <c r="AU99" s="258">
        <f>+AU37</f>
        <v>16796.622458000002</v>
      </c>
      <c r="AV99" s="264"/>
      <c r="AW99" s="258">
        <f>+AW37</f>
        <v>16076.098374450001</v>
      </c>
      <c r="AX99" s="264"/>
      <c r="AY99" s="258">
        <f>+AY37</f>
        <v>15329.815615</v>
      </c>
      <c r="AZ99" s="264"/>
      <c r="BA99" s="258">
        <f>+BA37</f>
        <v>15533.628225</v>
      </c>
      <c r="BB99" s="264"/>
    </row>
    <row r="100" spans="1:54">
      <c r="A100" s="252"/>
      <c r="B100" s="272" t="s">
        <v>147</v>
      </c>
      <c r="C100" s="258">
        <v>995.63519871999995</v>
      </c>
      <c r="D100" s="258"/>
      <c r="E100" s="258">
        <v>1007.48431772</v>
      </c>
      <c r="F100" s="258"/>
      <c r="G100" s="258">
        <v>1018.1911</v>
      </c>
      <c r="H100" s="258"/>
      <c r="I100" s="258">
        <v>1215.4574</v>
      </c>
      <c r="J100" s="258"/>
      <c r="K100" s="258">
        <v>1015.88665297</v>
      </c>
      <c r="L100" s="258"/>
      <c r="M100" s="258">
        <v>1015</v>
      </c>
      <c r="N100" s="258"/>
      <c r="O100" s="258">
        <v>1022.4164379700001</v>
      </c>
      <c r="P100" s="258"/>
      <c r="Q100" s="258">
        <v>1028.9756779700001</v>
      </c>
      <c r="R100" s="258"/>
      <c r="S100" s="258">
        <f>+S38</f>
        <v>1230.3109999999999</v>
      </c>
      <c r="T100" s="258"/>
      <c r="U100" s="258">
        <v>1415.1529349700002</v>
      </c>
      <c r="V100" s="258"/>
      <c r="W100" s="258">
        <f>+W38</f>
        <v>1432.9786079999999</v>
      </c>
      <c r="X100" s="258"/>
      <c r="Y100" s="258">
        <f>+Y38</f>
        <v>1478.806</v>
      </c>
      <c r="Z100" s="258"/>
      <c r="AA100" s="258">
        <f>+AA38</f>
        <v>1508.4760000000001</v>
      </c>
      <c r="AB100" s="264"/>
      <c r="AC100" s="258">
        <f>+AC38</f>
        <v>1605.809</v>
      </c>
      <c r="AD100" s="264"/>
      <c r="AE100" s="258">
        <f>+AE38</f>
        <v>1623.794453</v>
      </c>
      <c r="AF100" s="264"/>
      <c r="AG100" s="258">
        <f>+AG38</f>
        <v>1324.1435019999999</v>
      </c>
      <c r="AH100" s="264"/>
      <c r="AI100" s="258">
        <f>+AI38</f>
        <v>1333.118905</v>
      </c>
      <c r="AJ100" s="264"/>
      <c r="AK100" s="258">
        <f>+AK38</f>
        <v>1278.919551</v>
      </c>
      <c r="AL100" s="264"/>
      <c r="AM100" s="258">
        <f>+AM38</f>
        <v>1307.7759999999998</v>
      </c>
      <c r="AN100" s="264"/>
      <c r="AO100" s="258">
        <f>+AO38</f>
        <v>1159.912239</v>
      </c>
      <c r="AP100" s="264"/>
      <c r="AQ100" s="258">
        <f>+AQ38</f>
        <v>1169.7469999999998</v>
      </c>
      <c r="AR100" s="264"/>
      <c r="AS100" s="258">
        <f>+AS38</f>
        <v>560.18392900000003</v>
      </c>
      <c r="AT100" s="264"/>
      <c r="AU100" s="258">
        <f>+AU38</f>
        <v>564.16929500000003</v>
      </c>
      <c r="AV100" s="264"/>
      <c r="AW100" s="258">
        <f>+AW38</f>
        <v>568.14836700000001</v>
      </c>
      <c r="AX100" s="264"/>
      <c r="AY100" s="258">
        <f>+AY38</f>
        <v>574.10100399999999</v>
      </c>
      <c r="AZ100" s="264"/>
      <c r="BA100" s="258">
        <f>+BA38</f>
        <v>601.47104200000001</v>
      </c>
      <c r="BB100" s="264"/>
    </row>
    <row r="101" spans="1:54" ht="13.5" thickBot="1">
      <c r="A101" s="321" t="s">
        <v>349</v>
      </c>
      <c r="B101" s="268" t="s">
        <v>183</v>
      </c>
      <c r="C101" s="274">
        <v>204401.26643491015</v>
      </c>
      <c r="D101" s="274"/>
      <c r="E101" s="274">
        <v>198647.68825606999</v>
      </c>
      <c r="F101" s="274"/>
      <c r="G101" s="274">
        <v>193964.04450999998</v>
      </c>
      <c r="H101" s="274"/>
      <c r="I101" s="274">
        <v>196266.9381</v>
      </c>
      <c r="J101" s="274"/>
      <c r="K101" s="274">
        <v>192772.34370675997</v>
      </c>
      <c r="L101" s="274"/>
      <c r="M101" s="274">
        <v>188621</v>
      </c>
      <c r="N101" s="274"/>
      <c r="O101" s="274">
        <v>178435.64468823015</v>
      </c>
      <c r="P101" s="274"/>
      <c r="Q101" s="274">
        <v>179840.75385540002</v>
      </c>
      <c r="R101" s="274"/>
      <c r="S101" s="274">
        <f>+S98+S99+S100</f>
        <v>173522.48194534</v>
      </c>
      <c r="T101" s="274"/>
      <c r="U101" s="274">
        <f>+U98+U99+U100</f>
        <v>168626.01560060002</v>
      </c>
      <c r="V101" s="274"/>
      <c r="W101" s="274">
        <f>+W98+W99+W100</f>
        <v>164696.46134153404</v>
      </c>
      <c r="X101" s="274"/>
      <c r="Y101" s="274">
        <f>+Y98+Y99+Y100</f>
        <v>161212.47638400001</v>
      </c>
      <c r="Z101" s="274"/>
      <c r="AA101" s="274">
        <f>+AA98+AA99+AA100</f>
        <v>159044.113862</v>
      </c>
      <c r="AB101" s="275"/>
      <c r="AC101" s="274">
        <f>+AC98+AC99+AC100</f>
        <v>153703.29173600001</v>
      </c>
      <c r="AD101" s="275"/>
      <c r="AE101" s="274">
        <f>+AE98+AE99+AE100</f>
        <v>147396.252978</v>
      </c>
      <c r="AF101" s="275"/>
      <c r="AG101" s="274">
        <f>+AG98+AG99+AG100</f>
        <v>144285.786257</v>
      </c>
      <c r="AH101" s="275"/>
      <c r="AI101" s="274">
        <f>+AI98+AI99+AI100</f>
        <v>144517.37319800002</v>
      </c>
      <c r="AJ101" s="275"/>
      <c r="AK101" s="274">
        <f>+AK98+AK99+AK100</f>
        <v>138661.09153000003</v>
      </c>
      <c r="AL101" s="275"/>
      <c r="AM101" s="274">
        <f>+AM98+AM99+AM100</f>
        <v>137746.90647000005</v>
      </c>
      <c r="AN101" s="275"/>
      <c r="AO101" s="274">
        <f>+AO98+AO99+AO100</f>
        <v>136009.41636599999</v>
      </c>
      <c r="AP101" s="275"/>
      <c r="AQ101" s="274">
        <f>+AQ98+AQ99+AQ100</f>
        <v>136819.39800000002</v>
      </c>
      <c r="AR101" s="275"/>
      <c r="AS101" s="274">
        <f>+AS98+AS99+AS100</f>
        <v>75033.383097000013</v>
      </c>
      <c r="AT101" s="275"/>
      <c r="AU101" s="274">
        <f>+AU98+AU99+AU100</f>
        <v>73330.791752999998</v>
      </c>
      <c r="AV101" s="275"/>
      <c r="AW101" s="274">
        <f>+AW98+AW99+AW100</f>
        <v>71144.846741450005</v>
      </c>
      <c r="AX101" s="275"/>
      <c r="AY101" s="274">
        <f>+AY98+AY99+AY100</f>
        <v>69462.31661899999</v>
      </c>
      <c r="AZ101" s="275"/>
      <c r="BA101" s="274">
        <f>+BA98+BA99+BA100</f>
        <v>67236.099266999998</v>
      </c>
      <c r="BB101" s="275"/>
    </row>
    <row r="102" spans="1:54">
      <c r="A102" s="252"/>
      <c r="B102" s="255"/>
      <c r="C102" s="264"/>
      <c r="D102" s="264"/>
      <c r="E102" s="264"/>
      <c r="F102" s="264"/>
      <c r="G102" s="264"/>
      <c r="H102" s="264"/>
      <c r="I102" s="264"/>
      <c r="J102" s="264"/>
      <c r="K102" s="264"/>
      <c r="L102" s="264"/>
      <c r="M102" s="264"/>
      <c r="N102" s="264"/>
      <c r="O102" s="264"/>
      <c r="P102" s="264"/>
      <c r="Q102" s="264"/>
      <c r="R102" s="264"/>
      <c r="S102" s="264"/>
      <c r="T102" s="264"/>
      <c r="U102" s="264"/>
      <c r="V102" s="264"/>
      <c r="W102" s="264"/>
      <c r="X102" s="264"/>
      <c r="Y102" s="264"/>
      <c r="Z102" s="264"/>
      <c r="AA102" s="264"/>
      <c r="AB102" s="264"/>
      <c r="AC102" s="264"/>
      <c r="AD102" s="264"/>
      <c r="AE102" s="264"/>
      <c r="AF102" s="264"/>
      <c r="AG102" s="264"/>
      <c r="AH102" s="264"/>
      <c r="AI102" s="264"/>
      <c r="AJ102" s="264"/>
      <c r="AK102" s="264"/>
      <c r="AL102" s="264"/>
      <c r="AM102" s="264"/>
      <c r="AN102" s="264"/>
      <c r="AO102" s="264"/>
      <c r="AP102" s="264"/>
      <c r="AQ102" s="264"/>
      <c r="AR102" s="264"/>
      <c r="AS102" s="264"/>
      <c r="AT102" s="264"/>
      <c r="AU102" s="264"/>
      <c r="AV102" s="264"/>
      <c r="AW102" s="264"/>
      <c r="AX102" s="264"/>
      <c r="AY102" s="264"/>
      <c r="AZ102" s="264"/>
      <c r="BA102" s="264"/>
      <c r="BB102" s="264"/>
    </row>
    <row r="103" spans="1:54">
      <c r="A103" s="252"/>
      <c r="B103" s="282" t="s">
        <v>29</v>
      </c>
      <c r="C103" s="262">
        <v>-6.8160652800000117</v>
      </c>
      <c r="D103" s="262">
        <v>10.752738110000003</v>
      </c>
      <c r="E103" s="262">
        <v>-17.5688</v>
      </c>
      <c r="F103" s="262">
        <v>-17.5688</v>
      </c>
      <c r="G103" s="262">
        <v>329.65710000000001</v>
      </c>
      <c r="H103" s="262">
        <v>1.16577</v>
      </c>
      <c r="I103" s="262">
        <v>328.49</v>
      </c>
      <c r="J103" s="262">
        <v>46.61</v>
      </c>
      <c r="K103" s="262">
        <v>281.87739035999999</v>
      </c>
      <c r="L103" s="262">
        <v>130.44631705999998</v>
      </c>
      <c r="M103" s="262">
        <v>151</v>
      </c>
      <c r="N103" s="262">
        <v>151</v>
      </c>
      <c r="O103" s="262">
        <v>32.483665000000002</v>
      </c>
      <c r="P103" s="262">
        <v>32.809047120000002</v>
      </c>
      <c r="Q103" s="262">
        <v>-0.325382119999997</v>
      </c>
      <c r="R103" s="262">
        <v>24.456724880000003</v>
      </c>
      <c r="S103" s="262">
        <v>-24.782107</v>
      </c>
      <c r="T103" s="262"/>
      <c r="U103" s="262">
        <v>-32.898592000000001</v>
      </c>
      <c r="V103" s="262">
        <v>-32.898592000000001</v>
      </c>
      <c r="W103" s="262">
        <v>35.339551</v>
      </c>
      <c r="X103" s="262">
        <v>11.441641000000001</v>
      </c>
      <c r="Y103" s="262">
        <v>23.89791</v>
      </c>
      <c r="Z103" s="262">
        <v>11.929739999999999</v>
      </c>
      <c r="AA103" s="262">
        <v>11.968170000000001</v>
      </c>
      <c r="AB103" s="262">
        <v>7.1308810000000005</v>
      </c>
      <c r="AC103" s="262">
        <v>4.8372890000000002</v>
      </c>
      <c r="AD103" s="262">
        <v>4.8372890000000002</v>
      </c>
      <c r="AE103" s="262">
        <v>-20.143094999999999</v>
      </c>
      <c r="AF103" s="262">
        <v>-13</v>
      </c>
      <c r="AG103" s="262">
        <v>-6.5001689999999996</v>
      </c>
      <c r="AH103" s="262">
        <v>14.499831</v>
      </c>
      <c r="AI103" s="262">
        <v>-20.920946000000001</v>
      </c>
      <c r="AJ103" s="262">
        <v>5.2380539999999982</v>
      </c>
      <c r="AK103" s="262">
        <v>-26.158999999999999</v>
      </c>
      <c r="AL103" s="262">
        <v>-26.158999999999999</v>
      </c>
      <c r="AM103" s="262">
        <v>75.163342</v>
      </c>
      <c r="AN103" s="262"/>
      <c r="AO103" s="262">
        <v>32.571090560000002</v>
      </c>
      <c r="AP103" s="262">
        <v>3.3884404799999999</v>
      </c>
      <c r="AQ103" s="262">
        <v>29</v>
      </c>
      <c r="AR103" s="262">
        <v>20.2</v>
      </c>
      <c r="AS103" s="262">
        <v>8.9</v>
      </c>
      <c r="AT103" s="262">
        <v>8.9</v>
      </c>
      <c r="AU103" s="262">
        <v>55.8</v>
      </c>
      <c r="AV103" s="262">
        <v>17.799999999999997</v>
      </c>
      <c r="AW103" s="262">
        <v>38.1</v>
      </c>
      <c r="AX103" s="262">
        <v>-2</v>
      </c>
      <c r="AY103" s="262">
        <v>40</v>
      </c>
      <c r="AZ103" s="262">
        <v>35</v>
      </c>
      <c r="BA103" s="262">
        <v>5</v>
      </c>
      <c r="BB103" s="262">
        <v>5</v>
      </c>
    </row>
    <row r="104" spans="1:54">
      <c r="A104" s="252"/>
      <c r="B104" s="255" t="s">
        <v>184</v>
      </c>
      <c r="C104" s="258">
        <v>-13.745104017679582</v>
      </c>
      <c r="D104" s="258">
        <v>43.129114397252756</v>
      </c>
      <c r="E104" s="258">
        <v>-71.251244444444438</v>
      </c>
      <c r="F104" s="258">
        <v>-71.251244444444438</v>
      </c>
      <c r="G104" s="258">
        <v>329.65710000000001</v>
      </c>
      <c r="H104" s="258">
        <v>4.6377371739130435</v>
      </c>
      <c r="I104" s="258">
        <v>438.78590000000003</v>
      </c>
      <c r="J104" s="258">
        <v>185.42670000000001</v>
      </c>
      <c r="K104" s="258">
        <v>566.85233446021971</v>
      </c>
      <c r="L104" s="258">
        <v>524.65222026329661</v>
      </c>
      <c r="M104" s="258">
        <v>609</v>
      </c>
      <c r="N104" s="258">
        <v>609</v>
      </c>
      <c r="O104" s="258">
        <v>32.483665000000002</v>
      </c>
      <c r="P104" s="258">
        <v>130.1663282478261</v>
      </c>
      <c r="Q104" s="258">
        <v>-0.43503470256409854</v>
      </c>
      <c r="R104" s="258">
        <v>97.029397621739136</v>
      </c>
      <c r="S104" s="258">
        <v>-49.974967154696138</v>
      </c>
      <c r="T104" s="258"/>
      <c r="U104" s="258">
        <v>-133.42206755555554</v>
      </c>
      <c r="V104" s="258">
        <v>-133.42206755555554</v>
      </c>
      <c r="W104" s="258">
        <v>35.339551</v>
      </c>
      <c r="X104" s="258">
        <v>45.393467010869564</v>
      </c>
      <c r="Y104" s="258">
        <v>31.951418131868131</v>
      </c>
      <c r="Z104" s="258">
        <v>47.329946739130428</v>
      </c>
      <c r="AA104" s="258">
        <v>24.134707458563536</v>
      </c>
      <c r="AB104" s="258">
        <v>28.601885329670331</v>
      </c>
      <c r="AC104" s="258">
        <f t="shared" ref="AC104:BB104" si="41">AC103/AC8*$A$1</f>
        <v>19.617894277777779</v>
      </c>
      <c r="AD104" s="258">
        <f t="shared" si="41"/>
        <v>19.617894277777779</v>
      </c>
      <c r="AE104" s="258">
        <f t="shared" si="41"/>
        <v>-20.143094999999999</v>
      </c>
      <c r="AF104" s="258">
        <f t="shared" si="41"/>
        <v>-51.576086956521735</v>
      </c>
      <c r="AG104" s="258">
        <f t="shared" si="41"/>
        <v>-8.6907021428571429</v>
      </c>
      <c r="AH104" s="258">
        <f t="shared" si="41"/>
        <v>57.526503423913049</v>
      </c>
      <c r="AI104" s="258">
        <f t="shared" si="41"/>
        <v>-42.188648011049722</v>
      </c>
      <c r="AJ104" s="258">
        <f t="shared" si="41"/>
        <v>21.009777032967026</v>
      </c>
      <c r="AK104" s="258">
        <f t="shared" si="41"/>
        <v>-106.08927777777778</v>
      </c>
      <c r="AL104" s="258">
        <f t="shared" si="41"/>
        <v>-106.08927777777778</v>
      </c>
      <c r="AM104" s="258">
        <f t="shared" si="41"/>
        <v>74.957977677595622</v>
      </c>
      <c r="AN104" s="258">
        <f t="shared" si="41"/>
        <v>0</v>
      </c>
      <c r="AO104" s="258">
        <f t="shared" si="41"/>
        <v>43.38849654890511</v>
      </c>
      <c r="AP104" s="258">
        <f t="shared" si="41"/>
        <v>13.443269295652172</v>
      </c>
      <c r="AQ104" s="258">
        <f t="shared" si="41"/>
        <v>58.159340659340657</v>
      </c>
      <c r="AR104" s="258">
        <f t="shared" si="41"/>
        <v>81.021978021978015</v>
      </c>
      <c r="AS104" s="258">
        <f t="shared" si="41"/>
        <v>35.697802197802197</v>
      </c>
      <c r="AT104" s="258">
        <f t="shared" si="41"/>
        <v>35.697802197802197</v>
      </c>
      <c r="AU104" s="258">
        <f t="shared" si="41"/>
        <v>55.8</v>
      </c>
      <c r="AV104" s="258">
        <f t="shared" si="41"/>
        <v>70.619565217391298</v>
      </c>
      <c r="AW104" s="258">
        <f t="shared" si="41"/>
        <v>50.939560439560438</v>
      </c>
      <c r="AX104" s="258">
        <f t="shared" si="41"/>
        <v>-7.9347826086956523</v>
      </c>
      <c r="AY104" s="258">
        <f t="shared" si="41"/>
        <v>80.662983425414367</v>
      </c>
      <c r="AZ104" s="258">
        <f t="shared" si="41"/>
        <v>140.38461538461539</v>
      </c>
      <c r="BA104" s="258">
        <f t="shared" si="41"/>
        <v>20.277777777777775</v>
      </c>
      <c r="BB104" s="258">
        <f t="shared" si="41"/>
        <v>20.277777777777775</v>
      </c>
    </row>
    <row r="105" spans="1:54">
      <c r="A105" s="252"/>
      <c r="B105" s="255"/>
      <c r="C105" s="264"/>
      <c r="D105" s="264"/>
      <c r="E105" s="264"/>
      <c r="F105" s="264"/>
      <c r="G105" s="264"/>
      <c r="H105" s="264"/>
      <c r="I105" s="264"/>
      <c r="J105" s="264"/>
      <c r="K105" s="264"/>
      <c r="L105" s="264"/>
      <c r="M105" s="264"/>
      <c r="N105" s="264"/>
      <c r="O105" s="264"/>
      <c r="P105" s="264"/>
      <c r="Q105" s="264"/>
      <c r="R105" s="264"/>
      <c r="S105" s="264"/>
      <c r="T105" s="264"/>
      <c r="U105" s="264"/>
      <c r="V105" s="264"/>
      <c r="W105" s="264"/>
      <c r="X105" s="264"/>
      <c r="Y105" s="264"/>
      <c r="Z105" s="264"/>
      <c r="AA105" s="264"/>
      <c r="AB105" s="264"/>
      <c r="AC105" s="264"/>
      <c r="AD105" s="264"/>
      <c r="AE105" s="264"/>
      <c r="AF105" s="258"/>
      <c r="AG105" s="258"/>
      <c r="AH105" s="258"/>
      <c r="AI105" s="258"/>
      <c r="AJ105" s="258"/>
      <c r="AK105" s="258"/>
      <c r="AL105" s="258"/>
      <c r="AM105" s="264"/>
      <c r="AN105" s="258"/>
      <c r="AO105" s="258"/>
      <c r="AP105" s="258"/>
      <c r="AQ105" s="258"/>
      <c r="AR105" s="258"/>
      <c r="AS105" s="258"/>
      <c r="AT105" s="258"/>
      <c r="AU105" s="258"/>
      <c r="AV105" s="258"/>
      <c r="AW105" s="258"/>
      <c r="AX105" s="258"/>
      <c r="AY105" s="258"/>
      <c r="AZ105" s="258"/>
      <c r="BA105" s="258"/>
      <c r="BB105" s="258"/>
    </row>
    <row r="106" spans="1:54">
      <c r="A106" s="252"/>
      <c r="B106" s="255" t="s">
        <v>29</v>
      </c>
      <c r="C106" s="258">
        <v>-13.745104017679582</v>
      </c>
      <c r="D106" s="258">
        <v>43.129114397252756</v>
      </c>
      <c r="E106" s="258">
        <v>-71.251244444444438</v>
      </c>
      <c r="F106" s="258">
        <v>-71.251244444444438</v>
      </c>
      <c r="G106" s="258">
        <v>329.65710000000001</v>
      </c>
      <c r="H106" s="258">
        <v>4.6377371739130435</v>
      </c>
      <c r="I106" s="258">
        <v>438.78590000000003</v>
      </c>
      <c r="J106" s="258">
        <v>185.42670000000001</v>
      </c>
      <c r="K106" s="258">
        <v>566.85233446021971</v>
      </c>
      <c r="L106" s="258">
        <v>524.65222026329661</v>
      </c>
      <c r="M106" s="258">
        <v>609</v>
      </c>
      <c r="N106" s="258">
        <v>609</v>
      </c>
      <c r="O106" s="258">
        <v>32.483665000000002</v>
      </c>
      <c r="P106" s="258">
        <v>130.1663282478261</v>
      </c>
      <c r="Q106" s="258">
        <v>-0.43503470256409854</v>
      </c>
      <c r="R106" s="258">
        <v>97.029397621739136</v>
      </c>
      <c r="S106" s="258">
        <f>+S104</f>
        <v>-49.974967154696138</v>
      </c>
      <c r="T106" s="258"/>
      <c r="U106" s="258">
        <v>-133.42206755555554</v>
      </c>
      <c r="V106" s="258">
        <v>-133.42206755555554</v>
      </c>
      <c r="W106" s="258">
        <v>35.339551</v>
      </c>
      <c r="X106" s="258">
        <v>45.393467010869564</v>
      </c>
      <c r="Y106" s="258">
        <v>31.951418131868131</v>
      </c>
      <c r="Z106" s="258">
        <v>47.329946739130428</v>
      </c>
      <c r="AA106" s="258">
        <f>+AA104</f>
        <v>24.134707458563536</v>
      </c>
      <c r="AB106" s="258">
        <f t="shared" ref="AB106" si="42">AB104</f>
        <v>28.601885329670331</v>
      </c>
      <c r="AC106" s="258">
        <f>+AC104</f>
        <v>19.617894277777779</v>
      </c>
      <c r="AD106" s="258">
        <f t="shared" ref="AD106:BA106" si="43">AD104</f>
        <v>19.617894277777779</v>
      </c>
      <c r="AE106" s="258">
        <f t="shared" si="43"/>
        <v>-20.143094999999999</v>
      </c>
      <c r="AF106" s="258">
        <f t="shared" si="43"/>
        <v>-51.576086956521735</v>
      </c>
      <c r="AG106" s="258">
        <f t="shared" si="43"/>
        <v>-8.6907021428571429</v>
      </c>
      <c r="AH106" s="258">
        <f t="shared" si="43"/>
        <v>57.526503423913049</v>
      </c>
      <c r="AI106" s="258">
        <f t="shared" si="43"/>
        <v>-42.188648011049722</v>
      </c>
      <c r="AJ106" s="258">
        <f t="shared" si="43"/>
        <v>21.009777032967026</v>
      </c>
      <c r="AK106" s="258">
        <f t="shared" si="43"/>
        <v>-106.08927777777778</v>
      </c>
      <c r="AL106" s="258">
        <f t="shared" si="43"/>
        <v>-106.08927777777778</v>
      </c>
      <c r="AM106" s="258">
        <f t="shared" si="43"/>
        <v>74.957977677595622</v>
      </c>
      <c r="AN106" s="258">
        <f t="shared" si="43"/>
        <v>0</v>
      </c>
      <c r="AO106" s="258">
        <f t="shared" si="43"/>
        <v>43.38849654890511</v>
      </c>
      <c r="AP106" s="258">
        <f t="shared" si="43"/>
        <v>13.443269295652172</v>
      </c>
      <c r="AQ106" s="258">
        <f t="shared" si="43"/>
        <v>58.159340659340657</v>
      </c>
      <c r="AR106" s="258">
        <f t="shared" si="43"/>
        <v>81.021978021978015</v>
      </c>
      <c r="AS106" s="258">
        <f t="shared" si="43"/>
        <v>35.697802197802197</v>
      </c>
      <c r="AT106" s="258">
        <f t="shared" si="43"/>
        <v>35.697802197802197</v>
      </c>
      <c r="AU106" s="258">
        <f t="shared" si="43"/>
        <v>55.8</v>
      </c>
      <c r="AV106" s="258">
        <f t="shared" si="43"/>
        <v>70.619565217391298</v>
      </c>
      <c r="AW106" s="258">
        <f t="shared" si="43"/>
        <v>50.939560439560438</v>
      </c>
      <c r="AX106" s="258">
        <f t="shared" si="43"/>
        <v>-7.9347826086956523</v>
      </c>
      <c r="AY106" s="258">
        <f t="shared" si="43"/>
        <v>80.662983425414367</v>
      </c>
      <c r="AZ106" s="258">
        <f t="shared" si="43"/>
        <v>140.38461538461539</v>
      </c>
      <c r="BA106" s="258">
        <f t="shared" si="43"/>
        <v>20.277777777777775</v>
      </c>
      <c r="BB106" s="258">
        <f t="shared" ref="BB106" si="44">+BB103</f>
        <v>5</v>
      </c>
    </row>
    <row r="107" spans="1:54">
      <c r="A107" s="252"/>
      <c r="B107" s="255" t="s">
        <v>208</v>
      </c>
      <c r="C107" s="258">
        <v>118131.69884341676</v>
      </c>
      <c r="D107" s="258">
        <v>118131.69884341676</v>
      </c>
      <c r="E107" s="258">
        <v>114037.49212344014</v>
      </c>
      <c r="F107" s="258">
        <v>114037.49212344014</v>
      </c>
      <c r="G107" s="258">
        <v>113368.40780000002</v>
      </c>
      <c r="H107" s="258">
        <v>113368.40780000002</v>
      </c>
      <c r="I107" s="258">
        <v>113623.98480000001</v>
      </c>
      <c r="J107" s="258">
        <v>113623.98480000001</v>
      </c>
      <c r="K107" s="258">
        <v>112381.12907763624</v>
      </c>
      <c r="L107" s="258">
        <v>112381.12907763624</v>
      </c>
      <c r="M107" s="258">
        <v>108811</v>
      </c>
      <c r="N107" s="258">
        <v>108811</v>
      </c>
      <c r="O107" s="258">
        <v>107035.45492119202</v>
      </c>
      <c r="P107" s="258">
        <v>107035.45492119202</v>
      </c>
      <c r="Q107" s="258">
        <v>104037.30788707999</v>
      </c>
      <c r="R107" s="258">
        <v>104037.30788707999</v>
      </c>
      <c r="S107" s="258">
        <f>S36</f>
        <v>101668.24776078029</v>
      </c>
      <c r="T107" s="258"/>
      <c r="U107" s="258">
        <v>98744.151407699988</v>
      </c>
      <c r="V107" s="258">
        <v>98744.151407699988</v>
      </c>
      <c r="W107" s="258">
        <v>98940.269777329799</v>
      </c>
      <c r="X107" s="258">
        <v>98940.269777329799</v>
      </c>
      <c r="Y107" s="258">
        <v>98258.985487460028</v>
      </c>
      <c r="Z107" s="258">
        <v>98258.985487460028</v>
      </c>
      <c r="AA107" s="258">
        <f>AA36</f>
        <v>96039.543704459997</v>
      </c>
      <c r="AB107" s="258">
        <f>+AA107</f>
        <v>96039.543704459997</v>
      </c>
      <c r="AC107" s="258">
        <f>AC36</f>
        <v>92817.744119980198</v>
      </c>
      <c r="AD107" s="258">
        <f>+AC107</f>
        <v>92817.744119980198</v>
      </c>
      <c r="AE107" s="258">
        <f>AE36</f>
        <v>90460.14825605003</v>
      </c>
      <c r="AF107" s="258">
        <f>+AE107</f>
        <v>90460.14825605003</v>
      </c>
      <c r="AG107" s="258">
        <f>AG36</f>
        <v>88945.039514610005</v>
      </c>
      <c r="AH107" s="258">
        <f>+AG107</f>
        <v>88945.039514610005</v>
      </c>
      <c r="AI107" s="258">
        <f>AI36</f>
        <v>87527.837190519887</v>
      </c>
      <c r="AJ107" s="258">
        <f>+AI107</f>
        <v>87527.837190519887</v>
      </c>
      <c r="AK107" s="258">
        <f>AK36</f>
        <v>84901.214854689984</v>
      </c>
      <c r="AL107" s="258">
        <f>+AK107</f>
        <v>84901.214854689984</v>
      </c>
      <c r="AM107" s="258">
        <f>AM36</f>
        <v>82944.802144999994</v>
      </c>
      <c r="AN107" s="258">
        <f>+AM107</f>
        <v>82944.802144999994</v>
      </c>
      <c r="AO107" s="258">
        <f>AO36</f>
        <v>81336.069999999992</v>
      </c>
      <c r="AP107" s="258">
        <f>+AO107</f>
        <v>81336.069999999992</v>
      </c>
      <c r="AQ107" s="258">
        <f>AQ36</f>
        <v>79286.388672980014</v>
      </c>
      <c r="AR107" s="258">
        <f>+AQ107</f>
        <v>79286.388672980014</v>
      </c>
      <c r="AS107" s="258">
        <f>AS36</f>
        <v>44307.5</v>
      </c>
      <c r="AT107" s="258">
        <f>+AS107</f>
        <v>44307.5</v>
      </c>
      <c r="AU107" s="258">
        <f>AU36</f>
        <v>43779.16</v>
      </c>
      <c r="AV107" s="258">
        <f>+AU107</f>
        <v>43779.16</v>
      </c>
      <c r="AW107" s="258">
        <f>AW36</f>
        <v>42793.5</v>
      </c>
      <c r="AX107" s="258">
        <f>+AW107</f>
        <v>42793.5</v>
      </c>
      <c r="AY107" s="258">
        <f>AY36</f>
        <v>42090.69</v>
      </c>
      <c r="AZ107" s="258">
        <f>+AY107</f>
        <v>42090.69</v>
      </c>
      <c r="BA107" s="258">
        <f>BA36</f>
        <v>40483.611327409999</v>
      </c>
      <c r="BB107" s="258">
        <f>+BA107</f>
        <v>40483.611327409999</v>
      </c>
    </row>
    <row r="108" spans="1:54" ht="13.5" thickBot="1">
      <c r="A108" s="321" t="s">
        <v>350</v>
      </c>
      <c r="B108" s="268" t="s">
        <v>185</v>
      </c>
      <c r="C108" s="269">
        <v>-1.1635407051835155E-4</v>
      </c>
      <c r="D108" s="269">
        <v>3.6509349158196972E-4</v>
      </c>
      <c r="E108" s="269">
        <v>-6.2480543124640423E-4</v>
      </c>
      <c r="F108" s="269">
        <v>-6.2480543124640423E-4</v>
      </c>
      <c r="G108" s="269">
        <v>2.9078391978616105E-3</v>
      </c>
      <c r="H108" s="269">
        <v>4.0908549955952037E-5</v>
      </c>
      <c r="I108" s="269">
        <v>3.8999999999999998E-3</v>
      </c>
      <c r="J108" s="269">
        <v>1.6000000000000001E-3</v>
      </c>
      <c r="K108" s="269">
        <v>5.0440170793142787E-3</v>
      </c>
      <c r="L108" s="269">
        <v>4.6685081789919654E-3</v>
      </c>
      <c r="M108" s="269">
        <v>6.0000000000000001E-3</v>
      </c>
      <c r="N108" s="269">
        <v>6.0000000000000001E-3</v>
      </c>
      <c r="O108" s="269">
        <v>3.0348509308356797E-4</v>
      </c>
      <c r="P108" s="269">
        <v>1.2161047789600637E-3</v>
      </c>
      <c r="Q108" s="269">
        <v>-4.1815259487132875E-6</v>
      </c>
      <c r="R108" s="269">
        <v>9.326404113325663E-4</v>
      </c>
      <c r="S108" s="269">
        <f>S106/S107</f>
        <v>-4.9154940952935908E-4</v>
      </c>
      <c r="T108" s="269"/>
      <c r="U108" s="269">
        <v>-1.3511895707592398E-3</v>
      </c>
      <c r="V108" s="269">
        <v>-1.3511895707592398E-3</v>
      </c>
      <c r="W108" s="269">
        <v>3.571806614185861E-4</v>
      </c>
      <c r="X108" s="269">
        <v>4.5879667715713644E-4</v>
      </c>
      <c r="Y108" s="269">
        <v>3.2517553456671731E-4</v>
      </c>
      <c r="Z108" s="269">
        <v>4.8168568507325727E-4</v>
      </c>
      <c r="AA108" s="269">
        <f>AA106/AA107</f>
        <v>2.5129968893680552E-4</v>
      </c>
      <c r="AB108" s="269">
        <f>AB106/AB107</f>
        <v>2.9781363203563495E-4</v>
      </c>
      <c r="AC108" s="269">
        <f>AC106/AC107</f>
        <v>2.1135930919004934E-4</v>
      </c>
      <c r="AD108" s="269">
        <f>AD106/AD107</f>
        <v>2.1135930919004934E-4</v>
      </c>
      <c r="AE108" s="269">
        <f>AE106/AE107</f>
        <v>-2.2267368988810845E-4</v>
      </c>
      <c r="AF108" s="269">
        <f t="shared" ref="AF108:BB108" si="45">AF106/AF107</f>
        <v>-5.7015258045492196E-4</v>
      </c>
      <c r="AG108" s="269">
        <f t="shared" si="45"/>
        <v>-9.7708677069389778E-5</v>
      </c>
      <c r="AH108" s="269">
        <f t="shared" si="45"/>
        <v>6.4676460584925388E-4</v>
      </c>
      <c r="AI108" s="269">
        <f t="shared" si="45"/>
        <v>-4.8200263327904052E-4</v>
      </c>
      <c r="AJ108" s="269">
        <f t="shared" si="45"/>
        <v>2.4003537282928076E-4</v>
      </c>
      <c r="AK108" s="269">
        <f t="shared" si="45"/>
        <v>-1.2495613632779172E-3</v>
      </c>
      <c r="AL108" s="269">
        <f t="shared" si="45"/>
        <v>-1.2495613632779172E-3</v>
      </c>
      <c r="AM108" s="269">
        <f t="shared" si="45"/>
        <v>9.0370916246876808E-4</v>
      </c>
      <c r="AN108" s="269">
        <f t="shared" si="45"/>
        <v>0</v>
      </c>
      <c r="AO108" s="269">
        <f t="shared" si="45"/>
        <v>5.3344717231733861E-4</v>
      </c>
      <c r="AP108" s="269">
        <f t="shared" si="45"/>
        <v>1.6528053661373328E-4</v>
      </c>
      <c r="AQ108" s="269">
        <f t="shared" si="45"/>
        <v>7.3353499425003776E-4</v>
      </c>
      <c r="AR108" s="269">
        <f t="shared" si="45"/>
        <v>1.0218901299207423E-3</v>
      </c>
      <c r="AS108" s="269">
        <f t="shared" si="45"/>
        <v>8.0568306038034641E-4</v>
      </c>
      <c r="AT108" s="269">
        <f t="shared" si="45"/>
        <v>8.0568306038034641E-4</v>
      </c>
      <c r="AU108" s="269">
        <f t="shared" si="45"/>
        <v>1.2745790462859495E-3</v>
      </c>
      <c r="AV108" s="269">
        <f t="shared" si="45"/>
        <v>1.6130863455898032E-3</v>
      </c>
      <c r="AW108" s="269">
        <f t="shared" si="45"/>
        <v>1.1903574243649255E-3</v>
      </c>
      <c r="AX108" s="269">
        <f t="shared" si="45"/>
        <v>-1.8542027664705276E-4</v>
      </c>
      <c r="AY108" s="269">
        <f t="shared" si="45"/>
        <v>1.9164091495153528E-3</v>
      </c>
      <c r="AZ108" s="269">
        <f t="shared" si="45"/>
        <v>3.3352890005988352E-3</v>
      </c>
      <c r="BA108" s="269">
        <f t="shared" si="45"/>
        <v>5.0088855991086995E-4</v>
      </c>
      <c r="BB108" s="269">
        <f t="shared" si="45"/>
        <v>1.2350676819720082E-4</v>
      </c>
    </row>
    <row r="109" spans="1:54">
      <c r="A109" s="252"/>
      <c r="B109" s="255"/>
      <c r="C109" s="264"/>
      <c r="D109" s="264"/>
      <c r="E109" s="264"/>
      <c r="F109" s="264"/>
      <c r="G109" s="264"/>
      <c r="H109" s="264"/>
      <c r="I109" s="264"/>
      <c r="J109" s="264"/>
      <c r="K109" s="264"/>
      <c r="L109" s="264"/>
      <c r="M109" s="264"/>
      <c r="N109" s="264"/>
      <c r="O109" s="264"/>
      <c r="P109" s="264"/>
      <c r="Q109" s="264"/>
      <c r="R109" s="264"/>
      <c r="S109" s="264"/>
      <c r="T109" s="264"/>
      <c r="U109" s="264"/>
      <c r="V109" s="264"/>
      <c r="W109" s="264"/>
      <c r="X109" s="264"/>
      <c r="Y109" s="264"/>
      <c r="Z109" s="264"/>
      <c r="AA109" s="264"/>
      <c r="AB109" s="264"/>
      <c r="AC109" s="264"/>
      <c r="AD109" s="264"/>
      <c r="AE109" s="264"/>
      <c r="AF109" s="264"/>
      <c r="AG109" s="264"/>
      <c r="AH109" s="264"/>
      <c r="AI109" s="264"/>
      <c r="AJ109" s="264"/>
      <c r="AK109" s="264"/>
      <c r="AL109" s="264"/>
      <c r="AM109" s="264"/>
      <c r="AN109" s="264"/>
      <c r="AO109" s="264"/>
      <c r="AP109" s="264"/>
      <c r="AQ109" s="264"/>
      <c r="AR109" s="264"/>
      <c r="AS109" s="264"/>
      <c r="AT109" s="264"/>
      <c r="AU109" s="264"/>
      <c r="AV109" s="264"/>
      <c r="AW109" s="264"/>
      <c r="AX109" s="264"/>
      <c r="AY109" s="264"/>
      <c r="AZ109" s="264"/>
      <c r="BA109" s="264"/>
      <c r="BB109" s="264"/>
    </row>
    <row r="110" spans="1:54">
      <c r="A110" s="252"/>
      <c r="B110" s="255" t="s">
        <v>312</v>
      </c>
      <c r="C110" s="258">
        <v>8567.1172030532834</v>
      </c>
      <c r="D110" s="258"/>
      <c r="E110" s="258">
        <v>8178.9587217770859</v>
      </c>
      <c r="F110" s="258"/>
      <c r="G110" s="258">
        <v>9422.177099999999</v>
      </c>
      <c r="H110" s="258"/>
      <c r="I110" s="258">
        <v>7216.84</v>
      </c>
      <c r="J110" s="258"/>
      <c r="K110" s="258">
        <v>6332.45</v>
      </c>
      <c r="L110" s="258"/>
      <c r="M110" s="258">
        <v>7017</v>
      </c>
      <c r="N110" s="258"/>
      <c r="O110" s="258">
        <v>7924.9314160481954</v>
      </c>
      <c r="P110" s="258"/>
      <c r="Q110" s="258">
        <v>7330.4661390100937</v>
      </c>
      <c r="R110" s="258"/>
      <c r="S110" s="258">
        <v>6466.5740829999986</v>
      </c>
      <c r="T110" s="258"/>
      <c r="U110" s="258">
        <v>6226.2861937999987</v>
      </c>
      <c r="V110" s="258"/>
      <c r="W110" s="258">
        <v>6316.5747439999986</v>
      </c>
      <c r="X110" s="258"/>
      <c r="Y110" s="258">
        <v>6312.7258069999998</v>
      </c>
      <c r="Z110" s="258"/>
      <c r="AA110" s="258">
        <v>5125.3235400000003</v>
      </c>
      <c r="AB110" s="264"/>
      <c r="AC110" s="258">
        <v>4778.3094410895192</v>
      </c>
      <c r="AD110" s="264"/>
      <c r="AE110" s="258"/>
      <c r="AF110" s="264"/>
      <c r="AG110" s="273"/>
      <c r="AH110" s="283"/>
      <c r="AI110" s="273"/>
      <c r="AJ110" s="283"/>
      <c r="AK110" s="273"/>
      <c r="AL110" s="283"/>
      <c r="AM110" s="273"/>
      <c r="AN110" s="283"/>
      <c r="AO110" s="273"/>
      <c r="AP110" s="283"/>
      <c r="AQ110" s="258"/>
      <c r="AR110" s="264"/>
      <c r="AS110" s="258"/>
      <c r="AT110" s="264"/>
      <c r="AU110" s="258"/>
      <c r="AV110" s="264"/>
      <c r="AW110" s="258"/>
      <c r="AX110" s="264"/>
      <c r="AY110" s="258"/>
      <c r="AZ110" s="264"/>
      <c r="BA110" s="258"/>
      <c r="BB110" s="264"/>
    </row>
    <row r="111" spans="1:54">
      <c r="A111" s="252"/>
      <c r="B111" s="255" t="s">
        <v>208</v>
      </c>
      <c r="C111" s="258">
        <v>118131.69884341676</v>
      </c>
      <c r="D111" s="258"/>
      <c r="E111" s="258">
        <v>114037.49212344014</v>
      </c>
      <c r="F111" s="258"/>
      <c r="G111" s="258">
        <v>113368.40780000002</v>
      </c>
      <c r="H111" s="258"/>
      <c r="I111" s="258">
        <v>113623.98480000001</v>
      </c>
      <c r="J111" s="258"/>
      <c r="K111" s="258">
        <v>112381.12907763624</v>
      </c>
      <c r="L111" s="258"/>
      <c r="M111" s="258">
        <v>108811</v>
      </c>
      <c r="N111" s="258"/>
      <c r="O111" s="258">
        <v>107035.45492119202</v>
      </c>
      <c r="P111" s="258"/>
      <c r="Q111" s="258">
        <v>104037.30788707999</v>
      </c>
      <c r="R111" s="258"/>
      <c r="S111" s="258">
        <v>101668.24776078029</v>
      </c>
      <c r="T111" s="258"/>
      <c r="U111" s="258">
        <f>+U36</f>
        <v>98744.151407699988</v>
      </c>
      <c r="V111" s="258"/>
      <c r="W111" s="258">
        <f>+W36</f>
        <v>98940.269777329799</v>
      </c>
      <c r="X111" s="258"/>
      <c r="Y111" s="258">
        <f>+Y36</f>
        <v>98258.985487460028</v>
      </c>
      <c r="Z111" s="258"/>
      <c r="AA111" s="258">
        <f>+AA36</f>
        <v>96039.543704459997</v>
      </c>
      <c r="AB111" s="264"/>
      <c r="AC111" s="258">
        <f>+AC36</f>
        <v>92817.744119980198</v>
      </c>
      <c r="AD111" s="264"/>
      <c r="AE111" s="258"/>
      <c r="AF111" s="264"/>
      <c r="AG111" s="258"/>
      <c r="AH111" s="264"/>
      <c r="AI111" s="258"/>
      <c r="AJ111" s="264"/>
      <c r="AK111" s="258"/>
      <c r="AL111" s="264"/>
      <c r="AM111" s="258"/>
      <c r="AN111" s="264"/>
      <c r="AO111" s="258"/>
      <c r="AP111" s="264"/>
      <c r="AQ111" s="258"/>
      <c r="AR111" s="264"/>
      <c r="AS111" s="258"/>
      <c r="AT111" s="264"/>
      <c r="AU111" s="258"/>
      <c r="AV111" s="264"/>
      <c r="AW111" s="258"/>
      <c r="AX111" s="264"/>
      <c r="AY111" s="258"/>
      <c r="AZ111" s="264"/>
      <c r="BA111" s="258"/>
      <c r="BB111" s="264"/>
    </row>
    <row r="112" spans="1:54" ht="13.5" thickBot="1">
      <c r="A112" s="321" t="s">
        <v>351</v>
      </c>
      <c r="B112" s="268" t="s">
        <v>311</v>
      </c>
      <c r="C112" s="284">
        <v>7.2521747227295652E-2</v>
      </c>
      <c r="D112" s="284"/>
      <c r="E112" s="284">
        <v>7.1721664248138264E-2</v>
      </c>
      <c r="F112" s="284"/>
      <c r="G112" s="284">
        <v>8.3111135481608117E-2</v>
      </c>
      <c r="H112" s="284"/>
      <c r="I112" s="284">
        <v>6.3500000000000001E-2</v>
      </c>
      <c r="J112" s="284"/>
      <c r="K112" s="284">
        <v>5.6347983437907569E-2</v>
      </c>
      <c r="L112" s="284"/>
      <c r="M112" s="284">
        <v>6.4000000000000001E-2</v>
      </c>
      <c r="N112" s="284"/>
      <c r="O112" s="284">
        <v>7.404024602766586E-2</v>
      </c>
      <c r="P112" s="284"/>
      <c r="Q112" s="284">
        <v>7.0459975252016652E-2</v>
      </c>
      <c r="R112" s="284"/>
      <c r="S112" s="284">
        <f>S110/S111</f>
        <v>6.3604657554593505E-2</v>
      </c>
      <c r="T112" s="284"/>
      <c r="U112" s="284">
        <f>U110/U111</f>
        <v>6.3054733926393117E-2</v>
      </c>
      <c r="V112" s="284"/>
      <c r="W112" s="284">
        <f>W110/W111</f>
        <v>6.3842303626377578E-2</v>
      </c>
      <c r="X112" s="284"/>
      <c r="Y112" s="284">
        <f>Y110/Y111</f>
        <v>6.4245786537310015E-2</v>
      </c>
      <c r="Z112" s="284"/>
      <c r="AA112" s="284">
        <f>AA110/AA111</f>
        <v>5.3366804363128025E-2</v>
      </c>
      <c r="AB112" s="275"/>
      <c r="AC112" s="284">
        <f>AC110/AC111</f>
        <v>5.1480559955355859E-2</v>
      </c>
      <c r="AD112" s="275"/>
      <c r="AE112" s="284"/>
      <c r="AF112" s="275"/>
      <c r="AG112" s="284"/>
      <c r="AH112" s="275"/>
      <c r="AI112" s="284"/>
      <c r="AJ112" s="275"/>
      <c r="AK112" s="284"/>
      <c r="AL112" s="275"/>
      <c r="AM112" s="284"/>
      <c r="AN112" s="275"/>
      <c r="AO112" s="284"/>
      <c r="AP112" s="275"/>
      <c r="AQ112" s="284"/>
      <c r="AR112" s="275"/>
      <c r="AS112" s="284"/>
      <c r="AT112" s="275"/>
      <c r="AU112" s="284"/>
      <c r="AV112" s="275"/>
      <c r="AW112" s="284"/>
      <c r="AX112" s="275"/>
      <c r="AY112" s="284"/>
      <c r="AZ112" s="275"/>
      <c r="BA112" s="284"/>
      <c r="BB112" s="275"/>
    </row>
    <row r="113" spans="1:54" ht="15">
      <c r="A113" s="252"/>
      <c r="C113" s="364"/>
      <c r="D113" s="364"/>
      <c r="E113" s="364"/>
      <c r="F113" s="364"/>
      <c r="G113" s="364"/>
      <c r="H113" s="364"/>
      <c r="I113" s="364"/>
      <c r="J113" s="364"/>
      <c r="K113" s="364"/>
      <c r="L113" s="364"/>
      <c r="M113" s="364"/>
      <c r="N113" s="364"/>
      <c r="O113" s="364"/>
      <c r="P113" s="364"/>
      <c r="Q113" s="364"/>
      <c r="R113" s="364"/>
      <c r="S113" s="364"/>
      <c r="T113" s="364"/>
      <c r="U113" s="364"/>
      <c r="V113" s="364"/>
      <c r="W113" s="363"/>
      <c r="X113" s="364"/>
      <c r="Y113" s="364"/>
      <c r="Z113" s="364"/>
      <c r="AA113" s="364"/>
      <c r="AB113" s="364"/>
      <c r="AC113" s="364"/>
      <c r="AD113" s="264"/>
      <c r="AE113" s="264"/>
      <c r="AF113" s="264"/>
      <c r="AG113" s="264"/>
      <c r="AH113" s="264"/>
      <c r="AI113" s="264"/>
      <c r="AJ113" s="264"/>
      <c r="AK113" s="264"/>
      <c r="AL113" s="264"/>
      <c r="AM113" s="264"/>
      <c r="AN113" s="264"/>
      <c r="AO113" s="264"/>
      <c r="AP113" s="264"/>
      <c r="AQ113" s="264"/>
      <c r="AR113" s="264"/>
      <c r="AS113" s="264"/>
      <c r="AT113" s="264"/>
      <c r="AU113" s="264"/>
      <c r="AV113" s="264"/>
      <c r="AW113" s="264"/>
      <c r="AX113" s="264"/>
      <c r="AY113" s="264"/>
      <c r="AZ113" s="264"/>
      <c r="BA113" s="264"/>
      <c r="BB113" s="264"/>
    </row>
    <row r="114" spans="1:54">
      <c r="A114" s="252"/>
      <c r="B114" s="255" t="s">
        <v>313</v>
      </c>
      <c r="C114" s="258">
        <v>742.45523487594653</v>
      </c>
      <c r="D114" s="258"/>
      <c r="E114" s="258">
        <v>724.20667587594642</v>
      </c>
      <c r="F114" s="258"/>
      <c r="G114" s="258">
        <v>488.47259999999994</v>
      </c>
      <c r="H114" s="258"/>
      <c r="I114" s="258">
        <v>751.34</v>
      </c>
      <c r="J114" s="258"/>
      <c r="K114" s="258">
        <v>825.87</v>
      </c>
      <c r="L114" s="258"/>
      <c r="M114" s="258">
        <v>518</v>
      </c>
      <c r="N114" s="258"/>
      <c r="O114" s="258">
        <v>455.73847552582748</v>
      </c>
      <c r="P114" s="258"/>
      <c r="Q114" s="258">
        <v>493.5166941326089</v>
      </c>
      <c r="R114" s="258"/>
      <c r="S114" s="258">
        <v>469.47978100000034</v>
      </c>
      <c r="T114" s="258"/>
      <c r="U114" s="258">
        <v>427.0088410000003</v>
      </c>
      <c r="V114" s="258"/>
      <c r="W114" s="258">
        <v>456.23614999999995</v>
      </c>
      <c r="X114" s="258"/>
      <c r="Y114" s="258">
        <v>527.34799600000008</v>
      </c>
      <c r="Z114" s="258"/>
      <c r="AA114" s="258">
        <v>429.91798600000004</v>
      </c>
      <c r="AB114" s="264"/>
      <c r="AC114" s="258">
        <v>562.08029052990287</v>
      </c>
      <c r="AD114" s="264"/>
      <c r="AE114" s="258"/>
      <c r="AF114" s="264"/>
      <c r="AG114" s="273"/>
      <c r="AH114" s="283"/>
      <c r="AI114" s="273"/>
      <c r="AJ114" s="283"/>
      <c r="AK114" s="273"/>
      <c r="AL114" s="283"/>
      <c r="AM114" s="273"/>
      <c r="AN114" s="283"/>
      <c r="AO114" s="273"/>
      <c r="AP114" s="283"/>
      <c r="AQ114" s="258"/>
      <c r="AR114" s="264"/>
      <c r="AS114" s="258"/>
      <c r="AT114" s="264"/>
      <c r="AU114" s="258"/>
      <c r="AV114" s="264"/>
      <c r="AW114" s="258"/>
      <c r="AX114" s="264"/>
      <c r="AY114" s="258"/>
      <c r="AZ114" s="264"/>
      <c r="BA114" s="258"/>
      <c r="BB114" s="264"/>
    </row>
    <row r="115" spans="1:54">
      <c r="A115" s="252"/>
      <c r="B115" s="255" t="s">
        <v>208</v>
      </c>
      <c r="C115" s="258">
        <v>118131.69884341676</v>
      </c>
      <c r="D115" s="258"/>
      <c r="E115" s="258">
        <v>114037.49212344014</v>
      </c>
      <c r="F115" s="258"/>
      <c r="G115" s="258">
        <v>113368.40780000002</v>
      </c>
      <c r="H115" s="258"/>
      <c r="I115" s="258">
        <v>113623.98480000001</v>
      </c>
      <c r="J115" s="258"/>
      <c r="K115" s="258">
        <v>112381.12907763624</v>
      </c>
      <c r="L115" s="258"/>
      <c r="M115" s="258">
        <v>108811</v>
      </c>
      <c r="N115" s="258"/>
      <c r="O115" s="258">
        <v>107035.45492119202</v>
      </c>
      <c r="P115" s="258"/>
      <c r="Q115" s="258">
        <v>104037.30788707999</v>
      </c>
      <c r="R115" s="258"/>
      <c r="S115" s="258">
        <v>101668.24776078029</v>
      </c>
      <c r="T115" s="258"/>
      <c r="U115" s="258">
        <f>U36</f>
        <v>98744.151407699988</v>
      </c>
      <c r="V115" s="258"/>
      <c r="W115" s="258">
        <f>W36</f>
        <v>98940.269777329799</v>
      </c>
      <c r="X115" s="258"/>
      <c r="Y115" s="258">
        <f>Y36</f>
        <v>98258.985487460028</v>
      </c>
      <c r="Z115" s="258"/>
      <c r="AA115" s="258">
        <f>AA36</f>
        <v>96039.543704459997</v>
      </c>
      <c r="AB115" s="264"/>
      <c r="AC115" s="258">
        <f>AC36</f>
        <v>92817.744119980198</v>
      </c>
      <c r="AD115" s="264"/>
      <c r="AE115" s="258"/>
      <c r="AF115" s="264"/>
      <c r="AG115" s="258"/>
      <c r="AH115" s="264"/>
      <c r="AI115" s="258"/>
      <c r="AJ115" s="264"/>
      <c r="AK115" s="258"/>
      <c r="AL115" s="264"/>
      <c r="AM115" s="258"/>
      <c r="AN115" s="264"/>
      <c r="AO115" s="258"/>
      <c r="AP115" s="264"/>
      <c r="AQ115" s="258"/>
      <c r="AR115" s="264"/>
      <c r="AS115" s="258"/>
      <c r="AT115" s="264"/>
      <c r="AU115" s="258"/>
      <c r="AV115" s="264"/>
      <c r="AW115" s="258"/>
      <c r="AX115" s="264"/>
      <c r="AY115" s="258"/>
      <c r="AZ115" s="264"/>
      <c r="BA115" s="258"/>
      <c r="BB115" s="264"/>
    </row>
    <row r="116" spans="1:54" ht="13.5" thickBot="1">
      <c r="A116" s="321" t="s">
        <v>352</v>
      </c>
      <c r="B116" s="268" t="s">
        <v>314</v>
      </c>
      <c r="C116" s="284">
        <v>6.2849789018954933E-3</v>
      </c>
      <c r="D116" s="284"/>
      <c r="E116" s="284">
        <v>6.3506015643699639E-3</v>
      </c>
      <c r="F116" s="284"/>
      <c r="G116" s="284">
        <v>4.3087188880851501E-3</v>
      </c>
      <c r="H116" s="284"/>
      <c r="I116" s="284">
        <v>6.6E-3</v>
      </c>
      <c r="J116" s="284"/>
      <c r="K116" s="284">
        <v>7.3488316657636023E-3</v>
      </c>
      <c r="L116" s="284"/>
      <c r="M116" s="284">
        <v>5.0000000000000001E-3</v>
      </c>
      <c r="N116" s="284"/>
      <c r="O116" s="284">
        <v>4.2578272392206698E-3</v>
      </c>
      <c r="P116" s="284"/>
      <c r="Q116" s="284">
        <v>4.743651139726357E-3</v>
      </c>
      <c r="R116" s="284"/>
      <c r="S116" s="284">
        <f>S114/S115</f>
        <v>4.6177620972150529E-3</v>
      </c>
      <c r="T116" s="284"/>
      <c r="U116" s="284">
        <f>U114/U115</f>
        <v>4.3243962798054135E-3</v>
      </c>
      <c r="V116" s="284"/>
      <c r="W116" s="284">
        <f>W114/W115</f>
        <v>4.6112280775743083E-3</v>
      </c>
      <c r="X116" s="284"/>
      <c r="Y116" s="284">
        <f>Y114/Y115</f>
        <v>5.3669187950989086E-3</v>
      </c>
      <c r="Z116" s="284"/>
      <c r="AA116" s="284">
        <f>AA114/AA115</f>
        <v>4.4764684359910696E-3</v>
      </c>
      <c r="AB116" s="275"/>
      <c r="AC116" s="284">
        <f>AC114/AC115</f>
        <v>6.0557417750137709E-3</v>
      </c>
      <c r="AD116" s="275"/>
      <c r="AE116" s="284"/>
      <c r="AF116" s="275"/>
      <c r="AG116" s="284"/>
      <c r="AH116" s="275"/>
      <c r="AI116" s="284"/>
      <c r="AJ116" s="275"/>
      <c r="AK116" s="284"/>
      <c r="AL116" s="275"/>
      <c r="AM116" s="284"/>
      <c r="AN116" s="275"/>
      <c r="AO116" s="284"/>
      <c r="AP116" s="275"/>
      <c r="AQ116" s="284"/>
      <c r="AR116" s="275"/>
      <c r="AS116" s="284"/>
      <c r="AT116" s="275"/>
      <c r="AU116" s="284"/>
      <c r="AV116" s="275"/>
      <c r="AW116" s="284"/>
      <c r="AX116" s="275"/>
      <c r="AY116" s="284"/>
      <c r="AZ116" s="275"/>
      <c r="BA116" s="284"/>
      <c r="BB116" s="275"/>
    </row>
    <row r="117" spans="1:54">
      <c r="A117" s="252"/>
      <c r="B117" s="255"/>
      <c r="C117" s="264"/>
      <c r="D117" s="264"/>
      <c r="E117" s="264"/>
      <c r="F117" s="264"/>
      <c r="G117" s="264"/>
      <c r="H117" s="264"/>
      <c r="I117" s="264"/>
      <c r="J117" s="264"/>
      <c r="K117" s="264"/>
      <c r="L117" s="264"/>
      <c r="M117" s="264"/>
      <c r="N117" s="264"/>
      <c r="O117" s="264"/>
      <c r="P117" s="264"/>
      <c r="Q117" s="264"/>
      <c r="R117" s="264"/>
      <c r="S117" s="264"/>
      <c r="T117" s="264"/>
      <c r="U117" s="264"/>
      <c r="V117" s="264"/>
      <c r="W117" s="264"/>
      <c r="X117" s="264"/>
      <c r="Y117" s="264"/>
      <c r="Z117" s="264"/>
      <c r="AA117" s="264"/>
      <c r="AB117" s="264"/>
      <c r="AC117" s="264"/>
      <c r="AD117" s="264"/>
      <c r="AE117" s="264"/>
      <c r="AF117" s="264"/>
      <c r="AG117" s="264"/>
      <c r="AH117" s="264"/>
      <c r="AI117" s="264"/>
      <c r="AJ117" s="264"/>
      <c r="AK117" s="264"/>
      <c r="AL117" s="264"/>
      <c r="AM117" s="264"/>
      <c r="AN117" s="264"/>
      <c r="AO117" s="264"/>
      <c r="AP117" s="264"/>
      <c r="AQ117" s="264"/>
      <c r="AR117" s="264"/>
      <c r="AS117" s="264"/>
      <c r="AT117" s="264"/>
      <c r="AU117" s="264"/>
      <c r="AV117" s="264"/>
      <c r="AW117" s="264"/>
      <c r="AX117" s="264"/>
      <c r="AY117" s="264"/>
      <c r="AZ117" s="264"/>
      <c r="BA117" s="264"/>
      <c r="BB117" s="264"/>
    </row>
    <row r="118" spans="1:54">
      <c r="A118" s="252"/>
      <c r="B118" s="255" t="s">
        <v>207</v>
      </c>
      <c r="C118" s="258">
        <v>393.97199999999998</v>
      </c>
      <c r="D118" s="258"/>
      <c r="E118" s="258">
        <v>330.33799999999997</v>
      </c>
      <c r="F118" s="258"/>
      <c r="G118" s="258">
        <v>326.84500000000003</v>
      </c>
      <c r="H118" s="258"/>
      <c r="I118" s="258">
        <v>395.05799999999999</v>
      </c>
      <c r="J118" s="258"/>
      <c r="K118" s="258">
        <v>390.82376499999998</v>
      </c>
      <c r="L118" s="258"/>
      <c r="M118" s="258">
        <v>476</v>
      </c>
      <c r="N118" s="258"/>
      <c r="O118" s="258">
        <v>406.88716299999999</v>
      </c>
      <c r="P118" s="258"/>
      <c r="Q118" s="258">
        <v>306.28355399999998</v>
      </c>
      <c r="R118" s="258"/>
      <c r="S118" s="258">
        <v>341.524</v>
      </c>
      <c r="T118" s="258"/>
      <c r="U118" s="258">
        <v>307.79300000000001</v>
      </c>
      <c r="V118" s="258"/>
      <c r="W118" s="258">
        <f>66.977712+247.212</f>
        <v>314.18971199999999</v>
      </c>
      <c r="X118" s="258"/>
      <c r="Y118" s="258">
        <f>277.694+73.185594</f>
        <v>350.879594</v>
      </c>
      <c r="Z118" s="258"/>
      <c r="AA118" s="258">
        <v>313.64925100000005</v>
      </c>
      <c r="AB118" s="264"/>
      <c r="AC118" s="258">
        <v>231.518</v>
      </c>
      <c r="AD118" s="264"/>
      <c r="AE118" s="258">
        <v>286.57365616999999</v>
      </c>
      <c r="AF118" s="264"/>
      <c r="AG118" s="273">
        <v>284.02508992999998</v>
      </c>
      <c r="AH118" s="283"/>
      <c r="AI118" s="273">
        <v>262.17069946000004</v>
      </c>
      <c r="AJ118" s="283"/>
      <c r="AK118" s="273">
        <v>222.20291896000003</v>
      </c>
      <c r="AL118" s="283"/>
      <c r="AM118" s="273">
        <v>232.715</v>
      </c>
      <c r="AN118" s="283"/>
      <c r="AO118" s="273">
        <v>336.17699999999996</v>
      </c>
      <c r="AP118" s="283"/>
      <c r="AQ118" s="258">
        <v>332.45699999999999</v>
      </c>
      <c r="AR118" s="264"/>
      <c r="AS118" s="258">
        <v>259.5</v>
      </c>
      <c r="AT118" s="264"/>
      <c r="AU118" s="258">
        <v>286.5</v>
      </c>
      <c r="AV118" s="264"/>
      <c r="AW118" s="258">
        <v>331.45699999999999</v>
      </c>
      <c r="AX118" s="264"/>
      <c r="AY118" s="258">
        <v>373.90199999999999</v>
      </c>
      <c r="AZ118" s="264"/>
      <c r="BA118" s="258">
        <v>300.7</v>
      </c>
      <c r="BB118" s="264"/>
    </row>
    <row r="119" spans="1:54">
      <c r="A119" s="252"/>
      <c r="B119" s="255" t="s">
        <v>208</v>
      </c>
      <c r="C119" s="258">
        <v>118131.69884341676</v>
      </c>
      <c r="D119" s="258"/>
      <c r="E119" s="258">
        <v>114037.49212344014</v>
      </c>
      <c r="F119" s="258"/>
      <c r="G119" s="258">
        <v>113368.40780000002</v>
      </c>
      <c r="H119" s="258"/>
      <c r="I119" s="258">
        <v>113623.98480000001</v>
      </c>
      <c r="J119" s="258"/>
      <c r="K119" s="258">
        <v>112381.12907763624</v>
      </c>
      <c r="L119" s="258"/>
      <c r="M119" s="258">
        <v>108811</v>
      </c>
      <c r="N119" s="258"/>
      <c r="O119" s="258">
        <v>107035.45492119202</v>
      </c>
      <c r="P119" s="258"/>
      <c r="Q119" s="258">
        <v>104037.30788707999</v>
      </c>
      <c r="R119" s="258"/>
      <c r="S119" s="258">
        <v>101668.24776078029</v>
      </c>
      <c r="T119" s="258"/>
      <c r="U119" s="258">
        <v>98744.151407699988</v>
      </c>
      <c r="V119" s="258"/>
      <c r="W119" s="258">
        <f>W36</f>
        <v>98940.269777329799</v>
      </c>
      <c r="X119" s="258"/>
      <c r="Y119" s="258">
        <f>Y36</f>
        <v>98258.985487460028</v>
      </c>
      <c r="Z119" s="258"/>
      <c r="AA119" s="258">
        <v>96039.543704459997</v>
      </c>
      <c r="AB119" s="264"/>
      <c r="AC119" s="258">
        <f>AC36</f>
        <v>92817.744119980198</v>
      </c>
      <c r="AD119" s="264"/>
      <c r="AE119" s="258">
        <f>AE36</f>
        <v>90460.14825605003</v>
      </c>
      <c r="AF119" s="264"/>
      <c r="AG119" s="258">
        <f>AG36</f>
        <v>88945.039514610005</v>
      </c>
      <c r="AH119" s="264"/>
      <c r="AI119" s="258">
        <f>AI36</f>
        <v>87527.837190519887</v>
      </c>
      <c r="AJ119" s="264"/>
      <c r="AK119" s="258">
        <f>AK36</f>
        <v>84901.214854689984</v>
      </c>
      <c r="AL119" s="264"/>
      <c r="AM119" s="258">
        <f>AM36</f>
        <v>82944.802144999994</v>
      </c>
      <c r="AN119" s="264"/>
      <c r="AO119" s="258">
        <f>AO36</f>
        <v>81336.069999999992</v>
      </c>
      <c r="AP119" s="264"/>
      <c r="AQ119" s="258">
        <f>AQ36</f>
        <v>79286.388672980014</v>
      </c>
      <c r="AR119" s="264"/>
      <c r="AS119" s="258">
        <f>AS36</f>
        <v>44307.5</v>
      </c>
      <c r="AT119" s="264"/>
      <c r="AU119" s="258">
        <f>AU36</f>
        <v>43779.16</v>
      </c>
      <c r="AV119" s="264"/>
      <c r="AW119" s="258">
        <f>AW36</f>
        <v>42793.5</v>
      </c>
      <c r="AX119" s="264"/>
      <c r="AY119" s="258">
        <f>AY36</f>
        <v>42090.69</v>
      </c>
      <c r="AZ119" s="264"/>
      <c r="BA119" s="258">
        <f>BA36</f>
        <v>40483.611327409999</v>
      </c>
      <c r="BB119" s="264"/>
    </row>
    <row r="120" spans="1:54" ht="13.5" thickBot="1">
      <c r="A120" s="321" t="s">
        <v>353</v>
      </c>
      <c r="B120" s="268" t="s">
        <v>223</v>
      </c>
      <c r="C120" s="284">
        <v>3.3350235699412803E-3</v>
      </c>
      <c r="D120" s="284"/>
      <c r="E120" s="284">
        <v>2.8967490765442723E-3</v>
      </c>
      <c r="F120" s="284"/>
      <c r="G120" s="284">
        <v>2.8830342274596184E-3</v>
      </c>
      <c r="H120" s="284"/>
      <c r="I120" s="284">
        <v>3.5000000000000001E-3</v>
      </c>
      <c r="J120" s="284"/>
      <c r="K120" s="284">
        <v>3.4776636274049823E-3</v>
      </c>
      <c r="L120" s="284"/>
      <c r="M120" s="284">
        <v>4.0000000000000001E-3</v>
      </c>
      <c r="N120" s="284"/>
      <c r="O120" s="284">
        <v>3.801424147723598E-3</v>
      </c>
      <c r="P120" s="284"/>
      <c r="Q120" s="284">
        <v>2.9439780807518972E-3</v>
      </c>
      <c r="R120" s="284"/>
      <c r="S120" s="284">
        <f>S118/S119</f>
        <v>3.3592002175899297E-3</v>
      </c>
      <c r="T120" s="284"/>
      <c r="U120" s="284">
        <f>U118/U119</f>
        <v>3.117075751951812E-3</v>
      </c>
      <c r="V120" s="284"/>
      <c r="W120" s="284">
        <f>W118/W119</f>
        <v>3.175549376478356E-3</v>
      </c>
      <c r="X120" s="284"/>
      <c r="Y120" s="284">
        <f>Y118/Y119</f>
        <v>3.570966993596528E-3</v>
      </c>
      <c r="Z120" s="284"/>
      <c r="AA120" s="284">
        <f>AA118/AA119</f>
        <v>3.2658344563275391E-3</v>
      </c>
      <c r="AB120" s="275"/>
      <c r="AC120" s="284">
        <f>AC118/AC119</f>
        <v>2.4943290983319944E-3</v>
      </c>
      <c r="AD120" s="275"/>
      <c r="AE120" s="284">
        <f>AE118/AE119</f>
        <v>3.1679547479719476E-3</v>
      </c>
      <c r="AF120" s="275"/>
      <c r="AG120" s="284">
        <f>AG118/AG119</f>
        <v>3.193265093590142E-3</v>
      </c>
      <c r="AH120" s="275"/>
      <c r="AI120" s="284">
        <f>AI118/AI119</f>
        <v>2.9952836477535592E-3</v>
      </c>
      <c r="AJ120" s="275"/>
      <c r="AK120" s="284">
        <f>AK118/AK119</f>
        <v>2.6171936330982365E-3</v>
      </c>
      <c r="AL120" s="275"/>
      <c r="AM120" s="284">
        <f>AM118/AM119</f>
        <v>2.8056610418236839E-3</v>
      </c>
      <c r="AN120" s="275"/>
      <c r="AO120" s="284">
        <f>AO118/AO119</f>
        <v>4.1331846989902509E-3</v>
      </c>
      <c r="AP120" s="275"/>
      <c r="AQ120" s="284">
        <f>AQ118/AQ119</f>
        <v>4.193115685609451E-3</v>
      </c>
      <c r="AR120" s="275"/>
      <c r="AS120" s="284">
        <f>AS118/AS119</f>
        <v>5.8567962534559611E-3</v>
      </c>
      <c r="AT120" s="275"/>
      <c r="AU120" s="284">
        <f>AU118/AU119</f>
        <v>6.5442096193714079E-3</v>
      </c>
      <c r="AV120" s="275"/>
      <c r="AW120" s="284">
        <f>AW118/AW119</f>
        <v>7.7454987322841083E-3</v>
      </c>
      <c r="AX120" s="275"/>
      <c r="AY120" s="284">
        <f>AY118/AY119</f>
        <v>8.8832471028628887E-3</v>
      </c>
      <c r="AZ120" s="275"/>
      <c r="BA120" s="284">
        <f>BA118/BA119</f>
        <v>7.4276970393796571E-3</v>
      </c>
      <c r="BB120" s="275"/>
    </row>
    <row r="121" spans="1:54">
      <c r="A121" s="252"/>
      <c r="B121" s="255"/>
      <c r="C121" s="264"/>
      <c r="D121" s="264"/>
      <c r="E121" s="264"/>
      <c r="F121" s="264"/>
      <c r="G121" s="264"/>
      <c r="H121" s="264"/>
      <c r="I121" s="264"/>
      <c r="J121" s="264"/>
      <c r="K121" s="264"/>
      <c r="L121" s="264"/>
      <c r="M121" s="264"/>
      <c r="N121" s="264"/>
      <c r="O121" s="264"/>
      <c r="P121" s="264"/>
      <c r="Q121" s="264"/>
      <c r="R121" s="264"/>
      <c r="S121" s="264"/>
      <c r="T121" s="264"/>
      <c r="U121" s="264"/>
      <c r="V121" s="264"/>
      <c r="W121" s="264"/>
      <c r="X121" s="264"/>
      <c r="Y121" s="264"/>
      <c r="Z121" s="264"/>
      <c r="AA121" s="264"/>
      <c r="AB121" s="264"/>
      <c r="AC121" s="264"/>
      <c r="AD121" s="264"/>
      <c r="AE121" s="264"/>
      <c r="AF121" s="264"/>
      <c r="AG121" s="264"/>
      <c r="AH121" s="264"/>
      <c r="AI121" s="264"/>
      <c r="AJ121" s="264"/>
      <c r="AK121" s="264"/>
      <c r="AL121" s="264"/>
      <c r="AM121" s="264"/>
      <c r="AN121" s="264"/>
      <c r="AO121" s="264"/>
      <c r="AP121" s="264"/>
      <c r="AQ121" s="264"/>
      <c r="AR121" s="264"/>
      <c r="AS121" s="264"/>
      <c r="AT121" s="264"/>
      <c r="AU121" s="264"/>
      <c r="AV121" s="264"/>
      <c r="AW121" s="264"/>
      <c r="AX121" s="264"/>
      <c r="AY121" s="258"/>
      <c r="AZ121" s="264"/>
      <c r="BA121" s="264"/>
      <c r="BB121" s="264"/>
    </row>
    <row r="122" spans="1:54">
      <c r="A122" s="252"/>
      <c r="B122" s="256" t="s">
        <v>209</v>
      </c>
      <c r="C122" s="258">
        <v>348.18546199999997</v>
      </c>
      <c r="D122" s="258"/>
      <c r="E122" s="258">
        <v>393.60399999999998</v>
      </c>
      <c r="F122" s="258"/>
      <c r="G122" s="258">
        <v>187.74600000000001</v>
      </c>
      <c r="H122" s="258"/>
      <c r="I122" s="258">
        <v>493.05</v>
      </c>
      <c r="J122" s="258"/>
      <c r="K122" s="258">
        <v>375.87459699999999</v>
      </c>
      <c r="L122" s="258"/>
      <c r="M122" s="258">
        <v>173</v>
      </c>
      <c r="N122" s="258"/>
      <c r="O122" s="258">
        <v>83.810366000000002</v>
      </c>
      <c r="P122" s="258"/>
      <c r="Q122" s="258">
        <v>98.724193</v>
      </c>
      <c r="R122" s="258"/>
      <c r="S122" s="258">
        <v>105.97900000000001</v>
      </c>
      <c r="T122" s="258"/>
      <c r="U122" s="258">
        <v>111.137</v>
      </c>
      <c r="V122" s="258"/>
      <c r="W122" s="258">
        <f>4.789461+129.191</f>
        <v>133.98046099999999</v>
      </c>
      <c r="X122" s="258"/>
      <c r="Y122" s="258">
        <f>147.104+4.155131</f>
        <v>151.25913100000002</v>
      </c>
      <c r="Z122" s="258"/>
      <c r="AA122" s="258">
        <v>218.058446</v>
      </c>
      <c r="AB122" s="264"/>
      <c r="AC122" s="258">
        <v>252.654</v>
      </c>
      <c r="AD122" s="264"/>
      <c r="AE122" s="258">
        <v>254.45234506</v>
      </c>
      <c r="AF122" s="264"/>
      <c r="AG122" s="258">
        <v>250.24210007000002</v>
      </c>
      <c r="AH122" s="264"/>
      <c r="AI122" s="258">
        <v>262.46432599999997</v>
      </c>
      <c r="AJ122" s="264"/>
      <c r="AK122" s="258">
        <v>256.79862200000002</v>
      </c>
      <c r="AL122" s="264"/>
      <c r="AM122" s="258">
        <v>272.18251900000001</v>
      </c>
      <c r="AN122" s="264"/>
      <c r="AO122" s="258">
        <v>223.315</v>
      </c>
      <c r="AP122" s="264"/>
      <c r="AQ122" s="258">
        <v>232.28300000000002</v>
      </c>
      <c r="AR122" s="264"/>
      <c r="AS122" s="258">
        <v>219.3</v>
      </c>
      <c r="AT122" s="264"/>
      <c r="AU122" s="258">
        <v>256.5</v>
      </c>
      <c r="AV122" s="264"/>
      <c r="AW122" s="258">
        <v>211.9</v>
      </c>
      <c r="AX122" s="264"/>
      <c r="AY122" s="258">
        <v>216.64699999999999</v>
      </c>
      <c r="AZ122" s="264"/>
      <c r="BA122" s="263">
        <v>217.36</v>
      </c>
      <c r="BB122" s="264"/>
    </row>
    <row r="123" spans="1:54">
      <c r="A123" s="252"/>
      <c r="B123" s="255" t="s">
        <v>208</v>
      </c>
      <c r="C123" s="258">
        <v>118131.69884341676</v>
      </c>
      <c r="D123" s="258"/>
      <c r="E123" s="258">
        <v>114037.49212344014</v>
      </c>
      <c r="F123" s="258"/>
      <c r="G123" s="258">
        <v>113368.40780000002</v>
      </c>
      <c r="H123" s="258"/>
      <c r="I123" s="258">
        <v>113623.98480000001</v>
      </c>
      <c r="J123" s="258"/>
      <c r="K123" s="258">
        <v>112381.12907763624</v>
      </c>
      <c r="L123" s="258"/>
      <c r="M123" s="258">
        <v>108811</v>
      </c>
      <c r="N123" s="258"/>
      <c r="O123" s="258">
        <v>107035.45492119202</v>
      </c>
      <c r="P123" s="258"/>
      <c r="Q123" s="258">
        <v>104037.30788707999</v>
      </c>
      <c r="R123" s="258"/>
      <c r="S123" s="258">
        <v>101668.24776078029</v>
      </c>
      <c r="T123" s="258"/>
      <c r="U123" s="258">
        <v>98744.151407699988</v>
      </c>
      <c r="V123" s="258"/>
      <c r="W123" s="258">
        <f>+W107</f>
        <v>98940.269777329799</v>
      </c>
      <c r="X123" s="258"/>
      <c r="Y123" s="258">
        <f>+Y107</f>
        <v>98258.985487460028</v>
      </c>
      <c r="Z123" s="258"/>
      <c r="AA123" s="258">
        <v>96039.543704459997</v>
      </c>
      <c r="AB123" s="264"/>
      <c r="AC123" s="258">
        <f>+AC107</f>
        <v>92817.744119980198</v>
      </c>
      <c r="AD123" s="264"/>
      <c r="AE123" s="258">
        <f>AE36</f>
        <v>90460.14825605003</v>
      </c>
      <c r="AF123" s="264"/>
      <c r="AG123" s="258">
        <f>AG36</f>
        <v>88945.039514610005</v>
      </c>
      <c r="AH123" s="264"/>
      <c r="AI123" s="258">
        <f>AI36</f>
        <v>87527.837190519887</v>
      </c>
      <c r="AJ123" s="264"/>
      <c r="AK123" s="258">
        <f>AK36</f>
        <v>84901.214854689984</v>
      </c>
      <c r="AL123" s="264"/>
      <c r="AM123" s="258">
        <f>AM36</f>
        <v>82944.802144999994</v>
      </c>
      <c r="AN123" s="264"/>
      <c r="AO123" s="258">
        <f>AO36</f>
        <v>81336.069999999992</v>
      </c>
      <c r="AP123" s="264"/>
      <c r="AQ123" s="258">
        <f>AQ36</f>
        <v>79286.388672980014</v>
      </c>
      <c r="AR123" s="264"/>
      <c r="AS123" s="258">
        <f>AS36</f>
        <v>44307.5</v>
      </c>
      <c r="AT123" s="264"/>
      <c r="AU123" s="258">
        <f>AU36</f>
        <v>43779.16</v>
      </c>
      <c r="AV123" s="264"/>
      <c r="AW123" s="258">
        <f>AW36</f>
        <v>42793.5</v>
      </c>
      <c r="AX123" s="264"/>
      <c r="AY123" s="258">
        <f>AY36</f>
        <v>42090.69</v>
      </c>
      <c r="AZ123" s="264"/>
      <c r="BA123" s="258">
        <f>BA36</f>
        <v>40483.611327409999</v>
      </c>
      <c r="BB123" s="264"/>
    </row>
    <row r="124" spans="1:54" ht="13.5" thickBot="1">
      <c r="A124" s="321" t="s">
        <v>354</v>
      </c>
      <c r="B124" s="281" t="s">
        <v>224</v>
      </c>
      <c r="C124" s="284">
        <v>2.9474346463223122E-3</v>
      </c>
      <c r="D124" s="284"/>
      <c r="E124" s="284">
        <v>3.4515315329272803E-3</v>
      </c>
      <c r="F124" s="284"/>
      <c r="G124" s="284">
        <v>1.6560698314755725E-3</v>
      </c>
      <c r="H124" s="284"/>
      <c r="I124" s="284">
        <v>4.3E-3</v>
      </c>
      <c r="J124" s="284"/>
      <c r="K124" s="284">
        <v>3.3446415789285637E-3</v>
      </c>
      <c r="L124" s="284"/>
      <c r="M124" s="284">
        <v>2E-3</v>
      </c>
      <c r="N124" s="284"/>
      <c r="O124" s="284">
        <v>7.8301499313202178E-4</v>
      </c>
      <c r="P124" s="284"/>
      <c r="Q124" s="284">
        <v>9.4893067693709704E-4</v>
      </c>
      <c r="R124" s="284"/>
      <c r="S124" s="284">
        <f>S122/S123</f>
        <v>1.0424001823004041E-3</v>
      </c>
      <c r="T124" s="284"/>
      <c r="U124" s="284">
        <f>U122/U123</f>
        <v>1.1255046341036622E-3</v>
      </c>
      <c r="V124" s="284"/>
      <c r="W124" s="284">
        <f>W122/W123</f>
        <v>1.3541549997946232E-3</v>
      </c>
      <c r="X124" s="284"/>
      <c r="Y124" s="284">
        <f>Y122/Y123</f>
        <v>1.5393923542931752E-3</v>
      </c>
      <c r="Z124" s="284"/>
      <c r="AA124" s="284">
        <f>AA122/AA123</f>
        <v>2.2705068931920961E-3</v>
      </c>
      <c r="AB124" s="275"/>
      <c r="AC124" s="284">
        <f>AC122/AC123</f>
        <v>2.7220441780335513E-3</v>
      </c>
      <c r="AD124" s="275"/>
      <c r="AE124" s="284">
        <f>AE122/AE123</f>
        <v>2.8128667702352794E-3</v>
      </c>
      <c r="AF124" s="275"/>
      <c r="AG124" s="284">
        <f>AG122/AG123</f>
        <v>2.8134463870679999E-3</v>
      </c>
      <c r="AH124" s="275"/>
      <c r="AI124" s="284">
        <f>AI122/AI123</f>
        <v>2.9986383123885461E-3</v>
      </c>
      <c r="AJ124" s="275"/>
      <c r="AK124" s="284">
        <f>AK122/AK123</f>
        <v>3.0246754706574654E-3</v>
      </c>
      <c r="AL124" s="275"/>
      <c r="AM124" s="284">
        <f>AM122/AM123</f>
        <v>3.2814897613979961E-3</v>
      </c>
      <c r="AN124" s="275"/>
      <c r="AO124" s="284">
        <f>AO122/AO123</f>
        <v>2.745583847363169E-3</v>
      </c>
      <c r="AP124" s="275"/>
      <c r="AQ124" s="284">
        <f>AQ122/AQ123</f>
        <v>2.9296705763464754E-3</v>
      </c>
      <c r="AR124" s="275"/>
      <c r="AS124" s="284">
        <f>AS122/AS123</f>
        <v>4.9495006488743439E-3</v>
      </c>
      <c r="AT124" s="275"/>
      <c r="AU124" s="284">
        <f>AU122/AU123</f>
        <v>5.8589520676047687E-3</v>
      </c>
      <c r="AV124" s="275"/>
      <c r="AW124" s="284">
        <f>AW122/AW123</f>
        <v>4.9516865879163895E-3</v>
      </c>
      <c r="AX124" s="275"/>
      <c r="AY124" s="284">
        <f>AY122/AY123</f>
        <v>5.147147742172912E-3</v>
      </c>
      <c r="AZ124" s="275"/>
      <c r="BA124" s="284">
        <f>BA122/BA123</f>
        <v>5.369086227068714E-3</v>
      </c>
      <c r="BB124" s="275"/>
    </row>
    <row r="125" spans="1:54">
      <c r="A125" s="252"/>
      <c r="B125" s="285"/>
      <c r="C125" s="286"/>
      <c r="D125" s="286"/>
      <c r="E125" s="286"/>
      <c r="F125" s="286"/>
      <c r="G125" s="286"/>
      <c r="H125" s="286"/>
      <c r="I125" s="286"/>
      <c r="J125" s="286"/>
      <c r="K125" s="286"/>
      <c r="L125" s="286"/>
      <c r="M125" s="286"/>
      <c r="N125" s="286"/>
      <c r="O125" s="286"/>
      <c r="P125" s="286"/>
      <c r="Q125" s="286"/>
      <c r="R125" s="286"/>
      <c r="S125" s="286"/>
      <c r="T125" s="286"/>
      <c r="U125" s="286"/>
      <c r="V125" s="286"/>
      <c r="W125" s="286"/>
      <c r="X125" s="286"/>
      <c r="Y125" s="286"/>
      <c r="Z125" s="286"/>
      <c r="AA125" s="286"/>
      <c r="AB125" s="286"/>
      <c r="AC125" s="286"/>
      <c r="AD125" s="286"/>
      <c r="AE125" s="286"/>
      <c r="AF125" s="286"/>
      <c r="AG125" s="286"/>
      <c r="AH125" s="286"/>
      <c r="AI125" s="286"/>
      <c r="AJ125" s="286"/>
      <c r="AK125" s="286"/>
      <c r="AL125" s="286"/>
      <c r="AM125" s="286"/>
      <c r="AN125" s="286"/>
      <c r="AO125" s="286"/>
      <c r="AP125" s="286"/>
      <c r="AQ125" s="286"/>
      <c r="AR125" s="286"/>
      <c r="AS125" s="286"/>
      <c r="AT125" s="286"/>
      <c r="AU125" s="286"/>
      <c r="AV125" s="286"/>
      <c r="AW125" s="286"/>
      <c r="AX125" s="286"/>
      <c r="AY125" s="287"/>
      <c r="AZ125" s="286"/>
      <c r="BA125" s="286"/>
      <c r="BB125" s="286"/>
    </row>
    <row r="126" spans="1:54">
      <c r="A126" s="252"/>
      <c r="B126" s="255" t="s">
        <v>210</v>
      </c>
      <c r="C126" s="263">
        <v>312.49099999999999</v>
      </c>
      <c r="D126" s="263"/>
      <c r="E126" s="263">
        <v>257.31999999999994</v>
      </c>
      <c r="F126" s="263"/>
      <c r="G126" s="263">
        <v>249.59900000000002</v>
      </c>
      <c r="H126" s="263"/>
      <c r="I126" s="263">
        <v>321.29950000000002</v>
      </c>
      <c r="J126" s="263"/>
      <c r="K126" s="263">
        <v>325.07061999999996</v>
      </c>
      <c r="L126" s="263"/>
      <c r="M126" s="263">
        <v>427</v>
      </c>
      <c r="N126" s="263"/>
      <c r="O126" s="263">
        <v>310.01256999999998</v>
      </c>
      <c r="P126" s="263"/>
      <c r="Q126" s="263">
        <v>262.34312599999998</v>
      </c>
      <c r="R126" s="263"/>
      <c r="S126" s="263">
        <f>S118-S133</f>
        <v>299.95699999999999</v>
      </c>
      <c r="T126" s="263"/>
      <c r="U126" s="263">
        <v>275.22500000000002</v>
      </c>
      <c r="V126" s="263"/>
      <c r="W126" s="263">
        <f>W118-W133</f>
        <v>264.33771200000001</v>
      </c>
      <c r="X126" s="263"/>
      <c r="Y126" s="263">
        <f>Y118-Y133</f>
        <v>286.767</v>
      </c>
      <c r="Z126" s="263"/>
      <c r="AA126" s="263">
        <v>257.55793400000005</v>
      </c>
      <c r="AB126" s="288"/>
      <c r="AC126" s="263">
        <v>193.17000000000002</v>
      </c>
      <c r="AD126" s="288"/>
      <c r="AE126" s="263">
        <v>244.41251417000001</v>
      </c>
      <c r="AF126" s="288"/>
      <c r="AG126" s="263">
        <v>230.18639757</v>
      </c>
      <c r="AH126" s="288"/>
      <c r="AI126" s="263">
        <v>221.43033446000004</v>
      </c>
      <c r="AJ126" s="288"/>
      <c r="AK126" s="263">
        <v>176.29389296000005</v>
      </c>
      <c r="AL126" s="289"/>
      <c r="AM126" s="263">
        <v>178.596238</v>
      </c>
      <c r="AN126" s="289"/>
      <c r="AO126" s="263">
        <v>286.62699999999995</v>
      </c>
      <c r="AP126" s="289"/>
      <c r="AQ126" s="263">
        <v>285.33299999999997</v>
      </c>
      <c r="AR126" s="289"/>
      <c r="AS126" s="263">
        <v>208.2</v>
      </c>
      <c r="AT126" s="288"/>
      <c r="AU126" s="263">
        <v>245.8</v>
      </c>
      <c r="AV126" s="288"/>
      <c r="AW126" s="263">
        <v>288.25700000000001</v>
      </c>
      <c r="AX126" s="265"/>
      <c r="AY126" s="263">
        <v>323.09199999999998</v>
      </c>
      <c r="AZ126" s="265"/>
      <c r="BA126" s="263">
        <v>250.7</v>
      </c>
      <c r="BB126" s="265"/>
    </row>
    <row r="127" spans="1:54">
      <c r="A127" s="252"/>
      <c r="B127" s="261" t="s">
        <v>211</v>
      </c>
      <c r="C127" s="262">
        <v>308.86146199999996</v>
      </c>
      <c r="D127" s="262"/>
      <c r="E127" s="262">
        <v>347.75700000000001</v>
      </c>
      <c r="F127" s="262"/>
      <c r="G127" s="262">
        <v>139.36000000000001</v>
      </c>
      <c r="H127" s="262"/>
      <c r="I127" s="262">
        <v>353.721</v>
      </c>
      <c r="J127" s="262"/>
      <c r="K127" s="262">
        <v>265.03777300000002</v>
      </c>
      <c r="L127" s="262"/>
      <c r="M127" s="262">
        <v>131</v>
      </c>
      <c r="N127" s="262"/>
      <c r="O127" s="262">
        <v>51.223824</v>
      </c>
      <c r="P127" s="262"/>
      <c r="Q127" s="262">
        <v>62.184789000000002</v>
      </c>
      <c r="R127" s="262"/>
      <c r="S127" s="262">
        <f>S122-S137</f>
        <v>60.672000000000011</v>
      </c>
      <c r="T127" s="262"/>
      <c r="U127" s="262">
        <v>68.92</v>
      </c>
      <c r="V127" s="262"/>
      <c r="W127" s="262">
        <f>W122-W137</f>
        <v>90.962475999999995</v>
      </c>
      <c r="X127" s="262"/>
      <c r="Y127" s="262">
        <f>Y122-Y137</f>
        <v>87.037519000000032</v>
      </c>
      <c r="Z127" s="262"/>
      <c r="AA127" s="262">
        <v>129.45849700000002</v>
      </c>
      <c r="AB127" s="290"/>
      <c r="AC127" s="262">
        <v>160.41399999999999</v>
      </c>
      <c r="AD127" s="290"/>
      <c r="AE127" s="262">
        <v>150.86494906000001</v>
      </c>
      <c r="AF127" s="290"/>
      <c r="AG127" s="262">
        <v>152.74032990000001</v>
      </c>
      <c r="AH127" s="290"/>
      <c r="AI127" s="262">
        <v>157.60262899999998</v>
      </c>
      <c r="AJ127" s="290"/>
      <c r="AK127" s="262">
        <v>149.49618800000002</v>
      </c>
      <c r="AL127" s="291"/>
      <c r="AM127" s="262">
        <v>170.83889500000004</v>
      </c>
      <c r="AN127" s="291"/>
      <c r="AO127" s="262">
        <v>134.68</v>
      </c>
      <c r="AP127" s="291"/>
      <c r="AQ127" s="262">
        <v>130.21000000000004</v>
      </c>
      <c r="AR127" s="291"/>
      <c r="AS127" s="262">
        <v>119.80000000000001</v>
      </c>
      <c r="AT127" s="290"/>
      <c r="AU127" s="262">
        <v>150</v>
      </c>
      <c r="AV127" s="290"/>
      <c r="AW127" s="262">
        <v>109</v>
      </c>
      <c r="AX127" s="277"/>
      <c r="AY127" s="262">
        <v>116.38699999999999</v>
      </c>
      <c r="AZ127" s="277"/>
      <c r="BA127" s="262">
        <v>131.36000000000001</v>
      </c>
      <c r="BB127" s="277"/>
    </row>
    <row r="128" spans="1:54">
      <c r="A128" s="252"/>
      <c r="B128" s="292" t="s">
        <v>212</v>
      </c>
      <c r="C128" s="263">
        <v>621.35246199999995</v>
      </c>
      <c r="D128" s="263"/>
      <c r="E128" s="263">
        <v>605.077</v>
      </c>
      <c r="F128" s="263"/>
      <c r="G128" s="263">
        <v>388.95900000000006</v>
      </c>
      <c r="H128" s="263"/>
      <c r="I128" s="263">
        <v>675.02049999999997</v>
      </c>
      <c r="J128" s="263"/>
      <c r="K128" s="263">
        <v>590.10839299999998</v>
      </c>
      <c r="L128" s="263"/>
      <c r="M128" s="263">
        <v>558</v>
      </c>
      <c r="N128" s="263"/>
      <c r="O128" s="263">
        <v>361.23639399999996</v>
      </c>
      <c r="P128" s="263"/>
      <c r="Q128" s="263">
        <v>324.52791500000001</v>
      </c>
      <c r="R128" s="263"/>
      <c r="S128" s="263">
        <f>S126+S127</f>
        <v>360.62900000000002</v>
      </c>
      <c r="T128" s="263"/>
      <c r="U128" s="263">
        <v>344.14500000000004</v>
      </c>
      <c r="V128" s="263"/>
      <c r="W128" s="263">
        <f>W126+W127</f>
        <v>355.30018799999999</v>
      </c>
      <c r="X128" s="263"/>
      <c r="Y128" s="263">
        <f>Y126+Y127</f>
        <v>373.80451900000003</v>
      </c>
      <c r="Z128" s="263"/>
      <c r="AA128" s="263">
        <f>AA126+AA127</f>
        <v>387.01643100000007</v>
      </c>
      <c r="AB128" s="288"/>
      <c r="AC128" s="263">
        <f>AC126+AC127</f>
        <v>353.584</v>
      </c>
      <c r="AD128" s="288"/>
      <c r="AE128" s="263">
        <f>AE126+AE127</f>
        <v>395.27746323000002</v>
      </c>
      <c r="AF128" s="288"/>
      <c r="AG128" s="263">
        <f>AG126+AG127</f>
        <v>382.92672747</v>
      </c>
      <c r="AH128" s="288"/>
      <c r="AI128" s="263">
        <f>AI126+AI127</f>
        <v>379.03296346000002</v>
      </c>
      <c r="AJ128" s="288"/>
      <c r="AK128" s="263">
        <f>AK126+AK127</f>
        <v>325.79008096000007</v>
      </c>
      <c r="AL128" s="289"/>
      <c r="AM128" s="263">
        <f>AM126+AM127</f>
        <v>349.43513300000006</v>
      </c>
      <c r="AN128" s="289"/>
      <c r="AO128" s="263">
        <f>AO126+AO127</f>
        <v>421.30699999999996</v>
      </c>
      <c r="AP128" s="289"/>
      <c r="AQ128" s="263">
        <f>AQ126+AQ127</f>
        <v>415.54300000000001</v>
      </c>
      <c r="AR128" s="289"/>
      <c r="AS128" s="263">
        <f>AS126+AS127</f>
        <v>328</v>
      </c>
      <c r="AT128" s="288"/>
      <c r="AU128" s="263">
        <f>AU126+AU127</f>
        <v>395.8</v>
      </c>
      <c r="AV128" s="288"/>
      <c r="AW128" s="263">
        <f>AW126+AW127</f>
        <v>397.25700000000001</v>
      </c>
      <c r="AX128" s="288"/>
      <c r="AY128" s="263">
        <f>AY126+AY127</f>
        <v>439.47899999999998</v>
      </c>
      <c r="AZ128" s="288"/>
      <c r="BA128" s="263">
        <f>BA126+BA127</f>
        <v>382.06</v>
      </c>
      <c r="BB128" s="288"/>
    </row>
    <row r="129" spans="1:54">
      <c r="A129" s="252"/>
      <c r="B129" s="255" t="s">
        <v>208</v>
      </c>
      <c r="C129" s="263">
        <v>118131.69884341676</v>
      </c>
      <c r="D129" s="263"/>
      <c r="E129" s="263">
        <v>114037.49212344014</v>
      </c>
      <c r="F129" s="263"/>
      <c r="G129" s="263">
        <v>113368.40780000002</v>
      </c>
      <c r="H129" s="263"/>
      <c r="I129" s="263">
        <v>113623.98480000001</v>
      </c>
      <c r="J129" s="263"/>
      <c r="K129" s="263">
        <v>112381.12907763624</v>
      </c>
      <c r="L129" s="263"/>
      <c r="M129" s="263">
        <v>108811</v>
      </c>
      <c r="N129" s="263"/>
      <c r="O129" s="263">
        <v>107035.45492119202</v>
      </c>
      <c r="P129" s="263"/>
      <c r="Q129" s="263">
        <v>104037.30788707999</v>
      </c>
      <c r="R129" s="263"/>
      <c r="S129" s="263">
        <f>S36</f>
        <v>101668.24776078029</v>
      </c>
      <c r="T129" s="263"/>
      <c r="U129" s="263">
        <v>98744.151407699988</v>
      </c>
      <c r="V129" s="263"/>
      <c r="W129" s="263">
        <f>W36</f>
        <v>98940.269777329799</v>
      </c>
      <c r="X129" s="263"/>
      <c r="Y129" s="263">
        <f>Y36</f>
        <v>98258.985487460028</v>
      </c>
      <c r="Z129" s="263"/>
      <c r="AA129" s="263">
        <f>AA36</f>
        <v>96039.543704459997</v>
      </c>
      <c r="AB129" s="288"/>
      <c r="AC129" s="263">
        <f>AC36</f>
        <v>92817.744119980198</v>
      </c>
      <c r="AD129" s="288"/>
      <c r="AE129" s="263">
        <f>AE36</f>
        <v>90460.14825605003</v>
      </c>
      <c r="AF129" s="288"/>
      <c r="AG129" s="263">
        <f>AG36</f>
        <v>88945.039514610005</v>
      </c>
      <c r="AH129" s="288"/>
      <c r="AI129" s="263">
        <f>AI36</f>
        <v>87527.837190519887</v>
      </c>
      <c r="AJ129" s="288"/>
      <c r="AK129" s="263">
        <f>AK36</f>
        <v>84901.214854689984</v>
      </c>
      <c r="AL129" s="289"/>
      <c r="AM129" s="263">
        <f>AM36</f>
        <v>82944.802144999994</v>
      </c>
      <c r="AN129" s="289"/>
      <c r="AO129" s="263">
        <f>AO36</f>
        <v>81336.069999999992</v>
      </c>
      <c r="AP129" s="289"/>
      <c r="AQ129" s="263">
        <f>AQ36</f>
        <v>79286.388672980014</v>
      </c>
      <c r="AR129" s="289"/>
      <c r="AS129" s="263">
        <f>AS36</f>
        <v>44307.5</v>
      </c>
      <c r="AT129" s="288"/>
      <c r="AU129" s="263">
        <f>AU36</f>
        <v>43779.16</v>
      </c>
      <c r="AV129" s="288"/>
      <c r="AW129" s="263">
        <f>AW36</f>
        <v>42793.5</v>
      </c>
      <c r="AX129" s="288"/>
      <c r="AY129" s="263">
        <f>AY36</f>
        <v>42090.69</v>
      </c>
      <c r="AZ129" s="288"/>
      <c r="BA129" s="263">
        <f>BA36</f>
        <v>40483.611327409999</v>
      </c>
      <c r="BB129" s="288"/>
    </row>
    <row r="130" spans="1:54" ht="13.5" thickBot="1">
      <c r="A130" s="321" t="s">
        <v>355</v>
      </c>
      <c r="B130" s="281" t="s">
        <v>217</v>
      </c>
      <c r="C130" s="269">
        <v>5.259828378694536E-3</v>
      </c>
      <c r="D130" s="269"/>
      <c r="E130" s="269">
        <v>5.3059479714358589E-3</v>
      </c>
      <c r="F130" s="269"/>
      <c r="G130" s="269">
        <v>3.4309293704308337E-3</v>
      </c>
      <c r="H130" s="269"/>
      <c r="I130" s="269">
        <v>5.8999999999999999E-3</v>
      </c>
      <c r="J130" s="269"/>
      <c r="K130" s="269">
        <v>5.2509562578992733E-3</v>
      </c>
      <c r="L130" s="269"/>
      <c r="M130" s="269">
        <v>5.0000000000000001E-3</v>
      </c>
      <c r="N130" s="269"/>
      <c r="O130" s="269">
        <v>3.3749227698987292E-3</v>
      </c>
      <c r="P130" s="269"/>
      <c r="Q130" s="269">
        <v>3.1193417206857765E-3</v>
      </c>
      <c r="R130" s="269"/>
      <c r="S130" s="269">
        <f>S128/S129</f>
        <v>3.5471153279688652E-3</v>
      </c>
      <c r="T130" s="269"/>
      <c r="U130" s="269">
        <f>U128/U129</f>
        <v>3.4852190746880417E-3</v>
      </c>
      <c r="V130" s="269"/>
      <c r="W130" s="269">
        <f>W128/W129</f>
        <v>3.5910574005874603E-3</v>
      </c>
      <c r="X130" s="269"/>
      <c r="Y130" s="269">
        <f>Y128/Y129</f>
        <v>3.8042782260122722E-3</v>
      </c>
      <c r="Z130" s="269"/>
      <c r="AA130" s="269">
        <f>AA128/AA129</f>
        <v>4.0297612428371763E-3</v>
      </c>
      <c r="AB130" s="275"/>
      <c r="AC130" s="269">
        <f>AC128/AC129</f>
        <v>3.8094440168998521E-3</v>
      </c>
      <c r="AD130" s="275"/>
      <c r="AE130" s="269">
        <f>AE128/AE129</f>
        <v>4.3696309463384462E-3</v>
      </c>
      <c r="AF130" s="275"/>
      <c r="AG130" s="269">
        <f>AG128/AG129</f>
        <v>4.305206108847711E-3</v>
      </c>
      <c r="AH130" s="275"/>
      <c r="AI130" s="269">
        <f>AI128/AI129</f>
        <v>4.3304276173872251E-3</v>
      </c>
      <c r="AJ130" s="275"/>
      <c r="AK130" s="269">
        <f>AK128/AK129</f>
        <v>3.8372840897223422E-3</v>
      </c>
      <c r="AL130" s="274"/>
      <c r="AM130" s="269">
        <f>AM128/AM129</f>
        <v>4.2128635425416399E-3</v>
      </c>
      <c r="AN130" s="274"/>
      <c r="AO130" s="269">
        <f>AO128/AO129</f>
        <v>5.1798298098248412E-3</v>
      </c>
      <c r="AP130" s="274"/>
      <c r="AQ130" s="269">
        <f>AQ128/AQ129</f>
        <v>5.2410383037361464E-3</v>
      </c>
      <c r="AR130" s="274"/>
      <c r="AS130" s="269">
        <f>AS128/AS129</f>
        <v>7.4028099080291144E-3</v>
      </c>
      <c r="AT130" s="275"/>
      <c r="AU130" s="269">
        <f>AU128/AU129</f>
        <v>9.0408312996411982E-3</v>
      </c>
      <c r="AV130" s="275"/>
      <c r="AW130" s="269">
        <f>AW128/AW129</f>
        <v>9.2831154264082158E-3</v>
      </c>
      <c r="AX130" s="275"/>
      <c r="AY130" s="269">
        <f>AY128/AY129</f>
        <v>1.0441240093711933E-2</v>
      </c>
      <c r="AZ130" s="275"/>
      <c r="BA130" s="269">
        <f>BA128/BA129</f>
        <v>9.4373991714845097E-3</v>
      </c>
      <c r="BB130" s="275"/>
    </row>
    <row r="131" spans="1:54">
      <c r="A131" s="252"/>
      <c r="B131" s="255"/>
      <c r="C131" s="264"/>
      <c r="D131" s="264"/>
      <c r="E131" s="264"/>
      <c r="F131" s="264"/>
      <c r="G131" s="264"/>
      <c r="H131" s="264"/>
      <c r="I131" s="264"/>
      <c r="J131" s="264"/>
      <c r="K131" s="264"/>
      <c r="L131" s="264"/>
      <c r="M131" s="264"/>
      <c r="N131" s="264"/>
      <c r="O131" s="264"/>
      <c r="P131" s="264"/>
      <c r="Q131" s="264"/>
      <c r="R131" s="264"/>
      <c r="S131" s="264"/>
      <c r="T131" s="264"/>
      <c r="U131" s="264"/>
      <c r="V131" s="264"/>
      <c r="W131" s="264"/>
      <c r="X131" s="264"/>
      <c r="Y131" s="264"/>
      <c r="Z131" s="264"/>
      <c r="AA131" s="264"/>
      <c r="AB131" s="264"/>
      <c r="AC131" s="264"/>
      <c r="AD131" s="264"/>
      <c r="AE131" s="264"/>
      <c r="AF131" s="264"/>
      <c r="AG131" s="264"/>
      <c r="AH131" s="264"/>
      <c r="AI131" s="264"/>
      <c r="AJ131" s="264"/>
      <c r="AK131" s="264"/>
      <c r="AL131" s="264"/>
      <c r="AM131" s="264"/>
      <c r="AN131" s="264"/>
      <c r="AO131" s="264"/>
      <c r="AP131" s="264"/>
      <c r="AQ131" s="264"/>
      <c r="AR131" s="264"/>
      <c r="AS131" s="264"/>
      <c r="AT131" s="264"/>
      <c r="AU131" s="264"/>
      <c r="AV131" s="264"/>
      <c r="AW131" s="264"/>
      <c r="AX131" s="264"/>
      <c r="AY131" s="258"/>
      <c r="AZ131" s="264"/>
      <c r="BA131" s="258"/>
      <c r="BB131" s="264"/>
    </row>
    <row r="132" spans="1:54">
      <c r="A132" s="252"/>
      <c r="B132" s="255"/>
      <c r="C132" s="264"/>
      <c r="D132" s="264"/>
      <c r="E132" s="264"/>
      <c r="F132" s="264"/>
      <c r="G132" s="264"/>
      <c r="H132" s="264"/>
      <c r="I132" s="264"/>
      <c r="J132" s="264"/>
      <c r="K132" s="264"/>
      <c r="L132" s="264"/>
      <c r="M132" s="264"/>
      <c r="N132" s="264"/>
      <c r="O132" s="264"/>
      <c r="P132" s="264"/>
      <c r="Q132" s="264"/>
      <c r="R132" s="264"/>
      <c r="S132" s="264"/>
      <c r="T132" s="264"/>
      <c r="U132" s="264"/>
      <c r="V132" s="264"/>
      <c r="W132" s="264"/>
      <c r="X132" s="264"/>
      <c r="Y132" s="264"/>
      <c r="Z132" s="264"/>
      <c r="AA132" s="264"/>
      <c r="AB132" s="264"/>
      <c r="AC132" s="264"/>
      <c r="AD132" s="264"/>
      <c r="AE132" s="264"/>
      <c r="AF132" s="264"/>
      <c r="AG132" s="264"/>
      <c r="AH132" s="264"/>
      <c r="AI132" s="264"/>
      <c r="AJ132" s="264"/>
      <c r="AK132" s="264"/>
      <c r="AL132" s="264"/>
      <c r="AM132" s="264"/>
      <c r="AN132" s="264"/>
      <c r="AO132" s="264"/>
      <c r="AP132" s="264"/>
      <c r="AQ132" s="264"/>
      <c r="AR132" s="264"/>
      <c r="AS132" s="264"/>
      <c r="AT132" s="264"/>
      <c r="AU132" s="264"/>
      <c r="AV132" s="264"/>
      <c r="AW132" s="264"/>
      <c r="AX132" s="264"/>
      <c r="AY132" s="258"/>
      <c r="AZ132" s="264"/>
      <c r="BA132" s="258"/>
      <c r="BB132" s="264"/>
    </row>
    <row r="133" spans="1:54">
      <c r="A133" s="252"/>
      <c r="B133" s="256" t="s">
        <v>214</v>
      </c>
      <c r="C133" s="258">
        <v>81.480999999999995</v>
      </c>
      <c r="D133" s="258"/>
      <c r="E133" s="258">
        <v>73.018000000000001</v>
      </c>
      <c r="F133" s="258"/>
      <c r="G133" s="258">
        <v>77.246000000000009</v>
      </c>
      <c r="H133" s="258"/>
      <c r="I133" s="258">
        <v>73.758499999999998</v>
      </c>
      <c r="J133" s="258"/>
      <c r="K133" s="258">
        <v>65.753145000000004</v>
      </c>
      <c r="L133" s="258"/>
      <c r="M133" s="258">
        <v>49</v>
      </c>
      <c r="N133" s="258"/>
      <c r="O133" s="258">
        <v>96.874593000000004</v>
      </c>
      <c r="P133" s="258"/>
      <c r="Q133" s="258">
        <v>43.940427999999997</v>
      </c>
      <c r="R133" s="258"/>
      <c r="S133" s="258">
        <f>29.976+11.591</f>
        <v>41.567</v>
      </c>
      <c r="T133" s="258"/>
      <c r="U133" s="258">
        <v>32.567999999999998</v>
      </c>
      <c r="V133" s="258"/>
      <c r="W133" s="258">
        <f>11.644+38.208</f>
        <v>49.851999999999997</v>
      </c>
      <c r="X133" s="258"/>
      <c r="Y133" s="258">
        <f>44.927+19.185594</f>
        <v>64.112594000000001</v>
      </c>
      <c r="Z133" s="258"/>
      <c r="AA133" s="258">
        <v>56.091317000000004</v>
      </c>
      <c r="AB133" s="264"/>
      <c r="AC133" s="258">
        <v>38.347999999999999</v>
      </c>
      <c r="AD133" s="264"/>
      <c r="AE133" s="258">
        <v>42.161141999999998</v>
      </c>
      <c r="AF133" s="264"/>
      <c r="AG133" s="258">
        <v>53.838692359999996</v>
      </c>
      <c r="AH133" s="264"/>
      <c r="AI133" s="258">
        <v>40.740365000000004</v>
      </c>
      <c r="AJ133" s="264"/>
      <c r="AK133" s="258">
        <v>45.909025999999997</v>
      </c>
      <c r="AL133" s="264"/>
      <c r="AM133" s="258">
        <v>54.118761999999997</v>
      </c>
      <c r="AN133" s="264"/>
      <c r="AO133" s="258">
        <v>49.550000000000004</v>
      </c>
      <c r="AP133" s="264"/>
      <c r="AQ133" s="258">
        <v>47.124000000000002</v>
      </c>
      <c r="AR133" s="264"/>
      <c r="AS133" s="258">
        <v>51.3</v>
      </c>
      <c r="AT133" s="264"/>
      <c r="AU133" s="258">
        <v>40.700000000000003</v>
      </c>
      <c r="AV133" s="264"/>
      <c r="AW133" s="258">
        <v>43.2</v>
      </c>
      <c r="AX133" s="264"/>
      <c r="AY133" s="258">
        <v>50.81</v>
      </c>
      <c r="AZ133" s="264"/>
      <c r="BA133" s="258">
        <v>50</v>
      </c>
      <c r="BB133" s="264"/>
    </row>
    <row r="134" spans="1:54">
      <c r="A134" s="252"/>
      <c r="B134" s="255" t="s">
        <v>206</v>
      </c>
      <c r="C134" s="258">
        <v>393.97199999999998</v>
      </c>
      <c r="D134" s="258"/>
      <c r="E134" s="258">
        <v>330.33799999999997</v>
      </c>
      <c r="F134" s="258"/>
      <c r="G134" s="258">
        <v>326.84500000000003</v>
      </c>
      <c r="H134" s="258"/>
      <c r="I134" s="258">
        <v>395.05799999999999</v>
      </c>
      <c r="J134" s="258"/>
      <c r="K134" s="258">
        <v>390.82376499999998</v>
      </c>
      <c r="L134" s="258"/>
      <c r="M134" s="258">
        <v>476</v>
      </c>
      <c r="N134" s="258"/>
      <c r="O134" s="258">
        <v>406.88716299999999</v>
      </c>
      <c r="P134" s="258"/>
      <c r="Q134" s="258">
        <v>306.28355399999998</v>
      </c>
      <c r="R134" s="258"/>
      <c r="S134" s="258">
        <f>+S118</f>
        <v>341.524</v>
      </c>
      <c r="T134" s="258"/>
      <c r="U134" s="258">
        <v>307.79300000000001</v>
      </c>
      <c r="V134" s="258"/>
      <c r="W134" s="258">
        <f>+W118</f>
        <v>314.18971199999999</v>
      </c>
      <c r="X134" s="258"/>
      <c r="Y134" s="258">
        <f>+Y118</f>
        <v>350.879594</v>
      </c>
      <c r="Z134" s="258"/>
      <c r="AA134" s="258">
        <v>313.64925100000005</v>
      </c>
      <c r="AB134" s="264"/>
      <c r="AC134" s="258">
        <f>+AC118</f>
        <v>231.518</v>
      </c>
      <c r="AD134" s="264"/>
      <c r="AE134" s="258">
        <f>+AE118</f>
        <v>286.57365616999999</v>
      </c>
      <c r="AF134" s="264"/>
      <c r="AG134" s="258">
        <f>+AG118</f>
        <v>284.02508992999998</v>
      </c>
      <c r="AH134" s="264"/>
      <c r="AI134" s="258">
        <f>+AI118</f>
        <v>262.17069946000004</v>
      </c>
      <c r="AJ134" s="264"/>
      <c r="AK134" s="258">
        <f>+AK118</f>
        <v>222.20291896000003</v>
      </c>
      <c r="AL134" s="264"/>
      <c r="AM134" s="258">
        <f>+AM118</f>
        <v>232.715</v>
      </c>
      <c r="AN134" s="264"/>
      <c r="AO134" s="258">
        <f>+AO118</f>
        <v>336.17699999999996</v>
      </c>
      <c r="AP134" s="264"/>
      <c r="AQ134" s="258">
        <f>+AQ118</f>
        <v>332.45699999999999</v>
      </c>
      <c r="AR134" s="264"/>
      <c r="AS134" s="258">
        <f>+AS118</f>
        <v>259.5</v>
      </c>
      <c r="AT134" s="264"/>
      <c r="AU134" s="258">
        <f>+AU118</f>
        <v>286.5</v>
      </c>
      <c r="AV134" s="264"/>
      <c r="AW134" s="258">
        <f>+AW118</f>
        <v>331.45699999999999</v>
      </c>
      <c r="AX134" s="264"/>
      <c r="AY134" s="258">
        <f>+AY118</f>
        <v>373.90199999999999</v>
      </c>
      <c r="AZ134" s="264"/>
      <c r="BA134" s="258">
        <f>+BA118</f>
        <v>300.7</v>
      </c>
      <c r="BB134" s="264"/>
    </row>
    <row r="135" spans="1:54" ht="13.5" thickBot="1">
      <c r="A135" s="321" t="s">
        <v>356</v>
      </c>
      <c r="B135" s="268" t="s">
        <v>213</v>
      </c>
      <c r="C135" s="293">
        <v>0.20681926634380107</v>
      </c>
      <c r="D135" s="293"/>
      <c r="E135" s="293">
        <v>0.22104026784687203</v>
      </c>
      <c r="F135" s="293"/>
      <c r="G135" s="293">
        <v>0.23633832550597378</v>
      </c>
      <c r="H135" s="293"/>
      <c r="I135" s="293">
        <v>0.1867</v>
      </c>
      <c r="J135" s="293"/>
      <c r="K135" s="293">
        <v>0.1682424429844997</v>
      </c>
      <c r="L135" s="293"/>
      <c r="M135" s="293">
        <v>0.1</v>
      </c>
      <c r="N135" s="293"/>
      <c r="O135" s="293">
        <v>0.23808712048258943</v>
      </c>
      <c r="P135" s="293"/>
      <c r="Q135" s="293">
        <v>0.14346323015436865</v>
      </c>
      <c r="R135" s="293"/>
      <c r="S135" s="293">
        <f>S133/S134</f>
        <v>0.12171033368079549</v>
      </c>
      <c r="T135" s="293"/>
      <c r="U135" s="293">
        <f>U133/U134</f>
        <v>0.10581137322811109</v>
      </c>
      <c r="V135" s="293"/>
      <c r="W135" s="293">
        <f>W133/W134</f>
        <v>0.15866846715846633</v>
      </c>
      <c r="X135" s="293"/>
      <c r="Y135" s="293">
        <f>Y133/Y134</f>
        <v>0.18271964256775788</v>
      </c>
      <c r="Z135" s="293"/>
      <c r="AA135" s="293">
        <f>AA133/AA134</f>
        <v>0.17883453195301907</v>
      </c>
      <c r="AB135" s="275"/>
      <c r="AC135" s="293">
        <f>AC133/AC134</f>
        <v>0.1656372290707418</v>
      </c>
      <c r="AD135" s="275"/>
      <c r="AE135" s="293">
        <f>AE133/AE134</f>
        <v>0.14712148549687118</v>
      </c>
      <c r="AF135" s="275"/>
      <c r="AG135" s="293">
        <f>AG133/AG134</f>
        <v>0.18955611412100576</v>
      </c>
      <c r="AH135" s="275"/>
      <c r="AI135" s="293">
        <f>AI133/AI134</f>
        <v>0.15539633179418608</v>
      </c>
      <c r="AJ135" s="275"/>
      <c r="AK135" s="293">
        <f>AK133/AK134</f>
        <v>0.20660856398679592</v>
      </c>
      <c r="AL135" s="275"/>
      <c r="AM135" s="293">
        <f>AM133/AM134</f>
        <v>0.2325538190490514</v>
      </c>
      <c r="AN135" s="275"/>
      <c r="AO135" s="293">
        <f>AO133/AO134</f>
        <v>0.14739259378244202</v>
      </c>
      <c r="AP135" s="275"/>
      <c r="AQ135" s="293">
        <f>AQ133/AQ134</f>
        <v>0.1417446466761115</v>
      </c>
      <c r="AR135" s="275"/>
      <c r="AS135" s="293">
        <f>AS133/AS134</f>
        <v>0.19768786127167629</v>
      </c>
      <c r="AT135" s="275"/>
      <c r="AU135" s="293">
        <f>AU133/AU134</f>
        <v>0.14205933682373473</v>
      </c>
      <c r="AV135" s="275"/>
      <c r="AW135" s="293">
        <f>AW133/AW134</f>
        <v>0.13033364810518408</v>
      </c>
      <c r="AX135" s="275"/>
      <c r="AY135" s="293">
        <f>AY133/AY134</f>
        <v>0.13589122283379068</v>
      </c>
      <c r="AZ135" s="275"/>
      <c r="BA135" s="293">
        <f>BA133/BA134</f>
        <v>0.16627868307283006</v>
      </c>
      <c r="BB135" s="275"/>
    </row>
    <row r="136" spans="1:54">
      <c r="A136" s="252"/>
      <c r="B136" s="255"/>
      <c r="C136" s="264"/>
      <c r="D136" s="264"/>
      <c r="E136" s="264"/>
      <c r="F136" s="264"/>
      <c r="G136" s="264"/>
      <c r="H136" s="264"/>
      <c r="I136" s="264"/>
      <c r="J136" s="264"/>
      <c r="K136" s="264"/>
      <c r="L136" s="264"/>
      <c r="M136" s="264"/>
      <c r="N136" s="264"/>
      <c r="O136" s="264"/>
      <c r="P136" s="264"/>
      <c r="Q136" s="264"/>
      <c r="R136" s="264"/>
      <c r="S136" s="264"/>
      <c r="T136" s="264"/>
      <c r="U136" s="264"/>
      <c r="V136" s="264"/>
      <c r="W136" s="264"/>
      <c r="X136" s="264"/>
      <c r="Y136" s="264"/>
      <c r="Z136" s="264"/>
      <c r="AA136" s="264"/>
      <c r="AB136" s="264"/>
      <c r="AC136" s="264"/>
      <c r="AD136" s="264"/>
      <c r="AE136" s="264"/>
      <c r="AF136" s="264"/>
      <c r="AG136" s="264"/>
      <c r="AH136" s="264"/>
      <c r="AI136" s="264"/>
      <c r="AJ136" s="264"/>
      <c r="AK136" s="264"/>
      <c r="AL136" s="264"/>
      <c r="AM136" s="264"/>
      <c r="AN136" s="264"/>
      <c r="AO136" s="264"/>
      <c r="AP136" s="264"/>
      <c r="AQ136" s="264"/>
      <c r="AR136" s="264"/>
      <c r="AS136" s="264"/>
      <c r="AT136" s="264"/>
      <c r="AU136" s="264"/>
      <c r="AV136" s="264"/>
      <c r="AW136" s="264"/>
      <c r="AX136" s="264"/>
      <c r="AY136" s="258"/>
      <c r="AZ136" s="264"/>
      <c r="BA136" s="258"/>
      <c r="BB136" s="264"/>
    </row>
    <row r="137" spans="1:54">
      <c r="A137" s="252"/>
      <c r="B137" s="256" t="s">
        <v>215</v>
      </c>
      <c r="C137" s="258">
        <v>39.323999999999998</v>
      </c>
      <c r="D137" s="258"/>
      <c r="E137" s="258">
        <v>45.846999999999994</v>
      </c>
      <c r="F137" s="258"/>
      <c r="G137" s="258">
        <v>48.385999999999996</v>
      </c>
      <c r="H137" s="258"/>
      <c r="I137" s="258">
        <v>139.32900000000001</v>
      </c>
      <c r="J137" s="258"/>
      <c r="K137" s="258">
        <v>110.83682400000001</v>
      </c>
      <c r="L137" s="258"/>
      <c r="M137" s="258">
        <v>43</v>
      </c>
      <c r="N137" s="258"/>
      <c r="O137" s="258">
        <v>32.586542000000001</v>
      </c>
      <c r="P137" s="258"/>
      <c r="Q137" s="258">
        <v>36.539403999999998</v>
      </c>
      <c r="R137" s="258"/>
      <c r="S137" s="258">
        <f>40.975+4.332</f>
        <v>45.307000000000002</v>
      </c>
      <c r="T137" s="258"/>
      <c r="U137" s="258">
        <v>42.216999999999999</v>
      </c>
      <c r="V137" s="258"/>
      <c r="W137" s="258">
        <f>1.361985+41.656</f>
        <v>43.017984999999996</v>
      </c>
      <c r="X137" s="258"/>
      <c r="Y137" s="258">
        <f>62.407+1.814612</f>
        <v>64.221611999999993</v>
      </c>
      <c r="Z137" s="258"/>
      <c r="AA137" s="258">
        <v>88.599948999999995</v>
      </c>
      <c r="AB137" s="264"/>
      <c r="AC137" s="258">
        <v>92.24</v>
      </c>
      <c r="AD137" s="264"/>
      <c r="AE137" s="258">
        <v>103.58739599999998</v>
      </c>
      <c r="AF137" s="264"/>
      <c r="AG137" s="258">
        <v>97.50177017</v>
      </c>
      <c r="AH137" s="264"/>
      <c r="AI137" s="258">
        <v>104.86169700000001</v>
      </c>
      <c r="AJ137" s="264"/>
      <c r="AK137" s="258">
        <v>107.30243400000001</v>
      </c>
      <c r="AL137" s="264"/>
      <c r="AM137" s="258">
        <v>101.34362399999999</v>
      </c>
      <c r="AN137" s="264"/>
      <c r="AO137" s="258">
        <v>88.635000000000005</v>
      </c>
      <c r="AP137" s="264"/>
      <c r="AQ137" s="258">
        <v>102.07299999999999</v>
      </c>
      <c r="AR137" s="264"/>
      <c r="AS137" s="258">
        <v>99.5</v>
      </c>
      <c r="AT137" s="264"/>
      <c r="AU137" s="258">
        <v>106.5</v>
      </c>
      <c r="AV137" s="264"/>
      <c r="AW137" s="258">
        <v>102.9</v>
      </c>
      <c r="AX137" s="264"/>
      <c r="AY137" s="258">
        <v>100.26</v>
      </c>
      <c r="AZ137" s="264"/>
      <c r="BA137" s="258">
        <v>86</v>
      </c>
      <c r="BB137" s="264"/>
    </row>
    <row r="138" spans="1:54">
      <c r="A138" s="252"/>
      <c r="B138" s="255" t="s">
        <v>209</v>
      </c>
      <c r="C138" s="258">
        <v>348.18546199999997</v>
      </c>
      <c r="D138" s="258"/>
      <c r="E138" s="258">
        <v>393.60399999999998</v>
      </c>
      <c r="F138" s="258"/>
      <c r="G138" s="258">
        <v>187.74600000000001</v>
      </c>
      <c r="H138" s="258"/>
      <c r="I138" s="258">
        <v>493.05</v>
      </c>
      <c r="J138" s="258"/>
      <c r="K138" s="258">
        <v>375.87459699999999</v>
      </c>
      <c r="L138" s="258"/>
      <c r="M138" s="258">
        <v>173</v>
      </c>
      <c r="N138" s="258"/>
      <c r="O138" s="258">
        <v>83.810366000000002</v>
      </c>
      <c r="P138" s="258"/>
      <c r="Q138" s="258">
        <v>98.724193</v>
      </c>
      <c r="R138" s="258"/>
      <c r="S138" s="258">
        <f>S122</f>
        <v>105.97900000000001</v>
      </c>
      <c r="T138" s="258"/>
      <c r="U138" s="258">
        <v>111.137</v>
      </c>
      <c r="V138" s="258"/>
      <c r="W138" s="258">
        <f>W122</f>
        <v>133.98046099999999</v>
      </c>
      <c r="X138" s="258"/>
      <c r="Y138" s="258">
        <f>Y122</f>
        <v>151.25913100000002</v>
      </c>
      <c r="Z138" s="258"/>
      <c r="AA138" s="258">
        <v>218.058446</v>
      </c>
      <c r="AB138" s="264"/>
      <c r="AC138" s="258">
        <f>AC122</f>
        <v>252.654</v>
      </c>
      <c r="AD138" s="264"/>
      <c r="AE138" s="258">
        <f>AE122</f>
        <v>254.45234506</v>
      </c>
      <c r="AF138" s="264"/>
      <c r="AG138" s="258">
        <f>AG122</f>
        <v>250.24210007000002</v>
      </c>
      <c r="AH138" s="264"/>
      <c r="AI138" s="258">
        <f>AI122</f>
        <v>262.46432599999997</v>
      </c>
      <c r="AJ138" s="264"/>
      <c r="AK138" s="258">
        <f>AK122</f>
        <v>256.79862200000002</v>
      </c>
      <c r="AL138" s="264"/>
      <c r="AM138" s="258">
        <f>AM122</f>
        <v>272.18251900000001</v>
      </c>
      <c r="AN138" s="264"/>
      <c r="AO138" s="258">
        <f>AO122</f>
        <v>223.315</v>
      </c>
      <c r="AP138" s="264"/>
      <c r="AQ138" s="258">
        <f>AQ122</f>
        <v>232.28300000000002</v>
      </c>
      <c r="AR138" s="264"/>
      <c r="AS138" s="258">
        <f>AS122</f>
        <v>219.3</v>
      </c>
      <c r="AT138" s="264"/>
      <c r="AU138" s="258">
        <f>AU122</f>
        <v>256.5</v>
      </c>
      <c r="AV138" s="264"/>
      <c r="AW138" s="258">
        <f>AW122</f>
        <v>211.9</v>
      </c>
      <c r="AX138" s="264"/>
      <c r="AY138" s="258">
        <f>AY122</f>
        <v>216.64699999999999</v>
      </c>
      <c r="AZ138" s="264"/>
      <c r="BA138" s="258">
        <f>BA122</f>
        <v>217.36</v>
      </c>
      <c r="BB138" s="264"/>
    </row>
    <row r="139" spans="1:54" ht="13.5" thickBot="1">
      <c r="A139" s="321" t="s">
        <v>357</v>
      </c>
      <c r="B139" s="268" t="s">
        <v>216</v>
      </c>
      <c r="C139" s="293">
        <v>0.11293981022102526</v>
      </c>
      <c r="D139" s="293"/>
      <c r="E139" s="293">
        <v>0.11648001544699747</v>
      </c>
      <c r="F139" s="293"/>
      <c r="G139" s="293">
        <v>0.25772053732170058</v>
      </c>
      <c r="H139" s="293"/>
      <c r="I139" s="293">
        <v>0.28260000000000002</v>
      </c>
      <c r="J139" s="293"/>
      <c r="K139" s="293">
        <v>0.29487713424804818</v>
      </c>
      <c r="L139" s="293"/>
      <c r="M139" s="293">
        <v>0.25</v>
      </c>
      <c r="N139" s="293"/>
      <c r="O139" s="293">
        <v>0.38881278719150325</v>
      </c>
      <c r="P139" s="293"/>
      <c r="Q139" s="293">
        <v>0.37011600591153981</v>
      </c>
      <c r="R139" s="293"/>
      <c r="S139" s="293">
        <f>S137/S138</f>
        <v>0.42750922352541537</v>
      </c>
      <c r="T139" s="293"/>
      <c r="U139" s="293">
        <f>U137/U138</f>
        <v>0.37986449157346336</v>
      </c>
      <c r="V139" s="293"/>
      <c r="W139" s="293">
        <f>W137/W138</f>
        <v>0.32107655608081537</v>
      </c>
      <c r="X139" s="293"/>
      <c r="Y139" s="293">
        <f>Y137/Y138</f>
        <v>0.42458006716963081</v>
      </c>
      <c r="Z139" s="293"/>
      <c r="AA139" s="293">
        <f>AA137/AA138</f>
        <v>0.40631285155540359</v>
      </c>
      <c r="AB139" s="275"/>
      <c r="AC139" s="293">
        <f>AC137/AC138</f>
        <v>0.36508426543810901</v>
      </c>
      <c r="AD139" s="275"/>
      <c r="AE139" s="293">
        <f>AE137/AE138</f>
        <v>0.40709939606009143</v>
      </c>
      <c r="AF139" s="275"/>
      <c r="AG139" s="293">
        <f>AG137/AG138</f>
        <v>0.38962976310830955</v>
      </c>
      <c r="AH139" s="275"/>
      <c r="AI139" s="293">
        <f>AI137/AI138</f>
        <v>0.3995274275864828</v>
      </c>
      <c r="AJ139" s="275"/>
      <c r="AK139" s="293">
        <f>AK137/AK138</f>
        <v>0.41784661134201878</v>
      </c>
      <c r="AL139" s="275"/>
      <c r="AM139" s="293">
        <f>AM137/AM138</f>
        <v>0.3723370052284658</v>
      </c>
      <c r="AN139" s="275"/>
      <c r="AO139" s="293">
        <f>AO137/AO138</f>
        <v>0.39690571614087727</v>
      </c>
      <c r="AP139" s="275"/>
      <c r="AQ139" s="293">
        <f>AQ137/AQ138</f>
        <v>0.43943379412182548</v>
      </c>
      <c r="AR139" s="275"/>
      <c r="AS139" s="293">
        <f>AS137/AS138</f>
        <v>0.45371637026903783</v>
      </c>
      <c r="AT139" s="275"/>
      <c r="AU139" s="293">
        <f>AU137/AU138</f>
        <v>0.41520467836257308</v>
      </c>
      <c r="AV139" s="275"/>
      <c r="AW139" s="293">
        <f>AW137/AW138</f>
        <v>0.48560641812175553</v>
      </c>
      <c r="AX139" s="275"/>
      <c r="AY139" s="293">
        <f>AY137/AY138</f>
        <v>0.46278046776553566</v>
      </c>
      <c r="AZ139" s="275"/>
      <c r="BA139" s="293">
        <f>BA137/BA138</f>
        <v>0.39565697460434301</v>
      </c>
      <c r="BB139" s="275"/>
    </row>
    <row r="140" spans="1:54">
      <c r="A140" s="252"/>
      <c r="B140" s="255"/>
      <c r="C140" s="264"/>
      <c r="D140" s="264"/>
      <c r="E140" s="264"/>
      <c r="F140" s="264"/>
      <c r="G140" s="264"/>
      <c r="H140" s="264"/>
      <c r="I140" s="264"/>
      <c r="J140" s="264"/>
      <c r="K140" s="264"/>
      <c r="L140" s="264"/>
      <c r="M140" s="264"/>
      <c r="N140" s="264"/>
      <c r="O140" s="264"/>
      <c r="P140" s="264"/>
      <c r="Q140" s="264"/>
      <c r="R140" s="264"/>
      <c r="S140" s="264"/>
      <c r="T140" s="264"/>
      <c r="U140" s="264"/>
      <c r="V140" s="264"/>
      <c r="W140" s="264"/>
      <c r="X140" s="264"/>
      <c r="Y140" s="264"/>
      <c r="Z140" s="264"/>
      <c r="AA140" s="264"/>
      <c r="AB140" s="264"/>
      <c r="AC140" s="264"/>
      <c r="AD140" s="264"/>
      <c r="AE140" s="264"/>
      <c r="AF140" s="264"/>
      <c r="AG140" s="264"/>
      <c r="AH140" s="264"/>
      <c r="AI140" s="264"/>
      <c r="AJ140" s="264"/>
      <c r="AK140" s="264"/>
      <c r="AL140" s="264"/>
      <c r="AM140" s="264"/>
      <c r="AN140" s="264"/>
      <c r="AO140" s="264"/>
      <c r="AP140" s="264"/>
      <c r="AQ140" s="264"/>
      <c r="AR140" s="264"/>
      <c r="AS140" s="264"/>
      <c r="AT140" s="264"/>
      <c r="AU140" s="264"/>
      <c r="AV140" s="264"/>
      <c r="AW140" s="264"/>
      <c r="AX140" s="264"/>
      <c r="AY140" s="264"/>
      <c r="AZ140" s="264"/>
      <c r="BA140" s="264"/>
      <c r="BB140" s="264"/>
    </row>
    <row r="141" spans="1:54">
      <c r="A141" s="252"/>
      <c r="B141" s="255"/>
      <c r="C141" s="264"/>
      <c r="D141" s="264"/>
      <c r="E141" s="264"/>
      <c r="F141" s="264"/>
      <c r="G141" s="264"/>
      <c r="H141" s="264"/>
      <c r="I141" s="264"/>
      <c r="J141" s="264"/>
      <c r="K141" s="264"/>
      <c r="L141" s="264"/>
      <c r="M141" s="264"/>
      <c r="N141" s="264"/>
      <c r="O141" s="264"/>
      <c r="P141" s="264"/>
      <c r="Q141" s="264"/>
      <c r="R141" s="264"/>
      <c r="S141" s="264"/>
      <c r="T141" s="264"/>
      <c r="U141" s="264"/>
      <c r="V141" s="264"/>
      <c r="W141" s="264"/>
      <c r="X141" s="264"/>
      <c r="Y141" s="264"/>
      <c r="Z141" s="264"/>
      <c r="AA141" s="264"/>
      <c r="AB141" s="264"/>
      <c r="AC141" s="264"/>
      <c r="AD141" s="264"/>
      <c r="AE141" s="264"/>
      <c r="AF141" s="264"/>
      <c r="AG141" s="264"/>
      <c r="AH141" s="264"/>
      <c r="AI141" s="264"/>
      <c r="AJ141" s="264"/>
      <c r="AK141" s="264"/>
      <c r="AL141" s="264"/>
      <c r="AM141" s="264"/>
      <c r="AN141" s="264"/>
      <c r="AO141" s="264"/>
      <c r="AP141" s="264"/>
      <c r="AQ141" s="264"/>
      <c r="AR141" s="264"/>
      <c r="AS141" s="264"/>
      <c r="AT141" s="264"/>
      <c r="AU141" s="264"/>
      <c r="AV141" s="264"/>
      <c r="AW141" s="264"/>
      <c r="AX141" s="264"/>
      <c r="AY141" s="264"/>
      <c r="AZ141" s="264"/>
      <c r="BA141" s="264"/>
      <c r="BB141" s="264"/>
    </row>
    <row r="142" spans="1:54">
      <c r="A142" s="252"/>
      <c r="B142" s="255" t="s">
        <v>186</v>
      </c>
      <c r="C142" s="258">
        <v>17791.42000573</v>
      </c>
      <c r="D142" s="258"/>
      <c r="E142" s="258">
        <v>17304.41509002</v>
      </c>
      <c r="F142" s="258"/>
      <c r="G142" s="258">
        <v>17135.459832</v>
      </c>
      <c r="H142" s="258"/>
      <c r="I142" s="258">
        <v>16654.883699999998</v>
      </c>
      <c r="J142" s="258"/>
      <c r="K142" s="258">
        <v>16244.309691809998</v>
      </c>
      <c r="L142" s="258"/>
      <c r="M142" s="258">
        <v>15504</v>
      </c>
      <c r="N142" s="258"/>
      <c r="O142" s="258">
        <v>15902.865877999999</v>
      </c>
      <c r="P142" s="258"/>
      <c r="Q142" s="258">
        <v>15781.623224370029</v>
      </c>
      <c r="R142" s="258"/>
      <c r="S142" s="258">
        <f>S19</f>
        <v>15088.845469150001</v>
      </c>
      <c r="T142" s="258"/>
      <c r="U142" s="258">
        <v>14604.36419099</v>
      </c>
      <c r="V142" s="258"/>
      <c r="W142" s="258">
        <v>14761.540622534032</v>
      </c>
      <c r="X142" s="258"/>
      <c r="Y142" s="258">
        <f>Y19</f>
        <v>13772.911895999998</v>
      </c>
      <c r="Z142" s="258"/>
      <c r="AA142" s="258">
        <f>AA19</f>
        <v>13419.826445000001</v>
      </c>
      <c r="AB142" s="264"/>
      <c r="AC142" s="258">
        <f>AC19</f>
        <v>13006.999244000001</v>
      </c>
      <c r="AD142" s="264"/>
      <c r="AE142" s="258">
        <f>AE19</f>
        <v>13331.214576718428</v>
      </c>
      <c r="AF142" s="264"/>
      <c r="AG142" s="258">
        <f>AG19</f>
        <v>12991.201010299999</v>
      </c>
      <c r="AH142" s="264"/>
      <c r="AI142" s="258">
        <f>AI19</f>
        <v>12591.153999999999</v>
      </c>
      <c r="AJ142" s="264"/>
      <c r="AK142" s="258">
        <f>AK19</f>
        <v>12369.748290755098</v>
      </c>
      <c r="AL142" s="264"/>
      <c r="AM142" s="258">
        <f>AM19</f>
        <v>12107.396449</v>
      </c>
      <c r="AN142" s="264"/>
      <c r="AO142" s="258">
        <f>AO19</f>
        <v>11775.9</v>
      </c>
      <c r="AP142" s="264"/>
      <c r="AQ142" s="258">
        <f>AQ19</f>
        <v>10950.12103489</v>
      </c>
      <c r="AR142" s="264"/>
      <c r="AS142" s="258">
        <f>AS19</f>
        <v>8995.4</v>
      </c>
      <c r="AT142" s="264"/>
      <c r="AU142" s="258">
        <f>AU19</f>
        <v>8717.7999999999993</v>
      </c>
      <c r="AV142" s="264"/>
      <c r="AW142" s="258">
        <f>AW19</f>
        <v>8449.2000000000007</v>
      </c>
      <c r="AX142" s="264"/>
      <c r="AY142" s="258">
        <f>AY19</f>
        <v>8128</v>
      </c>
      <c r="AZ142" s="264"/>
      <c r="BA142" s="258">
        <f>BA19</f>
        <v>7889</v>
      </c>
      <c r="BB142" s="264"/>
    </row>
    <row r="143" spans="1:54">
      <c r="A143" s="252"/>
      <c r="B143" s="255" t="s">
        <v>187</v>
      </c>
      <c r="C143" s="258">
        <v>155242.86618750019</v>
      </c>
      <c r="D143" s="258"/>
      <c r="E143" s="258">
        <v>150118.14197999999</v>
      </c>
      <c r="F143" s="258"/>
      <c r="G143" s="258">
        <v>146073.80200999998</v>
      </c>
      <c r="H143" s="258"/>
      <c r="I143" s="258">
        <v>148898.13930000001</v>
      </c>
      <c r="J143" s="258"/>
      <c r="K143" s="258">
        <v>147197.40538354</v>
      </c>
      <c r="L143" s="258"/>
      <c r="M143" s="258">
        <v>143586</v>
      </c>
      <c r="N143" s="258"/>
      <c r="O143" s="258">
        <v>134782.94005149015</v>
      </c>
      <c r="P143" s="258"/>
      <c r="Q143" s="258">
        <v>136568.11884102001</v>
      </c>
      <c r="R143" s="258"/>
      <c r="S143" s="258">
        <f>+S94</f>
        <v>130854.10594534002</v>
      </c>
      <c r="T143" s="258"/>
      <c r="U143" s="258">
        <v>126291.54656699001</v>
      </c>
      <c r="V143" s="258"/>
      <c r="W143" s="258">
        <f>+W94</f>
        <v>123471.57226353404</v>
      </c>
      <c r="X143" s="258"/>
      <c r="Y143" s="258">
        <f>+Y94</f>
        <v>121318.88338399999</v>
      </c>
      <c r="Z143" s="258"/>
      <c r="AA143" s="258">
        <f>+AA94</f>
        <v>119591.87386200001</v>
      </c>
      <c r="AB143" s="264"/>
      <c r="AC143" s="258">
        <f>+AC94</f>
        <v>114088.20773600001</v>
      </c>
      <c r="AD143" s="264"/>
      <c r="AE143" s="258">
        <f>+AE94</f>
        <v>108321.32653799999</v>
      </c>
      <c r="AF143" s="264"/>
      <c r="AG143" s="258">
        <f>+AG94</f>
        <v>106311.634504</v>
      </c>
      <c r="AH143" s="264"/>
      <c r="AI143" s="258">
        <f>+AI94</f>
        <v>107652.02759400001</v>
      </c>
      <c r="AJ143" s="264"/>
      <c r="AK143" s="258">
        <f>+AK94</f>
        <v>101861.10500000003</v>
      </c>
      <c r="AL143" s="264"/>
      <c r="AM143" s="258">
        <f>+AM94</f>
        <v>101241.63347000002</v>
      </c>
      <c r="AN143" s="264"/>
      <c r="AO143" s="258">
        <f>+AO94</f>
        <v>99719.943000000014</v>
      </c>
      <c r="AP143" s="264"/>
      <c r="AQ143" s="258">
        <f>+AQ94</f>
        <v>100882.75</v>
      </c>
      <c r="AR143" s="264"/>
      <c r="AS143" s="258">
        <f>+AS94</f>
        <v>57184.580000000009</v>
      </c>
      <c r="AT143" s="264"/>
      <c r="AU143" s="258">
        <f>+AU94</f>
        <v>55970</v>
      </c>
      <c r="AV143" s="264"/>
      <c r="AW143" s="258">
        <f>+AW94</f>
        <v>54500.600000000006</v>
      </c>
      <c r="AX143" s="264"/>
      <c r="AY143" s="258">
        <f>+AY94</f>
        <v>53558.399999999994</v>
      </c>
      <c r="AZ143" s="264"/>
      <c r="BA143" s="258">
        <f>+BA94</f>
        <v>51101</v>
      </c>
      <c r="BB143" s="264"/>
    </row>
    <row r="144" spans="1:54" ht="13.5" thickBot="1">
      <c r="A144" s="321" t="s">
        <v>358</v>
      </c>
      <c r="B144" s="268" t="s">
        <v>188</v>
      </c>
      <c r="C144" s="284">
        <v>0.11460378465469563</v>
      </c>
      <c r="D144" s="284"/>
      <c r="E144" s="284">
        <v>0.11527197753570279</v>
      </c>
      <c r="F144" s="284"/>
      <c r="G144" s="284">
        <v>0.11730686540785003</v>
      </c>
      <c r="H144" s="284"/>
      <c r="I144" s="284">
        <v>0.1119</v>
      </c>
      <c r="J144" s="284"/>
      <c r="K144" s="284">
        <v>0.11035730996401436</v>
      </c>
      <c r="L144" s="284"/>
      <c r="M144" s="284">
        <v>0.108</v>
      </c>
      <c r="N144" s="284"/>
      <c r="O144" s="284">
        <v>0.11798871483234259</v>
      </c>
      <c r="P144" s="284"/>
      <c r="Q144" s="284">
        <v>0.11555861908548024</v>
      </c>
      <c r="R144" s="284"/>
      <c r="S144" s="284">
        <f>S142/S143</f>
        <v>0.11531044715901285</v>
      </c>
      <c r="T144" s="284"/>
      <c r="U144" s="284">
        <f>U142/U143</f>
        <v>0.11564007717051172</v>
      </c>
      <c r="V144" s="284"/>
      <c r="W144" s="284">
        <f>W142/W143</f>
        <v>0.11955416418467112</v>
      </c>
      <c r="X144" s="284"/>
      <c r="Y144" s="284">
        <f>Y142/Y143</f>
        <v>0.11352653034569904</v>
      </c>
      <c r="Z144" s="284"/>
      <c r="AA144" s="284">
        <f>AA142/AA143</f>
        <v>0.11221353100032086</v>
      </c>
      <c r="AB144" s="275"/>
      <c r="AC144" s="284">
        <f>AC142/AC143</f>
        <v>0.11400827046120475</v>
      </c>
      <c r="AD144" s="275"/>
      <c r="AE144" s="284">
        <f>AE142/AE143</f>
        <v>0.12307100552393743</v>
      </c>
      <c r="AF144" s="275"/>
      <c r="AG144" s="284">
        <f>AG142/AG143</f>
        <v>0.12219924066552849</v>
      </c>
      <c r="AH144" s="275"/>
      <c r="AI144" s="284">
        <f>AI142/AI143</f>
        <v>0.11696160566047496</v>
      </c>
      <c r="AJ144" s="275"/>
      <c r="AK144" s="284">
        <f>AK142/AK143</f>
        <v>0.12143740528590471</v>
      </c>
      <c r="AL144" s="275"/>
      <c r="AM144" s="284">
        <f>AM142/AM143</f>
        <v>0.11958910612191645</v>
      </c>
      <c r="AN144" s="275"/>
      <c r="AO144" s="284">
        <f>AO142/AO143</f>
        <v>0.11808971852300396</v>
      </c>
      <c r="AP144" s="275"/>
      <c r="AQ144" s="284">
        <f>AQ142/AQ143</f>
        <v>0.10854304660499442</v>
      </c>
      <c r="AR144" s="275"/>
      <c r="AS144" s="284">
        <f>AS142/AS143</f>
        <v>0.15730464401417302</v>
      </c>
      <c r="AT144" s="275"/>
      <c r="AU144" s="284">
        <f>AU142/AU143</f>
        <v>0.15575844202251204</v>
      </c>
      <c r="AV144" s="275"/>
      <c r="AW144" s="284">
        <f>AW142/AW143</f>
        <v>0.15502948591391655</v>
      </c>
      <c r="AX144" s="275"/>
      <c r="AY144" s="284">
        <f>AY142/AY143</f>
        <v>0.15175957459520822</v>
      </c>
      <c r="AZ144" s="275"/>
      <c r="BA144" s="284">
        <f>BA142/BA143</f>
        <v>0.154380540498229</v>
      </c>
      <c r="BB144" s="275"/>
    </row>
    <row r="145" spans="1:54">
      <c r="A145" s="252"/>
      <c r="B145" s="255"/>
      <c r="C145" s="264"/>
      <c r="D145" s="264"/>
      <c r="E145" s="264"/>
      <c r="F145" s="264"/>
      <c r="G145" s="264"/>
      <c r="H145" s="264"/>
      <c r="I145" s="264"/>
      <c r="J145" s="264"/>
      <c r="K145" s="264"/>
      <c r="L145" s="264"/>
      <c r="M145" s="264"/>
      <c r="N145" s="264"/>
      <c r="O145" s="264"/>
      <c r="P145" s="264"/>
      <c r="Q145" s="264"/>
      <c r="R145" s="264"/>
      <c r="S145" s="264"/>
      <c r="T145" s="264"/>
      <c r="U145" s="264"/>
      <c r="V145" s="264"/>
      <c r="W145" s="264"/>
      <c r="X145" s="264"/>
      <c r="Y145" s="264"/>
      <c r="Z145" s="264"/>
      <c r="AA145" s="264"/>
      <c r="AB145" s="264"/>
      <c r="AC145" s="264"/>
      <c r="AD145" s="264"/>
      <c r="AE145" s="264"/>
      <c r="AF145" s="264"/>
      <c r="AG145" s="264"/>
      <c r="AH145" s="264"/>
      <c r="AI145" s="264"/>
      <c r="AJ145" s="264"/>
      <c r="AK145" s="264"/>
      <c r="AL145" s="264"/>
      <c r="AM145" s="264"/>
      <c r="AN145" s="264"/>
      <c r="AO145" s="264"/>
      <c r="AP145" s="264"/>
      <c r="AQ145" s="264"/>
      <c r="AR145" s="264"/>
      <c r="AS145" s="264"/>
      <c r="AT145" s="264"/>
      <c r="AU145" s="264"/>
      <c r="AV145" s="264"/>
      <c r="AW145" s="264"/>
      <c r="AX145" s="264"/>
      <c r="AY145" s="264"/>
      <c r="AZ145" s="264"/>
      <c r="BA145" s="264"/>
      <c r="BB145" s="264"/>
    </row>
    <row r="146" spans="1:54">
      <c r="A146" s="252"/>
      <c r="B146" s="255"/>
      <c r="C146" s="264"/>
      <c r="D146" s="264"/>
      <c r="E146" s="264"/>
      <c r="F146" s="264"/>
      <c r="G146" s="264"/>
      <c r="H146" s="264"/>
      <c r="I146" s="264"/>
      <c r="J146" s="264"/>
      <c r="K146" s="264"/>
      <c r="L146" s="264"/>
      <c r="M146" s="264"/>
      <c r="N146" s="264"/>
      <c r="O146" s="264"/>
      <c r="P146" s="264"/>
      <c r="Q146" s="264"/>
      <c r="R146" s="264"/>
      <c r="S146" s="264"/>
      <c r="T146" s="264"/>
      <c r="U146" s="264"/>
      <c r="V146" s="264"/>
      <c r="W146" s="264"/>
      <c r="X146" s="264"/>
      <c r="Y146" s="264"/>
      <c r="Z146" s="264"/>
      <c r="AA146" s="264"/>
      <c r="AB146" s="264"/>
      <c r="AC146" s="264"/>
      <c r="AD146" s="264"/>
      <c r="AE146" s="264"/>
      <c r="AF146" s="264"/>
      <c r="AG146" s="264"/>
      <c r="AH146" s="264"/>
      <c r="AI146" s="264"/>
      <c r="AJ146" s="264"/>
      <c r="AK146" s="264"/>
      <c r="AL146" s="264"/>
      <c r="AM146" s="264"/>
      <c r="AN146" s="264"/>
      <c r="AO146" s="264"/>
      <c r="AP146" s="264"/>
      <c r="AQ146" s="264"/>
      <c r="AR146" s="264"/>
      <c r="AS146" s="264"/>
      <c r="AT146" s="264"/>
      <c r="AU146" s="264"/>
      <c r="AV146" s="264"/>
      <c r="AW146" s="264"/>
      <c r="AX146" s="264"/>
      <c r="AY146" s="264"/>
      <c r="AZ146" s="264"/>
      <c r="BA146" s="264"/>
      <c r="BB146" s="264"/>
    </row>
    <row r="147" spans="1:54">
      <c r="B147" s="255" t="s">
        <v>186</v>
      </c>
      <c r="C147" s="258">
        <v>17791.42000573</v>
      </c>
      <c r="D147" s="258"/>
      <c r="E147" s="258">
        <v>17304.41509002</v>
      </c>
      <c r="F147" s="258"/>
      <c r="G147" s="258">
        <v>17135.459832</v>
      </c>
      <c r="H147" s="258"/>
      <c r="I147" s="258">
        <v>16654.883699999998</v>
      </c>
      <c r="J147" s="258"/>
      <c r="K147" s="258">
        <v>16244.309691809998</v>
      </c>
      <c r="L147" s="258"/>
      <c r="M147" s="258">
        <v>15504</v>
      </c>
      <c r="N147" s="258"/>
      <c r="O147" s="258">
        <v>15902.865877999999</v>
      </c>
      <c r="P147" s="258"/>
      <c r="Q147" s="258">
        <v>15781.623224370029</v>
      </c>
      <c r="R147" s="258"/>
      <c r="S147" s="258">
        <v>15088.845469150001</v>
      </c>
      <c r="T147" s="258"/>
      <c r="U147" s="258">
        <v>14604.36419099</v>
      </c>
      <c r="V147" s="258"/>
      <c r="W147" s="258">
        <v>14761.540622534032</v>
      </c>
      <c r="X147" s="258"/>
      <c r="Y147" s="258">
        <v>13772.911895999998</v>
      </c>
      <c r="Z147" s="258"/>
      <c r="AA147" s="258">
        <v>13419.826445000001</v>
      </c>
      <c r="AB147" s="264"/>
      <c r="AC147" s="258">
        <v>13006.999244000001</v>
      </c>
      <c r="AD147" s="264"/>
      <c r="AE147" s="258">
        <v>13331.214576718428</v>
      </c>
      <c r="AF147" s="264"/>
      <c r="AG147" s="258">
        <v>12991.201010299999</v>
      </c>
      <c r="AH147" s="258"/>
      <c r="AI147" s="258">
        <v>12591.153999999999</v>
      </c>
      <c r="AJ147" s="264"/>
      <c r="AK147" s="258">
        <v>12369.748290755098</v>
      </c>
      <c r="AL147" s="264"/>
      <c r="AM147" s="258">
        <v>12107.396449</v>
      </c>
      <c r="AN147" s="264"/>
      <c r="AO147" s="258">
        <v>11775.9</v>
      </c>
      <c r="AP147" s="264"/>
      <c r="AQ147" s="258">
        <v>10950.12103489</v>
      </c>
      <c r="AR147" s="264"/>
      <c r="AS147" s="294" t="s">
        <v>134</v>
      </c>
      <c r="AT147" s="264"/>
      <c r="AU147" s="294" t="s">
        <v>134</v>
      </c>
      <c r="AV147" s="264"/>
      <c r="AW147" s="294" t="s">
        <v>134</v>
      </c>
      <c r="AX147" s="264"/>
      <c r="AY147" s="294" t="s">
        <v>134</v>
      </c>
      <c r="AZ147" s="264"/>
      <c r="BA147" s="294" t="s">
        <v>134</v>
      </c>
      <c r="BB147" s="264"/>
    </row>
    <row r="148" spans="1:54">
      <c r="B148" s="272" t="s">
        <v>189</v>
      </c>
      <c r="C148" s="258">
        <v>112.42981</v>
      </c>
      <c r="D148" s="258"/>
      <c r="E148" s="258">
        <v>109.570846</v>
      </c>
      <c r="F148" s="258"/>
      <c r="G148" s="258">
        <v>113.26664</v>
      </c>
      <c r="H148" s="258"/>
      <c r="I148" s="258">
        <v>112.57599999999999</v>
      </c>
      <c r="J148" s="258"/>
      <c r="K148" s="258">
        <v>110.50827200000001</v>
      </c>
      <c r="L148" s="258"/>
      <c r="M148" s="258">
        <v>109</v>
      </c>
      <c r="N148" s="258"/>
      <c r="O148" s="258">
        <v>113.514532</v>
      </c>
      <c r="P148" s="258"/>
      <c r="Q148" s="258">
        <v>100.881528</v>
      </c>
      <c r="R148" s="258"/>
      <c r="S148" s="258">
        <v>100.21979899999999</v>
      </c>
      <c r="T148" s="258"/>
      <c r="U148" s="258">
        <v>98.409527999999995</v>
      </c>
      <c r="V148" s="258"/>
      <c r="W148" s="258">
        <v>102.476</v>
      </c>
      <c r="X148" s="258"/>
      <c r="Y148" s="258">
        <v>94.432304000000002</v>
      </c>
      <c r="Z148" s="258"/>
      <c r="AA148" s="258">
        <v>92.616168999999999</v>
      </c>
      <c r="AB148" s="264"/>
      <c r="AC148" s="258">
        <v>57.376956999999997</v>
      </c>
      <c r="AD148" s="264"/>
      <c r="AE148" s="258">
        <v>62.4</v>
      </c>
      <c r="AF148" s="264"/>
      <c r="AG148" s="258">
        <v>53.335999999999999</v>
      </c>
      <c r="AH148" s="258"/>
      <c r="AI148" s="258">
        <v>50.855761000000001</v>
      </c>
      <c r="AJ148" s="264"/>
      <c r="AK148" s="258">
        <v>49</v>
      </c>
      <c r="AL148" s="264"/>
      <c r="AM148" s="258">
        <v>47.279034750000001</v>
      </c>
      <c r="AN148" s="264"/>
      <c r="AO148" s="258">
        <v>46</v>
      </c>
      <c r="AP148" s="264"/>
      <c r="AQ148" s="258">
        <v>45</v>
      </c>
      <c r="AR148" s="264"/>
      <c r="AS148" s="294" t="s">
        <v>134</v>
      </c>
      <c r="AT148" s="264"/>
      <c r="AU148" s="294" t="s">
        <v>134</v>
      </c>
      <c r="AV148" s="264"/>
      <c r="AW148" s="294" t="s">
        <v>134</v>
      </c>
      <c r="AX148" s="264"/>
      <c r="AY148" s="294" t="s">
        <v>134</v>
      </c>
      <c r="AZ148" s="264"/>
      <c r="BA148" s="294" t="s">
        <v>134</v>
      </c>
      <c r="BB148" s="264"/>
    </row>
    <row r="149" spans="1:54">
      <c r="B149" s="272" t="s">
        <v>190</v>
      </c>
      <c r="C149" s="258">
        <v>23.892459890000001</v>
      </c>
      <c r="D149" s="258"/>
      <c r="E149" s="258">
        <v>28.696660000000001</v>
      </c>
      <c r="F149" s="258"/>
      <c r="G149" s="258">
        <v>29.296659999999999</v>
      </c>
      <c r="H149" s="258"/>
      <c r="I149" s="258">
        <v>30.436699999999998</v>
      </c>
      <c r="J149" s="258"/>
      <c r="K149" s="258">
        <v>31.936659890000001</v>
      </c>
      <c r="L149" s="258"/>
      <c r="M149" s="258">
        <v>32</v>
      </c>
      <c r="N149" s="258"/>
      <c r="O149" s="258">
        <v>12.411659999999998</v>
      </c>
      <c r="P149" s="258"/>
      <c r="Q149" s="258">
        <v>12.96165989</v>
      </c>
      <c r="R149" s="258"/>
      <c r="S149" s="258">
        <v>14.46165989</v>
      </c>
      <c r="T149" s="258"/>
      <c r="U149" s="258">
        <v>14.56165989</v>
      </c>
      <c r="V149" s="258"/>
      <c r="W149" s="258">
        <v>14.661659999999999</v>
      </c>
      <c r="X149" s="258"/>
      <c r="Y149" s="258">
        <v>16.509160000000001</v>
      </c>
      <c r="Z149" s="258"/>
      <c r="AA149" s="258">
        <v>19.009160000000001</v>
      </c>
      <c r="AB149" s="264"/>
      <c r="AC149" s="258">
        <v>19.237159999999999</v>
      </c>
      <c r="AD149" s="264"/>
      <c r="AE149" s="258">
        <v>19.520132000000004</v>
      </c>
      <c r="AF149" s="264"/>
      <c r="AG149" s="258">
        <v>23.610119999999998</v>
      </c>
      <c r="AH149" s="258"/>
      <c r="AI149" s="258">
        <v>27.225885000000002</v>
      </c>
      <c r="AJ149" s="264"/>
      <c r="AK149" s="258">
        <v>28.733000000000001</v>
      </c>
      <c r="AL149" s="264"/>
      <c r="AM149" s="258">
        <v>32.701132000000001</v>
      </c>
      <c r="AN149" s="264"/>
      <c r="AO149" s="258">
        <v>40.4</v>
      </c>
      <c r="AP149" s="264"/>
      <c r="AQ149" s="258">
        <v>43.90314489</v>
      </c>
      <c r="AR149" s="264"/>
      <c r="AS149" s="294" t="s">
        <v>134</v>
      </c>
      <c r="AT149" s="264"/>
      <c r="AU149" s="294" t="s">
        <v>134</v>
      </c>
      <c r="AV149" s="264"/>
      <c r="AW149" s="294" t="s">
        <v>134</v>
      </c>
      <c r="AX149" s="264"/>
      <c r="AY149" s="294" t="s">
        <v>134</v>
      </c>
      <c r="AZ149" s="264"/>
      <c r="BA149" s="294" t="s">
        <v>134</v>
      </c>
      <c r="BB149" s="264"/>
    </row>
    <row r="150" spans="1:54">
      <c r="B150" s="272" t="s">
        <v>191</v>
      </c>
      <c r="C150" s="258">
        <v>650</v>
      </c>
      <c r="D150" s="258"/>
      <c r="E150" s="258">
        <v>650</v>
      </c>
      <c r="F150" s="258"/>
      <c r="G150" s="258">
        <v>650</v>
      </c>
      <c r="H150" s="258"/>
      <c r="I150" s="258">
        <v>650</v>
      </c>
      <c r="J150" s="258"/>
      <c r="K150" s="258">
        <v>650</v>
      </c>
      <c r="L150" s="258"/>
      <c r="M150" s="258">
        <v>300</v>
      </c>
      <c r="N150" s="258"/>
      <c r="O150" s="258">
        <v>300.00475699999998</v>
      </c>
      <c r="P150" s="258"/>
      <c r="Q150" s="258">
        <v>493.44836554</v>
      </c>
      <c r="R150" s="258"/>
      <c r="S150" s="258">
        <v>200</v>
      </c>
      <c r="T150" s="258"/>
      <c r="U150" s="258">
        <v>200</v>
      </c>
      <c r="V150" s="258"/>
      <c r="W150" s="258">
        <v>400</v>
      </c>
      <c r="X150" s="258"/>
      <c r="Y150" s="258">
        <v>400</v>
      </c>
      <c r="Z150" s="258"/>
      <c r="AA150" s="258">
        <v>400</v>
      </c>
      <c r="AB150" s="264"/>
      <c r="AC150" s="258">
        <v>400</v>
      </c>
      <c r="AD150" s="264"/>
      <c r="AE150" s="258">
        <v>400</v>
      </c>
      <c r="AF150" s="264"/>
      <c r="AG150" s="258">
        <v>400</v>
      </c>
      <c r="AH150" s="258"/>
      <c r="AI150" s="258">
        <v>400</v>
      </c>
      <c r="AJ150" s="264"/>
      <c r="AK150" s="258">
        <v>400</v>
      </c>
      <c r="AL150" s="264"/>
      <c r="AM150" s="258">
        <v>400</v>
      </c>
      <c r="AN150" s="264"/>
      <c r="AO150" s="258">
        <v>400</v>
      </c>
      <c r="AP150" s="264"/>
      <c r="AQ150" s="258">
        <v>400</v>
      </c>
      <c r="AR150" s="264"/>
      <c r="AS150" s="294" t="s">
        <v>134</v>
      </c>
      <c r="AT150" s="264"/>
      <c r="AU150" s="294" t="s">
        <v>134</v>
      </c>
      <c r="AV150" s="264"/>
      <c r="AW150" s="294" t="s">
        <v>134</v>
      </c>
      <c r="AX150" s="264"/>
      <c r="AY150" s="294" t="s">
        <v>134</v>
      </c>
      <c r="AZ150" s="264"/>
      <c r="BA150" s="294" t="s">
        <v>134</v>
      </c>
      <c r="BB150" s="264"/>
    </row>
    <row r="151" spans="1:54">
      <c r="B151" s="297" t="s">
        <v>192</v>
      </c>
      <c r="C151" s="258">
        <v>17005.097735839998</v>
      </c>
      <c r="D151" s="258"/>
      <c r="E151" s="258">
        <v>16516.14758402</v>
      </c>
      <c r="F151" s="258"/>
      <c r="G151" s="258">
        <v>16342.896531999999</v>
      </c>
      <c r="H151" s="258"/>
      <c r="I151" s="258">
        <v>15861.8711</v>
      </c>
      <c r="J151" s="258"/>
      <c r="K151" s="258">
        <v>15451.864759919999</v>
      </c>
      <c r="L151" s="258"/>
      <c r="M151" s="258">
        <v>15063</v>
      </c>
      <c r="N151" s="258"/>
      <c r="O151" s="258">
        <v>15476.934928999999</v>
      </c>
      <c r="P151" s="258"/>
      <c r="Q151" s="258">
        <v>15174.33167094003</v>
      </c>
      <c r="R151" s="258"/>
      <c r="S151" s="258">
        <v>14774.164010260001</v>
      </c>
      <c r="T151" s="258"/>
      <c r="U151" s="258">
        <v>14291.3930031</v>
      </c>
      <c r="V151" s="258"/>
      <c r="W151" s="258">
        <v>14244.402962534032</v>
      </c>
      <c r="X151" s="258"/>
      <c r="Y151" s="258">
        <v>13261.970431999998</v>
      </c>
      <c r="Z151" s="258"/>
      <c r="AA151" s="258">
        <v>12908.201116</v>
      </c>
      <c r="AB151" s="264"/>
      <c r="AC151" s="258">
        <v>12530.385127</v>
      </c>
      <c r="AD151" s="264"/>
      <c r="AE151" s="258">
        <v>12849.294444718429</v>
      </c>
      <c r="AF151" s="264"/>
      <c r="AG151" s="258">
        <v>12514.254890300001</v>
      </c>
      <c r="AH151" s="258"/>
      <c r="AI151" s="258">
        <v>12113.072353999998</v>
      </c>
      <c r="AJ151" s="264"/>
      <c r="AK151" s="258">
        <v>11892.015290755098</v>
      </c>
      <c r="AL151" s="264"/>
      <c r="AM151" s="258">
        <v>11627.41628225</v>
      </c>
      <c r="AN151" s="258"/>
      <c r="AO151" s="258">
        <v>11289.5</v>
      </c>
      <c r="AP151" s="264"/>
      <c r="AQ151" s="258">
        <v>10461.21789</v>
      </c>
      <c r="AR151" s="264"/>
      <c r="AS151" s="294" t="s">
        <v>134</v>
      </c>
      <c r="AT151" s="264"/>
      <c r="AU151" s="294" t="s">
        <v>134</v>
      </c>
      <c r="AV151" s="264"/>
      <c r="AW151" s="294" t="s">
        <v>134</v>
      </c>
      <c r="AX151" s="264"/>
      <c r="AY151" s="294" t="s">
        <v>134</v>
      </c>
      <c r="AZ151" s="264"/>
      <c r="BA151" s="294" t="s">
        <v>134</v>
      </c>
      <c r="BB151" s="264"/>
    </row>
    <row r="152" spans="1:54">
      <c r="B152" s="298" t="s">
        <v>193</v>
      </c>
      <c r="C152" s="299">
        <v>0.696274605713462</v>
      </c>
      <c r="D152" s="299"/>
      <c r="E152" s="299">
        <v>0.696274605713462</v>
      </c>
      <c r="F152" s="299"/>
      <c r="G152" s="299">
        <v>0.69997791239999996</v>
      </c>
      <c r="H152" s="299"/>
      <c r="I152" s="299">
        <v>0.70099999999999996</v>
      </c>
      <c r="J152" s="299"/>
      <c r="K152" s="299">
        <v>0.70099912411646903</v>
      </c>
      <c r="L152" s="299"/>
      <c r="M152" s="299">
        <v>0.70099999999999996</v>
      </c>
      <c r="N152" s="299"/>
      <c r="O152" s="299">
        <v>0.70099912415633248</v>
      </c>
      <c r="P152" s="299"/>
      <c r="Q152" s="299">
        <v>0.69355058599999997</v>
      </c>
      <c r="R152" s="299"/>
      <c r="S152" s="299">
        <v>0.69355058599999997</v>
      </c>
      <c r="T152" s="299"/>
      <c r="U152" s="299">
        <v>0.69355058599999997</v>
      </c>
      <c r="V152" s="299"/>
      <c r="W152" s="299">
        <v>0.69255300847357781</v>
      </c>
      <c r="X152" s="299"/>
      <c r="Y152" s="299">
        <v>0.67552884523400603</v>
      </c>
      <c r="Z152" s="299"/>
      <c r="AA152" s="299">
        <v>0.67552884523400603</v>
      </c>
      <c r="AB152" s="264"/>
      <c r="AC152" s="299">
        <v>0.67552884523400603</v>
      </c>
      <c r="AD152" s="264"/>
      <c r="AE152" s="300">
        <v>0.67527848656046996</v>
      </c>
      <c r="AF152" s="300"/>
      <c r="AG152" s="300">
        <v>0.67909544299689906</v>
      </c>
      <c r="AH152" s="300"/>
      <c r="AI152" s="300">
        <v>0.68019204285072066</v>
      </c>
      <c r="AJ152" s="300"/>
      <c r="AK152" s="300">
        <v>0.67294279680764146</v>
      </c>
      <c r="AL152" s="301"/>
      <c r="AM152" s="300">
        <v>0.67300000000000004</v>
      </c>
      <c r="AN152" s="300">
        <v>0.67300000000000004</v>
      </c>
      <c r="AO152" s="300">
        <v>0.67255691881993418</v>
      </c>
      <c r="AP152" s="301"/>
      <c r="AQ152" s="300">
        <v>0.67255691881993418</v>
      </c>
      <c r="AR152" s="300"/>
      <c r="AS152" s="294" t="s">
        <v>134</v>
      </c>
      <c r="AT152" s="294"/>
      <c r="AU152" s="294" t="s">
        <v>134</v>
      </c>
      <c r="AV152" s="302"/>
      <c r="AW152" s="294" t="s">
        <v>134</v>
      </c>
      <c r="AX152" s="294"/>
      <c r="AY152" s="294" t="s">
        <v>134</v>
      </c>
      <c r="AZ152" s="294"/>
      <c r="BA152" s="294" t="s">
        <v>134</v>
      </c>
      <c r="BB152" s="294"/>
    </row>
    <row r="153" spans="1:54">
      <c r="B153" s="297" t="s">
        <v>194</v>
      </c>
      <c r="C153" s="258">
        <v>11840.21772114088</v>
      </c>
      <c r="D153" s="258"/>
      <c r="E153" s="258">
        <v>11499.774146968874</v>
      </c>
      <c r="F153" s="258"/>
      <c r="G153" s="258">
        <v>11439.666597038558</v>
      </c>
      <c r="H153" s="258"/>
      <c r="I153" s="258">
        <v>11119.1577</v>
      </c>
      <c r="J153" s="258"/>
      <c r="K153" s="258">
        <v>10831.743662670053</v>
      </c>
      <c r="L153" s="258"/>
      <c r="M153" s="258">
        <v>10559</v>
      </c>
      <c r="N153" s="258"/>
      <c r="O153" s="258">
        <v>10849.317829853549</v>
      </c>
      <c r="P153" s="258"/>
      <c r="Q153" s="258">
        <v>10563.454521036645</v>
      </c>
      <c r="R153" s="258"/>
      <c r="S153" s="258">
        <v>10284.338953080276</v>
      </c>
      <c r="T153" s="258"/>
      <c r="U153" s="258">
        <v>9875.6371398569845</v>
      </c>
      <c r="V153" s="258"/>
      <c r="W153" s="258">
        <v>9897.943889999633</v>
      </c>
      <c r="X153" s="258"/>
      <c r="Y153" s="258">
        <v>8985.8324258674093</v>
      </c>
      <c r="Z153" s="258"/>
      <c r="AA153" s="258">
        <v>8743.3967177522609</v>
      </c>
      <c r="AB153" s="264"/>
      <c r="AC153" s="258">
        <v>8464.6365951796743</v>
      </c>
      <c r="AD153" s="264"/>
      <c r="AE153" s="258">
        <v>8676.8521059993145</v>
      </c>
      <c r="AF153" s="258"/>
      <c r="AG153" s="258">
        <v>8498.3734685043892</v>
      </c>
      <c r="AH153" s="258"/>
      <c r="AI153" s="258">
        <v>8239.2154296658464</v>
      </c>
      <c r="AJ153" s="258"/>
      <c r="AK153" s="258">
        <v>8002.6460294399731</v>
      </c>
      <c r="AL153" s="264"/>
      <c r="AM153" s="258">
        <v>7825.2511579542506</v>
      </c>
      <c r="AN153" s="258"/>
      <c r="AO153" s="258">
        <v>7592.8313350176468</v>
      </c>
      <c r="AP153" s="264"/>
      <c r="AQ153" s="258">
        <v>7035.764471202373</v>
      </c>
      <c r="AR153" s="258"/>
      <c r="AS153" s="294" t="s">
        <v>134</v>
      </c>
      <c r="AT153" s="294"/>
      <c r="AU153" s="294" t="s">
        <v>134</v>
      </c>
      <c r="AV153" s="258"/>
      <c r="AW153" s="294" t="s">
        <v>134</v>
      </c>
      <c r="AX153" s="294"/>
      <c r="AY153" s="294" t="s">
        <v>134</v>
      </c>
      <c r="AZ153" s="294"/>
      <c r="BA153" s="294" t="s">
        <v>134</v>
      </c>
      <c r="BB153" s="294"/>
    </row>
    <row r="154" spans="1:54">
      <c r="B154" s="298" t="s">
        <v>195</v>
      </c>
      <c r="C154" s="258">
        <v>115829789</v>
      </c>
      <c r="D154" s="258"/>
      <c r="E154" s="258">
        <v>115829789</v>
      </c>
      <c r="F154" s="258"/>
      <c r="G154" s="258">
        <v>115829789</v>
      </c>
      <c r="H154" s="258"/>
      <c r="I154" s="258">
        <v>115829789</v>
      </c>
      <c r="J154" s="258"/>
      <c r="K154" s="258">
        <v>115829789</v>
      </c>
      <c r="L154" s="258"/>
      <c r="M154" s="258">
        <v>115829789</v>
      </c>
      <c r="N154" s="258"/>
      <c r="O154" s="258">
        <v>115829789</v>
      </c>
      <c r="P154" s="258"/>
      <c r="Q154" s="258">
        <v>115829789</v>
      </c>
      <c r="R154" s="258"/>
      <c r="S154" s="258">
        <v>115829789</v>
      </c>
      <c r="T154" s="258"/>
      <c r="U154" s="258">
        <v>115829789</v>
      </c>
      <c r="V154" s="258"/>
      <c r="W154" s="258">
        <v>115319521</v>
      </c>
      <c r="X154" s="258"/>
      <c r="Y154" s="258">
        <v>107179987</v>
      </c>
      <c r="Z154" s="258"/>
      <c r="AA154" s="258">
        <v>107179987</v>
      </c>
      <c r="AB154" s="264"/>
      <c r="AC154" s="258">
        <v>107179987</v>
      </c>
      <c r="AD154" s="264"/>
      <c r="AE154" s="258">
        <v>107179987</v>
      </c>
      <c r="AF154" s="258"/>
      <c r="AG154" s="258">
        <v>107179987</v>
      </c>
      <c r="AH154" s="258"/>
      <c r="AI154" s="258">
        <v>107179987</v>
      </c>
      <c r="AJ154" s="258"/>
      <c r="AK154" s="258">
        <v>106202540</v>
      </c>
      <c r="AL154" s="264"/>
      <c r="AM154" s="258">
        <v>106202540</v>
      </c>
      <c r="AN154" s="258">
        <v>106202540</v>
      </c>
      <c r="AO154" s="258">
        <v>106202540</v>
      </c>
      <c r="AP154" s="264"/>
      <c r="AQ154" s="258">
        <v>106202540</v>
      </c>
      <c r="AR154" s="258">
        <v>106202540</v>
      </c>
      <c r="AS154" s="294" t="s">
        <v>134</v>
      </c>
      <c r="AT154" s="294"/>
      <c r="AU154" s="294" t="s">
        <v>134</v>
      </c>
      <c r="AV154" s="294"/>
      <c r="AW154" s="294" t="s">
        <v>134</v>
      </c>
      <c r="AX154" s="294"/>
      <c r="AY154" s="294" t="s">
        <v>134</v>
      </c>
      <c r="AZ154" s="294"/>
      <c r="BA154" s="294" t="s">
        <v>134</v>
      </c>
      <c r="BB154" s="294"/>
    </row>
    <row r="155" spans="1:54" ht="13.5" thickBot="1">
      <c r="A155" s="321" t="s">
        <v>359</v>
      </c>
      <c r="B155" s="268" t="s">
        <v>196</v>
      </c>
      <c r="C155" s="303">
        <v>102.22083475556431</v>
      </c>
      <c r="D155" s="303"/>
      <c r="E155" s="303">
        <v>99.281663605282702</v>
      </c>
      <c r="F155" s="303"/>
      <c r="G155" s="303">
        <v>98.762733626654182</v>
      </c>
      <c r="H155" s="303"/>
      <c r="I155" s="303">
        <v>95.995699999999999</v>
      </c>
      <c r="J155" s="303"/>
      <c r="K155" s="303">
        <v>93.514317484166824</v>
      </c>
      <c r="L155" s="303"/>
      <c r="M155" s="303">
        <v>91.16</v>
      </c>
      <c r="N155" s="303"/>
      <c r="O155" s="303">
        <v>93.666041555627373</v>
      </c>
      <c r="P155" s="303"/>
      <c r="Q155" s="303">
        <v>91.198081359162671</v>
      </c>
      <c r="R155" s="303"/>
      <c r="S155" s="303">
        <v>88.78837682317004</v>
      </c>
      <c r="T155" s="303"/>
      <c r="U155" s="303">
        <v>85.259907879630035</v>
      </c>
      <c r="V155" s="303"/>
      <c r="W155" s="303">
        <v>85.830601828459152</v>
      </c>
      <c r="X155" s="303"/>
      <c r="Y155" s="303">
        <v>83.838715392523881</v>
      </c>
      <c r="Z155" s="303"/>
      <c r="AA155" s="303">
        <v>81.57676598479398</v>
      </c>
      <c r="AB155" s="275"/>
      <c r="AC155" s="303">
        <v>78.975906156619274</v>
      </c>
      <c r="AD155" s="275"/>
      <c r="AE155" s="303">
        <v>80.955898100634357</v>
      </c>
      <c r="AF155" s="275"/>
      <c r="AG155" s="303">
        <v>79.29067455946219</v>
      </c>
      <c r="AH155" s="274"/>
      <c r="AI155" s="303">
        <v>76.872704133336455</v>
      </c>
      <c r="AJ155" s="275"/>
      <c r="AK155" s="303">
        <v>75.352680166029671</v>
      </c>
      <c r="AL155" s="275"/>
      <c r="AM155" s="303">
        <v>73.682335261983852</v>
      </c>
      <c r="AN155" s="275"/>
      <c r="AO155" s="303">
        <v>71.493877029849259</v>
      </c>
      <c r="AP155" s="275"/>
      <c r="AQ155" s="303">
        <v>66.248551787955094</v>
      </c>
      <c r="AR155" s="275"/>
      <c r="AS155" s="304" t="s">
        <v>134</v>
      </c>
      <c r="AT155" s="304"/>
      <c r="AU155" s="304" t="s">
        <v>134</v>
      </c>
      <c r="AV155" s="274"/>
      <c r="AW155" s="304" t="s">
        <v>134</v>
      </c>
      <c r="AX155" s="304"/>
      <c r="AY155" s="304" t="s">
        <v>134</v>
      </c>
      <c r="AZ155" s="304"/>
      <c r="BA155" s="304" t="s">
        <v>134</v>
      </c>
      <c r="BB155" s="304"/>
    </row>
    <row r="156" spans="1:54">
      <c r="A156" s="252"/>
      <c r="B156" s="285"/>
      <c r="C156" s="286"/>
      <c r="D156" s="286"/>
      <c r="E156" s="286"/>
      <c r="F156" s="286"/>
      <c r="G156" s="286"/>
      <c r="H156" s="286"/>
      <c r="I156" s="286"/>
      <c r="J156" s="286"/>
      <c r="K156" s="286"/>
      <c r="L156" s="286"/>
      <c r="M156" s="286"/>
      <c r="N156" s="286"/>
      <c r="O156" s="286"/>
      <c r="P156" s="286"/>
      <c r="Q156" s="286"/>
      <c r="R156" s="286"/>
      <c r="S156" s="286"/>
      <c r="T156" s="286"/>
      <c r="U156" s="286"/>
      <c r="V156" s="286"/>
      <c r="W156" s="286"/>
      <c r="X156" s="286"/>
      <c r="Y156" s="286"/>
      <c r="Z156" s="286"/>
      <c r="AA156" s="286"/>
      <c r="AB156" s="286"/>
      <c r="AC156" s="286"/>
      <c r="AD156" s="286"/>
      <c r="AE156" s="286"/>
      <c r="AF156" s="286"/>
      <c r="AG156" s="286"/>
      <c r="AH156" s="286"/>
      <c r="AI156" s="286"/>
      <c r="AJ156" s="286"/>
      <c r="AK156" s="286"/>
      <c r="AL156" s="286"/>
      <c r="AM156" s="286"/>
      <c r="AN156" s="286"/>
      <c r="AO156" s="287"/>
      <c r="AP156" s="286"/>
      <c r="AQ156" s="286"/>
      <c r="AR156" s="286"/>
      <c r="AS156" s="288"/>
      <c r="AT156" s="286"/>
      <c r="AU156" s="286"/>
      <c r="AV156" s="286"/>
      <c r="AW156" s="286"/>
      <c r="AX156" s="286"/>
      <c r="AY156" s="286"/>
      <c r="AZ156" s="286"/>
      <c r="BA156" s="286"/>
      <c r="BB156" s="286"/>
    </row>
    <row r="157" spans="1:54">
      <c r="A157" s="252"/>
      <c r="B157" s="305"/>
      <c r="C157" s="288"/>
      <c r="D157" s="288"/>
      <c r="E157" s="288"/>
      <c r="F157" s="288"/>
      <c r="G157" s="288"/>
      <c r="H157" s="288"/>
      <c r="I157" s="288"/>
      <c r="J157" s="288"/>
      <c r="K157" s="288"/>
      <c r="L157" s="288"/>
      <c r="M157" s="288"/>
      <c r="N157" s="288"/>
      <c r="O157" s="288"/>
      <c r="P157" s="288"/>
      <c r="Q157" s="288"/>
      <c r="R157" s="288"/>
      <c r="S157" s="288"/>
      <c r="T157" s="288"/>
      <c r="U157" s="288"/>
      <c r="V157" s="288"/>
      <c r="W157" s="288"/>
      <c r="X157" s="288"/>
      <c r="Y157" s="288"/>
      <c r="Z157" s="288"/>
      <c r="AA157" s="288"/>
      <c r="AB157" s="288"/>
      <c r="AC157" s="288"/>
      <c r="AD157" s="288"/>
      <c r="AE157" s="288"/>
      <c r="AF157" s="288"/>
      <c r="AG157" s="288"/>
      <c r="AH157" s="288"/>
      <c r="AI157" s="288"/>
      <c r="AJ157" s="288"/>
      <c r="AK157" s="288"/>
      <c r="AL157" s="288"/>
      <c r="AM157" s="288"/>
      <c r="AN157" s="288"/>
      <c r="AO157" s="289"/>
      <c r="AP157" s="288"/>
      <c r="AQ157" s="288"/>
      <c r="AR157" s="288"/>
      <c r="AS157" s="288"/>
      <c r="AT157" s="288"/>
      <c r="AU157" s="288"/>
      <c r="AV157" s="288"/>
      <c r="AW157" s="288"/>
      <c r="AX157" s="288"/>
      <c r="AY157" s="288"/>
      <c r="AZ157" s="288"/>
      <c r="BA157" s="288"/>
      <c r="BB157" s="288"/>
    </row>
    <row r="158" spans="1:54">
      <c r="A158" s="252"/>
      <c r="B158" s="298" t="s">
        <v>197</v>
      </c>
      <c r="C158" s="263">
        <v>955.29416647999949</v>
      </c>
      <c r="D158" s="263">
        <v>515.95789824999974</v>
      </c>
      <c r="E158" s="263">
        <v>439.33630000000011</v>
      </c>
      <c r="F158" s="263">
        <v>439.33630000000011</v>
      </c>
      <c r="G158" s="263">
        <v>1608.4838</v>
      </c>
      <c r="H158" s="263">
        <v>466.33647999999994</v>
      </c>
      <c r="I158" s="263">
        <v>1142.1600000000001</v>
      </c>
      <c r="J158" s="263">
        <v>437.9</v>
      </c>
      <c r="K158" s="263">
        <v>704.26890106999986</v>
      </c>
      <c r="L158" s="263">
        <v>437.85398513999996</v>
      </c>
      <c r="M158" s="263">
        <v>266</v>
      </c>
      <c r="N158" s="263">
        <v>266</v>
      </c>
      <c r="O158" s="263">
        <v>1928.1664119999998</v>
      </c>
      <c r="P158" s="263">
        <v>291.48677683999989</v>
      </c>
      <c r="Q158" s="263">
        <v>1636.6796351600001</v>
      </c>
      <c r="R158" s="263">
        <v>409.28442015999985</v>
      </c>
      <c r="S158" s="263">
        <v>1227.3952150000005</v>
      </c>
      <c r="T158" s="263">
        <v>470.82553570000027</v>
      </c>
      <c r="U158" s="263">
        <v>756.56967929999973</v>
      </c>
      <c r="V158" s="263">
        <v>756.56967929999973</v>
      </c>
      <c r="W158" s="263">
        <v>1413.5559930000002</v>
      </c>
      <c r="X158" s="263">
        <v>321.80813815000039</v>
      </c>
      <c r="Y158" s="263">
        <v>1091.7478549999998</v>
      </c>
      <c r="Z158" s="263">
        <v>361.66793400000006</v>
      </c>
      <c r="AA158" s="263">
        <v>730.07992100000013</v>
      </c>
      <c r="AB158" s="263">
        <v>416.1546219999999</v>
      </c>
      <c r="AC158" s="263">
        <v>313.925299</v>
      </c>
      <c r="AD158" s="263">
        <v>313.925299</v>
      </c>
      <c r="AE158" s="263">
        <v>1262.8547599999997</v>
      </c>
      <c r="AF158" s="263">
        <v>336.63084299999963</v>
      </c>
      <c r="AG158" s="263">
        <v>925.79183999999987</v>
      </c>
      <c r="AH158" s="263">
        <v>376.79184000000026</v>
      </c>
      <c r="AI158" s="263">
        <v>547.89695000000029</v>
      </c>
      <c r="AJ158" s="263">
        <v>274.03295000000026</v>
      </c>
      <c r="AK158" s="263">
        <v>273.86399999999986</v>
      </c>
      <c r="AL158" s="263">
        <v>273.86399999999986</v>
      </c>
      <c r="AM158" s="263">
        <v>1099.5794989999999</v>
      </c>
      <c r="AN158" s="263">
        <v>281.49246836999998</v>
      </c>
      <c r="AO158" s="263">
        <v>819.40027437000026</v>
      </c>
      <c r="AP158" s="263">
        <v>423.74120293000004</v>
      </c>
      <c r="AQ158" s="263">
        <v>395.73999999999995</v>
      </c>
      <c r="AR158" s="263"/>
      <c r="AS158" s="294" t="s">
        <v>134</v>
      </c>
      <c r="AT158" s="265"/>
      <c r="AU158" s="294" t="s">
        <v>134</v>
      </c>
      <c r="AV158" s="265"/>
      <c r="AW158" s="294" t="s">
        <v>134</v>
      </c>
      <c r="AX158" s="265"/>
      <c r="AY158" s="294" t="s">
        <v>134</v>
      </c>
      <c r="AZ158" s="265"/>
      <c r="BA158" s="294" t="s">
        <v>134</v>
      </c>
      <c r="BB158" s="265"/>
    </row>
    <row r="159" spans="1:54">
      <c r="A159" s="252"/>
      <c r="B159" s="272" t="s">
        <v>317</v>
      </c>
      <c r="C159" s="263">
        <v>5.3619830000000004</v>
      </c>
      <c r="D159" s="263">
        <v>2.6589630000000004</v>
      </c>
      <c r="E159" s="263">
        <v>2.70302</v>
      </c>
      <c r="F159" s="263">
        <v>2.70302</v>
      </c>
      <c r="G159" s="263">
        <v>5.7850989999999998</v>
      </c>
      <c r="H159" s="263">
        <v>0.80809899999999946</v>
      </c>
      <c r="I159" s="263">
        <v>4.9767999999999999</v>
      </c>
      <c r="J159" s="263">
        <v>2.0676999999999999</v>
      </c>
      <c r="K159" s="263">
        <v>2.9091039999999997</v>
      </c>
      <c r="L159" s="263">
        <v>1.9118499999999996</v>
      </c>
      <c r="M159" s="263">
        <v>1</v>
      </c>
      <c r="N159" s="263">
        <v>1</v>
      </c>
      <c r="O159" s="263">
        <v>3.6217487999999998</v>
      </c>
      <c r="P159" s="263">
        <v>0.12670280000000034</v>
      </c>
      <c r="Q159" s="263">
        <v>3.4950459999999994</v>
      </c>
      <c r="R159" s="263">
        <v>0.73119399999999946</v>
      </c>
      <c r="S159" s="263">
        <v>2.763852</v>
      </c>
      <c r="T159" s="263">
        <v>1.7856549999999998</v>
      </c>
      <c r="U159" s="263">
        <v>0.97819700000000009</v>
      </c>
      <c r="V159" s="263">
        <v>0.97819700000000009</v>
      </c>
      <c r="W159" s="263">
        <v>5.1791390000000002</v>
      </c>
      <c r="X159" s="263">
        <v>-0.15044999999999931</v>
      </c>
      <c r="Y159" s="263">
        <v>5.3295889999999995</v>
      </c>
      <c r="Z159" s="263">
        <v>1.4161379999999997</v>
      </c>
      <c r="AA159" s="263">
        <v>3.9134509999999998</v>
      </c>
      <c r="AB159" s="263">
        <v>2.2419479999999998</v>
      </c>
      <c r="AC159" s="263">
        <v>1.671503</v>
      </c>
      <c r="AD159" s="263">
        <v>1.671503</v>
      </c>
      <c r="AE159" s="263">
        <v>5.9205459500000011</v>
      </c>
      <c r="AF159" s="263">
        <v>1.4205459500000011</v>
      </c>
      <c r="AG159" s="263">
        <v>5.9305969999999997</v>
      </c>
      <c r="AH159" s="263">
        <v>2.9305969999999997</v>
      </c>
      <c r="AI159" s="263">
        <v>3.1739730000000002</v>
      </c>
      <c r="AJ159" s="263">
        <v>1.8339730000000001</v>
      </c>
      <c r="AK159" s="263">
        <v>1.34</v>
      </c>
      <c r="AL159" s="263">
        <v>1.34</v>
      </c>
      <c r="AM159" s="263">
        <v>4.2790347500000001</v>
      </c>
      <c r="AN159" s="263">
        <v>1.43</v>
      </c>
      <c r="AO159" s="263">
        <v>3.38</v>
      </c>
      <c r="AP159" s="263">
        <v>1.43</v>
      </c>
      <c r="AQ159" s="263">
        <v>1.9495039999999999</v>
      </c>
      <c r="AR159" s="263"/>
      <c r="AS159" s="294"/>
      <c r="AT159" s="265"/>
      <c r="AU159" s="294"/>
      <c r="AV159" s="265"/>
      <c r="AW159" s="294"/>
      <c r="AX159" s="265"/>
      <c r="AY159" s="294"/>
      <c r="AZ159" s="265"/>
      <c r="BA159" s="294"/>
      <c r="BB159" s="265"/>
    </row>
    <row r="160" spans="1:54">
      <c r="A160" s="252"/>
      <c r="B160" s="297" t="s">
        <v>150</v>
      </c>
      <c r="C160" s="263">
        <v>12.137389000000001</v>
      </c>
      <c r="D160" s="263">
        <v>6.2048890000000005</v>
      </c>
      <c r="E160" s="263">
        <v>5.9324999999999992</v>
      </c>
      <c r="F160" s="263">
        <v>5.9324999999999992</v>
      </c>
      <c r="G160" s="263">
        <v>19.578340000000001</v>
      </c>
      <c r="H160" s="263">
        <v>5.8433400000000013</v>
      </c>
      <c r="I160" s="263">
        <v>13.7354</v>
      </c>
      <c r="J160" s="263">
        <v>6.0016999999999996</v>
      </c>
      <c r="K160" s="263">
        <v>7.7336600000000075</v>
      </c>
      <c r="L160" s="263">
        <v>3.8026670000000076</v>
      </c>
      <c r="M160" s="263">
        <v>4</v>
      </c>
      <c r="N160" s="263">
        <v>4</v>
      </c>
      <c r="O160" s="263">
        <v>15.261431999999999</v>
      </c>
      <c r="P160" s="263">
        <v>6.1594199999999999</v>
      </c>
      <c r="Q160" s="263">
        <v>9.1020119999999984</v>
      </c>
      <c r="R160" s="263">
        <v>2.2946239999999998</v>
      </c>
      <c r="S160" s="263">
        <v>6.8073879999999996</v>
      </c>
      <c r="T160" s="263">
        <v>2.2233329999999998</v>
      </c>
      <c r="U160" s="263">
        <v>4.5840550000000002</v>
      </c>
      <c r="V160" s="263">
        <v>4.5840550000000002</v>
      </c>
      <c r="W160" s="263">
        <v>17.264553000000003</v>
      </c>
      <c r="X160" s="263">
        <v>4.3932770000000003</v>
      </c>
      <c r="Y160" s="263">
        <v>12.871276000000002</v>
      </c>
      <c r="Z160" s="263">
        <v>4.3728879999999997</v>
      </c>
      <c r="AA160" s="263">
        <v>8.4983880000000021</v>
      </c>
      <c r="AB160" s="263">
        <v>4.357888</v>
      </c>
      <c r="AC160" s="263">
        <v>4.140500000000003</v>
      </c>
      <c r="AD160" s="263">
        <v>4.140500000000003</v>
      </c>
      <c r="AE160" s="263">
        <v>17.059778000000001</v>
      </c>
      <c r="AF160" s="263">
        <v>4.1101669999999997</v>
      </c>
      <c r="AG160" s="263">
        <v>12.660722</v>
      </c>
      <c r="AH160" s="263">
        <v>4.1961110000000001</v>
      </c>
      <c r="AI160" s="263">
        <v>8.3062780000000007</v>
      </c>
      <c r="AJ160" s="263">
        <v>4.3544444000000002</v>
      </c>
      <c r="AK160" s="263">
        <v>4.3990559999999999</v>
      </c>
      <c r="AL160" s="263">
        <v>4.3990559999999999</v>
      </c>
      <c r="AM160" s="263">
        <v>13.238778</v>
      </c>
      <c r="AN160" s="263">
        <v>4.4033889999999998</v>
      </c>
      <c r="AO160" s="263">
        <v>8.8353889999999993</v>
      </c>
      <c r="AP160" s="263">
        <v>4.3999449999999998</v>
      </c>
      <c r="AQ160" s="263">
        <v>4.4354440000000004</v>
      </c>
      <c r="AR160" s="263"/>
      <c r="AS160" s="294"/>
      <c r="AT160" s="265"/>
      <c r="AU160" s="294"/>
      <c r="AV160" s="265"/>
      <c r="AW160" s="294"/>
      <c r="AX160" s="265"/>
      <c r="AY160" s="294"/>
      <c r="AZ160" s="265"/>
      <c r="BA160" s="294"/>
      <c r="BB160" s="265"/>
    </row>
    <row r="161" spans="1:54">
      <c r="A161" s="252"/>
      <c r="B161" s="297" t="s">
        <v>197</v>
      </c>
      <c r="C161" s="263">
        <v>937.7947944799995</v>
      </c>
      <c r="D161" s="263">
        <v>507.09404624999979</v>
      </c>
      <c r="E161" s="263">
        <v>430.70078000000012</v>
      </c>
      <c r="F161" s="263">
        <v>430.70078000000012</v>
      </c>
      <c r="G161" s="263">
        <v>1583.120361</v>
      </c>
      <c r="H161" s="263">
        <v>459.6850409999999</v>
      </c>
      <c r="I161" s="263">
        <v>1123.4477999999999</v>
      </c>
      <c r="J161" s="263">
        <v>429.8306</v>
      </c>
      <c r="K161" s="263">
        <v>693.62613706999991</v>
      </c>
      <c r="L161" s="263">
        <v>432.13946813999996</v>
      </c>
      <c r="M161" s="263">
        <v>261</v>
      </c>
      <c r="N161" s="263">
        <v>261</v>
      </c>
      <c r="O161" s="263">
        <v>1909.2832311999998</v>
      </c>
      <c r="P161" s="263">
        <v>285.2006540399999</v>
      </c>
      <c r="Q161" s="263">
        <v>1624.08257716</v>
      </c>
      <c r="R161" s="263">
        <v>406.25860215999984</v>
      </c>
      <c r="S161" s="263">
        <v>1217.8239750000005</v>
      </c>
      <c r="T161" s="263">
        <v>466.81654770000023</v>
      </c>
      <c r="U161" s="263">
        <v>751.00742729999968</v>
      </c>
      <c r="V161" s="263">
        <v>751.00742729999968</v>
      </c>
      <c r="W161" s="263">
        <v>1391.1123010000001</v>
      </c>
      <c r="X161" s="263">
        <v>317.56531115000035</v>
      </c>
      <c r="Y161" s="263">
        <v>1073.5469899999998</v>
      </c>
      <c r="Z161" s="263">
        <v>355.87890800000008</v>
      </c>
      <c r="AA161" s="263">
        <v>717.66808200000014</v>
      </c>
      <c r="AB161" s="263">
        <v>409.55478599999992</v>
      </c>
      <c r="AC161" s="263">
        <v>308.11329599999999</v>
      </c>
      <c r="AD161" s="263">
        <v>308.11329599999999</v>
      </c>
      <c r="AE161" s="263">
        <v>1239.8744360499998</v>
      </c>
      <c r="AF161" s="263">
        <v>331.10013004999962</v>
      </c>
      <c r="AG161" s="263">
        <v>907.20052099999987</v>
      </c>
      <c r="AH161" s="263">
        <v>369.66513200000031</v>
      </c>
      <c r="AI161" s="263">
        <v>536.41669900000022</v>
      </c>
      <c r="AJ161" s="263">
        <v>267.84453260000026</v>
      </c>
      <c r="AK161" s="263">
        <v>268.12494399999991</v>
      </c>
      <c r="AL161" s="263">
        <v>268.12494399999991</v>
      </c>
      <c r="AM161" s="263">
        <v>1082.0616862500001</v>
      </c>
      <c r="AN161" s="263">
        <v>275.65907936999997</v>
      </c>
      <c r="AO161" s="263">
        <v>807.1848853700003</v>
      </c>
      <c r="AP161" s="263">
        <v>417.91125793000003</v>
      </c>
      <c r="AQ161" s="263">
        <v>389.35505199999994</v>
      </c>
      <c r="AR161" s="263"/>
      <c r="AS161" s="294"/>
      <c r="AT161" s="265"/>
      <c r="AU161" s="294"/>
      <c r="AV161" s="265"/>
      <c r="AW161" s="294"/>
      <c r="AX161" s="265"/>
      <c r="AY161" s="294"/>
      <c r="AZ161" s="265"/>
      <c r="BA161" s="294"/>
      <c r="BB161" s="265"/>
    </row>
    <row r="162" spans="1:54">
      <c r="A162" s="322"/>
      <c r="B162" s="306" t="s">
        <v>193</v>
      </c>
      <c r="C162" s="307">
        <v>0.696274605713462</v>
      </c>
      <c r="D162" s="307">
        <v>0.696274605713462</v>
      </c>
      <c r="E162" s="307">
        <v>0.696274605713462</v>
      </c>
      <c r="F162" s="307">
        <v>0.696274605713462</v>
      </c>
      <c r="G162" s="307">
        <v>0.69997791239999996</v>
      </c>
      <c r="H162" s="307">
        <v>0.69997791239999996</v>
      </c>
      <c r="I162" s="307">
        <v>0.70099999999999996</v>
      </c>
      <c r="J162" s="307">
        <v>0.70099999999999996</v>
      </c>
      <c r="K162" s="307">
        <v>0.70099912411646903</v>
      </c>
      <c r="L162" s="307">
        <v>0.70099912411646903</v>
      </c>
      <c r="M162" s="307">
        <v>0.70099999999999996</v>
      </c>
      <c r="N162" s="307">
        <v>0.70099999999999996</v>
      </c>
      <c r="O162" s="307">
        <v>0.70099912415633248</v>
      </c>
      <c r="P162" s="307">
        <v>0.70099912415633248</v>
      </c>
      <c r="Q162" s="307">
        <v>0.69355058599999997</v>
      </c>
      <c r="R162" s="307">
        <v>0.69355058599999997</v>
      </c>
      <c r="S162" s="307">
        <v>0.69355058599999997</v>
      </c>
      <c r="T162" s="307">
        <v>0.69355058599999997</v>
      </c>
      <c r="U162" s="307">
        <v>0.69355058599999997</v>
      </c>
      <c r="V162" s="307">
        <v>0.69355058599999997</v>
      </c>
      <c r="W162" s="307">
        <v>0.69255300847357781</v>
      </c>
      <c r="X162" s="307">
        <v>0.69255300847357781</v>
      </c>
      <c r="Y162" s="307">
        <v>0.67552884523400603</v>
      </c>
      <c r="Z162" s="307">
        <v>0.67552884523400603</v>
      </c>
      <c r="AA162" s="307">
        <v>0.67552884523400603</v>
      </c>
      <c r="AB162" s="291">
        <v>0.67552884523400603</v>
      </c>
      <c r="AC162" s="307">
        <v>0.67552884523400603</v>
      </c>
      <c r="AD162" s="291">
        <v>0.67552884523400603</v>
      </c>
      <c r="AE162" s="308">
        <v>0.67527848656046996</v>
      </c>
      <c r="AF162" s="308">
        <v>0.67527848656046996</v>
      </c>
      <c r="AG162" s="308">
        <v>0.67909544299689906</v>
      </c>
      <c r="AH162" s="308">
        <v>0.67909544299689906</v>
      </c>
      <c r="AI162" s="308">
        <v>0.68019204285072066</v>
      </c>
      <c r="AJ162" s="308">
        <v>0.68019204285072066</v>
      </c>
      <c r="AK162" s="308">
        <v>0.67294279680764146</v>
      </c>
      <c r="AL162" s="308">
        <v>0.67294279680764146</v>
      </c>
      <c r="AM162" s="308">
        <v>0.67300000000000004</v>
      </c>
      <c r="AN162" s="308">
        <v>0.67300000000000004</v>
      </c>
      <c r="AO162" s="308">
        <v>0.67255252798887311</v>
      </c>
      <c r="AP162" s="308">
        <v>0.67255252798887311</v>
      </c>
      <c r="AQ162" s="308">
        <v>0.67255691881993418</v>
      </c>
      <c r="AR162" s="308"/>
      <c r="AS162" s="309" t="str">
        <f>AS152</f>
        <v>-</v>
      </c>
      <c r="AT162" s="309"/>
      <c r="AU162" s="309" t="str">
        <f>AU152</f>
        <v>-</v>
      </c>
      <c r="AV162" s="309"/>
      <c r="AW162" s="309" t="str">
        <f>AW152</f>
        <v>-</v>
      </c>
      <c r="AX162" s="309"/>
      <c r="AY162" s="309" t="str">
        <f>AY152</f>
        <v>-</v>
      </c>
      <c r="AZ162" s="309"/>
      <c r="BA162" s="309" t="str">
        <f>BA152</f>
        <v>-</v>
      </c>
      <c r="BB162" s="309"/>
    </row>
    <row r="163" spans="1:54">
      <c r="A163" s="322"/>
      <c r="B163" s="297" t="s">
        <v>198</v>
      </c>
      <c r="C163" s="263">
        <v>652.96270076669873</v>
      </c>
      <c r="D163" s="263">
        <v>353.07670711236267</v>
      </c>
      <c r="E163" s="263">
        <v>299.88601577498065</v>
      </c>
      <c r="F163" s="263">
        <v>299.88601577498065</v>
      </c>
      <c r="G163" s="263">
        <v>1108.1492853707143</v>
      </c>
      <c r="H163" s="263">
        <v>321.76937536068834</v>
      </c>
      <c r="I163" s="263">
        <v>787.53589999999997</v>
      </c>
      <c r="J163" s="263">
        <v>301.3109</v>
      </c>
      <c r="K163" s="263">
        <v>486.23131455035985</v>
      </c>
      <c r="L163" s="263">
        <v>302.92938866229673</v>
      </c>
      <c r="M163" s="263">
        <v>183</v>
      </c>
      <c r="N163" s="263">
        <v>183</v>
      </c>
      <c r="O163" s="263">
        <v>1338.4058728375724</v>
      </c>
      <c r="P163" s="263">
        <v>199.92540869085312</v>
      </c>
      <c r="Q163" s="263">
        <v>1126.3834231017081</v>
      </c>
      <c r="R163" s="263">
        <v>281.76089159560877</v>
      </c>
      <c r="S163" s="263">
        <v>844.62253150609968</v>
      </c>
      <c r="T163" s="263">
        <v>323.76089021183208</v>
      </c>
      <c r="U163" s="263">
        <v>520.8616412942672</v>
      </c>
      <c r="V163" s="263">
        <v>520.8616412942672</v>
      </c>
      <c r="W163" s="263">
        <v>963.4190091821514</v>
      </c>
      <c r="X163" s="263">
        <v>219.93081162378056</v>
      </c>
      <c r="Y163" s="263">
        <v>725.21195845914292</v>
      </c>
      <c r="Z163" s="263">
        <v>240.40646776437913</v>
      </c>
      <c r="AA163" s="263">
        <v>484.80549069476405</v>
      </c>
      <c r="AB163" s="263">
        <v>276.66607164664043</v>
      </c>
      <c r="AC163" s="263">
        <v>208.13941904812347</v>
      </c>
      <c r="AD163" s="263">
        <v>208.13941904812347</v>
      </c>
      <c r="AE163" s="263">
        <v>837.26053270086004</v>
      </c>
      <c r="AF163" s="263">
        <v>223.58479472013852</v>
      </c>
      <c r="AG163" s="263">
        <v>616.07573969551254</v>
      </c>
      <c r="AH163" s="263">
        <v>251.03790657604739</v>
      </c>
      <c r="AI163" s="263">
        <v>364.86637031205026</v>
      </c>
      <c r="AJ163" s="263">
        <v>182.18571979559061</v>
      </c>
      <c r="AK163" s="263">
        <v>180.43274970925219</v>
      </c>
      <c r="AL163" s="263">
        <v>180.43274970925219</v>
      </c>
      <c r="AM163" s="263">
        <v>728.22751484625007</v>
      </c>
      <c r="AN163" s="263">
        <v>185.51856041600999</v>
      </c>
      <c r="AO163" s="263">
        <v>542.87423521000244</v>
      </c>
      <c r="AP163" s="263">
        <v>281.0672729958315</v>
      </c>
      <c r="AQ163" s="263">
        <v>261.86343410009522</v>
      </c>
      <c r="AR163" s="263"/>
      <c r="AS163" s="294" t="s">
        <v>134</v>
      </c>
      <c r="AT163" s="294"/>
      <c r="AU163" s="294" t="s">
        <v>134</v>
      </c>
      <c r="AV163" s="294"/>
      <c r="AW163" s="294" t="s">
        <v>134</v>
      </c>
      <c r="AX163" s="294"/>
      <c r="AY163" s="294" t="s">
        <v>134</v>
      </c>
      <c r="AZ163" s="294"/>
      <c r="BA163" s="294" t="s">
        <v>134</v>
      </c>
      <c r="BB163" s="294"/>
    </row>
    <row r="164" spans="1:54">
      <c r="A164" s="322"/>
      <c r="B164" s="306" t="s">
        <v>195</v>
      </c>
      <c r="C164" s="262">
        <v>115829789</v>
      </c>
      <c r="D164" s="262">
        <v>115829789</v>
      </c>
      <c r="E164" s="262">
        <v>115829789</v>
      </c>
      <c r="F164" s="262">
        <v>115829789</v>
      </c>
      <c r="G164" s="262">
        <v>115829789</v>
      </c>
      <c r="H164" s="262">
        <v>115829789</v>
      </c>
      <c r="I164" s="262">
        <v>115829789</v>
      </c>
      <c r="J164" s="262">
        <v>115829789</v>
      </c>
      <c r="K164" s="262">
        <v>115829789</v>
      </c>
      <c r="L164" s="262">
        <v>115829789</v>
      </c>
      <c r="M164" s="262">
        <v>115829789</v>
      </c>
      <c r="N164" s="262">
        <v>115829789</v>
      </c>
      <c r="O164" s="262">
        <v>115829789</v>
      </c>
      <c r="P164" s="262">
        <v>115829789</v>
      </c>
      <c r="Q164" s="262">
        <v>115829789</v>
      </c>
      <c r="R164" s="262">
        <v>115829789</v>
      </c>
      <c r="S164" s="262">
        <v>115829789</v>
      </c>
      <c r="T164" s="262">
        <v>115829789</v>
      </c>
      <c r="U164" s="262">
        <v>115829789</v>
      </c>
      <c r="V164" s="262">
        <v>115829789</v>
      </c>
      <c r="W164" s="262">
        <v>115319521</v>
      </c>
      <c r="X164" s="262">
        <v>115319521</v>
      </c>
      <c r="Y164" s="262">
        <v>107179987</v>
      </c>
      <c r="Z164" s="262">
        <v>107179987</v>
      </c>
      <c r="AA164" s="262">
        <v>107179987</v>
      </c>
      <c r="AB164" s="262">
        <v>107179987</v>
      </c>
      <c r="AC164" s="262">
        <v>107179987</v>
      </c>
      <c r="AD164" s="262">
        <v>107179987</v>
      </c>
      <c r="AE164" s="262">
        <v>107179987</v>
      </c>
      <c r="AF164" s="262">
        <v>107179987</v>
      </c>
      <c r="AG164" s="262">
        <v>107179987</v>
      </c>
      <c r="AH164" s="262">
        <v>107179987</v>
      </c>
      <c r="AI164" s="262">
        <v>107179987</v>
      </c>
      <c r="AJ164" s="262">
        <v>107179987</v>
      </c>
      <c r="AK164" s="262">
        <v>106202540</v>
      </c>
      <c r="AL164" s="262">
        <v>106202540</v>
      </c>
      <c r="AM164" s="262">
        <v>106202540</v>
      </c>
      <c r="AN164" s="262">
        <v>106202540</v>
      </c>
      <c r="AO164" s="262">
        <v>106202540</v>
      </c>
      <c r="AP164" s="262">
        <v>106202540</v>
      </c>
      <c r="AQ164" s="262">
        <v>106202540</v>
      </c>
      <c r="AR164" s="262"/>
      <c r="AS164" s="296" t="s">
        <v>134</v>
      </c>
      <c r="AT164" s="296"/>
      <c r="AU164" s="296" t="s">
        <v>134</v>
      </c>
      <c r="AV164" s="296"/>
      <c r="AW164" s="296" t="s">
        <v>134</v>
      </c>
      <c r="AX164" s="296"/>
      <c r="AY164" s="296" t="s">
        <v>134</v>
      </c>
      <c r="AZ164" s="296"/>
      <c r="BA164" s="296" t="s">
        <v>134</v>
      </c>
      <c r="BB164" s="296"/>
    </row>
    <row r="165" spans="1:54" ht="13.5" thickBot="1">
      <c r="A165" s="321" t="s">
        <v>360</v>
      </c>
      <c r="B165" s="373" t="s">
        <v>199</v>
      </c>
      <c r="C165" s="303">
        <v>5.6372605562347928</v>
      </c>
      <c r="D165" s="303">
        <v>3.0482375057452851</v>
      </c>
      <c r="E165" s="303">
        <v>2.5890232414649454</v>
      </c>
      <c r="F165" s="303">
        <v>2.5890232414649454</v>
      </c>
      <c r="G165" s="303">
        <v>9.5670491584053075</v>
      </c>
      <c r="H165" s="303">
        <v>2.7779501123039112</v>
      </c>
      <c r="I165" s="303">
        <v>6.7991000000000001</v>
      </c>
      <c r="J165" s="303">
        <v>2.6013000000000002</v>
      </c>
      <c r="K165" s="303">
        <v>4.1978088602955141</v>
      </c>
      <c r="L165" s="303">
        <v>2.6152977681958545</v>
      </c>
      <c r="M165" s="303">
        <v>1.58</v>
      </c>
      <c r="N165" s="303">
        <v>1.58</v>
      </c>
      <c r="O165" s="303">
        <v>11.554936639292094</v>
      </c>
      <c r="P165" s="303">
        <v>1.7260275652479442</v>
      </c>
      <c r="Q165" s="303">
        <v>9.7244709916695804</v>
      </c>
      <c r="R165" s="303">
        <v>2.4325425611852642</v>
      </c>
      <c r="S165" s="303">
        <v>7.2919284304843179</v>
      </c>
      <c r="T165" s="303">
        <v>2.7951435723657592</v>
      </c>
      <c r="U165" s="303">
        <v>4.4967848581185548</v>
      </c>
      <c r="V165" s="303">
        <v>4.4967848581185548</v>
      </c>
      <c r="W165" s="303">
        <v>8.4580270438536846</v>
      </c>
      <c r="X165" s="303">
        <v>1.9071429513116045</v>
      </c>
      <c r="Y165" s="303">
        <v>6.8474245725753926</v>
      </c>
      <c r="Z165" s="303">
        <v>2.2430163922708739</v>
      </c>
      <c r="AA165" s="303">
        <v>4.5768469530300893</v>
      </c>
      <c r="AB165" s="303">
        <v>2.5813221235662254</v>
      </c>
      <c r="AC165" s="303">
        <v>1.9419616000524751</v>
      </c>
      <c r="AD165" s="303">
        <v>1.9419616000524751</v>
      </c>
      <c r="AE165" s="303">
        <v>7.8117245218630229</v>
      </c>
      <c r="AF165" s="303">
        <v>2.0860685000842416</v>
      </c>
      <c r="AG165" s="303">
        <v>5.7480482778516526</v>
      </c>
      <c r="AH165" s="303">
        <v>2.3422087798540914</v>
      </c>
      <c r="AI165" s="303">
        <v>3.4042397328528344</v>
      </c>
      <c r="AJ165" s="303">
        <v>1.6998109898594278</v>
      </c>
      <c r="AK165" s="303">
        <v>1.698949476248423</v>
      </c>
      <c r="AL165" s="303">
        <v>1.698949476248423</v>
      </c>
      <c r="AM165" s="303">
        <v>6.8569689090887094</v>
      </c>
      <c r="AN165" s="303">
        <v>1.7468373206140833</v>
      </c>
      <c r="AO165" s="303">
        <v>5.1116878674465074</v>
      </c>
      <c r="AP165" s="303">
        <v>2.6465211942749343</v>
      </c>
      <c r="AQ165" s="303">
        <v>2.4656984107922013</v>
      </c>
      <c r="AR165" s="303"/>
      <c r="AS165" s="310" t="s">
        <v>134</v>
      </c>
      <c r="AT165" s="310"/>
      <c r="AU165" s="310" t="s">
        <v>134</v>
      </c>
      <c r="AV165" s="310"/>
      <c r="AW165" s="310" t="s">
        <v>134</v>
      </c>
      <c r="AX165" s="310"/>
      <c r="AY165" s="310" t="s">
        <v>134</v>
      </c>
      <c r="AZ165" s="310"/>
      <c r="BA165" s="310" t="s">
        <v>134</v>
      </c>
      <c r="BB165" s="310"/>
    </row>
    <row r="166" spans="1:54">
      <c r="A166" s="252"/>
      <c r="B166" s="298"/>
      <c r="C166" s="288"/>
      <c r="D166" s="288"/>
      <c r="E166" s="288"/>
      <c r="F166" s="288"/>
      <c r="G166" s="288"/>
      <c r="H166" s="288"/>
      <c r="I166" s="288"/>
      <c r="J166" s="288"/>
      <c r="K166" s="288"/>
      <c r="L166" s="288"/>
      <c r="M166" s="288"/>
      <c r="N166" s="288"/>
      <c r="O166" s="288"/>
      <c r="P166" s="288"/>
      <c r="Q166" s="288"/>
      <c r="R166" s="288"/>
      <c r="S166" s="288"/>
      <c r="T166" s="288"/>
      <c r="U166" s="288"/>
      <c r="V166" s="288"/>
      <c r="W166" s="288"/>
      <c r="X166" s="288"/>
      <c r="Y166" s="288"/>
      <c r="Z166" s="288"/>
      <c r="AA166" s="288"/>
      <c r="AB166" s="288"/>
      <c r="AC166" s="288"/>
      <c r="AD166" s="288"/>
      <c r="AE166" s="289"/>
      <c r="AF166" s="288"/>
      <c r="AG166" s="288"/>
      <c r="AH166" s="288"/>
      <c r="AI166" s="289"/>
      <c r="AJ166" s="288"/>
      <c r="AK166" s="289"/>
      <c r="AL166" s="288"/>
      <c r="AM166" s="289"/>
      <c r="AN166" s="289"/>
      <c r="AO166" s="289"/>
      <c r="AP166" s="288"/>
      <c r="AQ166" s="289"/>
      <c r="AR166" s="289"/>
      <c r="AS166" s="289"/>
      <c r="AT166" s="289"/>
      <c r="AU166" s="289"/>
      <c r="AV166" s="289"/>
      <c r="AW166" s="289"/>
      <c r="AX166" s="289"/>
      <c r="AY166" s="289"/>
      <c r="AZ166" s="289"/>
      <c r="BA166" s="289"/>
      <c r="BB166" s="289"/>
    </row>
    <row r="167" spans="1:54">
      <c r="A167" s="252"/>
      <c r="B167" s="298" t="s">
        <v>200</v>
      </c>
      <c r="C167" s="311">
        <v>11.367956370307731</v>
      </c>
      <c r="D167" s="311"/>
      <c r="E167" s="311">
        <v>10.499927590385612</v>
      </c>
      <c r="F167" s="311"/>
      <c r="G167" s="311">
        <v>9.5670491584053075</v>
      </c>
      <c r="H167" s="311"/>
      <c r="I167" s="311">
        <v>9.0820000000000007</v>
      </c>
      <c r="J167" s="311"/>
      <c r="K167" s="311">
        <v>8.4417474882865839</v>
      </c>
      <c r="L167" s="311"/>
      <c r="M167" s="311">
        <v>6.36</v>
      </c>
      <c r="N167" s="311"/>
      <c r="O167" s="311">
        <v>11.554936639292096</v>
      </c>
      <c r="P167" s="311"/>
      <c r="Q167" s="311">
        <v>13.001582095089365</v>
      </c>
      <c r="R167" s="311"/>
      <c r="S167" s="311">
        <v>14.704717553186608</v>
      </c>
      <c r="T167" s="311"/>
      <c r="U167" s="311">
        <v>18.236960813480806</v>
      </c>
      <c r="V167" s="311"/>
      <c r="W167" s="311">
        <f>W165/W8*$A$1</f>
        <v>8.4580270438536846</v>
      </c>
      <c r="X167" s="311"/>
      <c r="Y167" s="311">
        <f>Y165/Y8*$A$1</f>
        <v>9.1549815713920086</v>
      </c>
      <c r="Z167" s="311"/>
      <c r="AA167" s="311">
        <f>AA165/AA8*$A$1</f>
        <v>9.2295532478231088</v>
      </c>
      <c r="AB167" s="311"/>
      <c r="AC167" s="311">
        <f>AC165/AC8*$A$1</f>
        <v>7.8757331557683719</v>
      </c>
      <c r="AD167" s="311"/>
      <c r="AE167" s="311">
        <f>AE165/AE8*$A$1</f>
        <v>7.8117245218630229</v>
      </c>
      <c r="AF167" s="311"/>
      <c r="AG167" s="311">
        <f>AG165/AG8*$A$1</f>
        <v>7.6851194923657626</v>
      </c>
      <c r="AH167" s="311"/>
      <c r="AI167" s="311">
        <f>AI165/AI8*$A$1</f>
        <v>6.8649033286811303</v>
      </c>
      <c r="AJ167" s="311"/>
      <c r="AK167" s="311">
        <f>AK165/AK8*$A$1</f>
        <v>6.890183987007493</v>
      </c>
      <c r="AL167" s="311"/>
      <c r="AM167" s="311">
        <f>AM165/AM8*$A$1</f>
        <v>6.8382340213589581</v>
      </c>
      <c r="AN167" s="311"/>
      <c r="AO167" s="311">
        <f>AO165/AO8*$A$1</f>
        <v>6.8093652248831207</v>
      </c>
      <c r="AP167" s="311"/>
      <c r="AQ167" s="311">
        <f>AQ165/AQ8*$A$1</f>
        <v>4.9449446150502938</v>
      </c>
      <c r="AR167" s="311"/>
      <c r="AS167" s="294" t="s">
        <v>134</v>
      </c>
      <c r="AT167" s="263"/>
      <c r="AU167" s="294" t="s">
        <v>134</v>
      </c>
      <c r="AV167" s="263"/>
      <c r="AW167" s="294" t="s">
        <v>134</v>
      </c>
      <c r="AX167" s="263"/>
      <c r="AY167" s="294" t="s">
        <v>134</v>
      </c>
      <c r="AZ167" s="263"/>
      <c r="BA167" s="294" t="s">
        <v>134</v>
      </c>
      <c r="BB167" s="263"/>
    </row>
    <row r="168" spans="1:54">
      <c r="A168" s="324"/>
      <c r="C168" s="288"/>
      <c r="D168" s="288"/>
      <c r="E168" s="288"/>
      <c r="F168" s="288"/>
      <c r="G168" s="288"/>
      <c r="H168" s="288"/>
      <c r="I168" s="288"/>
      <c r="J168" s="288"/>
      <c r="K168" s="288"/>
      <c r="L168" s="288"/>
      <c r="M168" s="288"/>
      <c r="N168" s="288"/>
      <c r="O168" s="288"/>
      <c r="P168" s="288"/>
      <c r="Q168" s="288"/>
      <c r="R168" s="288"/>
      <c r="S168" s="288"/>
      <c r="T168" s="288"/>
      <c r="U168" s="288"/>
      <c r="V168" s="288"/>
      <c r="W168" s="288"/>
      <c r="X168" s="288"/>
      <c r="Y168" s="288"/>
      <c r="Z168" s="288"/>
      <c r="AA168" s="288"/>
      <c r="AB168" s="288"/>
      <c r="AC168" s="288"/>
      <c r="AD168" s="288"/>
      <c r="AE168" s="288"/>
      <c r="AF168" s="288"/>
      <c r="AG168" s="288"/>
      <c r="AH168" s="288"/>
      <c r="AI168" s="289"/>
      <c r="AJ168" s="288"/>
      <c r="AK168" s="288"/>
      <c r="AL168" s="288"/>
      <c r="AM168" s="288"/>
      <c r="AN168" s="288"/>
      <c r="AO168" s="288"/>
      <c r="AP168" s="288"/>
      <c r="AQ168" s="288"/>
      <c r="AR168" s="288"/>
      <c r="AS168" s="288"/>
      <c r="AT168" s="288"/>
      <c r="AU168" s="288"/>
      <c r="AV168" s="288"/>
      <c r="AW168" s="288"/>
      <c r="AX168" s="288"/>
      <c r="AY168" s="288"/>
      <c r="AZ168" s="288"/>
      <c r="BA168" s="288"/>
      <c r="BB168" s="288"/>
    </row>
    <row r="169" spans="1:54">
      <c r="A169" s="323"/>
      <c r="B169" s="266" t="s">
        <v>201</v>
      </c>
      <c r="C169" s="311">
        <v>119</v>
      </c>
      <c r="D169" s="311"/>
      <c r="E169" s="311">
        <v>111.4</v>
      </c>
      <c r="F169" s="311"/>
      <c r="G169" s="311">
        <v>97.8</v>
      </c>
      <c r="H169" s="311"/>
      <c r="I169" s="311">
        <v>87.7</v>
      </c>
      <c r="J169" s="311"/>
      <c r="K169" s="311">
        <v>87.6</v>
      </c>
      <c r="L169" s="311"/>
      <c r="M169" s="311">
        <v>75</v>
      </c>
      <c r="N169" s="311"/>
      <c r="O169" s="311">
        <v>92.5</v>
      </c>
      <c r="P169" s="311"/>
      <c r="Q169" s="311">
        <v>83.5</v>
      </c>
      <c r="R169" s="311"/>
      <c r="S169" s="311">
        <v>85</v>
      </c>
      <c r="T169" s="311"/>
      <c r="U169" s="311">
        <v>82.4</v>
      </c>
      <c r="V169" s="311"/>
      <c r="W169" s="311">
        <v>83</v>
      </c>
      <c r="X169" s="311"/>
      <c r="Y169" s="311">
        <v>90.2</v>
      </c>
      <c r="Z169" s="311"/>
      <c r="AA169" s="311">
        <v>87</v>
      </c>
      <c r="AB169" s="312"/>
      <c r="AC169" s="311">
        <v>84.2</v>
      </c>
      <c r="AD169" s="312"/>
      <c r="AE169" s="311">
        <v>90.5</v>
      </c>
      <c r="AF169" s="312"/>
      <c r="AG169" s="311">
        <v>85.5</v>
      </c>
      <c r="AH169" s="312"/>
      <c r="AI169" s="311">
        <v>79.25</v>
      </c>
      <c r="AJ169" s="312"/>
      <c r="AK169" s="295" t="s">
        <v>134</v>
      </c>
      <c r="AL169" s="312"/>
      <c r="AM169" s="295" t="s">
        <v>134</v>
      </c>
      <c r="AN169" s="312"/>
      <c r="AO169" s="313" t="s">
        <v>134</v>
      </c>
      <c r="AP169" s="312"/>
      <c r="AQ169" s="295" t="s">
        <v>134</v>
      </c>
      <c r="AR169" s="311"/>
      <c r="AS169" s="295" t="s">
        <v>134</v>
      </c>
      <c r="AT169" s="311"/>
      <c r="AU169" s="295" t="s">
        <v>134</v>
      </c>
      <c r="AV169" s="311"/>
      <c r="AW169" s="295" t="s">
        <v>134</v>
      </c>
      <c r="AX169" s="311"/>
      <c r="AY169" s="295" t="s">
        <v>134</v>
      </c>
      <c r="AZ169" s="311"/>
      <c r="BA169" s="295" t="s">
        <v>134</v>
      </c>
      <c r="BB169" s="311"/>
    </row>
    <row r="170" spans="1:54">
      <c r="A170" s="323"/>
      <c r="B170" s="266" t="s">
        <v>202</v>
      </c>
      <c r="C170" s="311">
        <v>11.367956370307731</v>
      </c>
      <c r="D170" s="311"/>
      <c r="E170" s="311">
        <v>10.499927590385612</v>
      </c>
      <c r="F170" s="311"/>
      <c r="G170" s="311">
        <v>9.5670491584053075</v>
      </c>
      <c r="H170" s="311"/>
      <c r="I170" s="311">
        <v>9.0820000000000007</v>
      </c>
      <c r="J170" s="311"/>
      <c r="K170" s="311">
        <v>8.4417474882865839</v>
      </c>
      <c r="L170" s="311"/>
      <c r="M170" s="311">
        <v>6.36</v>
      </c>
      <c r="N170" s="311"/>
      <c r="O170" s="311">
        <v>11.554936639292096</v>
      </c>
      <c r="P170" s="311"/>
      <c r="Q170" s="311">
        <v>13.001582095089365</v>
      </c>
      <c r="R170" s="311"/>
      <c r="S170" s="311">
        <f>+S167</f>
        <v>14.704717553186608</v>
      </c>
      <c r="T170" s="311"/>
      <c r="U170" s="311">
        <v>18.236960813480806</v>
      </c>
      <c r="V170" s="311"/>
      <c r="W170" s="311">
        <f>+W167</f>
        <v>8.4580270438536846</v>
      </c>
      <c r="X170" s="311"/>
      <c r="Y170" s="311">
        <f>+Y167</f>
        <v>9.1549815713920086</v>
      </c>
      <c r="Z170" s="311"/>
      <c r="AA170" s="311">
        <f>+AA167</f>
        <v>9.2295532478231088</v>
      </c>
      <c r="AB170" s="265"/>
      <c r="AC170" s="311">
        <f>+AC167</f>
        <v>7.8757331557683719</v>
      </c>
      <c r="AD170" s="265"/>
      <c r="AE170" s="311">
        <f>+AE167</f>
        <v>7.8117245218630229</v>
      </c>
      <c r="AF170" s="265"/>
      <c r="AG170" s="311">
        <f>+AG167</f>
        <v>7.6851194923657626</v>
      </c>
      <c r="AH170" s="265"/>
      <c r="AI170" s="311">
        <f>+AI167</f>
        <v>6.8649033286811303</v>
      </c>
      <c r="AJ170" s="265"/>
      <c r="AK170" s="314" t="s">
        <v>134</v>
      </c>
      <c r="AL170" s="265"/>
      <c r="AM170" s="314" t="s">
        <v>134</v>
      </c>
      <c r="AN170" s="265"/>
      <c r="AO170" s="315" t="s">
        <v>134</v>
      </c>
      <c r="AP170" s="265"/>
      <c r="AQ170" s="314" t="s">
        <v>134</v>
      </c>
      <c r="AR170" s="263"/>
      <c r="AS170" s="314" t="s">
        <v>134</v>
      </c>
      <c r="AT170" s="263"/>
      <c r="AU170" s="314" t="s">
        <v>134</v>
      </c>
      <c r="AV170" s="263"/>
      <c r="AW170" s="314" t="s">
        <v>134</v>
      </c>
      <c r="AX170" s="263"/>
      <c r="AY170" s="314" t="s">
        <v>134</v>
      </c>
      <c r="AZ170" s="263"/>
      <c r="BA170" s="314" t="s">
        <v>134</v>
      </c>
      <c r="BB170" s="263"/>
    </row>
    <row r="171" spans="1:54" ht="13.5" thickBot="1">
      <c r="A171" s="321" t="s">
        <v>361</v>
      </c>
      <c r="B171" s="268" t="s">
        <v>203</v>
      </c>
      <c r="C171" s="303">
        <v>10.468020471192103</v>
      </c>
      <c r="D171" s="303"/>
      <c r="E171" s="303">
        <v>10.609596974935789</v>
      </c>
      <c r="F171" s="303"/>
      <c r="G171" s="303">
        <v>10.222587799089126</v>
      </c>
      <c r="H171" s="303"/>
      <c r="I171" s="303">
        <v>9.6564999999999994</v>
      </c>
      <c r="J171" s="303"/>
      <c r="K171" s="303">
        <v>10.376998378777628</v>
      </c>
      <c r="L171" s="303"/>
      <c r="M171" s="303">
        <v>11.78</v>
      </c>
      <c r="N171" s="303"/>
      <c r="O171" s="303">
        <v>8.0052364532625369</v>
      </c>
      <c r="P171" s="303"/>
      <c r="Q171" s="303">
        <v>6.4222953321609646</v>
      </c>
      <c r="R171" s="303"/>
      <c r="S171" s="303">
        <f>S169/S170</f>
        <v>5.7804578491601113</v>
      </c>
      <c r="T171" s="303"/>
      <c r="U171" s="303">
        <f>U169/U170</f>
        <v>4.5182967075901006</v>
      </c>
      <c r="V171" s="303"/>
      <c r="W171" s="303">
        <f>W169/W170</f>
        <v>9.8131632317627542</v>
      </c>
      <c r="X171" s="303"/>
      <c r="Y171" s="303">
        <f>Y169/Y170</f>
        <v>9.8525594286133718</v>
      </c>
      <c r="Z171" s="303"/>
      <c r="AA171" s="303">
        <f>AA169/AA170</f>
        <v>9.4262417328292578</v>
      </c>
      <c r="AB171" s="275"/>
      <c r="AC171" s="303">
        <f>AC169/AC170</f>
        <v>10.691068162756372</v>
      </c>
      <c r="AD171" s="275"/>
      <c r="AE171" s="303">
        <f>AE169/AE170</f>
        <v>11.585149955904564</v>
      </c>
      <c r="AF171" s="275"/>
      <c r="AG171" s="303">
        <f>AG169/AG170</f>
        <v>11.125396304499093</v>
      </c>
      <c r="AH171" s="275"/>
      <c r="AI171" s="303">
        <f>AI169/AI170</f>
        <v>11.544226656316999</v>
      </c>
      <c r="AJ171" s="275"/>
      <c r="AK171" s="310" t="s">
        <v>134</v>
      </c>
      <c r="AL171" s="275"/>
      <c r="AM171" s="310" t="s">
        <v>134</v>
      </c>
      <c r="AN171" s="275"/>
      <c r="AO171" s="316" t="s">
        <v>134</v>
      </c>
      <c r="AP171" s="275"/>
      <c r="AQ171" s="310" t="s">
        <v>134</v>
      </c>
      <c r="AR171" s="274"/>
      <c r="AS171" s="310" t="s">
        <v>134</v>
      </c>
      <c r="AT171" s="274"/>
      <c r="AU171" s="310" t="s">
        <v>134</v>
      </c>
      <c r="AV171" s="274"/>
      <c r="AW171" s="310" t="s">
        <v>134</v>
      </c>
      <c r="AX171" s="274"/>
      <c r="AY171" s="310" t="s">
        <v>134</v>
      </c>
      <c r="AZ171" s="274"/>
      <c r="BA171" s="310" t="s">
        <v>134</v>
      </c>
      <c r="BB171" s="274"/>
    </row>
    <row r="172" spans="1:54">
      <c r="A172" s="252"/>
      <c r="B172" s="305"/>
      <c r="C172" s="288"/>
      <c r="D172" s="288"/>
      <c r="E172" s="288"/>
      <c r="F172" s="288"/>
      <c r="G172" s="288"/>
      <c r="H172" s="288"/>
      <c r="I172" s="288"/>
      <c r="J172" s="288"/>
      <c r="K172" s="288"/>
      <c r="L172" s="288"/>
      <c r="M172" s="288"/>
      <c r="N172" s="288"/>
      <c r="O172" s="288"/>
      <c r="P172" s="288"/>
      <c r="Q172" s="288"/>
      <c r="R172" s="288"/>
      <c r="S172" s="288"/>
      <c r="T172" s="288"/>
      <c r="U172" s="288"/>
      <c r="V172" s="288"/>
      <c r="W172" s="288"/>
      <c r="X172" s="288"/>
      <c r="Y172" s="288"/>
      <c r="Z172" s="288"/>
      <c r="AA172" s="288"/>
      <c r="AB172" s="288"/>
      <c r="AC172" s="288"/>
      <c r="AD172" s="288"/>
      <c r="AE172" s="288"/>
      <c r="AF172" s="288"/>
      <c r="AG172" s="288"/>
      <c r="AH172" s="288"/>
      <c r="AI172" s="288"/>
      <c r="AJ172" s="288"/>
      <c r="AK172" s="289"/>
      <c r="AL172" s="288"/>
      <c r="AM172" s="289"/>
      <c r="AN172" s="288"/>
      <c r="AO172" s="288"/>
      <c r="AP172" s="288"/>
      <c r="AQ172" s="289"/>
      <c r="AR172" s="289"/>
      <c r="AS172" s="289"/>
      <c r="AT172" s="289"/>
      <c r="AU172" s="289"/>
      <c r="AV172" s="289"/>
      <c r="AW172" s="289"/>
      <c r="AX172" s="289"/>
      <c r="AY172" s="289"/>
      <c r="AZ172" s="289"/>
      <c r="BA172" s="289"/>
      <c r="BB172" s="289"/>
    </row>
    <row r="173" spans="1:54">
      <c r="A173" s="322"/>
      <c r="B173" s="266" t="s">
        <v>201</v>
      </c>
      <c r="C173" s="311">
        <v>119</v>
      </c>
      <c r="D173" s="311"/>
      <c r="E173" s="311">
        <v>111.4</v>
      </c>
      <c r="F173" s="311"/>
      <c r="G173" s="311">
        <v>97.8</v>
      </c>
      <c r="H173" s="311"/>
      <c r="I173" s="311">
        <v>87.7</v>
      </c>
      <c r="J173" s="311"/>
      <c r="K173" s="311">
        <v>87.6</v>
      </c>
      <c r="L173" s="311"/>
      <c r="M173" s="311">
        <v>75</v>
      </c>
      <c r="N173" s="311"/>
      <c r="O173" s="311">
        <v>92.5</v>
      </c>
      <c r="P173" s="311"/>
      <c r="Q173" s="311">
        <v>83.5</v>
      </c>
      <c r="R173" s="311"/>
      <c r="S173" s="311">
        <f>+S169</f>
        <v>85</v>
      </c>
      <c r="T173" s="311"/>
      <c r="U173" s="311">
        <v>82.4</v>
      </c>
      <c r="V173" s="311"/>
      <c r="W173" s="311">
        <f>+W169</f>
        <v>83</v>
      </c>
      <c r="X173" s="311"/>
      <c r="Y173" s="311">
        <f>+Y169</f>
        <v>90.2</v>
      </c>
      <c r="Z173" s="311"/>
      <c r="AA173" s="311">
        <f>+AA169</f>
        <v>87</v>
      </c>
      <c r="AB173" s="265"/>
      <c r="AC173" s="311">
        <f>+AC169</f>
        <v>84.2</v>
      </c>
      <c r="AD173" s="265"/>
      <c r="AE173" s="311">
        <v>90.5</v>
      </c>
      <c r="AF173" s="265"/>
      <c r="AG173" s="311">
        <v>85.5</v>
      </c>
      <c r="AH173" s="265"/>
      <c r="AI173" s="311">
        <f>+AI169</f>
        <v>79.25</v>
      </c>
      <c r="AJ173" s="313"/>
      <c r="AK173" s="295" t="s">
        <v>134</v>
      </c>
      <c r="AL173" s="313"/>
      <c r="AM173" s="295" t="s">
        <v>134</v>
      </c>
      <c r="AN173" s="313"/>
      <c r="AO173" s="313" t="s">
        <v>134</v>
      </c>
      <c r="AP173" s="313"/>
      <c r="AQ173" s="295" t="s">
        <v>134</v>
      </c>
      <c r="AR173" s="295"/>
      <c r="AS173" s="295" t="s">
        <v>134</v>
      </c>
      <c r="AT173" s="295"/>
      <c r="AU173" s="295" t="s">
        <v>134</v>
      </c>
      <c r="AV173" s="295"/>
      <c r="AW173" s="295" t="s">
        <v>134</v>
      </c>
      <c r="AX173" s="295"/>
      <c r="AY173" s="295" t="s">
        <v>134</v>
      </c>
      <c r="AZ173" s="295"/>
      <c r="BA173" s="295" t="s">
        <v>134</v>
      </c>
      <c r="BB173" s="295"/>
    </row>
    <row r="174" spans="1:54">
      <c r="A174" s="322"/>
      <c r="B174" s="266" t="s">
        <v>204</v>
      </c>
      <c r="C174" s="311">
        <v>102.22083475556431</v>
      </c>
      <c r="D174" s="311"/>
      <c r="E174" s="311">
        <v>99.281663605282702</v>
      </c>
      <c r="F174" s="311"/>
      <c r="G174" s="311">
        <v>98.762733626654182</v>
      </c>
      <c r="H174" s="311"/>
      <c r="I174" s="311">
        <v>95.995699999999999</v>
      </c>
      <c r="J174" s="311"/>
      <c r="K174" s="311">
        <v>93.514317484166824</v>
      </c>
      <c r="L174" s="311"/>
      <c r="M174" s="311">
        <v>91.16</v>
      </c>
      <c r="N174" s="311"/>
      <c r="O174" s="311">
        <v>93.666041555627373</v>
      </c>
      <c r="P174" s="311"/>
      <c r="Q174" s="311">
        <v>91.198081359162671</v>
      </c>
      <c r="R174" s="311"/>
      <c r="S174" s="311">
        <f>+S155</f>
        <v>88.78837682317004</v>
      </c>
      <c r="T174" s="311"/>
      <c r="U174" s="311">
        <v>85.259907879630035</v>
      </c>
      <c r="V174" s="311"/>
      <c r="W174" s="311">
        <f>+W155</f>
        <v>85.830601828459152</v>
      </c>
      <c r="X174" s="311"/>
      <c r="Y174" s="311">
        <f>+Y155</f>
        <v>83.838715392523881</v>
      </c>
      <c r="Z174" s="311"/>
      <c r="AA174" s="311">
        <f>+AA155</f>
        <v>81.57676598479398</v>
      </c>
      <c r="AB174" s="265"/>
      <c r="AC174" s="311">
        <f>+AC155</f>
        <v>78.975906156619274</v>
      </c>
      <c r="AD174" s="265"/>
      <c r="AE174" s="311">
        <f>+AE155</f>
        <v>80.955898100634357</v>
      </c>
      <c r="AF174" s="265"/>
      <c r="AG174" s="311">
        <f>+AG155</f>
        <v>79.29067455946219</v>
      </c>
      <c r="AH174" s="265"/>
      <c r="AI174" s="311">
        <f>+AI155</f>
        <v>76.872704133336455</v>
      </c>
      <c r="AJ174" s="315"/>
      <c r="AK174" s="314" t="s">
        <v>134</v>
      </c>
      <c r="AL174" s="315"/>
      <c r="AM174" s="314" t="s">
        <v>134</v>
      </c>
      <c r="AN174" s="315"/>
      <c r="AO174" s="315" t="s">
        <v>134</v>
      </c>
      <c r="AP174" s="315"/>
      <c r="AQ174" s="314" t="s">
        <v>134</v>
      </c>
      <c r="AR174" s="314"/>
      <c r="AS174" s="314" t="s">
        <v>134</v>
      </c>
      <c r="AT174" s="314"/>
      <c r="AU174" s="314" t="s">
        <v>134</v>
      </c>
      <c r="AV174" s="314"/>
      <c r="AW174" s="314" t="s">
        <v>134</v>
      </c>
      <c r="AX174" s="314"/>
      <c r="AY174" s="314" t="s">
        <v>134</v>
      </c>
      <c r="AZ174" s="314"/>
      <c r="BA174" s="314" t="s">
        <v>134</v>
      </c>
      <c r="BB174" s="314"/>
    </row>
    <row r="175" spans="1:54" ht="13.5" thickBot="1">
      <c r="A175" s="321" t="s">
        <v>362</v>
      </c>
      <c r="B175" s="268" t="s">
        <v>205</v>
      </c>
      <c r="C175" s="303">
        <v>1.1641462357899823</v>
      </c>
      <c r="D175" s="303"/>
      <c r="E175" s="303">
        <v>1.1220601665469323</v>
      </c>
      <c r="F175" s="303"/>
      <c r="G175" s="303">
        <v>0.99025205569649843</v>
      </c>
      <c r="H175" s="303"/>
      <c r="I175" s="303">
        <v>0.91359999999999997</v>
      </c>
      <c r="J175" s="303"/>
      <c r="K175" s="303">
        <v>0.93675495214764093</v>
      </c>
      <c r="L175" s="303"/>
      <c r="M175" s="303">
        <v>0.82</v>
      </c>
      <c r="N175" s="303"/>
      <c r="O175" s="303">
        <v>0.98755107468767245</v>
      </c>
      <c r="P175" s="303"/>
      <c r="Q175" s="303">
        <v>0.91558943736057841</v>
      </c>
      <c r="R175" s="303"/>
      <c r="S175" s="303">
        <f>S173/S174</f>
        <v>0.95733251402134623</v>
      </c>
      <c r="T175" s="303"/>
      <c r="U175" s="303">
        <f>U173/U174</f>
        <v>0.96645659195799682</v>
      </c>
      <c r="V175" s="303"/>
      <c r="W175" s="303">
        <f>W173/W174</f>
        <v>0.96702106511945018</v>
      </c>
      <c r="X175" s="303"/>
      <c r="Y175" s="303">
        <f>Y173/Y174</f>
        <v>1.0758752633278463</v>
      </c>
      <c r="Z175" s="303"/>
      <c r="AA175" s="303">
        <f>AA173/AA174</f>
        <v>1.0664801300926408</v>
      </c>
      <c r="AB175" s="275"/>
      <c r="AC175" s="303">
        <f>AC173/AC174</f>
        <v>1.0661479443239397</v>
      </c>
      <c r="AD175" s="275"/>
      <c r="AE175" s="303">
        <f>AE173/AE174</f>
        <v>1.1178926072502042</v>
      </c>
      <c r="AF175" s="275"/>
      <c r="AG175" s="303">
        <f>AG173/AG174</f>
        <v>1.0783109170786696</v>
      </c>
      <c r="AH175" s="275"/>
      <c r="AI175" s="303">
        <f>AI173/AI174</f>
        <v>1.0309250974512372</v>
      </c>
      <c r="AJ175" s="316"/>
      <c r="AK175" s="310" t="s">
        <v>134</v>
      </c>
      <c r="AL175" s="316"/>
      <c r="AM175" s="310" t="s">
        <v>134</v>
      </c>
      <c r="AN175" s="316"/>
      <c r="AO175" s="316" t="s">
        <v>134</v>
      </c>
      <c r="AP175" s="316"/>
      <c r="AQ175" s="310" t="s">
        <v>134</v>
      </c>
      <c r="AR175" s="310"/>
      <c r="AS175" s="310" t="s">
        <v>134</v>
      </c>
      <c r="AT175" s="310"/>
      <c r="AU175" s="310" t="s">
        <v>134</v>
      </c>
      <c r="AV175" s="310"/>
      <c r="AW175" s="310" t="s">
        <v>134</v>
      </c>
      <c r="AX175" s="310"/>
      <c r="AY175" s="310" t="s">
        <v>134</v>
      </c>
      <c r="AZ175" s="310"/>
      <c r="BA175" s="310" t="s">
        <v>134</v>
      </c>
      <c r="BB175" s="310"/>
    </row>
    <row r="176" spans="1:54">
      <c r="C176" s="378"/>
      <c r="D176" s="378"/>
      <c r="E176" s="378"/>
      <c r="F176" s="378"/>
      <c r="G176" s="378"/>
      <c r="H176" s="378"/>
      <c r="I176" s="378"/>
      <c r="J176" s="378"/>
      <c r="K176" s="378"/>
      <c r="L176" s="378"/>
      <c r="M176" s="378"/>
    </row>
    <row r="177" spans="1:54">
      <c r="C177" s="378"/>
      <c r="D177" s="378"/>
      <c r="E177" s="378"/>
      <c r="F177" s="378"/>
      <c r="G177" s="378"/>
      <c r="H177" s="378"/>
      <c r="I177" s="378"/>
      <c r="J177" s="378"/>
      <c r="K177" s="378"/>
      <c r="L177" s="378"/>
      <c r="M177" s="378"/>
    </row>
    <row r="179" spans="1:54">
      <c r="B179" s="297" t="s">
        <v>335</v>
      </c>
      <c r="C179" s="258">
        <v>937.7947944799995</v>
      </c>
      <c r="D179" s="258">
        <v>507.09404624999979</v>
      </c>
      <c r="E179" s="258">
        <v>430.70078000000012</v>
      </c>
      <c r="F179" s="258">
        <v>430.70078000000012</v>
      </c>
      <c r="G179" s="258">
        <v>1583.120361</v>
      </c>
      <c r="H179" s="258">
        <v>459.6850409999999</v>
      </c>
      <c r="I179" s="258">
        <v>1123.4477999999999</v>
      </c>
      <c r="J179" s="258">
        <v>429.8306</v>
      </c>
      <c r="K179" s="258">
        <v>693.62613706999991</v>
      </c>
      <c r="L179" s="258">
        <v>432.13946813999996</v>
      </c>
      <c r="M179" s="258">
        <v>261</v>
      </c>
      <c r="N179" s="258">
        <v>261</v>
      </c>
      <c r="O179" s="258">
        <v>1909</v>
      </c>
      <c r="P179" s="258">
        <v>285</v>
      </c>
      <c r="Q179" s="258">
        <v>1624</v>
      </c>
      <c r="R179" s="258">
        <v>406</v>
      </c>
      <c r="S179" s="258">
        <v>1218</v>
      </c>
      <c r="T179" s="258">
        <v>467</v>
      </c>
      <c r="U179" s="258">
        <v>751</v>
      </c>
      <c r="V179" s="258">
        <v>751</v>
      </c>
      <c r="W179" s="258">
        <v>1391</v>
      </c>
      <c r="X179" s="258">
        <v>318</v>
      </c>
      <c r="Y179" s="258"/>
      <c r="Z179" s="258"/>
      <c r="AA179" s="258"/>
      <c r="AB179" s="264"/>
      <c r="AC179" s="258"/>
      <c r="AD179" s="264"/>
      <c r="AE179" s="258"/>
      <c r="AF179" s="264"/>
      <c r="AG179" s="258"/>
      <c r="AH179" s="258"/>
      <c r="AI179" s="258"/>
      <c r="AJ179" s="264"/>
      <c r="AK179" s="258"/>
      <c r="AL179" s="264"/>
      <c r="AM179" s="258"/>
      <c r="AN179" s="258"/>
      <c r="AO179" s="258"/>
      <c r="AP179" s="264"/>
      <c r="AQ179" s="258"/>
      <c r="AR179" s="264"/>
      <c r="AS179" s="294"/>
      <c r="AT179" s="264"/>
      <c r="AU179" s="294"/>
      <c r="AV179" s="264"/>
      <c r="AW179" s="294"/>
      <c r="AX179" s="264"/>
      <c r="AY179" s="294"/>
      <c r="AZ179" s="264"/>
      <c r="BA179" s="294"/>
      <c r="BB179" s="264"/>
    </row>
    <row r="180" spans="1:54">
      <c r="B180" s="298" t="s">
        <v>193</v>
      </c>
      <c r="C180" s="299">
        <v>0.696274605713462</v>
      </c>
      <c r="D180" s="299">
        <v>0.696274605713462</v>
      </c>
      <c r="E180" s="299">
        <v>0.696274605713462</v>
      </c>
      <c r="F180" s="299">
        <v>0.696274605713462</v>
      </c>
      <c r="G180" s="299">
        <v>0.69997791239999996</v>
      </c>
      <c r="H180" s="299">
        <v>0.69997791239999996</v>
      </c>
      <c r="I180" s="299">
        <v>0.70099999999999996</v>
      </c>
      <c r="J180" s="299">
        <v>0.70099999999999996</v>
      </c>
      <c r="K180" s="299">
        <v>0.70099912411646903</v>
      </c>
      <c r="L180" s="299">
        <v>0.70099912411646903</v>
      </c>
      <c r="M180" s="299">
        <v>1</v>
      </c>
      <c r="N180" s="299">
        <v>1</v>
      </c>
      <c r="O180" s="299">
        <v>1</v>
      </c>
      <c r="P180" s="299">
        <v>1</v>
      </c>
      <c r="Q180" s="299">
        <v>1</v>
      </c>
      <c r="R180" s="299">
        <v>1</v>
      </c>
      <c r="S180" s="299">
        <v>1</v>
      </c>
      <c r="T180" s="299">
        <v>1</v>
      </c>
      <c r="U180" s="299">
        <v>1</v>
      </c>
      <c r="V180" s="299">
        <v>1</v>
      </c>
      <c r="W180" s="299">
        <v>1</v>
      </c>
      <c r="X180" s="299">
        <v>1</v>
      </c>
      <c r="Y180" s="299"/>
      <c r="Z180" s="299"/>
      <c r="AA180" s="299"/>
      <c r="AB180" s="264"/>
      <c r="AC180" s="299"/>
      <c r="AD180" s="264"/>
      <c r="AE180" s="300"/>
      <c r="AF180" s="300"/>
      <c r="AG180" s="300"/>
      <c r="AH180" s="300"/>
      <c r="AI180" s="300"/>
      <c r="AJ180" s="300"/>
      <c r="AK180" s="300"/>
      <c r="AL180" s="301"/>
      <c r="AM180" s="300"/>
      <c r="AN180" s="300"/>
      <c r="AO180" s="300"/>
      <c r="AP180" s="301"/>
      <c r="AQ180" s="300"/>
      <c r="AR180" s="300"/>
      <c r="AS180" s="294"/>
      <c r="AT180" s="294"/>
      <c r="AU180" s="294"/>
      <c r="AV180" s="302"/>
      <c r="AW180" s="294"/>
      <c r="AX180" s="294"/>
      <c r="AY180" s="294"/>
      <c r="AZ180" s="294"/>
      <c r="BA180" s="294"/>
      <c r="BB180" s="294"/>
    </row>
    <row r="181" spans="1:54">
      <c r="B181" s="297" t="s">
        <v>198</v>
      </c>
      <c r="C181" s="258">
        <v>652.96270076669873</v>
      </c>
      <c r="D181" s="258">
        <v>353.07670711236267</v>
      </c>
      <c r="E181" s="258">
        <v>299.88601577498065</v>
      </c>
      <c r="F181" s="258">
        <v>299.88601577498065</v>
      </c>
      <c r="G181" s="258">
        <v>1108.1492853707143</v>
      </c>
      <c r="H181" s="258">
        <v>321.76937536068834</v>
      </c>
      <c r="I181" s="258">
        <v>787.53589999999997</v>
      </c>
      <c r="J181" s="258">
        <v>301.3109</v>
      </c>
      <c r="K181" s="258">
        <v>486.23131455035985</v>
      </c>
      <c r="L181" s="258">
        <v>302.92938866229673</v>
      </c>
      <c r="M181" s="258">
        <v>183</v>
      </c>
      <c r="N181" s="258">
        <v>183</v>
      </c>
      <c r="O181" s="258">
        <v>1338</v>
      </c>
      <c r="P181" s="258">
        <v>200</v>
      </c>
      <c r="Q181" s="258">
        <v>1126</v>
      </c>
      <c r="R181" s="258">
        <v>282</v>
      </c>
      <c r="S181" s="258">
        <v>845</v>
      </c>
      <c r="T181" s="258">
        <v>324</v>
      </c>
      <c r="U181" s="258">
        <v>521</v>
      </c>
      <c r="V181" s="258">
        <v>521</v>
      </c>
      <c r="W181" s="258">
        <v>963</v>
      </c>
      <c r="X181" s="258">
        <v>220</v>
      </c>
      <c r="Y181" s="258"/>
      <c r="Z181" s="258"/>
      <c r="AA181" s="258"/>
      <c r="AB181" s="264"/>
      <c r="AC181" s="258"/>
      <c r="AD181" s="264"/>
      <c r="AE181" s="258"/>
      <c r="AF181" s="258"/>
      <c r="AG181" s="258"/>
      <c r="AH181" s="258"/>
      <c r="AI181" s="258"/>
      <c r="AJ181" s="258"/>
      <c r="AK181" s="258"/>
      <c r="AL181" s="264"/>
      <c r="AM181" s="258"/>
      <c r="AN181" s="258"/>
      <c r="AO181" s="258"/>
      <c r="AP181" s="264"/>
      <c r="AQ181" s="258"/>
      <c r="AR181" s="258"/>
      <c r="AS181" s="294"/>
      <c r="AT181" s="294"/>
      <c r="AU181" s="294"/>
      <c r="AV181" s="258"/>
      <c r="AW181" s="294"/>
      <c r="AX181" s="294"/>
      <c r="AY181" s="294"/>
      <c r="AZ181" s="294"/>
      <c r="BA181" s="294"/>
      <c r="BB181" s="294"/>
    </row>
    <row r="182" spans="1:54">
      <c r="B182" s="298" t="s">
        <v>195</v>
      </c>
      <c r="C182" s="258">
        <v>115829789</v>
      </c>
      <c r="D182" s="258">
        <v>115829789</v>
      </c>
      <c r="E182" s="258">
        <v>115829789</v>
      </c>
      <c r="F182" s="258">
        <v>115829789</v>
      </c>
      <c r="G182" s="258">
        <v>115829789</v>
      </c>
      <c r="H182" s="258">
        <v>115829789</v>
      </c>
      <c r="I182" s="258">
        <v>115829789</v>
      </c>
      <c r="J182" s="258">
        <v>115829789</v>
      </c>
      <c r="K182" s="258">
        <v>115829789</v>
      </c>
      <c r="L182" s="258">
        <v>115829789</v>
      </c>
      <c r="M182" s="258">
        <v>115829789</v>
      </c>
      <c r="N182" s="258">
        <v>115829789</v>
      </c>
      <c r="O182" s="258">
        <v>115829789</v>
      </c>
      <c r="P182" s="258">
        <v>115829789</v>
      </c>
      <c r="Q182" s="258">
        <v>115829789</v>
      </c>
      <c r="R182" s="258">
        <v>115829789</v>
      </c>
      <c r="S182" s="258">
        <v>115829789</v>
      </c>
      <c r="T182" s="258">
        <v>115829789</v>
      </c>
      <c r="U182" s="258">
        <v>115829789</v>
      </c>
      <c r="V182" s="258">
        <v>115829789</v>
      </c>
      <c r="W182" s="258">
        <v>115829789</v>
      </c>
      <c r="X182" s="258">
        <v>115829789</v>
      </c>
      <c r="Y182" s="258"/>
      <c r="Z182" s="258"/>
      <c r="AA182" s="258"/>
      <c r="AB182" s="264"/>
      <c r="AC182" s="258"/>
      <c r="AD182" s="264"/>
      <c r="AE182" s="258"/>
      <c r="AF182" s="258"/>
      <c r="AG182" s="258"/>
      <c r="AH182" s="258"/>
      <c r="AI182" s="258"/>
      <c r="AJ182" s="258"/>
      <c r="AK182" s="258"/>
      <c r="AL182" s="264"/>
      <c r="AM182" s="258"/>
      <c r="AN182" s="258"/>
      <c r="AO182" s="258"/>
      <c r="AP182" s="264"/>
      <c r="AQ182" s="258"/>
      <c r="AR182" s="258"/>
      <c r="AS182" s="294"/>
      <c r="AT182" s="294"/>
      <c r="AU182" s="294"/>
      <c r="AV182" s="294"/>
      <c r="AW182" s="294"/>
      <c r="AX182" s="294"/>
      <c r="AY182" s="294"/>
      <c r="AZ182" s="294"/>
      <c r="BA182" s="294"/>
      <c r="BB182" s="294"/>
    </row>
    <row r="183" spans="1:54" ht="13.5" thickBot="1">
      <c r="A183" s="321" t="s">
        <v>363</v>
      </c>
      <c r="B183" s="268" t="s">
        <v>336</v>
      </c>
      <c r="C183" s="303">
        <v>5.6372605562347928</v>
      </c>
      <c r="D183" s="303">
        <v>3.0482375057452851</v>
      </c>
      <c r="E183" s="303">
        <v>2.5890232414649454</v>
      </c>
      <c r="F183" s="303">
        <v>2.5890232414649454</v>
      </c>
      <c r="G183" s="303">
        <v>9.5670491584053075</v>
      </c>
      <c r="H183" s="303">
        <v>2.7779501123039112</v>
      </c>
      <c r="I183" s="303">
        <v>6.7991000000000001</v>
      </c>
      <c r="J183" s="303">
        <v>2.6013000000000002</v>
      </c>
      <c r="K183" s="303">
        <v>4.1978088602955141</v>
      </c>
      <c r="L183" s="303">
        <v>2.6152977681958545</v>
      </c>
      <c r="M183" s="303">
        <v>1.58</v>
      </c>
      <c r="N183" s="303">
        <v>1.58</v>
      </c>
      <c r="O183" s="303">
        <v>11.55</v>
      </c>
      <c r="P183" s="303">
        <v>1.73</v>
      </c>
      <c r="Q183" s="303">
        <v>9.7200000000000006</v>
      </c>
      <c r="R183" s="303">
        <v>2.4300000000000002</v>
      </c>
      <c r="S183" s="303">
        <v>7.29</v>
      </c>
      <c r="T183" s="303">
        <v>2.8</v>
      </c>
      <c r="U183" s="303">
        <v>4.5</v>
      </c>
      <c r="V183" s="303">
        <v>4.5</v>
      </c>
      <c r="W183" s="303">
        <v>8.32</v>
      </c>
      <c r="X183" s="303">
        <v>1.9</v>
      </c>
      <c r="Y183" s="303"/>
      <c r="Z183" s="303"/>
      <c r="AA183" s="303"/>
      <c r="AB183" s="275"/>
      <c r="AC183" s="303"/>
      <c r="AD183" s="275"/>
      <c r="AE183" s="303"/>
      <c r="AF183" s="275"/>
      <c r="AG183" s="303"/>
      <c r="AH183" s="274"/>
      <c r="AI183" s="303"/>
      <c r="AJ183" s="275"/>
      <c r="AK183" s="303"/>
      <c r="AL183" s="275"/>
      <c r="AM183" s="303"/>
      <c r="AN183" s="275"/>
      <c r="AO183" s="303"/>
      <c r="AP183" s="275"/>
      <c r="AQ183" s="303"/>
      <c r="AR183" s="275"/>
      <c r="AS183" s="304"/>
      <c r="AT183" s="304"/>
      <c r="AU183" s="304"/>
      <c r="AV183" s="274"/>
      <c r="AW183" s="304"/>
      <c r="AX183" s="304"/>
      <c r="AY183" s="304"/>
      <c r="AZ183" s="304"/>
      <c r="BA183" s="304"/>
      <c r="BB183" s="304"/>
    </row>
    <row r="184" spans="1:54">
      <c r="C184" s="374"/>
      <c r="D184" s="374"/>
      <c r="E184" s="374"/>
      <c r="F184" s="374"/>
      <c r="G184" s="374"/>
      <c r="H184" s="374"/>
      <c r="I184" s="374"/>
      <c r="J184" s="374"/>
      <c r="K184" s="374"/>
      <c r="L184" s="374"/>
      <c r="M184" s="374"/>
      <c r="N184" s="374"/>
    </row>
    <row r="185" spans="1:54">
      <c r="B185" s="298" t="s">
        <v>337</v>
      </c>
      <c r="C185" s="377">
        <v>0</v>
      </c>
      <c r="D185" s="377">
        <v>0</v>
      </c>
      <c r="E185" s="377">
        <v>0</v>
      </c>
      <c r="F185" s="377">
        <v>0</v>
      </c>
      <c r="G185" s="377">
        <v>0</v>
      </c>
      <c r="H185" s="377">
        <v>0</v>
      </c>
      <c r="I185" s="377">
        <v>0</v>
      </c>
      <c r="J185" s="377">
        <v>0</v>
      </c>
      <c r="K185" s="377">
        <v>0</v>
      </c>
      <c r="L185" s="377">
        <v>0</v>
      </c>
      <c r="M185" s="377">
        <v>0</v>
      </c>
      <c r="N185" s="377">
        <v>0</v>
      </c>
      <c r="O185" s="377">
        <v>21</v>
      </c>
      <c r="P185" s="377">
        <v>0</v>
      </c>
      <c r="Q185" s="377">
        <v>21</v>
      </c>
      <c r="R185" s="377">
        <v>0</v>
      </c>
      <c r="S185" s="377">
        <v>21</v>
      </c>
      <c r="T185" s="377">
        <v>0</v>
      </c>
      <c r="U185" s="377">
        <v>21</v>
      </c>
      <c r="V185" s="377">
        <v>21</v>
      </c>
      <c r="W185" s="377">
        <v>333</v>
      </c>
      <c r="X185" s="377">
        <v>60</v>
      </c>
      <c r="Y185" s="377"/>
      <c r="Z185" s="377"/>
      <c r="AA185" s="377"/>
      <c r="AB185" s="376"/>
      <c r="AC185" s="377"/>
      <c r="AD185" s="376"/>
      <c r="AE185" s="267"/>
      <c r="AF185" s="267"/>
      <c r="AG185" s="267"/>
      <c r="AH185" s="267"/>
      <c r="AI185" s="267"/>
      <c r="AJ185" s="267"/>
      <c r="AK185" s="267"/>
      <c r="AL185" s="376"/>
      <c r="AM185" s="267"/>
      <c r="AN185" s="267"/>
      <c r="AO185" s="267"/>
      <c r="AP185" s="376"/>
      <c r="AQ185" s="267"/>
      <c r="AR185" s="267"/>
      <c r="AS185" s="375"/>
      <c r="AT185" s="375"/>
      <c r="AU185" s="375"/>
      <c r="AV185" s="375"/>
      <c r="AW185" s="375"/>
      <c r="AX185" s="375"/>
      <c r="AY185" s="375"/>
      <c r="AZ185" s="375"/>
      <c r="BA185" s="375"/>
      <c r="BB185" s="375"/>
    </row>
    <row r="186" spans="1:54">
      <c r="B186" s="297" t="s">
        <v>338</v>
      </c>
      <c r="C186" s="258">
        <v>181</v>
      </c>
      <c r="D186" s="258">
        <v>91</v>
      </c>
      <c r="E186" s="258">
        <v>90</v>
      </c>
      <c r="F186" s="258">
        <v>90</v>
      </c>
      <c r="G186" s="258">
        <v>366</v>
      </c>
      <c r="H186" s="258">
        <v>92</v>
      </c>
      <c r="I186" s="258">
        <v>274</v>
      </c>
      <c r="J186" s="258">
        <v>92</v>
      </c>
      <c r="K186" s="258">
        <v>182</v>
      </c>
      <c r="L186" s="258">
        <v>91</v>
      </c>
      <c r="M186" s="258">
        <v>91</v>
      </c>
      <c r="N186" s="258">
        <v>91</v>
      </c>
      <c r="O186" s="258">
        <v>344</v>
      </c>
      <c r="P186" s="258">
        <v>92</v>
      </c>
      <c r="Q186" s="258">
        <v>252</v>
      </c>
      <c r="R186" s="258">
        <v>92</v>
      </c>
      <c r="S186" s="258">
        <v>160</v>
      </c>
      <c r="T186" s="258">
        <v>91</v>
      </c>
      <c r="U186" s="258">
        <v>69</v>
      </c>
      <c r="V186" s="258">
        <v>69</v>
      </c>
      <c r="W186" s="258">
        <v>32</v>
      </c>
      <c r="X186" s="258">
        <v>32</v>
      </c>
      <c r="Y186" s="258"/>
      <c r="Z186" s="258"/>
      <c r="AA186" s="258"/>
      <c r="AB186" s="264"/>
      <c r="AC186" s="258"/>
      <c r="AD186" s="264"/>
      <c r="AE186" s="258"/>
      <c r="AF186" s="258"/>
      <c r="AG186" s="258"/>
      <c r="AH186" s="258"/>
      <c r="AI186" s="258"/>
      <c r="AJ186" s="258"/>
      <c r="AK186" s="258"/>
      <c r="AL186" s="264"/>
      <c r="AM186" s="258"/>
      <c r="AN186" s="258"/>
      <c r="AO186" s="258"/>
      <c r="AP186" s="264"/>
      <c r="AQ186" s="258"/>
      <c r="AR186" s="258"/>
      <c r="AS186" s="294"/>
      <c r="AT186" s="294"/>
      <c r="AU186" s="294"/>
      <c r="AV186" s="258"/>
      <c r="AW186" s="294"/>
      <c r="AX186" s="294"/>
      <c r="AY186" s="294"/>
      <c r="AZ186" s="294"/>
      <c r="BA186" s="294"/>
      <c r="BB186" s="294"/>
    </row>
    <row r="187" spans="1:54">
      <c r="B187" s="298" t="s">
        <v>339</v>
      </c>
      <c r="C187" s="258">
        <v>115829789</v>
      </c>
      <c r="D187" s="258">
        <v>115829789</v>
      </c>
      <c r="E187" s="258">
        <v>115829789</v>
      </c>
      <c r="F187" s="258">
        <v>115829789</v>
      </c>
      <c r="G187" s="258">
        <v>115829789</v>
      </c>
      <c r="H187" s="258">
        <v>115829789</v>
      </c>
      <c r="I187" s="258">
        <v>115829789</v>
      </c>
      <c r="J187" s="258">
        <v>115829789</v>
      </c>
      <c r="K187" s="258">
        <v>115829789</v>
      </c>
      <c r="L187" s="258">
        <v>115829789</v>
      </c>
      <c r="M187" s="258">
        <v>115829789</v>
      </c>
      <c r="N187" s="258">
        <v>115829789</v>
      </c>
      <c r="O187" s="258">
        <v>115829789</v>
      </c>
      <c r="P187" s="258">
        <v>115829789</v>
      </c>
      <c r="Q187" s="258">
        <v>115829789</v>
      </c>
      <c r="R187" s="258">
        <v>115829789</v>
      </c>
      <c r="S187" s="258">
        <v>115829789</v>
      </c>
      <c r="T187" s="258">
        <v>115829789</v>
      </c>
      <c r="U187" s="258">
        <v>115829789</v>
      </c>
      <c r="V187" s="258">
        <v>115829789</v>
      </c>
      <c r="W187" s="258">
        <v>115319521</v>
      </c>
      <c r="X187" s="258">
        <v>115319521</v>
      </c>
      <c r="Y187" s="258"/>
      <c r="Z187" s="258"/>
      <c r="AA187" s="258"/>
      <c r="AB187" s="264"/>
      <c r="AC187" s="258"/>
      <c r="AD187" s="264"/>
      <c r="AE187" s="258"/>
      <c r="AF187" s="258"/>
      <c r="AG187" s="258"/>
      <c r="AH187" s="258"/>
      <c r="AI187" s="258"/>
      <c r="AJ187" s="258"/>
      <c r="AK187" s="258"/>
      <c r="AL187" s="264"/>
      <c r="AM187" s="258"/>
      <c r="AN187" s="258"/>
      <c r="AO187" s="258"/>
      <c r="AP187" s="264"/>
      <c r="AQ187" s="258"/>
      <c r="AR187" s="258"/>
      <c r="AS187" s="294"/>
      <c r="AT187" s="294"/>
      <c r="AU187" s="294"/>
      <c r="AV187" s="294"/>
      <c r="AW187" s="294"/>
      <c r="AX187" s="294"/>
      <c r="AY187" s="294"/>
      <c r="AZ187" s="294"/>
      <c r="BA187" s="294"/>
      <c r="BB187" s="294"/>
    </row>
    <row r="188" spans="1:54" ht="13.5" thickBot="1">
      <c r="A188" s="321" t="s">
        <v>364</v>
      </c>
      <c r="B188" s="268" t="s">
        <v>340</v>
      </c>
      <c r="C188" s="303">
        <v>115829789.00000001</v>
      </c>
      <c r="D188" s="303">
        <v>115829789</v>
      </c>
      <c r="E188" s="303">
        <v>115829789</v>
      </c>
      <c r="F188" s="303">
        <v>115829789</v>
      </c>
      <c r="G188" s="303">
        <v>115829789</v>
      </c>
      <c r="H188" s="303">
        <v>115829789</v>
      </c>
      <c r="I188" s="303">
        <v>115829789</v>
      </c>
      <c r="J188" s="303">
        <v>115829789</v>
      </c>
      <c r="K188" s="303">
        <v>115829789</v>
      </c>
      <c r="L188" s="303">
        <v>115829789</v>
      </c>
      <c r="M188" s="303">
        <v>115829789</v>
      </c>
      <c r="N188" s="303">
        <v>115829789</v>
      </c>
      <c r="O188" s="303">
        <v>115800431</v>
      </c>
      <c r="P188" s="303">
        <v>115829789</v>
      </c>
      <c r="Q188" s="303">
        <v>115790538</v>
      </c>
      <c r="R188" s="303">
        <v>115829789</v>
      </c>
      <c r="S188" s="303">
        <v>115770587</v>
      </c>
      <c r="T188" s="303">
        <v>115829789</v>
      </c>
      <c r="U188" s="303">
        <v>115710726</v>
      </c>
      <c r="V188" s="303">
        <v>115710726</v>
      </c>
      <c r="W188" s="303">
        <v>107893590</v>
      </c>
      <c r="X188" s="303">
        <v>110011129</v>
      </c>
      <c r="Y188" s="303"/>
      <c r="Z188" s="303"/>
      <c r="AA188" s="303"/>
      <c r="AB188" s="275"/>
      <c r="AC188" s="303"/>
      <c r="AD188" s="275"/>
      <c r="AE188" s="303"/>
      <c r="AF188" s="275"/>
      <c r="AG188" s="303"/>
      <c r="AH188" s="274"/>
      <c r="AI188" s="303"/>
      <c r="AJ188" s="275"/>
      <c r="AK188" s="303"/>
      <c r="AL188" s="275"/>
      <c r="AM188" s="303"/>
      <c r="AN188" s="275"/>
      <c r="AO188" s="303"/>
      <c r="AP188" s="275"/>
      <c r="AQ188" s="303"/>
      <c r="AR188" s="275"/>
      <c r="AS188" s="304"/>
      <c r="AT188" s="304"/>
      <c r="AU188" s="304"/>
      <c r="AV188" s="274"/>
      <c r="AW188" s="304"/>
      <c r="AX188" s="304"/>
      <c r="AY188" s="304"/>
      <c r="AZ188" s="304"/>
      <c r="BA188" s="304"/>
      <c r="BB188" s="304"/>
    </row>
    <row r="189" spans="1:54">
      <c r="C189" s="378"/>
      <c r="D189" s="378"/>
      <c r="E189" s="378"/>
      <c r="F189" s="378"/>
      <c r="G189" s="378"/>
      <c r="H189" s="378"/>
      <c r="I189" s="378"/>
      <c r="J189" s="378"/>
      <c r="K189" s="378"/>
      <c r="L189" s="378"/>
      <c r="M189" s="378"/>
      <c r="N189" s="378"/>
    </row>
    <row r="190" spans="1:54">
      <c r="B190" s="297" t="s">
        <v>335</v>
      </c>
      <c r="C190" s="258">
        <v>652.96270076669873</v>
      </c>
      <c r="D190" s="258">
        <v>353.07670711236267</v>
      </c>
      <c r="E190" s="258">
        <v>299.88601577498065</v>
      </c>
      <c r="F190" s="258">
        <v>299.88601577498065</v>
      </c>
      <c r="G190" s="258">
        <v>1108.1492853707143</v>
      </c>
      <c r="H190" s="258">
        <v>321.76937536068834</v>
      </c>
      <c r="I190" s="258">
        <v>787.53589999999997</v>
      </c>
      <c r="J190" s="258">
        <v>301.3109</v>
      </c>
      <c r="K190" s="258">
        <v>486.23131455035985</v>
      </c>
      <c r="L190" s="258">
        <v>302.92938866229673</v>
      </c>
      <c r="M190" s="258">
        <v>183</v>
      </c>
      <c r="N190" s="258">
        <v>183</v>
      </c>
      <c r="O190" s="258">
        <v>1338</v>
      </c>
      <c r="P190" s="258">
        <v>200</v>
      </c>
      <c r="Q190" s="258">
        <v>1126</v>
      </c>
      <c r="R190" s="258">
        <v>282</v>
      </c>
      <c r="S190" s="258">
        <v>845</v>
      </c>
      <c r="T190" s="258">
        <v>324</v>
      </c>
      <c r="U190" s="258">
        <v>521</v>
      </c>
      <c r="V190" s="258">
        <v>521</v>
      </c>
      <c r="W190" s="258">
        <v>963</v>
      </c>
      <c r="X190" s="258">
        <v>220</v>
      </c>
      <c r="Y190" s="258"/>
      <c r="Z190" s="258"/>
      <c r="AA190" s="258"/>
      <c r="AB190" s="264"/>
      <c r="AC190" s="258"/>
      <c r="AD190" s="264"/>
      <c r="AE190" s="258"/>
      <c r="AF190" s="258"/>
      <c r="AG190" s="258"/>
      <c r="AH190" s="258"/>
      <c r="AI190" s="258"/>
      <c r="AJ190" s="258"/>
      <c r="AK190" s="258"/>
      <c r="AL190" s="264"/>
      <c r="AM190" s="258"/>
      <c r="AN190" s="258"/>
      <c r="AO190" s="258"/>
      <c r="AP190" s="264"/>
      <c r="AQ190" s="258"/>
      <c r="AR190" s="258"/>
      <c r="AS190" s="294"/>
      <c r="AT190" s="294"/>
      <c r="AU190" s="294"/>
      <c r="AV190" s="258"/>
      <c r="AW190" s="294"/>
      <c r="AX190" s="294"/>
      <c r="AY190" s="294"/>
      <c r="AZ190" s="294"/>
      <c r="BA190" s="294"/>
      <c r="BB190" s="294"/>
    </row>
    <row r="191" spans="1:54">
      <c r="B191" s="298" t="s">
        <v>341</v>
      </c>
      <c r="C191" s="258">
        <v>115829789.00000001</v>
      </c>
      <c r="D191" s="258">
        <v>115829789</v>
      </c>
      <c r="E191" s="258">
        <v>115829789</v>
      </c>
      <c r="F191" s="258">
        <v>115829789</v>
      </c>
      <c r="G191" s="258">
        <v>115829789</v>
      </c>
      <c r="H191" s="258">
        <v>115829789</v>
      </c>
      <c r="I191" s="258">
        <v>115829789</v>
      </c>
      <c r="J191" s="258">
        <v>115829789</v>
      </c>
      <c r="K191" s="258">
        <v>115829789</v>
      </c>
      <c r="L191" s="258">
        <v>115829789</v>
      </c>
      <c r="M191" s="258">
        <v>115829789</v>
      </c>
      <c r="N191" s="258">
        <v>115829789</v>
      </c>
      <c r="O191" s="258">
        <v>115800431</v>
      </c>
      <c r="P191" s="258">
        <v>115829789</v>
      </c>
      <c r="Q191" s="258">
        <v>115790538</v>
      </c>
      <c r="R191" s="258">
        <v>115829789</v>
      </c>
      <c r="S191" s="258">
        <v>115770587</v>
      </c>
      <c r="T191" s="258">
        <v>115829789</v>
      </c>
      <c r="U191" s="258">
        <v>115710726</v>
      </c>
      <c r="V191" s="258">
        <v>115710726</v>
      </c>
      <c r="W191" s="258">
        <v>107893590</v>
      </c>
      <c r="X191" s="258">
        <v>110011129</v>
      </c>
      <c r="Y191" s="258"/>
      <c r="Z191" s="258"/>
      <c r="AA191" s="258"/>
      <c r="AB191" s="264"/>
      <c r="AC191" s="258"/>
      <c r="AD191" s="264"/>
      <c r="AE191" s="258"/>
      <c r="AF191" s="258"/>
      <c r="AG191" s="258"/>
      <c r="AH191" s="258"/>
      <c r="AI191" s="258"/>
      <c r="AJ191" s="258"/>
      <c r="AK191" s="258"/>
      <c r="AL191" s="264"/>
      <c r="AM191" s="258"/>
      <c r="AN191" s="258"/>
      <c r="AO191" s="258"/>
      <c r="AP191" s="264"/>
      <c r="AQ191" s="258"/>
      <c r="AR191" s="258"/>
      <c r="AS191" s="294"/>
      <c r="AT191" s="294"/>
      <c r="AU191" s="294"/>
      <c r="AV191" s="294"/>
      <c r="AW191" s="294"/>
      <c r="AX191" s="294"/>
      <c r="AY191" s="294"/>
      <c r="AZ191" s="294"/>
      <c r="BA191" s="294"/>
      <c r="BB191" s="294"/>
    </row>
    <row r="192" spans="1:54" ht="13.5" thickBot="1">
      <c r="A192" s="321" t="s">
        <v>365</v>
      </c>
      <c r="B192" s="268" t="s">
        <v>342</v>
      </c>
      <c r="C192" s="303">
        <v>5.6372605562347919</v>
      </c>
      <c r="D192" s="303">
        <v>3.0482375057452851</v>
      </c>
      <c r="E192" s="303">
        <v>2.5890232414649454</v>
      </c>
      <c r="F192" s="303">
        <v>2.5890232414649454</v>
      </c>
      <c r="G192" s="303">
        <v>9.5670491584053075</v>
      </c>
      <c r="H192" s="303">
        <v>2.7779501123039112</v>
      </c>
      <c r="I192" s="303">
        <v>6.7991000000000001</v>
      </c>
      <c r="J192" s="303">
        <v>2.6013000000000002</v>
      </c>
      <c r="K192" s="303">
        <v>4.1978088602955141</v>
      </c>
      <c r="L192" s="303">
        <v>2.6152977681958545</v>
      </c>
      <c r="M192" s="303">
        <v>1.58</v>
      </c>
      <c r="N192" s="303">
        <v>1.58</v>
      </c>
      <c r="O192" s="303">
        <v>11.56</v>
      </c>
      <c r="P192" s="303">
        <v>1.73</v>
      </c>
      <c r="Q192" s="303">
        <v>9.73</v>
      </c>
      <c r="R192" s="303">
        <v>2.4300000000000002</v>
      </c>
      <c r="S192" s="303">
        <v>7.3</v>
      </c>
      <c r="T192" s="303">
        <v>2.8</v>
      </c>
      <c r="U192" s="303">
        <v>4.5</v>
      </c>
      <c r="V192" s="303">
        <v>4.5</v>
      </c>
      <c r="W192" s="303">
        <v>8.93</v>
      </c>
      <c r="X192" s="303">
        <v>2</v>
      </c>
      <c r="Y192" s="303"/>
      <c r="Z192" s="303"/>
      <c r="AA192" s="303"/>
      <c r="AB192" s="275"/>
      <c r="AC192" s="303"/>
      <c r="AD192" s="275"/>
      <c r="AE192" s="303"/>
      <c r="AF192" s="275"/>
      <c r="AG192" s="303"/>
      <c r="AH192" s="274"/>
      <c r="AI192" s="303"/>
      <c r="AJ192" s="275"/>
      <c r="AK192" s="303"/>
      <c r="AL192" s="275"/>
      <c r="AM192" s="303"/>
      <c r="AN192" s="275"/>
      <c r="AO192" s="303"/>
      <c r="AP192" s="275"/>
      <c r="AQ192" s="303"/>
      <c r="AR192" s="275"/>
      <c r="AS192" s="304"/>
      <c r="AT192" s="304"/>
      <c r="AU192" s="304"/>
      <c r="AV192" s="274"/>
      <c r="AW192" s="304"/>
      <c r="AX192" s="304"/>
      <c r="AY192" s="304"/>
      <c r="AZ192" s="304"/>
      <c r="BA192" s="304"/>
      <c r="BB192" s="304"/>
    </row>
    <row r="194" spans="1:54">
      <c r="C194" s="378"/>
      <c r="D194" s="378"/>
      <c r="E194" s="378"/>
      <c r="F194" s="378"/>
      <c r="G194" s="378"/>
      <c r="H194" s="378"/>
      <c r="I194" s="378"/>
      <c r="J194" s="378"/>
      <c r="K194" s="378"/>
      <c r="L194" s="378"/>
      <c r="M194" s="378"/>
      <c r="N194" s="378"/>
    </row>
    <row r="195" spans="1:54">
      <c r="B195" s="297" t="s">
        <v>335</v>
      </c>
      <c r="C195" s="258">
        <v>652.96270076669873</v>
      </c>
      <c r="D195" s="258">
        <v>353.07670711236267</v>
      </c>
      <c r="E195" s="258">
        <v>299.88601577498065</v>
      </c>
      <c r="F195" s="258">
        <v>299.88601577498065</v>
      </c>
      <c r="G195" s="258">
        <v>1108.1492853707143</v>
      </c>
      <c r="H195" s="258">
        <v>321.76937536068834</v>
      </c>
      <c r="I195" s="258">
        <v>787.53589999999997</v>
      </c>
      <c r="J195" s="258">
        <v>301.3109</v>
      </c>
      <c r="K195" s="258">
        <v>486.23131455035985</v>
      </c>
      <c r="L195" s="258">
        <v>302.92938866229673</v>
      </c>
      <c r="M195" s="258">
        <v>183</v>
      </c>
      <c r="N195" s="258">
        <v>183</v>
      </c>
      <c r="O195" s="258">
        <v>1338</v>
      </c>
      <c r="P195" s="258">
        <v>200</v>
      </c>
      <c r="Q195" s="258">
        <v>1126</v>
      </c>
      <c r="R195" s="258">
        <v>282</v>
      </c>
      <c r="S195" s="258">
        <v>845</v>
      </c>
      <c r="T195" s="258">
        <v>324</v>
      </c>
      <c r="U195" s="258">
        <v>521</v>
      </c>
      <c r="V195" s="258">
        <v>521</v>
      </c>
      <c r="W195" s="258">
        <v>963</v>
      </c>
      <c r="X195" s="258">
        <v>220</v>
      </c>
      <c r="Y195" s="258"/>
      <c r="Z195" s="258"/>
      <c r="AA195" s="258"/>
      <c r="AB195" s="264"/>
      <c r="AC195" s="258"/>
      <c r="AD195" s="264"/>
      <c r="AE195" s="258"/>
      <c r="AF195" s="258"/>
      <c r="AG195" s="258"/>
      <c r="AH195" s="258"/>
      <c r="AI195" s="258"/>
      <c r="AJ195" s="258"/>
      <c r="AK195" s="258"/>
      <c r="AL195" s="264"/>
      <c r="AM195" s="258"/>
      <c r="AN195" s="258"/>
      <c r="AO195" s="258"/>
      <c r="AP195" s="264"/>
      <c r="AQ195" s="258"/>
      <c r="AR195" s="258"/>
      <c r="AS195" s="294"/>
      <c r="AT195" s="294"/>
      <c r="AU195" s="294"/>
      <c r="AV195" s="258"/>
      <c r="AW195" s="294"/>
      <c r="AX195" s="294"/>
      <c r="AY195" s="294"/>
      <c r="AZ195" s="294"/>
      <c r="BA195" s="294"/>
      <c r="BB195" s="294"/>
    </row>
    <row r="196" spans="1:54">
      <c r="B196" s="298" t="s">
        <v>343</v>
      </c>
      <c r="C196" s="258">
        <v>115829789.00000001</v>
      </c>
      <c r="D196" s="258">
        <v>115829789</v>
      </c>
      <c r="E196" s="258">
        <v>115829789</v>
      </c>
      <c r="F196" s="258">
        <v>115829789</v>
      </c>
      <c r="G196" s="258">
        <v>115829789</v>
      </c>
      <c r="H196" s="258">
        <v>115829789</v>
      </c>
      <c r="I196" s="258">
        <v>115829789</v>
      </c>
      <c r="J196" s="258">
        <v>115829789</v>
      </c>
      <c r="K196" s="258">
        <v>115829789</v>
      </c>
      <c r="L196" s="258">
        <v>115829789</v>
      </c>
      <c r="M196" s="258">
        <v>115829789</v>
      </c>
      <c r="N196" s="258">
        <v>115829789</v>
      </c>
      <c r="O196" s="258">
        <v>115800431</v>
      </c>
      <c r="P196" s="258">
        <v>115829789</v>
      </c>
      <c r="Q196" s="258">
        <v>115790538</v>
      </c>
      <c r="R196" s="258">
        <v>115829789</v>
      </c>
      <c r="S196" s="258">
        <v>115770587</v>
      </c>
      <c r="T196" s="258">
        <v>115829789</v>
      </c>
      <c r="U196" s="258">
        <v>115710726</v>
      </c>
      <c r="V196" s="258">
        <v>115710726</v>
      </c>
      <c r="W196" s="258">
        <v>108403858</v>
      </c>
      <c r="X196" s="258">
        <v>110521397</v>
      </c>
      <c r="Y196" s="258"/>
      <c r="Z196" s="258"/>
      <c r="AA196" s="258"/>
      <c r="AB196" s="264"/>
      <c r="AC196" s="258"/>
      <c r="AD196" s="264"/>
      <c r="AE196" s="258"/>
      <c r="AF196" s="258"/>
      <c r="AG196" s="258"/>
      <c r="AH196" s="258"/>
      <c r="AI196" s="258"/>
      <c r="AJ196" s="258"/>
      <c r="AK196" s="258"/>
      <c r="AL196" s="264"/>
      <c r="AM196" s="258"/>
      <c r="AN196" s="258"/>
      <c r="AO196" s="258"/>
      <c r="AP196" s="264"/>
      <c r="AQ196" s="258"/>
      <c r="AR196" s="258"/>
      <c r="AS196" s="294"/>
      <c r="AT196" s="294"/>
      <c r="AU196" s="294"/>
      <c r="AV196" s="294"/>
      <c r="AW196" s="294"/>
      <c r="AX196" s="294"/>
      <c r="AY196" s="294"/>
      <c r="AZ196" s="294"/>
      <c r="BA196" s="294"/>
      <c r="BB196" s="294"/>
    </row>
    <row r="197" spans="1:54" ht="13.5" thickBot="1">
      <c r="A197" s="321" t="s">
        <v>366</v>
      </c>
      <c r="B197" s="268" t="s">
        <v>344</v>
      </c>
      <c r="C197" s="303">
        <v>5.6372605562347919</v>
      </c>
      <c r="D197" s="303">
        <v>3.0482375057452851</v>
      </c>
      <c r="E197" s="303">
        <v>2.5890232414649454</v>
      </c>
      <c r="F197" s="303">
        <v>2.5890232414649454</v>
      </c>
      <c r="G197" s="303">
        <v>9.5670491584053075</v>
      </c>
      <c r="H197" s="303">
        <v>2.7779501123039112</v>
      </c>
      <c r="I197" s="303">
        <v>6.7991000000000001</v>
      </c>
      <c r="J197" s="303">
        <v>2.6013000000000002</v>
      </c>
      <c r="K197" s="303">
        <v>4.1978088602955141</v>
      </c>
      <c r="L197" s="303">
        <v>2.6152977681958545</v>
      </c>
      <c r="M197" s="303">
        <v>1.58</v>
      </c>
      <c r="N197" s="303">
        <v>1.58</v>
      </c>
      <c r="O197" s="303">
        <v>11.56</v>
      </c>
      <c r="P197" s="303">
        <v>1.73</v>
      </c>
      <c r="Q197" s="303">
        <v>9.73</v>
      </c>
      <c r="R197" s="303">
        <v>2.4300000000000002</v>
      </c>
      <c r="S197" s="303">
        <v>7.3</v>
      </c>
      <c r="T197" s="303">
        <v>2.8</v>
      </c>
      <c r="U197" s="303">
        <v>4.5</v>
      </c>
      <c r="V197" s="303">
        <v>4.5</v>
      </c>
      <c r="W197" s="303">
        <v>8.89</v>
      </c>
      <c r="X197" s="303">
        <v>1.99</v>
      </c>
      <c r="Y197" s="303"/>
      <c r="Z197" s="303"/>
      <c r="AA197" s="303"/>
      <c r="AB197" s="275"/>
      <c r="AC197" s="303"/>
      <c r="AD197" s="275"/>
      <c r="AE197" s="303"/>
      <c r="AF197" s="275"/>
      <c r="AG197" s="303"/>
      <c r="AH197" s="274"/>
      <c r="AI197" s="303"/>
      <c r="AJ197" s="275"/>
      <c r="AK197" s="303"/>
      <c r="AL197" s="275"/>
      <c r="AM197" s="303"/>
      <c r="AN197" s="275"/>
      <c r="AO197" s="303"/>
      <c r="AP197" s="275"/>
      <c r="AQ197" s="303"/>
      <c r="AR197" s="275"/>
      <c r="AS197" s="304"/>
      <c r="AT197" s="304"/>
      <c r="AU197" s="304"/>
      <c r="AV197" s="274"/>
      <c r="AW197" s="304"/>
      <c r="AX197" s="304"/>
      <c r="AY197" s="304"/>
      <c r="AZ197" s="304"/>
      <c r="BA197" s="304"/>
      <c r="BB197" s="304"/>
    </row>
    <row r="198" spans="1:54">
      <c r="C198" s="378"/>
      <c r="D198" s="378"/>
      <c r="E198" s="378"/>
      <c r="F198" s="378"/>
      <c r="G198" s="378"/>
      <c r="H198" s="378"/>
      <c r="I198" s="378"/>
      <c r="J198" s="378"/>
      <c r="K198" s="378"/>
      <c r="L198" s="378"/>
      <c r="M198" s="378"/>
      <c r="N198" s="378"/>
    </row>
    <row r="202" spans="1:54">
      <c r="C202" s="374"/>
      <c r="D202" s="374"/>
      <c r="E202" s="374"/>
      <c r="F202" s="374"/>
      <c r="G202" s="374"/>
      <c r="H202" s="374"/>
      <c r="I202" s="374"/>
      <c r="J202" s="374"/>
      <c r="K202" s="374"/>
      <c r="L202" s="374"/>
      <c r="M202" s="374"/>
      <c r="N202" s="374"/>
    </row>
    <row r="203" spans="1:54">
      <c r="C203" s="378"/>
      <c r="D203" s="378"/>
      <c r="E203" s="378"/>
      <c r="F203" s="378"/>
      <c r="G203" s="378"/>
      <c r="H203" s="378"/>
      <c r="I203" s="378"/>
      <c r="J203" s="378"/>
      <c r="K203" s="378"/>
      <c r="L203" s="378"/>
      <c r="M203" s="378"/>
      <c r="N203" s="378"/>
    </row>
    <row r="204" spans="1:54">
      <c r="C204" s="378"/>
      <c r="D204" s="378"/>
      <c r="E204" s="378"/>
      <c r="F204" s="378"/>
      <c r="G204" s="378"/>
      <c r="H204" s="378"/>
      <c r="I204" s="378"/>
      <c r="J204" s="378"/>
      <c r="K204" s="378"/>
      <c r="L204" s="378"/>
      <c r="M204" s="378"/>
      <c r="N204" s="378"/>
    </row>
    <row r="209" spans="3:14">
      <c r="C209" s="378"/>
      <c r="D209" s="378"/>
      <c r="E209" s="378"/>
      <c r="F209" s="378"/>
      <c r="G209" s="378"/>
      <c r="H209" s="378"/>
      <c r="I209" s="378"/>
      <c r="J209" s="378"/>
      <c r="K209" s="378"/>
      <c r="L209" s="378"/>
      <c r="M209" s="378"/>
      <c r="N209" s="378"/>
    </row>
    <row r="210" spans="3:14">
      <c r="C210" s="378"/>
      <c r="D210" s="378"/>
      <c r="E210" s="378"/>
      <c r="F210" s="378"/>
      <c r="G210" s="378"/>
      <c r="H210" s="378"/>
      <c r="I210" s="378"/>
      <c r="J210" s="378"/>
      <c r="K210" s="378"/>
      <c r="L210" s="378"/>
      <c r="M210" s="378"/>
      <c r="N210" s="378"/>
    </row>
    <row r="213" spans="3:14">
      <c r="C213" s="378"/>
      <c r="D213" s="378"/>
      <c r="E213" s="378"/>
      <c r="F213" s="378"/>
      <c r="G213" s="378"/>
      <c r="H213" s="378"/>
      <c r="I213" s="378"/>
      <c r="J213" s="378"/>
      <c r="K213" s="378"/>
      <c r="L213" s="378"/>
      <c r="M213" s="378"/>
      <c r="N213" s="378"/>
    </row>
    <row r="218" spans="3:14">
      <c r="C218" s="378"/>
      <c r="D218" s="378"/>
      <c r="E218" s="378"/>
      <c r="F218" s="378"/>
      <c r="G218" s="378"/>
      <c r="H218" s="378"/>
      <c r="I218" s="378"/>
      <c r="J218" s="378"/>
      <c r="K218" s="378"/>
      <c r="L218" s="378"/>
      <c r="M218" s="378"/>
      <c r="N218" s="378"/>
    </row>
  </sheetData>
  <pageMargins left="0.7" right="0.7" top="0.75" bottom="0.75" header="0.3" footer="0.3"/>
  <pageSetup paperSize="9" orientation="portrait" verticalDpi="0" r:id="rId1"/>
  <ignoredErrors>
    <ignoredError sqref="AD107 AB28 AB106:AB107 AL107 AE107:AK107 AM107:BB107 Z28"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dimension ref="A1:AM64"/>
  <sheetViews>
    <sheetView showGridLines="0" zoomScale="85" zoomScaleNormal="85" workbookViewId="0">
      <pane ySplit="2" topLeftCell="A3" activePane="bottomLeft" state="frozen"/>
      <selection pane="bottomLeft" activeCell="B100" sqref="B100"/>
    </sheetView>
  </sheetViews>
  <sheetFormatPr baseColWidth="10" defaultColWidth="11.42578125" defaultRowHeight="14.25"/>
  <cols>
    <col min="1" max="1" width="3.85546875" style="19" customWidth="1"/>
    <col min="2" max="2" width="67.140625" style="19" customWidth="1"/>
    <col min="3" max="19" width="14.28515625" style="19" customWidth="1"/>
    <col min="20" max="16384" width="11.42578125" style="19"/>
  </cols>
  <sheetData>
    <row r="1" spans="1:39" ht="18.75" customHeight="1"/>
    <row r="2" spans="1:39" ht="18.75" customHeight="1">
      <c r="A2" s="20" t="s">
        <v>135</v>
      </c>
      <c r="B2" s="21"/>
      <c r="C2" s="22"/>
      <c r="D2" s="22"/>
      <c r="E2" s="22"/>
      <c r="F2" s="22"/>
      <c r="G2" s="22"/>
      <c r="H2" s="22"/>
      <c r="I2" s="22"/>
      <c r="J2" s="22"/>
      <c r="K2" s="22"/>
      <c r="L2" s="22"/>
      <c r="M2" s="22"/>
      <c r="N2" s="22"/>
      <c r="O2" s="22"/>
    </row>
    <row r="3" spans="1:39" ht="14.25" customHeight="1">
      <c r="A3" s="20"/>
      <c r="B3" s="21"/>
      <c r="C3" s="22"/>
      <c r="D3" s="22"/>
      <c r="E3" s="22"/>
      <c r="F3" s="22"/>
      <c r="G3" s="22"/>
      <c r="H3" s="22"/>
      <c r="I3" s="22"/>
      <c r="J3" s="22"/>
      <c r="K3" s="22"/>
      <c r="L3" s="22"/>
      <c r="M3" s="22"/>
      <c r="N3" s="22"/>
      <c r="O3" s="22"/>
    </row>
    <row r="4" spans="1:39" ht="14.25" customHeight="1">
      <c r="A4" s="20"/>
      <c r="B4" s="23"/>
      <c r="C4" s="22"/>
      <c r="D4" s="22"/>
      <c r="E4" s="22"/>
      <c r="F4" s="22"/>
      <c r="G4" s="22"/>
      <c r="H4" s="22"/>
      <c r="I4" s="22"/>
      <c r="J4" s="22"/>
      <c r="K4" s="22"/>
      <c r="L4" s="22"/>
      <c r="M4" s="22"/>
      <c r="N4" s="22"/>
      <c r="O4" s="22"/>
    </row>
    <row r="5" spans="1:39" ht="14.25" customHeight="1">
      <c r="A5" s="20"/>
      <c r="B5" s="21"/>
      <c r="C5" s="22"/>
      <c r="D5" s="22"/>
      <c r="E5" s="22"/>
      <c r="F5" s="22"/>
      <c r="G5" s="22"/>
      <c r="H5" s="22"/>
      <c r="I5" s="22"/>
      <c r="J5" s="22"/>
      <c r="K5" s="22"/>
      <c r="L5" s="22"/>
      <c r="M5" s="22"/>
      <c r="N5" s="22"/>
      <c r="O5" s="22"/>
    </row>
    <row r="6" spans="1:39" ht="14.25" customHeight="1">
      <c r="B6" s="25"/>
      <c r="C6" s="150" t="s">
        <v>289</v>
      </c>
      <c r="D6" s="26" t="s">
        <v>290</v>
      </c>
      <c r="E6" s="26" t="s">
        <v>287</v>
      </c>
      <c r="F6" s="26" t="s">
        <v>288</v>
      </c>
      <c r="G6" s="26" t="s">
        <v>289</v>
      </c>
      <c r="H6" s="26" t="s">
        <v>290</v>
      </c>
      <c r="I6" s="26" t="s">
        <v>287</v>
      </c>
      <c r="J6" s="26" t="s">
        <v>288</v>
      </c>
      <c r="K6" s="26" t="s">
        <v>289</v>
      </c>
      <c r="L6" s="26" t="s">
        <v>290</v>
      </c>
      <c r="M6" s="26" t="s">
        <v>287</v>
      </c>
      <c r="N6" s="26" t="s">
        <v>288</v>
      </c>
      <c r="O6" s="26" t="s">
        <v>289</v>
      </c>
      <c r="P6" s="26" t="s">
        <v>290</v>
      </c>
      <c r="Q6" s="26" t="s">
        <v>287</v>
      </c>
      <c r="R6" s="26" t="s">
        <v>288</v>
      </c>
      <c r="S6" s="26" t="s">
        <v>289</v>
      </c>
      <c r="T6" s="26" t="s">
        <v>290</v>
      </c>
      <c r="U6" s="26" t="s">
        <v>287</v>
      </c>
      <c r="V6" s="26" t="s">
        <v>288</v>
      </c>
      <c r="W6" s="26" t="s">
        <v>289</v>
      </c>
      <c r="X6" s="26" t="s">
        <v>290</v>
      </c>
    </row>
    <row r="7" spans="1:39" ht="14.25" customHeight="1">
      <c r="B7" s="27" t="s">
        <v>139</v>
      </c>
      <c r="C7" s="151">
        <v>2021</v>
      </c>
      <c r="D7" s="28">
        <v>2021</v>
      </c>
      <c r="E7" s="28">
        <v>2020</v>
      </c>
      <c r="F7" s="28">
        <v>2020</v>
      </c>
      <c r="G7" s="28">
        <v>2020</v>
      </c>
      <c r="H7" s="28">
        <v>2020</v>
      </c>
      <c r="I7" s="28">
        <v>2019</v>
      </c>
      <c r="J7" s="28">
        <v>2019</v>
      </c>
      <c r="K7" s="28">
        <v>2019</v>
      </c>
      <c r="L7" s="28">
        <v>2019</v>
      </c>
      <c r="M7" s="28">
        <v>2018</v>
      </c>
      <c r="N7" s="28">
        <v>2018</v>
      </c>
      <c r="O7" s="28">
        <v>2018</v>
      </c>
      <c r="P7" s="28">
        <v>2018</v>
      </c>
      <c r="Q7" s="28">
        <v>2017</v>
      </c>
      <c r="R7" s="28">
        <v>2017</v>
      </c>
      <c r="S7" s="28">
        <v>2017</v>
      </c>
      <c r="T7" s="28">
        <v>2017</v>
      </c>
      <c r="U7" s="28">
        <v>2016</v>
      </c>
      <c r="V7" s="28">
        <v>2016</v>
      </c>
      <c r="W7" s="28">
        <v>2016</v>
      </c>
      <c r="X7" s="28">
        <v>2016</v>
      </c>
    </row>
    <row r="8" spans="1:39">
      <c r="B8" s="29" t="s">
        <v>12</v>
      </c>
      <c r="C8" s="149">
        <v>749.3895617899999</v>
      </c>
      <c r="D8" s="30">
        <v>745.82530000000008</v>
      </c>
      <c r="E8" s="30">
        <v>768.13688999999999</v>
      </c>
      <c r="F8" s="30">
        <v>780.07</v>
      </c>
      <c r="G8" s="30">
        <v>839.32372125999973</v>
      </c>
      <c r="H8" s="30">
        <v>1048.19039481</v>
      </c>
      <c r="I8" s="30">
        <v>1022.7381415399998</v>
      </c>
      <c r="J8" s="30">
        <v>980.96140745999992</v>
      </c>
      <c r="K8" s="30">
        <v>909.94284900000025</v>
      </c>
      <c r="L8" s="30">
        <v>874.72606599999995</v>
      </c>
      <c r="M8" s="30">
        <v>896.1855771500002</v>
      </c>
      <c r="N8" s="30">
        <v>863.88</v>
      </c>
      <c r="O8" s="30">
        <v>843.96</v>
      </c>
      <c r="P8" s="30">
        <v>810.7</v>
      </c>
      <c r="Q8" s="30">
        <v>820</v>
      </c>
      <c r="R8" s="30">
        <v>808.6</v>
      </c>
      <c r="S8" s="30">
        <v>822.9</v>
      </c>
      <c r="T8" s="30">
        <v>786.8</v>
      </c>
      <c r="U8" s="30">
        <v>785.5</v>
      </c>
      <c r="V8" s="30">
        <v>765</v>
      </c>
      <c r="W8" s="30">
        <v>472</v>
      </c>
      <c r="X8" s="30">
        <v>472</v>
      </c>
      <c r="Y8" s="239"/>
      <c r="Z8" s="239"/>
      <c r="AA8" s="239"/>
      <c r="AB8" s="239"/>
      <c r="AC8" s="239"/>
      <c r="AD8" s="239"/>
      <c r="AE8" s="239"/>
      <c r="AF8" s="239"/>
      <c r="AG8" s="239"/>
      <c r="AH8" s="239"/>
      <c r="AI8" s="239"/>
      <c r="AJ8" s="239"/>
      <c r="AK8" s="239"/>
      <c r="AL8" s="239"/>
      <c r="AM8" s="239"/>
    </row>
    <row r="9" spans="1:39" ht="14.25" customHeight="1">
      <c r="B9" s="31" t="s">
        <v>13</v>
      </c>
      <c r="C9" s="152">
        <v>207.49162325000009</v>
      </c>
      <c r="D9" s="32">
        <v>210.93969999999999</v>
      </c>
      <c r="E9" s="32">
        <v>218.99877000000001</v>
      </c>
      <c r="F9" s="32">
        <v>244.28</v>
      </c>
      <c r="G9" s="32">
        <v>341.22664505999995</v>
      </c>
      <c r="H9" s="32">
        <v>453.72187313000001</v>
      </c>
      <c r="I9" s="32">
        <v>438.38305799999989</v>
      </c>
      <c r="J9" s="32">
        <v>426.69256100000007</v>
      </c>
      <c r="K9" s="32">
        <v>390.36875300000003</v>
      </c>
      <c r="L9" s="32">
        <v>366.89113700000001</v>
      </c>
      <c r="M9" s="32">
        <v>351.86614999999995</v>
      </c>
      <c r="N9" s="32">
        <v>340.02</v>
      </c>
      <c r="O9" s="32">
        <v>332.84</v>
      </c>
      <c r="P9" s="32">
        <v>315.7</v>
      </c>
      <c r="Q9" s="32">
        <v>318</v>
      </c>
      <c r="R9" s="32">
        <v>310.2</v>
      </c>
      <c r="S9" s="32">
        <v>331.5</v>
      </c>
      <c r="T9" s="32">
        <v>322.3</v>
      </c>
      <c r="U9" s="32">
        <v>333.2</v>
      </c>
      <c r="V9" s="32">
        <v>323</v>
      </c>
      <c r="W9" s="32">
        <v>171.8</v>
      </c>
      <c r="X9" s="32">
        <v>175.7</v>
      </c>
      <c r="Y9" s="239"/>
      <c r="Z9" s="239"/>
      <c r="AA9" s="239"/>
      <c r="AB9" s="239"/>
      <c r="AC9" s="239"/>
      <c r="AD9" s="239"/>
      <c r="AE9" s="239"/>
      <c r="AF9" s="239"/>
      <c r="AG9" s="239"/>
      <c r="AH9" s="239"/>
      <c r="AI9" s="239"/>
      <c r="AJ9" s="239"/>
      <c r="AK9" s="239"/>
      <c r="AL9" s="239"/>
      <c r="AM9" s="239"/>
    </row>
    <row r="10" spans="1:39" ht="14.25" customHeight="1">
      <c r="B10" s="33" t="s">
        <v>14</v>
      </c>
      <c r="C10" s="153">
        <v>541.89793853999981</v>
      </c>
      <c r="D10" s="34">
        <v>534.88560000000007</v>
      </c>
      <c r="E10" s="34">
        <v>549.13811999999996</v>
      </c>
      <c r="F10" s="34">
        <v>535.79</v>
      </c>
      <c r="G10" s="34">
        <v>498.09707619999978</v>
      </c>
      <c r="H10" s="34">
        <v>594.46852168000009</v>
      </c>
      <c r="I10" s="34">
        <v>584.3550835399999</v>
      </c>
      <c r="J10" s="34">
        <v>554.26884645999985</v>
      </c>
      <c r="K10" s="34">
        <v>519.57409600000028</v>
      </c>
      <c r="L10" s="34">
        <v>507.83492899999993</v>
      </c>
      <c r="M10" s="34">
        <v>544.31942715000025</v>
      </c>
      <c r="N10" s="34">
        <v>523.87</v>
      </c>
      <c r="O10" s="34">
        <v>511.12</v>
      </c>
      <c r="P10" s="34">
        <v>495</v>
      </c>
      <c r="Q10" s="35">
        <v>501</v>
      </c>
      <c r="R10" s="35">
        <v>498.4</v>
      </c>
      <c r="S10" s="35">
        <v>491.4</v>
      </c>
      <c r="T10" s="35">
        <v>464.5</v>
      </c>
      <c r="U10" s="35">
        <v>452.3</v>
      </c>
      <c r="V10" s="35">
        <v>442</v>
      </c>
      <c r="W10" s="35">
        <v>300</v>
      </c>
      <c r="X10" s="35">
        <v>296.60000000000002</v>
      </c>
      <c r="Y10" s="239"/>
      <c r="Z10" s="239"/>
      <c r="AA10" s="239"/>
      <c r="AB10" s="239"/>
      <c r="AC10" s="239"/>
      <c r="AD10" s="239"/>
      <c r="AE10" s="239"/>
      <c r="AF10" s="239"/>
      <c r="AG10" s="239"/>
      <c r="AH10" s="239"/>
      <c r="AI10" s="239"/>
      <c r="AJ10" s="239"/>
      <c r="AK10" s="239"/>
      <c r="AL10" s="239"/>
      <c r="AM10" s="239"/>
    </row>
    <row r="11" spans="1:39" ht="14.25" customHeight="1">
      <c r="B11" s="36" t="s">
        <v>15</v>
      </c>
      <c r="C11" s="149">
        <v>387.38283934999998</v>
      </c>
      <c r="D11" s="30">
        <v>351.20049999999998</v>
      </c>
      <c r="E11" s="30">
        <v>389.38073000000003</v>
      </c>
      <c r="F11" s="30">
        <v>379.8</v>
      </c>
      <c r="G11" s="30">
        <v>276.54899083000004</v>
      </c>
      <c r="H11" s="30">
        <v>313.64757242000002</v>
      </c>
      <c r="I11" s="30">
        <v>332.16453217000003</v>
      </c>
      <c r="J11" s="30">
        <v>336.14364882999996</v>
      </c>
      <c r="K11" s="30">
        <v>323.14792800000004</v>
      </c>
      <c r="L11" s="30">
        <v>303.825131</v>
      </c>
      <c r="M11" s="30">
        <v>296.58041600000001</v>
      </c>
      <c r="N11" s="30">
        <v>298.82</v>
      </c>
      <c r="O11" s="30">
        <v>309.98</v>
      </c>
      <c r="P11" s="30">
        <v>304.39999999999998</v>
      </c>
      <c r="Q11" s="30">
        <v>312</v>
      </c>
      <c r="R11" s="30">
        <v>310.7</v>
      </c>
      <c r="S11" s="30">
        <v>297.39999999999998</v>
      </c>
      <c r="T11" s="30">
        <v>276.89999999999998</v>
      </c>
      <c r="U11" s="30">
        <v>275</v>
      </c>
      <c r="V11" s="30">
        <v>295</v>
      </c>
      <c r="W11" s="30">
        <v>137</v>
      </c>
      <c r="X11" s="30">
        <v>122.9</v>
      </c>
      <c r="Y11" s="239"/>
      <c r="Z11" s="239"/>
      <c r="AA11" s="239"/>
      <c r="AB11" s="239"/>
      <c r="AC11" s="239"/>
      <c r="AD11" s="239"/>
      <c r="AE11" s="239"/>
      <c r="AF11" s="239"/>
      <c r="AG11" s="239"/>
      <c r="AH11" s="239"/>
      <c r="AI11" s="239"/>
      <c r="AJ11" s="239"/>
      <c r="AK11" s="239"/>
      <c r="AL11" s="239"/>
      <c r="AM11" s="239"/>
    </row>
    <row r="12" spans="1:39" ht="14.25" customHeight="1">
      <c r="B12" s="36" t="s">
        <v>16</v>
      </c>
      <c r="C12" s="149">
        <v>33.705322860000003</v>
      </c>
      <c r="D12" s="30">
        <v>34.807653980000005</v>
      </c>
      <c r="E12" s="30">
        <v>40.263579999999997</v>
      </c>
      <c r="F12" s="30">
        <v>36.47</v>
      </c>
      <c r="G12" s="30">
        <v>32.015447589999994</v>
      </c>
      <c r="H12" s="30">
        <v>35.364367000000001</v>
      </c>
      <c r="I12" s="30">
        <v>36.705858140000004</v>
      </c>
      <c r="J12" s="30">
        <v>39.90749885999999</v>
      </c>
      <c r="K12" s="30">
        <v>36.346273000000004</v>
      </c>
      <c r="L12" s="30">
        <v>30.424996</v>
      </c>
      <c r="M12" s="30">
        <v>31.770508000000007</v>
      </c>
      <c r="N12" s="30">
        <v>22.85</v>
      </c>
      <c r="O12" s="30">
        <v>27.31</v>
      </c>
      <c r="P12" s="30">
        <v>22.5</v>
      </c>
      <c r="Q12" s="30">
        <v>27</v>
      </c>
      <c r="R12" s="30">
        <v>27.5</v>
      </c>
      <c r="S12" s="30">
        <v>26.1</v>
      </c>
      <c r="T12" s="30">
        <v>22.3</v>
      </c>
      <c r="U12" s="30">
        <v>22.6</v>
      </c>
      <c r="V12" s="30">
        <v>23</v>
      </c>
      <c r="W12" s="30">
        <v>12.9</v>
      </c>
      <c r="X12" s="30">
        <v>12.5</v>
      </c>
      <c r="Y12" s="239"/>
      <c r="Z12" s="239"/>
      <c r="AA12" s="239"/>
      <c r="AB12" s="239"/>
      <c r="AC12" s="239"/>
      <c r="AD12" s="239"/>
      <c r="AE12" s="239"/>
      <c r="AF12" s="239"/>
      <c r="AG12" s="239"/>
      <c r="AH12" s="239"/>
      <c r="AI12" s="239"/>
      <c r="AJ12" s="239"/>
      <c r="AK12" s="239"/>
      <c r="AL12" s="239"/>
      <c r="AM12" s="239"/>
    </row>
    <row r="13" spans="1:39" ht="14.25" customHeight="1">
      <c r="B13" s="31" t="s">
        <v>17</v>
      </c>
      <c r="C13" s="152">
        <v>61.93931911</v>
      </c>
      <c r="D13" s="32">
        <v>62.195753980000006</v>
      </c>
      <c r="E13" s="32">
        <v>56.945509999999999</v>
      </c>
      <c r="F13" s="32">
        <v>48.81</v>
      </c>
      <c r="G13" s="32">
        <v>55.757520069999998</v>
      </c>
      <c r="H13" s="32">
        <v>64.449541409999995</v>
      </c>
      <c r="I13" s="32">
        <v>37.136278129999994</v>
      </c>
      <c r="J13" s="32">
        <v>54.031640870000018</v>
      </c>
      <c r="K13" s="32">
        <v>77.601349999999996</v>
      </c>
      <c r="L13" s="32">
        <v>67.150913000000003</v>
      </c>
      <c r="M13" s="32">
        <v>48.350609999999989</v>
      </c>
      <c r="N13" s="32">
        <v>39.67</v>
      </c>
      <c r="O13" s="32">
        <v>51.12</v>
      </c>
      <c r="P13" s="32">
        <v>41.5</v>
      </c>
      <c r="Q13" s="32">
        <v>29</v>
      </c>
      <c r="R13" s="32">
        <v>41.6</v>
      </c>
      <c r="S13" s="32">
        <v>44.8</v>
      </c>
      <c r="T13" s="32">
        <v>53.2</v>
      </c>
      <c r="U13" s="32">
        <v>42.8</v>
      </c>
      <c r="V13" s="32">
        <v>37</v>
      </c>
      <c r="W13" s="32">
        <v>50.5</v>
      </c>
      <c r="X13" s="32">
        <v>49.7</v>
      </c>
      <c r="Y13" s="239"/>
      <c r="Z13" s="239"/>
      <c r="AA13" s="239"/>
      <c r="AB13" s="239"/>
      <c r="AC13" s="239"/>
      <c r="AD13" s="239"/>
      <c r="AE13" s="239"/>
      <c r="AF13" s="239"/>
      <c r="AG13" s="239"/>
      <c r="AH13" s="239"/>
      <c r="AI13" s="239"/>
      <c r="AJ13" s="239"/>
      <c r="AK13" s="239"/>
      <c r="AL13" s="239"/>
      <c r="AM13" s="239"/>
    </row>
    <row r="14" spans="1:39" ht="14.25" customHeight="1">
      <c r="B14" s="33" t="s">
        <v>18</v>
      </c>
      <c r="C14" s="154">
        <v>415.61683559999994</v>
      </c>
      <c r="D14" s="35">
        <v>378.58859999999999</v>
      </c>
      <c r="E14" s="35">
        <v>406.06266000000005</v>
      </c>
      <c r="F14" s="35">
        <v>392.14</v>
      </c>
      <c r="G14" s="35">
        <v>300.29106331000003</v>
      </c>
      <c r="H14" s="35">
        <v>342.73274683</v>
      </c>
      <c r="I14" s="35">
        <v>332.59495215999999</v>
      </c>
      <c r="J14" s="35">
        <v>350.26779083999998</v>
      </c>
      <c r="K14" s="35">
        <v>364.40300500000001</v>
      </c>
      <c r="L14" s="35">
        <v>340.55104799999998</v>
      </c>
      <c r="M14" s="35">
        <v>313.16051800000002</v>
      </c>
      <c r="N14" s="35">
        <v>315.64</v>
      </c>
      <c r="O14" s="35">
        <v>333.79</v>
      </c>
      <c r="P14" s="35">
        <v>323.39999999999998</v>
      </c>
      <c r="Q14" s="35">
        <v>315</v>
      </c>
      <c r="R14" s="35">
        <v>324.89999999999998</v>
      </c>
      <c r="S14" s="35">
        <v>316</v>
      </c>
      <c r="T14" s="35">
        <v>307.8</v>
      </c>
      <c r="U14" s="35">
        <v>295.2</v>
      </c>
      <c r="V14" s="35">
        <v>310</v>
      </c>
      <c r="W14" s="35">
        <v>174.6</v>
      </c>
      <c r="X14" s="35">
        <v>160.1</v>
      </c>
      <c r="Y14" s="239"/>
      <c r="Z14" s="239"/>
      <c r="AA14" s="239"/>
      <c r="AB14" s="239"/>
      <c r="AC14" s="239"/>
      <c r="AD14" s="239"/>
      <c r="AE14" s="239"/>
      <c r="AF14" s="239"/>
      <c r="AG14" s="239"/>
      <c r="AH14" s="239"/>
      <c r="AI14" s="239"/>
      <c r="AJ14" s="239"/>
      <c r="AK14" s="239"/>
      <c r="AL14" s="239"/>
      <c r="AM14" s="239"/>
    </row>
    <row r="15" spans="1:39" ht="14.25" customHeight="1">
      <c r="B15" s="37" t="s">
        <v>19</v>
      </c>
      <c r="C15" s="149">
        <v>9.261057619999999</v>
      </c>
      <c r="D15" s="30">
        <v>11.0588</v>
      </c>
      <c r="E15" s="30">
        <v>28.599769999999999</v>
      </c>
      <c r="F15" s="30">
        <v>0.52</v>
      </c>
      <c r="G15" s="30">
        <v>0.20983958999999963</v>
      </c>
      <c r="H15" s="30">
        <v>12.16452488</v>
      </c>
      <c r="I15" s="30">
        <v>0.27407664000000054</v>
      </c>
      <c r="J15" s="30">
        <v>0.21271836000000022</v>
      </c>
      <c r="K15" s="30">
        <v>6.0267499999999998</v>
      </c>
      <c r="L15" s="30">
        <v>12.376602999999999</v>
      </c>
      <c r="M15" s="30">
        <v>0.15571800000000025</v>
      </c>
      <c r="N15" s="30">
        <v>0.13</v>
      </c>
      <c r="O15" s="30">
        <v>0.43</v>
      </c>
      <c r="P15" s="30">
        <v>12.1</v>
      </c>
      <c r="Q15" s="30">
        <v>0</v>
      </c>
      <c r="R15" s="30">
        <v>-0.2</v>
      </c>
      <c r="S15" s="30">
        <v>1.8</v>
      </c>
      <c r="T15" s="30">
        <v>8.6999999999999993</v>
      </c>
      <c r="U15" s="30">
        <v>0.3</v>
      </c>
      <c r="V15" s="30">
        <v>1</v>
      </c>
      <c r="W15" s="30">
        <v>45</v>
      </c>
      <c r="X15" s="30">
        <v>0</v>
      </c>
      <c r="Y15" s="239"/>
      <c r="Z15" s="239"/>
      <c r="AA15" s="239"/>
      <c r="AB15" s="239"/>
      <c r="AC15" s="239"/>
      <c r="AD15" s="239"/>
      <c r="AE15" s="239"/>
      <c r="AF15" s="239"/>
      <c r="AG15" s="239"/>
      <c r="AH15" s="239"/>
      <c r="AI15" s="239"/>
      <c r="AJ15" s="239"/>
      <c r="AK15" s="239"/>
      <c r="AL15" s="239"/>
      <c r="AM15" s="239"/>
    </row>
    <row r="16" spans="1:39" ht="14.25" customHeight="1">
      <c r="B16" s="36" t="s">
        <v>20</v>
      </c>
      <c r="C16" s="149">
        <v>110.53405205</v>
      </c>
      <c r="D16" s="30">
        <v>58.729100000000003</v>
      </c>
      <c r="E16" s="30">
        <v>63.380850000000002</v>
      </c>
      <c r="F16" s="30">
        <v>87.894999999999996</v>
      </c>
      <c r="G16" s="30">
        <v>128.18699436</v>
      </c>
      <c r="H16" s="30">
        <v>114.91462013</v>
      </c>
      <c r="I16" s="30">
        <v>-0.99333745000012641</v>
      </c>
      <c r="J16" s="30">
        <v>43.530613450000089</v>
      </c>
      <c r="K16" s="30">
        <v>131.22960399999999</v>
      </c>
      <c r="L16" s="30">
        <v>345.58386999999999</v>
      </c>
      <c r="M16" s="30">
        <v>57.247618999999986</v>
      </c>
      <c r="N16" s="30">
        <v>57.58</v>
      </c>
      <c r="O16" s="30">
        <v>53.78</v>
      </c>
      <c r="P16" s="30">
        <v>29.7</v>
      </c>
      <c r="Q16" s="30">
        <v>77</v>
      </c>
      <c r="R16" s="30">
        <v>81.8</v>
      </c>
      <c r="S16" s="30">
        <v>30.3</v>
      </c>
      <c r="T16" s="30">
        <v>6</v>
      </c>
      <c r="U16" s="30">
        <v>48.6</v>
      </c>
      <c r="V16" s="30">
        <v>21</v>
      </c>
      <c r="W16" s="30">
        <v>96</v>
      </c>
      <c r="X16" s="30">
        <v>70</v>
      </c>
      <c r="Y16" s="239"/>
      <c r="Z16" s="239"/>
      <c r="AA16" s="239"/>
      <c r="AB16" s="239"/>
      <c r="AC16" s="239"/>
      <c r="AD16" s="239"/>
      <c r="AE16" s="239"/>
      <c r="AF16" s="239"/>
      <c r="AG16" s="239"/>
      <c r="AH16" s="239"/>
      <c r="AI16" s="239"/>
      <c r="AJ16" s="239"/>
      <c r="AK16" s="239"/>
      <c r="AL16" s="239"/>
      <c r="AM16" s="239"/>
    </row>
    <row r="17" spans="2:39" ht="14.25" customHeight="1">
      <c r="B17" s="31" t="s">
        <v>21</v>
      </c>
      <c r="C17" s="152">
        <v>61.638719260000038</v>
      </c>
      <c r="D17" s="32">
        <v>37.816299999999998</v>
      </c>
      <c r="E17" s="32">
        <v>54.517829999999996</v>
      </c>
      <c r="F17" s="32">
        <v>44.825000000000003</v>
      </c>
      <c r="G17" s="32">
        <v>185.32720802</v>
      </c>
      <c r="H17" s="32">
        <v>-175.49097287000001</v>
      </c>
      <c r="I17" s="32">
        <v>12.155208039999991</v>
      </c>
      <c r="J17" s="32">
        <v>59.181588960000013</v>
      </c>
      <c r="K17" s="32">
        <v>60.766892999999996</v>
      </c>
      <c r="L17" s="32">
        <v>64.691337000000004</v>
      </c>
      <c r="M17" s="32">
        <v>-50.752992000000006</v>
      </c>
      <c r="N17" s="32">
        <v>32.340000000000003</v>
      </c>
      <c r="O17" s="32">
        <v>94.6</v>
      </c>
      <c r="P17" s="32">
        <v>3.6</v>
      </c>
      <c r="Q17" s="32">
        <v>67</v>
      </c>
      <c r="R17" s="32">
        <v>18.600000000000001</v>
      </c>
      <c r="S17" s="32">
        <v>1.7</v>
      </c>
      <c r="T17" s="32">
        <v>-14.5</v>
      </c>
      <c r="U17" s="32">
        <v>17.100000000000001</v>
      </c>
      <c r="V17" s="32">
        <v>30</v>
      </c>
      <c r="W17" s="32">
        <v>-47</v>
      </c>
      <c r="X17" s="32">
        <v>-62.7</v>
      </c>
      <c r="Y17" s="239"/>
      <c r="Z17" s="239"/>
      <c r="AA17" s="239"/>
      <c r="AB17" s="239"/>
      <c r="AC17" s="239"/>
      <c r="AD17" s="239"/>
      <c r="AE17" s="239"/>
      <c r="AF17" s="239"/>
      <c r="AG17" s="239"/>
      <c r="AH17" s="239"/>
      <c r="AI17" s="239"/>
      <c r="AJ17" s="239"/>
      <c r="AK17" s="239"/>
      <c r="AL17" s="239"/>
      <c r="AM17" s="239"/>
    </row>
    <row r="18" spans="2:39" ht="14.25" customHeight="1">
      <c r="B18" s="33" t="s">
        <v>22</v>
      </c>
      <c r="C18" s="154">
        <v>181.43382893000003</v>
      </c>
      <c r="D18" s="38">
        <v>107.60420000000001</v>
      </c>
      <c r="E18" s="38">
        <v>146.49844999999999</v>
      </c>
      <c r="F18" s="38">
        <v>133.24</v>
      </c>
      <c r="G18" s="38">
        <v>313.72404197000003</v>
      </c>
      <c r="H18" s="38">
        <v>-48.411827860000002</v>
      </c>
      <c r="I18" s="38">
        <v>11.435947229999865</v>
      </c>
      <c r="J18" s="38">
        <v>102.9249207700001</v>
      </c>
      <c r="K18" s="38">
        <v>198.02324699999997</v>
      </c>
      <c r="L18" s="38">
        <v>422.65180999999995</v>
      </c>
      <c r="M18" s="38">
        <v>6.6503449999999802</v>
      </c>
      <c r="N18" s="38">
        <v>90.05</v>
      </c>
      <c r="O18" s="38">
        <v>148.81</v>
      </c>
      <c r="P18" s="38">
        <v>45.4</v>
      </c>
      <c r="Q18" s="35">
        <v>143</v>
      </c>
      <c r="R18" s="35">
        <v>100.1</v>
      </c>
      <c r="S18" s="35">
        <v>33.799999999999997</v>
      </c>
      <c r="T18" s="35">
        <v>0.3</v>
      </c>
      <c r="U18" s="35">
        <v>66</v>
      </c>
      <c r="V18" s="35">
        <v>53</v>
      </c>
      <c r="W18" s="35">
        <v>94</v>
      </c>
      <c r="X18" s="35">
        <v>7.3</v>
      </c>
      <c r="Y18" s="239"/>
      <c r="Z18" s="239"/>
      <c r="AA18" s="239"/>
      <c r="AB18" s="239"/>
      <c r="AC18" s="239"/>
      <c r="AD18" s="239"/>
      <c r="AE18" s="239"/>
      <c r="AF18" s="239"/>
      <c r="AG18" s="239"/>
      <c r="AH18" s="239"/>
      <c r="AI18" s="239"/>
      <c r="AJ18" s="239"/>
      <c r="AK18" s="239"/>
      <c r="AL18" s="239"/>
      <c r="AM18" s="239"/>
    </row>
    <row r="19" spans="2:39" ht="14.25" customHeight="1">
      <c r="B19" s="39" t="s">
        <v>23</v>
      </c>
      <c r="C19" s="155">
        <v>1138.9486030699998</v>
      </c>
      <c r="D19" s="30">
        <v>1021.0784000000001</v>
      </c>
      <c r="E19" s="30">
        <v>1101.6992299999999</v>
      </c>
      <c r="F19" s="30">
        <v>1061.17</v>
      </c>
      <c r="G19" s="30">
        <v>1112.1121814799999</v>
      </c>
      <c r="H19" s="30">
        <v>888.78944065000007</v>
      </c>
      <c r="I19" s="30">
        <v>928.38598292999984</v>
      </c>
      <c r="J19" s="30">
        <v>1007.4615580699999</v>
      </c>
      <c r="K19" s="30">
        <v>1082.0003480000003</v>
      </c>
      <c r="L19" s="30">
        <v>1271.0377869999998</v>
      </c>
      <c r="M19" s="30">
        <v>864.13029015000029</v>
      </c>
      <c r="N19" s="30">
        <v>929.56</v>
      </c>
      <c r="O19" s="30">
        <v>993.72</v>
      </c>
      <c r="P19" s="30">
        <v>863.8</v>
      </c>
      <c r="Q19" s="38">
        <v>959</v>
      </c>
      <c r="R19" s="38">
        <v>923.4</v>
      </c>
      <c r="S19" s="38">
        <v>841.3</v>
      </c>
      <c r="T19" s="38">
        <v>772.6</v>
      </c>
      <c r="U19" s="38">
        <v>813.5</v>
      </c>
      <c r="V19" s="38">
        <v>805</v>
      </c>
      <c r="W19" s="38">
        <v>568.6</v>
      </c>
      <c r="X19" s="38">
        <v>464</v>
      </c>
      <c r="Y19" s="239"/>
      <c r="Z19" s="239"/>
      <c r="AA19" s="239"/>
      <c r="AB19" s="239"/>
      <c r="AC19" s="239"/>
      <c r="AD19" s="239"/>
      <c r="AE19" s="239"/>
      <c r="AF19" s="239"/>
      <c r="AG19" s="239"/>
      <c r="AH19" s="239"/>
      <c r="AI19" s="239"/>
      <c r="AJ19" s="239"/>
      <c r="AK19" s="239"/>
      <c r="AL19" s="239"/>
      <c r="AM19" s="239"/>
    </row>
    <row r="20" spans="2:39" ht="14.25" customHeight="1">
      <c r="B20" s="36" t="s">
        <v>24</v>
      </c>
      <c r="C20" s="149">
        <v>283.02917558000001</v>
      </c>
      <c r="D20" s="30">
        <v>284.39120000000003</v>
      </c>
      <c r="E20" s="30">
        <v>284.82839999999999</v>
      </c>
      <c r="F20" s="30">
        <v>269.26</v>
      </c>
      <c r="G20" s="30">
        <v>254.70243776999996</v>
      </c>
      <c r="H20" s="30">
        <v>274.48972700000002</v>
      </c>
      <c r="I20" s="30">
        <v>274.18151510999996</v>
      </c>
      <c r="J20" s="30">
        <v>266.54262888999995</v>
      </c>
      <c r="K20" s="30">
        <v>267.35213229999999</v>
      </c>
      <c r="L20" s="30">
        <v>289.6442237</v>
      </c>
      <c r="M20" s="30">
        <v>286.04699999999991</v>
      </c>
      <c r="N20" s="30">
        <v>259.49</v>
      </c>
      <c r="O20" s="30">
        <v>246.94</v>
      </c>
      <c r="P20" s="30">
        <v>257.8</v>
      </c>
      <c r="Q20" s="30">
        <v>308</v>
      </c>
      <c r="R20" s="30">
        <v>233.2</v>
      </c>
      <c r="S20" s="30">
        <v>236.6</v>
      </c>
      <c r="T20" s="30">
        <v>232.5</v>
      </c>
      <c r="U20" s="30">
        <v>253.5</v>
      </c>
      <c r="V20" s="30">
        <v>27</v>
      </c>
      <c r="W20" s="30">
        <v>145</v>
      </c>
      <c r="X20" s="30">
        <v>148.1</v>
      </c>
      <c r="Y20" s="239"/>
      <c r="Z20" s="239"/>
      <c r="AA20" s="239"/>
      <c r="AB20" s="239"/>
      <c r="AC20" s="239"/>
      <c r="AD20" s="239"/>
      <c r="AE20" s="239"/>
      <c r="AF20" s="239"/>
      <c r="AG20" s="239"/>
      <c r="AH20" s="239"/>
      <c r="AI20" s="239"/>
      <c r="AJ20" s="239"/>
      <c r="AK20" s="239"/>
      <c r="AL20" s="239"/>
      <c r="AM20" s="239"/>
    </row>
    <row r="21" spans="2:39" ht="14.25" customHeight="1">
      <c r="B21" s="37" t="s">
        <v>25</v>
      </c>
      <c r="C21" s="149">
        <v>30.262111280000003</v>
      </c>
      <c r="D21" s="30">
        <v>30.808</v>
      </c>
      <c r="E21" s="30">
        <v>32.717759999999998</v>
      </c>
      <c r="F21" s="30">
        <v>32.700000000000003</v>
      </c>
      <c r="G21" s="30">
        <v>31.770954060000001</v>
      </c>
      <c r="H21" s="30">
        <v>34.499590939999997</v>
      </c>
      <c r="I21" s="30">
        <v>32.223097900000013</v>
      </c>
      <c r="J21" s="30">
        <v>29.826711099999983</v>
      </c>
      <c r="K21" s="30">
        <v>33.348470000000006</v>
      </c>
      <c r="L21" s="30">
        <v>35.541224</v>
      </c>
      <c r="M21" s="30">
        <v>23.057108999999997</v>
      </c>
      <c r="N21" s="30">
        <v>24.36</v>
      </c>
      <c r="O21" s="30">
        <v>31.89</v>
      </c>
      <c r="P21" s="30">
        <v>23.2</v>
      </c>
      <c r="Q21" s="30">
        <v>22</v>
      </c>
      <c r="R21" s="30">
        <v>20.7</v>
      </c>
      <c r="S21" s="30">
        <v>20.8</v>
      </c>
      <c r="T21" s="30">
        <v>20.5</v>
      </c>
      <c r="U21" s="30">
        <v>21.9</v>
      </c>
      <c r="V21" s="30">
        <v>19</v>
      </c>
      <c r="W21" s="30">
        <v>12</v>
      </c>
      <c r="X21" s="30">
        <v>11</v>
      </c>
      <c r="Y21" s="239"/>
      <c r="Z21" s="239"/>
      <c r="AA21" s="239"/>
      <c r="AB21" s="239"/>
      <c r="AC21" s="239"/>
      <c r="AD21" s="239"/>
      <c r="AE21" s="239"/>
      <c r="AF21" s="239"/>
      <c r="AG21" s="239"/>
      <c r="AH21" s="239"/>
      <c r="AI21" s="239"/>
      <c r="AJ21" s="239"/>
      <c r="AK21" s="239"/>
      <c r="AL21" s="239"/>
      <c r="AM21" s="239"/>
    </row>
    <row r="22" spans="2:39" ht="14.25" customHeight="1">
      <c r="B22" s="31" t="s">
        <v>26</v>
      </c>
      <c r="C22" s="152">
        <v>178.26430668</v>
      </c>
      <c r="D22" s="32">
        <v>169.65539999999999</v>
      </c>
      <c r="E22" s="32">
        <v>185.98228</v>
      </c>
      <c r="F22" s="32">
        <v>163.34</v>
      </c>
      <c r="G22" s="32">
        <v>160.40393280999999</v>
      </c>
      <c r="H22" s="32">
        <v>177.54022799999998</v>
      </c>
      <c r="I22" s="32">
        <v>183.28411119999998</v>
      </c>
      <c r="J22" s="32">
        <v>161.08322880000003</v>
      </c>
      <c r="K22" s="32">
        <v>188.64923399999995</v>
      </c>
      <c r="L22" s="32">
        <v>168.521896</v>
      </c>
      <c r="M22" s="32">
        <v>196.91610200000002</v>
      </c>
      <c r="N22" s="32">
        <v>173.12</v>
      </c>
      <c r="O22" s="32">
        <v>189.56</v>
      </c>
      <c r="P22" s="32">
        <v>168.5</v>
      </c>
      <c r="Q22" s="32">
        <v>220</v>
      </c>
      <c r="R22" s="32">
        <v>178.9</v>
      </c>
      <c r="S22" s="32">
        <v>220.8</v>
      </c>
      <c r="T22" s="32">
        <v>184.3</v>
      </c>
      <c r="U22" s="32">
        <v>201.2</v>
      </c>
      <c r="V22" s="32">
        <v>168</v>
      </c>
      <c r="W22" s="32">
        <v>102</v>
      </c>
      <c r="X22" s="32">
        <v>93.7</v>
      </c>
      <c r="Y22" s="239"/>
      <c r="Z22" s="239"/>
      <c r="AA22" s="239"/>
      <c r="AB22" s="239"/>
      <c r="AC22" s="239"/>
      <c r="AD22" s="239"/>
      <c r="AE22" s="239"/>
      <c r="AF22" s="239"/>
      <c r="AG22" s="239"/>
      <c r="AH22" s="239"/>
      <c r="AI22" s="239"/>
      <c r="AJ22" s="239"/>
      <c r="AK22" s="239"/>
      <c r="AL22" s="239"/>
      <c r="AM22" s="239"/>
    </row>
    <row r="23" spans="2:39" ht="14.25" customHeight="1">
      <c r="B23" s="33" t="s">
        <v>27</v>
      </c>
      <c r="C23" s="154">
        <v>491.55559354000002</v>
      </c>
      <c r="D23" s="38">
        <v>484.8546</v>
      </c>
      <c r="E23" s="38">
        <v>503.52843999999999</v>
      </c>
      <c r="F23" s="38">
        <v>465.3</v>
      </c>
      <c r="G23" s="38">
        <v>446.87732463999998</v>
      </c>
      <c r="H23" s="38">
        <v>486.52954594000005</v>
      </c>
      <c r="I23" s="38">
        <v>489.68872420999998</v>
      </c>
      <c r="J23" s="38">
        <v>457.45256878999999</v>
      </c>
      <c r="K23" s="38">
        <v>489.34983629999999</v>
      </c>
      <c r="L23" s="38">
        <v>493.70734370000002</v>
      </c>
      <c r="M23" s="38">
        <v>506.0202109999999</v>
      </c>
      <c r="N23" s="38">
        <v>456.98</v>
      </c>
      <c r="O23" s="38">
        <v>468.39</v>
      </c>
      <c r="P23" s="38">
        <v>449.5</v>
      </c>
      <c r="Q23" s="35">
        <v>550</v>
      </c>
      <c r="R23" s="35">
        <v>432.8</v>
      </c>
      <c r="S23" s="35">
        <v>478.1</v>
      </c>
      <c r="T23" s="35">
        <v>437.3</v>
      </c>
      <c r="U23" s="35">
        <v>476.5</v>
      </c>
      <c r="V23" s="35">
        <v>214</v>
      </c>
      <c r="W23" s="35">
        <v>259</v>
      </c>
      <c r="X23" s="35">
        <v>252.8</v>
      </c>
      <c r="Y23" s="239"/>
      <c r="Z23" s="239"/>
      <c r="AA23" s="239"/>
      <c r="AB23" s="239"/>
      <c r="AC23" s="239"/>
      <c r="AD23" s="239"/>
      <c r="AE23" s="239"/>
      <c r="AF23" s="239"/>
      <c r="AG23" s="239"/>
      <c r="AH23" s="239"/>
      <c r="AI23" s="239"/>
      <c r="AJ23" s="239"/>
      <c r="AK23" s="239"/>
      <c r="AL23" s="239"/>
      <c r="AM23" s="239"/>
    </row>
    <row r="24" spans="2:39" ht="14.25" customHeight="1">
      <c r="B24" s="40" t="s">
        <v>28</v>
      </c>
      <c r="C24" s="155">
        <v>647.39300952999974</v>
      </c>
      <c r="D24" s="30">
        <v>536.2238000000001</v>
      </c>
      <c r="E24" s="30">
        <v>598.1707899999999</v>
      </c>
      <c r="F24" s="30">
        <v>595.87</v>
      </c>
      <c r="G24" s="30">
        <v>665.23485683999991</v>
      </c>
      <c r="H24" s="30">
        <v>402.25989471000003</v>
      </c>
      <c r="I24" s="30">
        <v>438.69725871999987</v>
      </c>
      <c r="J24" s="30">
        <v>550.00898927999992</v>
      </c>
      <c r="K24" s="30">
        <v>592.65051170000027</v>
      </c>
      <c r="L24" s="30">
        <v>777.33044329999973</v>
      </c>
      <c r="M24" s="30">
        <v>358.11007915000039</v>
      </c>
      <c r="N24" s="30">
        <v>472.58</v>
      </c>
      <c r="O24" s="30">
        <v>525.33000000000004</v>
      </c>
      <c r="P24" s="30">
        <v>414.3</v>
      </c>
      <c r="Q24" s="38">
        <v>409</v>
      </c>
      <c r="R24" s="38">
        <v>490.5</v>
      </c>
      <c r="S24" s="38">
        <v>363.1</v>
      </c>
      <c r="T24" s="38">
        <v>335.3</v>
      </c>
      <c r="U24" s="38">
        <v>336.9</v>
      </c>
      <c r="V24" s="38">
        <v>590</v>
      </c>
      <c r="W24" s="38">
        <v>309.60000000000002</v>
      </c>
      <c r="X24" s="38">
        <v>210.9</v>
      </c>
      <c r="Y24" s="239"/>
      <c r="Z24" s="239"/>
      <c r="AA24" s="239"/>
      <c r="AB24" s="239"/>
      <c r="AC24" s="239"/>
      <c r="AD24" s="239"/>
      <c r="AE24" s="239"/>
      <c r="AF24" s="239"/>
      <c r="AG24" s="239"/>
      <c r="AH24" s="239"/>
      <c r="AI24" s="239"/>
      <c r="AJ24" s="239"/>
      <c r="AK24" s="239"/>
      <c r="AL24" s="239"/>
      <c r="AM24" s="239"/>
    </row>
    <row r="25" spans="2:39" ht="14.25" customHeight="1">
      <c r="B25" s="31" t="s">
        <v>29</v>
      </c>
      <c r="C25" s="152">
        <v>10.752738110000003</v>
      </c>
      <c r="D25" s="32">
        <v>-17.5688</v>
      </c>
      <c r="E25" s="32">
        <v>1.16577</v>
      </c>
      <c r="F25" s="32">
        <v>46.61</v>
      </c>
      <c r="G25" s="32">
        <v>130.44631705999998</v>
      </c>
      <c r="H25" s="32">
        <v>151.43107330000001</v>
      </c>
      <c r="I25" s="32">
        <v>32.809047120000002</v>
      </c>
      <c r="J25" s="32">
        <v>24.456724880000003</v>
      </c>
      <c r="K25" s="32">
        <v>8.1164850000000008</v>
      </c>
      <c r="L25" s="32">
        <v>-32.898592000000001</v>
      </c>
      <c r="M25" s="32">
        <v>11.441641000000001</v>
      </c>
      <c r="N25" s="32">
        <v>11.93</v>
      </c>
      <c r="O25" s="32">
        <v>7.13</v>
      </c>
      <c r="P25" s="32">
        <v>4.8</v>
      </c>
      <c r="Q25" s="32">
        <v>-13</v>
      </c>
      <c r="R25" s="32">
        <v>14.5</v>
      </c>
      <c r="S25" s="32">
        <v>5.2</v>
      </c>
      <c r="T25" s="32">
        <v>-26.2</v>
      </c>
      <c r="U25" s="32">
        <v>42.6</v>
      </c>
      <c r="V25" s="32">
        <v>3</v>
      </c>
      <c r="W25" s="32">
        <v>20.2</v>
      </c>
      <c r="X25" s="32">
        <v>8.9</v>
      </c>
      <c r="Y25" s="239"/>
      <c r="Z25" s="239"/>
      <c r="AA25" s="239"/>
      <c r="AB25" s="239"/>
      <c r="AC25" s="239"/>
      <c r="AD25" s="239"/>
      <c r="AE25" s="239"/>
      <c r="AF25" s="239"/>
      <c r="AG25" s="239"/>
      <c r="AH25" s="239"/>
      <c r="AI25" s="239"/>
      <c r="AJ25" s="239"/>
      <c r="AK25" s="239"/>
      <c r="AL25" s="239"/>
      <c r="AM25" s="239"/>
    </row>
    <row r="26" spans="2:39" ht="14.25" customHeight="1">
      <c r="B26" s="33" t="s">
        <v>30</v>
      </c>
      <c r="C26" s="154">
        <v>636.64027141999975</v>
      </c>
      <c r="D26" s="38">
        <v>553.79260000000011</v>
      </c>
      <c r="E26" s="38">
        <v>597.00501999999994</v>
      </c>
      <c r="F26" s="38">
        <v>549.26</v>
      </c>
      <c r="G26" s="38">
        <v>534.78853977999995</v>
      </c>
      <c r="H26" s="38">
        <v>250.82882141000002</v>
      </c>
      <c r="I26" s="38">
        <v>405.88821159999986</v>
      </c>
      <c r="J26" s="38">
        <v>525.5522643999999</v>
      </c>
      <c r="K26" s="38">
        <v>584.53402670000025</v>
      </c>
      <c r="L26" s="38">
        <v>810.22903529999974</v>
      </c>
      <c r="M26" s="38">
        <v>346.66843815000038</v>
      </c>
      <c r="N26" s="38">
        <v>460.65</v>
      </c>
      <c r="O26" s="38">
        <v>518.20000000000005</v>
      </c>
      <c r="P26" s="38">
        <v>409.5</v>
      </c>
      <c r="Q26" s="35">
        <v>422</v>
      </c>
      <c r="R26" s="35">
        <v>476</v>
      </c>
      <c r="S26" s="35">
        <v>357.9</v>
      </c>
      <c r="T26" s="35">
        <v>361.4</v>
      </c>
      <c r="U26" s="35">
        <v>294.39999999999998</v>
      </c>
      <c r="V26" s="35">
        <v>587</v>
      </c>
      <c r="W26" s="35">
        <v>289.39999999999998</v>
      </c>
      <c r="X26" s="35">
        <v>202</v>
      </c>
      <c r="Y26" s="239"/>
      <c r="Z26" s="239"/>
      <c r="AA26" s="239"/>
      <c r="AB26" s="239"/>
      <c r="AC26" s="239"/>
      <c r="AD26" s="239"/>
      <c r="AE26" s="239"/>
      <c r="AF26" s="239"/>
      <c r="AG26" s="239"/>
      <c r="AH26" s="239"/>
      <c r="AI26" s="239"/>
      <c r="AJ26" s="239"/>
      <c r="AK26" s="239"/>
      <c r="AL26" s="239"/>
      <c r="AM26" s="239"/>
    </row>
    <row r="27" spans="2:39" ht="14.25" customHeight="1">
      <c r="B27" s="31" t="s">
        <v>31</v>
      </c>
      <c r="C27" s="156">
        <v>120.68237317000001</v>
      </c>
      <c r="D27" s="32">
        <v>114.4563</v>
      </c>
      <c r="E27" s="32">
        <v>130.66854000000001</v>
      </c>
      <c r="F27" s="32">
        <v>111.36</v>
      </c>
      <c r="G27" s="32">
        <v>96.934554640000002</v>
      </c>
      <c r="H27" s="32">
        <v>-15.58609452</v>
      </c>
      <c r="I27" s="32">
        <v>114.40143475999997</v>
      </c>
      <c r="J27" s="32">
        <v>116.26784424000002</v>
      </c>
      <c r="K27" s="32">
        <v>113.70849100000001</v>
      </c>
      <c r="L27" s="32">
        <v>53.659356000000002</v>
      </c>
      <c r="M27" s="32">
        <v>24.860299999999995</v>
      </c>
      <c r="N27" s="32">
        <v>98.98</v>
      </c>
      <c r="O27" s="32">
        <v>102.05</v>
      </c>
      <c r="P27" s="32">
        <v>95.6</v>
      </c>
      <c r="Q27" s="41">
        <v>85</v>
      </c>
      <c r="R27" s="41">
        <v>99.2</v>
      </c>
      <c r="S27" s="41">
        <v>83.9</v>
      </c>
      <c r="T27" s="41">
        <v>87.6</v>
      </c>
      <c r="U27" s="41">
        <v>13.5</v>
      </c>
      <c r="V27" s="41">
        <v>163</v>
      </c>
      <c r="W27" s="41">
        <v>62.2</v>
      </c>
      <c r="X27" s="41">
        <v>33</v>
      </c>
      <c r="Y27" s="239"/>
      <c r="Z27" s="239"/>
      <c r="AA27" s="239"/>
      <c r="AB27" s="239"/>
      <c r="AC27" s="239"/>
      <c r="AD27" s="239"/>
      <c r="AE27" s="239"/>
      <c r="AF27" s="239"/>
      <c r="AG27" s="239"/>
      <c r="AH27" s="239"/>
      <c r="AI27" s="239"/>
      <c r="AJ27" s="239"/>
      <c r="AK27" s="239"/>
      <c r="AL27" s="239"/>
      <c r="AM27" s="239"/>
    </row>
    <row r="28" spans="2:39" ht="14.25" customHeight="1">
      <c r="B28" s="42" t="s">
        <v>32</v>
      </c>
      <c r="C28" s="157">
        <v>515.95789824999974</v>
      </c>
      <c r="D28" s="43">
        <v>439.33630000000011</v>
      </c>
      <c r="E28" s="43">
        <v>466.33647999999994</v>
      </c>
      <c r="F28" s="43">
        <v>437.9</v>
      </c>
      <c r="G28" s="43">
        <v>437.85398513999996</v>
      </c>
      <c r="H28" s="43">
        <v>266.41491593000001</v>
      </c>
      <c r="I28" s="43">
        <v>291.48677683999989</v>
      </c>
      <c r="J28" s="43">
        <v>409.28442015999985</v>
      </c>
      <c r="K28" s="43">
        <v>470.82553570000027</v>
      </c>
      <c r="L28" s="43">
        <v>756.56967929999973</v>
      </c>
      <c r="M28" s="43">
        <v>321.80813815000039</v>
      </c>
      <c r="N28" s="43">
        <v>361.67</v>
      </c>
      <c r="O28" s="43">
        <v>416.15</v>
      </c>
      <c r="P28" s="43">
        <v>313.89999999999998</v>
      </c>
      <c r="Q28" s="44">
        <v>337</v>
      </c>
      <c r="R28" s="44">
        <v>376.8</v>
      </c>
      <c r="S28" s="44">
        <v>274</v>
      </c>
      <c r="T28" s="44">
        <v>273.89999999999998</v>
      </c>
      <c r="U28" s="44">
        <v>280.8</v>
      </c>
      <c r="V28" s="44">
        <v>424</v>
      </c>
      <c r="W28" s="44">
        <v>227.2</v>
      </c>
      <c r="X28" s="44">
        <v>169</v>
      </c>
      <c r="Y28" s="239"/>
      <c r="Z28" s="239"/>
      <c r="AA28" s="239"/>
      <c r="AB28" s="239"/>
      <c r="AC28" s="239"/>
      <c r="AD28" s="239"/>
      <c r="AE28" s="239"/>
      <c r="AF28" s="239"/>
      <c r="AG28" s="239"/>
      <c r="AH28" s="239"/>
      <c r="AI28" s="239"/>
      <c r="AJ28" s="239"/>
      <c r="AK28" s="239"/>
      <c r="AL28" s="239"/>
      <c r="AM28" s="239"/>
    </row>
    <row r="29" spans="2:39" ht="14.25" customHeight="1">
      <c r="B29" s="45"/>
      <c r="C29" s="158"/>
      <c r="D29" s="46"/>
      <c r="E29" s="46"/>
      <c r="F29" s="46"/>
      <c r="G29" s="46"/>
      <c r="H29" s="46"/>
      <c r="I29" s="46"/>
      <c r="J29" s="46"/>
      <c r="K29" s="46"/>
      <c r="L29" s="46"/>
      <c r="M29" s="46"/>
      <c r="N29" s="46"/>
      <c r="O29" s="46"/>
      <c r="P29" s="46"/>
      <c r="Q29" s="46"/>
      <c r="R29" s="46"/>
      <c r="S29" s="46"/>
      <c r="T29" s="46"/>
      <c r="U29" s="47"/>
      <c r="V29" s="47"/>
      <c r="W29" s="47"/>
      <c r="X29" s="47"/>
      <c r="Y29" s="239"/>
      <c r="Z29" s="239"/>
    </row>
    <row r="30" spans="2:39" ht="14.25" customHeight="1">
      <c r="B30" s="45"/>
      <c r="C30" s="150" t="str">
        <f t="shared" ref="C30:E31" si="0">C6</f>
        <v>2Q</v>
      </c>
      <c r="D30" s="26" t="str">
        <f t="shared" si="0"/>
        <v>1Q</v>
      </c>
      <c r="E30" s="26" t="str">
        <f t="shared" si="0"/>
        <v>4Q</v>
      </c>
      <c r="F30" s="26" t="s">
        <v>288</v>
      </c>
      <c r="G30" s="26" t="str">
        <f>G6</f>
        <v>2Q</v>
      </c>
      <c r="H30" s="26" t="s">
        <v>290</v>
      </c>
      <c r="I30" s="26" t="s">
        <v>287</v>
      </c>
      <c r="J30" s="26" t="s">
        <v>288</v>
      </c>
      <c r="K30" s="26" t="s">
        <v>289</v>
      </c>
      <c r="L30" s="26" t="s">
        <v>290</v>
      </c>
      <c r="M30" s="26" t="s">
        <v>287</v>
      </c>
      <c r="N30" s="26" t="s">
        <v>288</v>
      </c>
      <c r="O30" s="26" t="s">
        <v>289</v>
      </c>
      <c r="P30" s="26" t="s">
        <v>290</v>
      </c>
      <c r="Q30" s="26" t="s">
        <v>287</v>
      </c>
      <c r="R30" s="26" t="s">
        <v>288</v>
      </c>
      <c r="S30" s="26" t="s">
        <v>289</v>
      </c>
      <c r="T30" s="26" t="s">
        <v>290</v>
      </c>
      <c r="U30" s="26" t="s">
        <v>287</v>
      </c>
      <c r="V30" s="26" t="s">
        <v>288</v>
      </c>
      <c r="W30" s="26" t="s">
        <v>289</v>
      </c>
      <c r="X30" s="26" t="s">
        <v>290</v>
      </c>
      <c r="Y30" s="239"/>
      <c r="Z30" s="239"/>
    </row>
    <row r="31" spans="2:39" ht="14.25" customHeight="1">
      <c r="B31" s="48"/>
      <c r="C31" s="404">
        <f t="shared" si="0"/>
        <v>2021</v>
      </c>
      <c r="D31" s="28">
        <f t="shared" si="0"/>
        <v>2021</v>
      </c>
      <c r="E31" s="28">
        <f t="shared" si="0"/>
        <v>2020</v>
      </c>
      <c r="F31" s="28">
        <v>2020</v>
      </c>
      <c r="G31" s="28">
        <f>G7</f>
        <v>2020</v>
      </c>
      <c r="H31" s="28">
        <v>2020</v>
      </c>
      <c r="I31" s="28">
        <v>2019</v>
      </c>
      <c r="J31" s="28">
        <v>2019</v>
      </c>
      <c r="K31" s="28">
        <v>2019</v>
      </c>
      <c r="L31" s="28">
        <v>2019</v>
      </c>
      <c r="M31" s="28">
        <v>2018</v>
      </c>
      <c r="N31" s="28">
        <v>2018</v>
      </c>
      <c r="O31" s="28">
        <v>2018</v>
      </c>
      <c r="P31" s="28">
        <v>2018</v>
      </c>
      <c r="Q31" s="28">
        <v>2017</v>
      </c>
      <c r="R31" s="28">
        <v>2017</v>
      </c>
      <c r="S31" s="28">
        <v>2017</v>
      </c>
      <c r="T31" s="28">
        <v>2017</v>
      </c>
      <c r="U31" s="28">
        <v>2016</v>
      </c>
      <c r="V31" s="28">
        <v>2016</v>
      </c>
      <c r="W31" s="28">
        <v>2016</v>
      </c>
      <c r="X31" s="28">
        <v>2016</v>
      </c>
      <c r="Y31" s="239"/>
      <c r="Z31" s="239"/>
    </row>
    <row r="32" spans="2:39" ht="14.25" customHeight="1">
      <c r="B32" s="49" t="s">
        <v>33</v>
      </c>
      <c r="C32" s="355"/>
      <c r="D32" s="50"/>
      <c r="E32" s="50"/>
      <c r="F32" s="50"/>
      <c r="G32" s="50"/>
      <c r="H32" s="50"/>
      <c r="I32" s="50"/>
      <c r="J32" s="50"/>
      <c r="K32" s="50"/>
      <c r="L32" s="50"/>
      <c r="M32" s="50"/>
      <c r="N32" s="50"/>
      <c r="O32" s="50"/>
      <c r="P32" s="50"/>
      <c r="Q32" s="50"/>
      <c r="R32" s="50"/>
      <c r="S32" s="50"/>
      <c r="T32" s="50"/>
      <c r="U32" s="50"/>
      <c r="V32" s="50"/>
      <c r="W32" s="50"/>
      <c r="X32" s="50"/>
      <c r="Y32" s="239"/>
      <c r="Z32" s="239"/>
    </row>
    <row r="33" spans="2:34" ht="14.25" customHeight="1">
      <c r="B33" s="51" t="s">
        <v>44</v>
      </c>
      <c r="C33" s="159">
        <v>0.12099796987572883</v>
      </c>
      <c r="D33" s="52">
        <v>0.10607723734774743</v>
      </c>
      <c r="E33" s="52">
        <v>0.11276961958403126</v>
      </c>
      <c r="F33" s="52">
        <v>0.1087</v>
      </c>
      <c r="G33" s="52">
        <v>0.11336661784950267</v>
      </c>
      <c r="H33" s="52">
        <v>6.8537182889276307E-2</v>
      </c>
      <c r="I33" s="52">
        <v>7.3290211125240062E-2</v>
      </c>
      <c r="J33" s="52">
        <v>0.10703313978547846</v>
      </c>
      <c r="K33" s="52">
        <v>0.12832723401509039</v>
      </c>
      <c r="L33" s="52">
        <v>0.21203709711880703</v>
      </c>
      <c r="M33" s="52">
        <v>9.0811885264778805E-2</v>
      </c>
      <c r="N33" s="52">
        <v>0.10774679608251708</v>
      </c>
      <c r="O33" s="52">
        <v>0.1292459749133735</v>
      </c>
      <c r="P33" s="52">
        <v>9.9000000000000005E-2</v>
      </c>
      <c r="Q33" s="52">
        <v>0.104</v>
      </c>
      <c r="R33" s="52">
        <v>0.11963768594542483</v>
      </c>
      <c r="S33" s="52">
        <v>8.9898277387968142E-2</v>
      </c>
      <c r="T33" s="52">
        <v>9.2999999999999999E-2</v>
      </c>
      <c r="U33" s="52">
        <v>9.6000000000000002E-2</v>
      </c>
      <c r="V33" s="52">
        <v>0.153</v>
      </c>
      <c r="W33" s="52">
        <v>9.1999999999999998E-2</v>
      </c>
      <c r="X33" s="52">
        <v>7.6999999999999999E-2</v>
      </c>
      <c r="Y33" s="239"/>
      <c r="Z33" s="239"/>
    </row>
    <row r="34" spans="2:34" ht="14.25" customHeight="1">
      <c r="B34" s="51" t="s">
        <v>45</v>
      </c>
      <c r="C34" s="160">
        <v>1.4426992635779914E-2</v>
      </c>
      <c r="D34" s="53">
        <v>1.4647652042419529E-2</v>
      </c>
      <c r="E34" s="53">
        <v>1.4812355949210472E-2</v>
      </c>
      <c r="F34" s="53">
        <v>1.44E-2</v>
      </c>
      <c r="G34" s="53">
        <v>1.3778899257049173E-2</v>
      </c>
      <c r="H34" s="53">
        <v>1.7178223871760628E-2</v>
      </c>
      <c r="I34" s="53">
        <v>1.7087571255849886E-2</v>
      </c>
      <c r="J34" s="53">
        <v>1.6445913599537627E-2</v>
      </c>
      <c r="K34" s="53">
        <v>1.6208759270006506E-2</v>
      </c>
      <c r="L34" s="53">
        <v>1.649204876408205E-2</v>
      </c>
      <c r="M34" s="53">
        <v>1.7643891844965856E-2</v>
      </c>
      <c r="N34" s="53">
        <v>1.725437806675021E-2</v>
      </c>
      <c r="O34" s="53">
        <v>1.7546095743363091E-2</v>
      </c>
      <c r="P34" s="53">
        <v>1.8100000000000002E-2</v>
      </c>
      <c r="Q34" s="53">
        <v>1.8499999999999999E-2</v>
      </c>
      <c r="R34" s="53">
        <v>1.8482305724621995E-2</v>
      </c>
      <c r="S34" s="53">
        <v>1.8816458079217023E-2</v>
      </c>
      <c r="T34" s="53">
        <v>1.8514002321617137E-2</v>
      </c>
      <c r="U34" s="53">
        <v>1.7871202954242278E-2</v>
      </c>
      <c r="V34" s="53">
        <v>1.7531074385281023E-2</v>
      </c>
      <c r="W34" s="53">
        <v>1.5269661810367211E-2</v>
      </c>
      <c r="X34" s="53">
        <v>2.085552428517521E-2</v>
      </c>
      <c r="Y34" s="239"/>
      <c r="Z34" s="239"/>
    </row>
    <row r="35" spans="2:34" ht="14.25" customHeight="1">
      <c r="B35" s="51" t="s">
        <v>46</v>
      </c>
      <c r="C35" s="159">
        <v>0.43158716048733675</v>
      </c>
      <c r="D35" s="52">
        <v>0.47484561420553012</v>
      </c>
      <c r="E35" s="52">
        <v>0.45704710168491269</v>
      </c>
      <c r="F35" s="52">
        <v>0.4385</v>
      </c>
      <c r="G35" s="52">
        <v>0.40182756027840216</v>
      </c>
      <c r="H35" s="52">
        <v>0.54740698267543042</v>
      </c>
      <c r="I35" s="52">
        <v>0.52746242749651939</v>
      </c>
      <c r="J35" s="52">
        <v>0.45406453985831935</v>
      </c>
      <c r="K35" s="52">
        <v>0.4522640285694251</v>
      </c>
      <c r="L35" s="52">
        <v>0.38842853355704376</v>
      </c>
      <c r="M35" s="52">
        <v>0.58558323526902667</v>
      </c>
      <c r="N35" s="52">
        <v>0.49160560668880687</v>
      </c>
      <c r="O35" s="52">
        <v>0.4764039777931286</v>
      </c>
      <c r="P35" s="52">
        <v>0.51967592592592593</v>
      </c>
      <c r="Q35" s="52">
        <v>0.57399999999999995</v>
      </c>
      <c r="R35" s="52">
        <v>0.46874258094775179</v>
      </c>
      <c r="S35" s="52">
        <v>0.56834671267374404</v>
      </c>
      <c r="T35" s="52">
        <v>0.56606069235100342</v>
      </c>
      <c r="U35" s="52">
        <v>0.58578992165698129</v>
      </c>
      <c r="V35" s="52">
        <v>0.26583850931677017</v>
      </c>
      <c r="W35" s="52">
        <v>0.45550474850510025</v>
      </c>
      <c r="X35" s="52">
        <v>0.5448158444861102</v>
      </c>
      <c r="Y35" s="239"/>
      <c r="Z35" s="239"/>
    </row>
    <row r="36" spans="2:34" ht="14.25" customHeight="1">
      <c r="B36" s="54" t="s">
        <v>319</v>
      </c>
      <c r="C36" s="161"/>
      <c r="D36" s="55"/>
      <c r="E36" s="55"/>
      <c r="F36" s="55"/>
      <c r="G36" s="55"/>
      <c r="H36" s="55"/>
      <c r="I36" s="55"/>
      <c r="J36" s="55"/>
      <c r="K36" s="55"/>
      <c r="L36" s="55"/>
      <c r="M36" s="55"/>
      <c r="N36" s="55"/>
      <c r="O36" s="55"/>
      <c r="P36" s="55"/>
      <c r="Q36" s="55"/>
      <c r="R36" s="55"/>
      <c r="S36" s="55"/>
      <c r="T36" s="55"/>
      <c r="U36" s="55"/>
      <c r="V36" s="55"/>
      <c r="W36" s="55"/>
      <c r="X36" s="55"/>
      <c r="Y36" s="239"/>
      <c r="Z36" s="239"/>
    </row>
    <row r="37" spans="2:34" ht="14.25" customHeight="1">
      <c r="B37" s="29" t="s">
        <v>34</v>
      </c>
      <c r="C37" s="149">
        <v>118131.69884341676</v>
      </c>
      <c r="D37" s="30">
        <v>114037.49212344014</v>
      </c>
      <c r="E37" s="30">
        <v>113368.40780000002</v>
      </c>
      <c r="F37" s="30">
        <v>113623.98480000001</v>
      </c>
      <c r="G37" s="30">
        <v>112381.12907763624</v>
      </c>
      <c r="H37" s="30">
        <v>108810.93195658</v>
      </c>
      <c r="I37" s="30">
        <v>107035.45492119202</v>
      </c>
      <c r="J37" s="30">
        <v>104037.30788707999</v>
      </c>
      <c r="K37" s="30">
        <v>101668.24776078029</v>
      </c>
      <c r="L37" s="30">
        <v>98744.151407699988</v>
      </c>
      <c r="M37" s="30">
        <v>98940.269777329799</v>
      </c>
      <c r="N37" s="30">
        <v>98258.985487460028</v>
      </c>
      <c r="O37" s="30">
        <v>96039.576516000001</v>
      </c>
      <c r="P37" s="30">
        <v>92817.744119980198</v>
      </c>
      <c r="Q37" s="30">
        <v>90460</v>
      </c>
      <c r="R37" s="56">
        <v>88945.039514610005</v>
      </c>
      <c r="S37" s="56">
        <v>87527.837190519887</v>
      </c>
      <c r="T37" s="56">
        <v>84901.425799999997</v>
      </c>
      <c r="U37" s="56">
        <v>82944.802144999994</v>
      </c>
      <c r="V37" s="56">
        <v>81336</v>
      </c>
      <c r="W37" s="56">
        <v>79286</v>
      </c>
      <c r="X37" s="56">
        <v>44308</v>
      </c>
      <c r="Y37" s="239"/>
      <c r="Z37" s="239"/>
      <c r="AA37" s="239"/>
      <c r="AB37" s="239"/>
      <c r="AC37" s="239"/>
      <c r="AD37" s="239"/>
      <c r="AE37" s="239"/>
      <c r="AF37" s="239"/>
      <c r="AG37" s="239"/>
      <c r="AH37" s="239"/>
    </row>
    <row r="38" spans="2:34" ht="14.25" customHeight="1">
      <c r="B38" s="29" t="s">
        <v>47</v>
      </c>
      <c r="C38" s="149">
        <v>167290.09909082673</v>
      </c>
      <c r="D38" s="30">
        <v>162567.03839951014</v>
      </c>
      <c r="E38" s="30">
        <v>161258.65030000001</v>
      </c>
      <c r="F38" s="30">
        <v>160992.7836</v>
      </c>
      <c r="G38" s="30">
        <v>157956.06740085623</v>
      </c>
      <c r="H38" s="30">
        <v>153845.74316593996</v>
      </c>
      <c r="I38" s="30">
        <v>150688.15955793203</v>
      </c>
      <c r="J38" s="30">
        <v>147309.94290146002</v>
      </c>
      <c r="K38" s="30">
        <v>144336.62376078026</v>
      </c>
      <c r="L38" s="30">
        <v>141078.62044130999</v>
      </c>
      <c r="M38" s="30">
        <v>140165.15885532982</v>
      </c>
      <c r="N38" s="30">
        <v>138152.57848746004</v>
      </c>
      <c r="O38" s="30">
        <v>135494.81651599999</v>
      </c>
      <c r="P38" s="30">
        <v>132432.8281199802</v>
      </c>
      <c r="Q38" s="30">
        <v>129535</v>
      </c>
      <c r="R38" s="56">
        <v>126919.03735160999</v>
      </c>
      <c r="S38" s="56">
        <v>124393.18279451989</v>
      </c>
      <c r="T38" s="56">
        <v>121701.41232999999</v>
      </c>
      <c r="U38" s="56">
        <v>119450.07671999998</v>
      </c>
      <c r="V38" s="56">
        <v>117625</v>
      </c>
      <c r="W38" s="56">
        <v>115224</v>
      </c>
      <c r="X38" s="56">
        <v>62156</v>
      </c>
      <c r="Y38" s="239"/>
      <c r="Z38" s="239"/>
      <c r="AA38" s="239"/>
      <c r="AB38" s="239"/>
      <c r="AC38" s="239"/>
      <c r="AD38" s="239"/>
      <c r="AE38" s="239"/>
      <c r="AF38" s="239"/>
      <c r="AG38" s="239"/>
      <c r="AH38" s="239"/>
    </row>
    <row r="39" spans="2:34" ht="14.25" customHeight="1">
      <c r="B39" s="29" t="s">
        <v>48</v>
      </c>
      <c r="C39" s="162">
        <v>5.1170243732004586E-2</v>
      </c>
      <c r="D39" s="57">
        <v>4.8033410548728284E-2</v>
      </c>
      <c r="E39" s="57">
        <v>5.9170952007556843E-2</v>
      </c>
      <c r="F39" s="57">
        <v>9.2100000000000001E-2</v>
      </c>
      <c r="G39" s="57">
        <v>0.10536960144140514</v>
      </c>
      <c r="H39" s="57">
        <v>0.10194811951257508</v>
      </c>
      <c r="I39" s="57">
        <v>8.1818911168130615E-2</v>
      </c>
      <c r="J39" s="57">
        <v>5.8807063506241937E-2</v>
      </c>
      <c r="K39" s="57">
        <v>5.860819240917424E-2</v>
      </c>
      <c r="L39" s="57">
        <v>6.3849938865774003E-2</v>
      </c>
      <c r="M39" s="57">
        <v>9.3744280600519717E-2</v>
      </c>
      <c r="N39" s="57">
        <v>0.10471574383099942</v>
      </c>
      <c r="O39" s="57">
        <v>9.7246083059870439E-2</v>
      </c>
      <c r="P39" s="57">
        <v>9.2999999999999999E-2</v>
      </c>
      <c r="Q39" s="57">
        <v>9.0999999999999998E-2</v>
      </c>
      <c r="R39" s="58">
        <v>9.3550697287916859E-2</v>
      </c>
      <c r="S39" s="58">
        <v>0.10395072510304325</v>
      </c>
      <c r="T39" s="58">
        <v>0.91618632962816671</v>
      </c>
      <c r="U39" s="58">
        <v>0.8946184016550337</v>
      </c>
      <c r="V39" s="58">
        <v>0.90100000000000002</v>
      </c>
      <c r="W39" s="58">
        <v>0.88400000000000001</v>
      </c>
      <c r="X39" s="58">
        <v>9.4E-2</v>
      </c>
      <c r="Y39" s="239"/>
      <c r="Z39" s="239"/>
      <c r="AA39" s="239"/>
      <c r="AB39" s="239"/>
      <c r="AC39" s="239"/>
      <c r="AD39" s="239"/>
      <c r="AE39" s="239"/>
      <c r="AF39" s="239"/>
      <c r="AG39" s="239"/>
      <c r="AH39" s="239"/>
    </row>
    <row r="40" spans="2:34" ht="14.25" customHeight="1">
      <c r="B40" s="29" t="s">
        <v>49</v>
      </c>
      <c r="C40" s="162">
        <v>5.9092580890120941E-2</v>
      </c>
      <c r="D40" s="57">
        <v>5.668857034388846E-2</v>
      </c>
      <c r="E40" s="57">
        <v>7.0151051489420926E-2</v>
      </c>
      <c r="F40" s="57">
        <v>9.2899999999999996E-2</v>
      </c>
      <c r="G40" s="57">
        <v>9.4357938691501733E-2</v>
      </c>
      <c r="H40" s="57">
        <v>9.0496509568161035E-2</v>
      </c>
      <c r="I40" s="57">
        <v>7.5075723443251863E-2</v>
      </c>
      <c r="J40" s="57">
        <v>6.6284426351341574E-2</v>
      </c>
      <c r="K40" s="57">
        <v>6.5279530717618911E-2</v>
      </c>
      <c r="L40" s="57">
        <v>6.5284359203572701E-2</v>
      </c>
      <c r="M40" s="57">
        <v>8.206336534118619E-2</v>
      </c>
      <c r="N40" s="57">
        <v>8.850818467763745E-2</v>
      </c>
      <c r="O40" s="57">
        <v>8.9246319388888426E-2</v>
      </c>
      <c r="P40" s="57">
        <v>8.7999999999999995E-2</v>
      </c>
      <c r="Q40" s="57">
        <v>8.4000000000000005E-2</v>
      </c>
      <c r="R40" s="58">
        <v>7.9014132638554668E-2</v>
      </c>
      <c r="S40" s="58">
        <v>7.9577022100603079E-2</v>
      </c>
      <c r="T40" s="58">
        <v>0.95798997575466982</v>
      </c>
      <c r="U40" s="58">
        <v>0.95371404514229607</v>
      </c>
      <c r="V40" s="58">
        <v>0.999</v>
      </c>
      <c r="W40" s="58">
        <v>0.98699999999999999</v>
      </c>
      <c r="X40" s="58">
        <v>9.8000000000000004E-2</v>
      </c>
      <c r="Y40" s="239"/>
      <c r="Z40" s="239"/>
      <c r="AA40" s="239"/>
      <c r="AB40" s="239"/>
      <c r="AC40" s="239"/>
      <c r="AD40" s="239"/>
      <c r="AE40" s="239"/>
      <c r="AF40" s="239"/>
      <c r="AG40" s="239"/>
      <c r="AH40" s="239"/>
    </row>
    <row r="41" spans="2:34" ht="14.25" customHeight="1">
      <c r="B41" s="29" t="s">
        <v>320</v>
      </c>
      <c r="C41" s="162">
        <v>3.5902286552784268E-2</v>
      </c>
      <c r="D41" s="57">
        <v>5.9018586961236963E-3</v>
      </c>
      <c r="E41" s="57">
        <v>-2.2493226271711464E-3</v>
      </c>
      <c r="F41" s="57">
        <v>1.11E-2</v>
      </c>
      <c r="G41" s="57">
        <v>3.2811015004272859E-2</v>
      </c>
      <c r="H41" s="57">
        <v>1.6587746898401257E-2</v>
      </c>
      <c r="I41" s="57">
        <v>2.8817998994804528E-2</v>
      </c>
      <c r="J41" s="57">
        <v>2.330186836576531E-2</v>
      </c>
      <c r="K41" s="57">
        <v>2.9612856168130364E-2</v>
      </c>
      <c r="L41" s="57">
        <v>-1.9821895581160209E-3</v>
      </c>
      <c r="M41" s="57">
        <v>6.9335571346471614E-3</v>
      </c>
      <c r="N41" s="57">
        <v>2.31093165127636E-2</v>
      </c>
      <c r="O41" s="57">
        <v>3.4711384407868362E-2</v>
      </c>
      <c r="P41" s="57">
        <v>2.6063941189257145E-2</v>
      </c>
      <c r="Q41" s="57">
        <v>1.7032546094278178E-2</v>
      </c>
      <c r="R41" s="58">
        <v>1.6191446853705882E-2</v>
      </c>
      <c r="S41" s="58">
        <v>3.0934832551656521E-2</v>
      </c>
      <c r="T41" s="58">
        <v>2.3589466782734991E-2</v>
      </c>
      <c r="U41" s="58">
        <v>1.9779705726861385E-2</v>
      </c>
      <c r="V41" s="58">
        <v>2.5855762681936234E-2</v>
      </c>
      <c r="W41" s="58">
        <v>0.78942854563509979</v>
      </c>
      <c r="X41" s="58"/>
      <c r="Y41" s="239"/>
      <c r="Z41" s="239"/>
      <c r="AA41" s="239"/>
      <c r="AB41" s="239"/>
      <c r="AC41" s="239"/>
      <c r="AD41" s="239"/>
      <c r="AE41" s="239"/>
      <c r="AF41" s="239"/>
      <c r="AG41" s="239"/>
      <c r="AH41" s="239"/>
    </row>
    <row r="42" spans="2:34" ht="14.25" customHeight="1">
      <c r="B42" s="29" t="s">
        <v>321</v>
      </c>
      <c r="C42" s="162">
        <v>2.9053003227564655E-2</v>
      </c>
      <c r="D42" s="57">
        <v>8.1135994693992686E-3</v>
      </c>
      <c r="E42" s="57">
        <v>1.6514199832742271E-3</v>
      </c>
      <c r="F42" s="57">
        <v>1.9199999999999998E-2</v>
      </c>
      <c r="G42" s="57">
        <v>2.6717178846364487E-2</v>
      </c>
      <c r="H42" s="57">
        <v>2.0954424138374339E-2</v>
      </c>
      <c r="I42" s="57">
        <v>2.293271309413103E-2</v>
      </c>
      <c r="J42" s="57">
        <v>2.059989393688233E-2</v>
      </c>
      <c r="K42" s="57">
        <v>2.309352975864698E-2</v>
      </c>
      <c r="L42" s="57">
        <v>6.5170374252776497E-3</v>
      </c>
      <c r="M42" s="57">
        <v>1.4567808939248028E-2</v>
      </c>
      <c r="N42" s="57">
        <v>1.9615229864872408E-2</v>
      </c>
      <c r="O42" s="57">
        <v>2.3121067785743632E-2</v>
      </c>
      <c r="P42" s="57">
        <v>2.2371004901997171E-2</v>
      </c>
      <c r="Q42" s="57">
        <v>2.0611270798902126E-2</v>
      </c>
      <c r="R42" s="58">
        <v>2.0305409833129451E-2</v>
      </c>
      <c r="S42" s="58">
        <v>2.2117824378414142E-2</v>
      </c>
      <c r="T42" s="58">
        <v>1.8847502419586659E-2</v>
      </c>
      <c r="U42" s="58">
        <v>1.551606138150885E-2</v>
      </c>
      <c r="V42" s="58">
        <v>2.0837672707074928E-2</v>
      </c>
      <c r="W42" s="58">
        <v>0.85378724499646053</v>
      </c>
      <c r="X42" s="58"/>
      <c r="Y42" s="239"/>
      <c r="Z42" s="239"/>
      <c r="AA42" s="239"/>
      <c r="AB42" s="239"/>
      <c r="AC42" s="239"/>
      <c r="AD42" s="239"/>
      <c r="AE42" s="239"/>
      <c r="AF42" s="239"/>
      <c r="AG42" s="239"/>
      <c r="AH42" s="239"/>
    </row>
    <row r="43" spans="2:34" ht="14.25" customHeight="1">
      <c r="B43" s="29" t="s">
        <v>35</v>
      </c>
      <c r="C43" s="149">
        <v>92550.731135340044</v>
      </c>
      <c r="D43" s="30">
        <v>87476.178799999994</v>
      </c>
      <c r="E43" s="30">
        <v>85613.011799999993</v>
      </c>
      <c r="F43" s="30">
        <v>85495.609500000006</v>
      </c>
      <c r="G43" s="30">
        <v>85481.013749749996</v>
      </c>
      <c r="H43" s="30">
        <v>79901.205413660005</v>
      </c>
      <c r="I43" s="30">
        <v>78493.732629149992</v>
      </c>
      <c r="J43" s="30">
        <v>76866.417997609999</v>
      </c>
      <c r="K43" s="30">
        <v>77352.269637999998</v>
      </c>
      <c r="L43" s="30">
        <v>72377.261180020068</v>
      </c>
      <c r="M43" s="30">
        <v>71496.705265899989</v>
      </c>
      <c r="N43" s="30">
        <v>70251.127166959704</v>
      </c>
      <c r="O43" s="30">
        <v>70644.658796999996</v>
      </c>
      <c r="P43" s="30">
        <v>66109.582498999996</v>
      </c>
      <c r="Q43" s="30">
        <v>65985</v>
      </c>
      <c r="R43" s="56">
        <v>65267.820076999997</v>
      </c>
      <c r="S43" s="56">
        <v>66652.514345999996</v>
      </c>
      <c r="T43" s="56">
        <v>62781.777000000002</v>
      </c>
      <c r="U43" s="56">
        <v>63070.315360000001</v>
      </c>
      <c r="V43" s="56">
        <v>62107</v>
      </c>
      <c r="W43" s="56">
        <v>62637</v>
      </c>
      <c r="X43" s="56">
        <v>33675</v>
      </c>
      <c r="Y43" s="239"/>
      <c r="Z43" s="239"/>
      <c r="AA43" s="239"/>
      <c r="AB43" s="239"/>
      <c r="AC43" s="239"/>
      <c r="AD43" s="239"/>
      <c r="AE43" s="239"/>
      <c r="AF43" s="239"/>
      <c r="AG43" s="239"/>
      <c r="AH43" s="239"/>
    </row>
    <row r="44" spans="2:34" ht="14.25" customHeight="1">
      <c r="B44" s="29" t="s">
        <v>50</v>
      </c>
      <c r="C44" s="162">
        <v>0.78345382349927761</v>
      </c>
      <c r="D44" s="57">
        <v>0.76708262494330559</v>
      </c>
      <c r="E44" s="57">
        <v>0.75517521557712108</v>
      </c>
      <c r="F44" s="57">
        <v>0.75239999999999996</v>
      </c>
      <c r="G44" s="57">
        <v>0.76063494335154047</v>
      </c>
      <c r="H44" s="57">
        <v>0.73431229727490843</v>
      </c>
      <c r="I44" s="57">
        <v>0.7333432897252905</v>
      </c>
      <c r="J44" s="57">
        <v>0.73883513096128228</v>
      </c>
      <c r="K44" s="57">
        <v>0.76083016420235328</v>
      </c>
      <c r="L44" s="57">
        <v>0.73297770195203837</v>
      </c>
      <c r="M44" s="57">
        <v>0.72262492741132633</v>
      </c>
      <c r="N44" s="57">
        <v>0.71495880828044234</v>
      </c>
      <c r="O44" s="57">
        <v>0.71225155411603103</v>
      </c>
      <c r="P44" s="57">
        <v>0.71225155411603103</v>
      </c>
      <c r="Q44" s="57">
        <v>0.72899999999999998</v>
      </c>
      <c r="R44" s="58">
        <v>0.73379943876779308</v>
      </c>
      <c r="S44" s="58">
        <v>0.76150075776371529</v>
      </c>
      <c r="T44" s="58">
        <v>0.73946669809637056</v>
      </c>
      <c r="U44" s="58">
        <v>0.7603890024325286</v>
      </c>
      <c r="V44" s="58">
        <v>0.76400000000000001</v>
      </c>
      <c r="W44" s="58">
        <v>0.79</v>
      </c>
      <c r="X44" s="58">
        <v>0.76</v>
      </c>
      <c r="Y44" s="239"/>
      <c r="Z44" s="239"/>
      <c r="AA44" s="239"/>
      <c r="AB44" s="239"/>
      <c r="AC44" s="239"/>
      <c r="AD44" s="239"/>
      <c r="AE44" s="239"/>
      <c r="AF44" s="239"/>
      <c r="AG44" s="239"/>
      <c r="AH44" s="239"/>
    </row>
    <row r="45" spans="2:34" ht="14.25" customHeight="1">
      <c r="B45" s="29" t="s">
        <v>143</v>
      </c>
      <c r="C45" s="162">
        <v>0.5532349591417931</v>
      </c>
      <c r="D45" s="57">
        <v>0.53809295944130076</v>
      </c>
      <c r="E45" s="57">
        <v>0.53090492597283001</v>
      </c>
      <c r="F45" s="57">
        <v>0.53110000000000002</v>
      </c>
      <c r="G45" s="57">
        <v>0.54116954895324665</v>
      </c>
      <c r="H45" s="57">
        <v>0.51935922157740533</v>
      </c>
      <c r="I45" s="57">
        <v>0.52090179387301561</v>
      </c>
      <c r="J45" s="57">
        <v>0.52180060954221008</v>
      </c>
      <c r="K45" s="57">
        <v>0.53591574766361183</v>
      </c>
      <c r="L45" s="57">
        <v>0.51302784896546161</v>
      </c>
      <c r="M45" s="57">
        <v>0.51008899679338038</v>
      </c>
      <c r="N45" s="57">
        <v>0.50850391600426281</v>
      </c>
      <c r="O45" s="57">
        <v>0.52138274078298685</v>
      </c>
      <c r="P45" s="57">
        <v>0.49919331511297699</v>
      </c>
      <c r="Q45" s="57">
        <v>0.50939900413015782</v>
      </c>
      <c r="R45" s="58">
        <v>0.51424767662068993</v>
      </c>
      <c r="S45" s="58">
        <v>0.53582127933892176</v>
      </c>
      <c r="T45" s="58">
        <v>0.51586728369070856</v>
      </c>
      <c r="U45" s="58">
        <v>0.52800564965597796</v>
      </c>
      <c r="V45" s="58">
        <v>0.52800850159404888</v>
      </c>
      <c r="W45" s="58">
        <v>0.54361070610289519</v>
      </c>
      <c r="X45" s="58">
        <v>0.5417819679516056</v>
      </c>
      <c r="Y45" s="239"/>
      <c r="Z45" s="239"/>
      <c r="AA45" s="239"/>
      <c r="AB45" s="239"/>
      <c r="AC45" s="239"/>
      <c r="AD45" s="239"/>
      <c r="AE45" s="239"/>
      <c r="AF45" s="239"/>
      <c r="AG45" s="239"/>
      <c r="AH45" s="239"/>
    </row>
    <row r="46" spans="2:34" ht="14.25" customHeight="1">
      <c r="B46" s="29" t="s">
        <v>36</v>
      </c>
      <c r="C46" s="162">
        <v>8.2705118662806262E-2</v>
      </c>
      <c r="D46" s="57">
        <v>9.4804244155307346E-2</v>
      </c>
      <c r="E46" s="57">
        <v>9.0698695709702237E-2</v>
      </c>
      <c r="F46" s="57">
        <v>0.1123</v>
      </c>
      <c r="G46" s="57">
        <v>0.10508733809352479</v>
      </c>
      <c r="H46" s="57">
        <v>0.10395453089784698</v>
      </c>
      <c r="I46" s="57">
        <v>9.7865032202920282E-2</v>
      </c>
      <c r="J46" s="57">
        <v>9.4166330099278148E-2</v>
      </c>
      <c r="K46" s="57">
        <v>9.4949105780718204E-2</v>
      </c>
      <c r="L46" s="57">
        <v>9.4807415870685308E-2</v>
      </c>
      <c r="M46" s="57">
        <v>8.352268377296107E-2</v>
      </c>
      <c r="N46" s="57">
        <v>7.6348086683503888E-2</v>
      </c>
      <c r="O46" s="57">
        <v>5.9894881538547391E-2</v>
      </c>
      <c r="P46" s="57">
        <v>5.2999999999999999E-2</v>
      </c>
      <c r="Q46" s="57">
        <v>4.5999999999999999E-2</v>
      </c>
      <c r="R46" s="58">
        <v>5.0893137279211631E-2</v>
      </c>
      <c r="S46" s="58">
        <v>6.4107705445663049E-2</v>
      </c>
      <c r="T46" s="58">
        <v>0.86437146802476661</v>
      </c>
      <c r="U46" s="58">
        <v>0.8850480707270566</v>
      </c>
      <c r="V46" s="58">
        <v>0.879</v>
      </c>
      <c r="W46" s="58">
        <v>0.88600000000000001</v>
      </c>
      <c r="X46" s="58">
        <v>8.4000000000000005E-2</v>
      </c>
      <c r="Y46" s="239"/>
      <c r="Z46" s="239"/>
      <c r="AA46" s="239"/>
      <c r="AB46" s="239"/>
      <c r="AC46" s="239"/>
      <c r="AD46" s="239"/>
      <c r="AE46" s="239"/>
      <c r="AF46" s="239"/>
      <c r="AG46" s="239"/>
      <c r="AH46" s="239"/>
    </row>
    <row r="47" spans="2:34" ht="14.25" customHeight="1">
      <c r="B47" s="29" t="s">
        <v>322</v>
      </c>
      <c r="C47" s="162">
        <v>5.8010676791703242E-2</v>
      </c>
      <c r="D47" s="57">
        <v>2.1762661549070694E-2</v>
      </c>
      <c r="E47" s="57">
        <v>1.3731963621483878E-3</v>
      </c>
      <c r="F47" s="57">
        <v>2.0000000000000001E-4</v>
      </c>
      <c r="G47" s="57">
        <v>6.9833844273093471E-2</v>
      </c>
      <c r="H47" s="57">
        <v>1.7931021208530629E-2</v>
      </c>
      <c r="I47" s="57">
        <v>2.1170683816573721E-2</v>
      </c>
      <c r="J47" s="57">
        <v>-6.2810263055463889E-3</v>
      </c>
      <c r="K47" s="57">
        <v>6.8737174864987649E-2</v>
      </c>
      <c r="L47" s="57">
        <v>1.2316034855665681E-2</v>
      </c>
      <c r="M47" s="57">
        <v>1.773036461009414E-2</v>
      </c>
      <c r="N47" s="57">
        <v>-5.5705786784407962E-3</v>
      </c>
      <c r="O47" s="57">
        <v>6.8599378888356988E-2</v>
      </c>
      <c r="P47" s="57">
        <v>1.8880427218306295E-3</v>
      </c>
      <c r="Q47" s="57">
        <v>1.098826224246352E-2</v>
      </c>
      <c r="R47" s="58">
        <v>-2.0774824214611187E-2</v>
      </c>
      <c r="S47" s="58">
        <v>6.1653835411507929E-2</v>
      </c>
      <c r="T47" s="58">
        <v>-4.5748678812377319E-3</v>
      </c>
      <c r="U47" s="58">
        <v>1.5510576263545239E-2</v>
      </c>
      <c r="V47" s="58">
        <v>-8.4614524961285076E-3</v>
      </c>
      <c r="W47" s="58">
        <v>0.86004454342984404</v>
      </c>
      <c r="X47" s="58"/>
      <c r="Y47" s="239"/>
      <c r="Z47" s="239"/>
      <c r="AA47" s="239"/>
      <c r="AB47" s="239"/>
      <c r="AC47" s="239"/>
      <c r="AD47" s="239"/>
      <c r="AE47" s="239"/>
      <c r="AF47" s="239"/>
      <c r="AG47" s="239"/>
      <c r="AH47" s="239"/>
    </row>
    <row r="48" spans="2:34" ht="14.25" customHeight="1">
      <c r="B48" s="29" t="s">
        <v>37</v>
      </c>
      <c r="C48" s="149">
        <v>150658.33409875009</v>
      </c>
      <c r="D48" s="30">
        <v>148095.97199499997</v>
      </c>
      <c r="E48" s="30">
        <v>147485.97064999997</v>
      </c>
      <c r="F48" s="30">
        <v>148047.77230000001</v>
      </c>
      <c r="G48" s="30">
        <v>145391.54804133001</v>
      </c>
      <c r="H48" s="30">
        <v>139184.31537530507</v>
      </c>
      <c r="I48" s="30">
        <v>135675.52944625507</v>
      </c>
      <c r="J48" s="30">
        <v>133711.11239318002</v>
      </c>
      <c r="K48" s="30">
        <v>128572.82625616502</v>
      </c>
      <c r="L48" s="30">
        <v>124881.55941526202</v>
      </c>
      <c r="M48" s="30">
        <v>122395.22782376701</v>
      </c>
      <c r="N48" s="30">
        <v>120455.378623</v>
      </c>
      <c r="O48" s="30">
        <v>116840.040167</v>
      </c>
      <c r="P48" s="30">
        <v>111204.767137</v>
      </c>
      <c r="Q48" s="30">
        <v>107316</v>
      </c>
      <c r="R48" s="56">
        <v>106981.69634299999</v>
      </c>
      <c r="S48" s="56">
        <v>104756.56682800001</v>
      </c>
      <c r="T48" s="56">
        <v>101749</v>
      </c>
      <c r="U48" s="56">
        <v>100678.74</v>
      </c>
      <c r="V48" s="56">
        <v>100301.4</v>
      </c>
      <c r="W48" s="56">
        <v>79019</v>
      </c>
      <c r="X48" s="56">
        <v>56577.440000000002</v>
      </c>
      <c r="Y48" s="239"/>
      <c r="Z48" s="239"/>
      <c r="AA48" s="239"/>
      <c r="AB48" s="239"/>
      <c r="AC48" s="239"/>
      <c r="AD48" s="239"/>
      <c r="AE48" s="239"/>
      <c r="AF48" s="239"/>
      <c r="AG48" s="239"/>
      <c r="AH48" s="239"/>
    </row>
    <row r="49" spans="1:34" ht="14.25" customHeight="1">
      <c r="B49" s="29" t="s">
        <v>1</v>
      </c>
      <c r="C49" s="149">
        <v>155242.86618750019</v>
      </c>
      <c r="D49" s="30">
        <v>150118.14197999999</v>
      </c>
      <c r="E49" s="30">
        <v>146073.80200999998</v>
      </c>
      <c r="F49" s="30">
        <v>148898.13930000001</v>
      </c>
      <c r="G49" s="30">
        <v>147197.40538354</v>
      </c>
      <c r="H49" s="30">
        <v>143585.69069911999</v>
      </c>
      <c r="I49" s="30">
        <v>134782.94005149015</v>
      </c>
      <c r="J49" s="30">
        <v>136568.11884102001</v>
      </c>
      <c r="K49" s="30">
        <v>130854.10594534002</v>
      </c>
      <c r="L49" s="30">
        <v>126291.54656699001</v>
      </c>
      <c r="M49" s="30">
        <v>123471.57226353404</v>
      </c>
      <c r="N49" s="30">
        <v>121318.88338399999</v>
      </c>
      <c r="O49" s="30">
        <v>119591.872598</v>
      </c>
      <c r="P49" s="30">
        <v>114088.20773600001</v>
      </c>
      <c r="Q49" s="30">
        <v>108321</v>
      </c>
      <c r="R49" s="56">
        <v>106311.634504</v>
      </c>
      <c r="S49" s="56">
        <v>107652.02759400001</v>
      </c>
      <c r="T49" s="56">
        <v>101861.10500000003</v>
      </c>
      <c r="U49" s="56">
        <v>101639.928</v>
      </c>
      <c r="V49" s="56">
        <v>99720</v>
      </c>
      <c r="W49" s="56">
        <v>100883</v>
      </c>
      <c r="X49" s="56">
        <v>57185</v>
      </c>
      <c r="Y49" s="239"/>
      <c r="Z49" s="239"/>
      <c r="AA49" s="239"/>
      <c r="AB49" s="239"/>
      <c r="AC49" s="239"/>
      <c r="AD49" s="239"/>
      <c r="AE49" s="239"/>
      <c r="AF49" s="239"/>
      <c r="AG49" s="239"/>
      <c r="AH49" s="239"/>
    </row>
    <row r="50" spans="1:34" ht="14.25" customHeight="1">
      <c r="B50" s="59" t="s">
        <v>51</v>
      </c>
      <c r="C50" s="149">
        <v>204401.26643491015</v>
      </c>
      <c r="D50" s="30">
        <v>198647.68825606999</v>
      </c>
      <c r="E50" s="30">
        <v>193964.04450999998</v>
      </c>
      <c r="F50" s="30">
        <v>196266.9381</v>
      </c>
      <c r="G50" s="30">
        <v>192772.34370675997</v>
      </c>
      <c r="H50" s="30">
        <v>188620.50190847999</v>
      </c>
      <c r="I50" s="30">
        <v>178435.64468823015</v>
      </c>
      <c r="J50" s="30">
        <v>179840.75385540002</v>
      </c>
      <c r="K50" s="30">
        <v>173522.48194534</v>
      </c>
      <c r="L50" s="30">
        <v>168626.01560060002</v>
      </c>
      <c r="M50" s="30">
        <v>164696.46134153404</v>
      </c>
      <c r="N50" s="30">
        <v>161212.47638400001</v>
      </c>
      <c r="O50" s="30">
        <v>159047.11259800001</v>
      </c>
      <c r="P50" s="30">
        <v>153703</v>
      </c>
      <c r="Q50" s="30">
        <v>147396</v>
      </c>
      <c r="R50" s="56">
        <v>144285.63234099999</v>
      </c>
      <c r="S50" s="56">
        <v>144517.37319800002</v>
      </c>
      <c r="T50" s="56">
        <v>138661.09153000003</v>
      </c>
      <c r="U50" s="56">
        <v>138145.202575</v>
      </c>
      <c r="V50" s="56">
        <v>136009</v>
      </c>
      <c r="W50" s="56">
        <v>136821</v>
      </c>
      <c r="X50" s="56">
        <v>75033</v>
      </c>
      <c r="Y50" s="239"/>
      <c r="Z50" s="239"/>
      <c r="AA50" s="239"/>
      <c r="AB50" s="239"/>
      <c r="AC50" s="239"/>
      <c r="AD50" s="239"/>
      <c r="AE50" s="239"/>
      <c r="AF50" s="239"/>
      <c r="AG50" s="239"/>
      <c r="AH50" s="239"/>
    </row>
    <row r="51" spans="1:34" ht="14.25" customHeight="1">
      <c r="B51" s="54" t="s">
        <v>38</v>
      </c>
      <c r="C51" s="161"/>
      <c r="D51" s="55"/>
      <c r="E51" s="55"/>
      <c r="F51" s="55"/>
      <c r="G51" s="55"/>
      <c r="H51" s="55"/>
      <c r="I51" s="55"/>
      <c r="J51" s="55"/>
      <c r="K51" s="55"/>
      <c r="L51" s="55"/>
      <c r="M51" s="55"/>
      <c r="N51" s="55"/>
      <c r="O51" s="55"/>
      <c r="P51" s="55"/>
      <c r="Q51" s="55"/>
      <c r="R51" s="55"/>
      <c r="S51" s="55"/>
      <c r="T51" s="55"/>
      <c r="U51" s="55"/>
      <c r="V51" s="55"/>
      <c r="W51" s="55"/>
      <c r="X51" s="55"/>
      <c r="Y51" s="239"/>
      <c r="Z51" s="239"/>
    </row>
    <row r="52" spans="1:34" ht="16.5" customHeight="1">
      <c r="B52" s="60" t="s">
        <v>52</v>
      </c>
      <c r="C52" s="163">
        <v>3.6509349158196972E-4</v>
      </c>
      <c r="D52" s="61">
        <v>-6.2480543124640423E-4</v>
      </c>
      <c r="E52" s="61">
        <v>4.0908549955952037E-5</v>
      </c>
      <c r="F52" s="61">
        <v>1.6000000000000001E-3</v>
      </c>
      <c r="G52" s="61">
        <v>4.6685081789919654E-3</v>
      </c>
      <c r="H52" s="61">
        <v>5.597346228518982E-3</v>
      </c>
      <c r="I52" s="61">
        <v>1.2161047789600637E-3</v>
      </c>
      <c r="J52" s="61">
        <v>9.326404113325663E-4</v>
      </c>
      <c r="K52" s="61">
        <v>3.2020943470430961E-4</v>
      </c>
      <c r="L52" s="61">
        <v>-6.7186221750459459E-4</v>
      </c>
      <c r="M52" s="61">
        <v>4.5879667715713644E-4</v>
      </c>
      <c r="N52" s="61">
        <v>4.8168568507325727E-4</v>
      </c>
      <c r="O52" s="61">
        <v>9.5789346750926868E-5</v>
      </c>
      <c r="P52" s="61">
        <v>2.184687633817716E-4</v>
      </c>
      <c r="Q52" s="61">
        <v>-1E-3</v>
      </c>
      <c r="R52" s="62">
        <v>6.4676460584925388E-4</v>
      </c>
      <c r="S52" s="62">
        <v>2.4003537282928076E-4</v>
      </c>
      <c r="T52" s="62">
        <v>-1.249558258629124E-3</v>
      </c>
      <c r="U52" s="62">
        <v>2.0428415177094279E-3</v>
      </c>
      <c r="V52" s="62">
        <v>1.4673431947348839E-4</v>
      </c>
      <c r="W52" s="62">
        <v>1.0246948521044831E-3</v>
      </c>
      <c r="X52" s="62">
        <v>8.0788129447513751E-4</v>
      </c>
      <c r="Y52" s="239"/>
      <c r="Z52" s="239"/>
    </row>
    <row r="53" spans="1:34" ht="16.5" hidden="1" customHeight="1">
      <c r="B53" s="63" t="s">
        <v>53</v>
      </c>
      <c r="C53" s="163">
        <v>3.3350235699412803E-3</v>
      </c>
      <c r="D53" s="61">
        <v>2.8967490765442723E-3</v>
      </c>
      <c r="E53" s="61">
        <v>2.8830342274596184E-3</v>
      </c>
      <c r="F53" s="61">
        <v>3.5000000000000001E-3</v>
      </c>
      <c r="G53" s="61">
        <v>3.4776636274049823E-3</v>
      </c>
      <c r="H53" s="61">
        <v>4.3789717763848849E-3</v>
      </c>
      <c r="I53" s="61">
        <v>3.801424147723598E-3</v>
      </c>
      <c r="J53" s="61">
        <v>2.9439780807518972E-3</v>
      </c>
      <c r="K53" s="61">
        <v>3.3592002175899297E-3</v>
      </c>
      <c r="L53" s="61">
        <v>3.117075751951812E-3</v>
      </c>
      <c r="M53" s="61">
        <v>3.175549376478356E-3</v>
      </c>
      <c r="N53" s="61">
        <v>3.570966993596528E-3</v>
      </c>
      <c r="O53" s="61">
        <v>3.2658333405681636E-3</v>
      </c>
      <c r="P53" s="61">
        <v>2E-3</v>
      </c>
      <c r="Q53" s="61">
        <v>3.0000000000000001E-3</v>
      </c>
      <c r="R53" s="62">
        <v>3.193265093590142E-3</v>
      </c>
      <c r="S53" s="62">
        <v>2.9952836477535592E-3</v>
      </c>
      <c r="T53" s="62">
        <v>2.6147970768236497E-3</v>
      </c>
      <c r="U53" s="62">
        <v>2.6764787456109739E-3</v>
      </c>
      <c r="V53" s="62">
        <v>4.1310120979640014E-3</v>
      </c>
      <c r="W53" s="62">
        <v>6.3842303626377578E-2</v>
      </c>
      <c r="X53" s="62">
        <v>5.8680148054527396E-3</v>
      </c>
      <c r="Y53" s="239"/>
      <c r="Z53" s="239"/>
    </row>
    <row r="54" spans="1:34" ht="16.5" hidden="1" customHeight="1">
      <c r="B54" s="63" t="s">
        <v>54</v>
      </c>
      <c r="C54" s="162">
        <v>2.9474346463223122E-3</v>
      </c>
      <c r="D54" s="57">
        <v>3.4515315329272803E-3</v>
      </c>
      <c r="E54" s="57">
        <v>1.6560698314755725E-3</v>
      </c>
      <c r="F54" s="57">
        <v>4.3E-3</v>
      </c>
      <c r="G54" s="57">
        <v>3.3446415789285637E-3</v>
      </c>
      <c r="H54" s="57">
        <v>1.5905295543379697E-3</v>
      </c>
      <c r="I54" s="57">
        <v>7.8301499313202178E-4</v>
      </c>
      <c r="J54" s="57">
        <v>9.4893067693709704E-4</v>
      </c>
      <c r="K54" s="57">
        <v>1.0424001823004041E-3</v>
      </c>
      <c r="L54" s="57">
        <v>1.1255046341036622E-3</v>
      </c>
      <c r="M54" s="57">
        <v>1.3541549997946232E-3</v>
      </c>
      <c r="N54" s="57">
        <v>1.5393923542931752E-3</v>
      </c>
      <c r="O54" s="57">
        <v>2.2705061174824307E-3</v>
      </c>
      <c r="P54" s="57">
        <v>3.0000000000000001E-3</v>
      </c>
      <c r="Q54" s="57">
        <v>3.0000000000000001E-3</v>
      </c>
      <c r="R54" s="58">
        <v>2.8134463870679999E-3</v>
      </c>
      <c r="S54" s="58">
        <v>2.9986383123885461E-3</v>
      </c>
      <c r="T54" s="58">
        <v>2.9917047635730047E-3</v>
      </c>
      <c r="U54" s="58">
        <v>3.0622774837170603E-3</v>
      </c>
      <c r="V54" s="58">
        <v>2.7417133864463461E-3</v>
      </c>
      <c r="W54" s="58">
        <v>4.6112280775743083E-3</v>
      </c>
      <c r="X54" s="58">
        <v>4.9426740092082698E-3</v>
      </c>
      <c r="Y54" s="239"/>
      <c r="Z54" s="239"/>
    </row>
    <row r="55" spans="1:34" ht="16.5" hidden="1" customHeight="1">
      <c r="B55" s="63" t="s">
        <v>55</v>
      </c>
      <c r="C55" s="162">
        <v>5.259828378694536E-3</v>
      </c>
      <c r="D55" s="57">
        <v>5.3059479714358589E-3</v>
      </c>
      <c r="E55" s="57">
        <v>3.4309293704308337E-3</v>
      </c>
      <c r="F55" s="57">
        <v>5.8999999999999999E-3</v>
      </c>
      <c r="G55" s="57">
        <v>5.2509562578992733E-3</v>
      </c>
      <c r="H55" s="57">
        <v>5.1279038784692475E-3</v>
      </c>
      <c r="I55" s="57">
        <v>3.3749227698987292E-3</v>
      </c>
      <c r="J55" s="57">
        <v>3.1193417206857765E-3</v>
      </c>
      <c r="K55" s="57">
        <v>3.5471153279688652E-3</v>
      </c>
      <c r="L55" s="57">
        <v>3.4852190746880417E-3</v>
      </c>
      <c r="M55" s="57">
        <v>3.5910574005874603E-3</v>
      </c>
      <c r="N55" s="57">
        <v>3.8042782260122722E-3</v>
      </c>
      <c r="O55" s="57">
        <v>4.0297598660852477E-3</v>
      </c>
      <c r="P55" s="57">
        <v>4.0000000000000001E-3</v>
      </c>
      <c r="Q55" s="57">
        <v>4.0000000000000001E-3</v>
      </c>
      <c r="R55" s="58">
        <v>4.305206108847711E-3</v>
      </c>
      <c r="S55" s="58">
        <v>4.3304276173872251E-3</v>
      </c>
      <c r="T55" s="58">
        <v>3.8279686935481362E-3</v>
      </c>
      <c r="U55" s="58">
        <v>4.219673698035319E-3</v>
      </c>
      <c r="V55" s="58">
        <v>5.1883544801809775E-3</v>
      </c>
      <c r="W55" s="58" t="e">
        <v>#REF!</v>
      </c>
      <c r="X55" s="58">
        <v>7.402726369955764E-3</v>
      </c>
      <c r="Y55" s="239"/>
      <c r="Z55" s="239"/>
    </row>
    <row r="56" spans="1:34" ht="16.5" customHeight="1">
      <c r="B56" s="64" t="s">
        <v>39</v>
      </c>
      <c r="C56" s="164"/>
      <c r="D56" s="65"/>
      <c r="E56" s="65"/>
      <c r="F56" s="65"/>
      <c r="G56" s="65"/>
      <c r="H56" s="65"/>
      <c r="I56" s="65"/>
      <c r="J56" s="65"/>
      <c r="K56" s="65"/>
      <c r="L56" s="65"/>
      <c r="M56" s="65"/>
      <c r="N56" s="65"/>
      <c r="O56" s="65"/>
      <c r="P56" s="65"/>
      <c r="Q56" s="65"/>
      <c r="R56" s="65"/>
      <c r="S56" s="65"/>
      <c r="T56" s="65"/>
      <c r="U56" s="65"/>
      <c r="V56" s="65"/>
      <c r="W56" s="65"/>
      <c r="X56" s="65"/>
      <c r="Y56" s="239"/>
      <c r="Z56" s="239"/>
    </row>
    <row r="57" spans="1:34" ht="14.25" customHeight="1">
      <c r="B57" s="51" t="s">
        <v>40</v>
      </c>
      <c r="C57" s="163">
        <v>0.17810117935842029</v>
      </c>
      <c r="D57" s="61">
        <v>0.17799999999999999</v>
      </c>
      <c r="E57" s="61">
        <v>0.17799999999999999</v>
      </c>
      <c r="F57" s="61">
        <v>0.17299999999999999</v>
      </c>
      <c r="G57" s="61">
        <v>0.17139809270732162</v>
      </c>
      <c r="H57" s="61">
        <v>0.17040437419872376</v>
      </c>
      <c r="I57" s="61">
        <v>0.17245604062068776</v>
      </c>
      <c r="J57" s="61">
        <v>0.16745151867093996</v>
      </c>
      <c r="K57" s="61">
        <v>0.16683419365963417</v>
      </c>
      <c r="L57" s="61">
        <v>0.16903123341467879</v>
      </c>
      <c r="M57" s="61">
        <v>0.16755392786221213</v>
      </c>
      <c r="N57" s="61">
        <v>0.15853129392997001</v>
      </c>
      <c r="O57" s="61">
        <v>0.16073137456060585</v>
      </c>
      <c r="P57" s="61">
        <v>0.16174675708985606</v>
      </c>
      <c r="Q57" s="61">
        <v>0.16800000000000001</v>
      </c>
      <c r="R57" s="62">
        <v>0.16904691016046353</v>
      </c>
      <c r="S57" s="62">
        <v>0.16728993952436366</v>
      </c>
      <c r="T57" s="62">
        <v>0.1671850404112834</v>
      </c>
      <c r="U57" s="62">
        <v>0.16912237515982342</v>
      </c>
      <c r="V57" s="62">
        <v>0.17499999999999999</v>
      </c>
      <c r="W57" s="62">
        <v>0.16</v>
      </c>
      <c r="X57" s="62">
        <v>0.16900000000000001</v>
      </c>
      <c r="Y57" s="239"/>
      <c r="Z57" s="239"/>
    </row>
    <row r="58" spans="1:34" ht="14.25" customHeight="1">
      <c r="B58" s="51" t="s">
        <v>41</v>
      </c>
      <c r="C58" s="163">
        <v>0.18791794083977356</v>
      </c>
      <c r="D58" s="61">
        <v>0.188</v>
      </c>
      <c r="E58" s="61">
        <v>0.188</v>
      </c>
      <c r="F58" s="61">
        <v>0.183</v>
      </c>
      <c r="G58" s="61">
        <v>0.18172422207339059</v>
      </c>
      <c r="H58" s="61">
        <v>0.17656301131568714</v>
      </c>
      <c r="I58" s="61">
        <v>0.17860755466420439</v>
      </c>
      <c r="J58" s="61">
        <v>0.17721126030525525</v>
      </c>
      <c r="K58" s="61">
        <v>0.17315969229951719</v>
      </c>
      <c r="L58" s="61">
        <v>0.17488388213557288</v>
      </c>
      <c r="M58" s="61">
        <v>0.17614814863582226</v>
      </c>
      <c r="N58" s="61">
        <v>0.16730043809209208</v>
      </c>
      <c r="O58" s="61">
        <v>0.16920918599169135</v>
      </c>
      <c r="P58" s="61">
        <v>0.17027611418028196</v>
      </c>
      <c r="Q58" s="61">
        <v>0.17699999999999999</v>
      </c>
      <c r="R58" s="62">
        <v>0.17823123747045869</v>
      </c>
      <c r="S58" s="62">
        <v>0.17645196408748351</v>
      </c>
      <c r="T58" s="62">
        <v>0.17577394801537041</v>
      </c>
      <c r="U58" s="62">
        <v>0.17905896998433671</v>
      </c>
      <c r="V58" s="62">
        <v>0.183</v>
      </c>
      <c r="W58" s="62">
        <v>0.16700000000000001</v>
      </c>
      <c r="X58" s="62">
        <v>0.17299999999999999</v>
      </c>
      <c r="Y58" s="239"/>
      <c r="Z58" s="239"/>
    </row>
    <row r="59" spans="1:34" ht="14.25" customHeight="1">
      <c r="A59" s="68"/>
      <c r="B59" s="51" t="s">
        <v>42</v>
      </c>
      <c r="C59" s="163">
        <v>0.20670895600869113</v>
      </c>
      <c r="D59" s="61">
        <v>0.20699999999999999</v>
      </c>
      <c r="E59" s="61">
        <v>0.20799999999999999</v>
      </c>
      <c r="F59" s="61">
        <v>0.20200000000000001</v>
      </c>
      <c r="G59" s="61">
        <v>0.20078948111999259</v>
      </c>
      <c r="H59" s="61">
        <v>0.19586465825367622</v>
      </c>
      <c r="I59" s="61">
        <v>0.19832292584471245</v>
      </c>
      <c r="J59" s="61">
        <v>0.19704139804878543</v>
      </c>
      <c r="K59" s="61">
        <v>0.19099224797868575</v>
      </c>
      <c r="L59" s="61">
        <v>0.19378931454724868</v>
      </c>
      <c r="M59" s="61">
        <v>0.19563394435957501</v>
      </c>
      <c r="N59" s="61">
        <v>0.18718469017240807</v>
      </c>
      <c r="O59" s="61">
        <v>0.19320302052973704</v>
      </c>
      <c r="P59" s="61">
        <v>0.1943736619626909</v>
      </c>
      <c r="Q59" s="61">
        <v>0.20499999999999999</v>
      </c>
      <c r="R59" s="62">
        <v>0.19922772977857001</v>
      </c>
      <c r="S59" s="62">
        <v>0.19899450243251088</v>
      </c>
      <c r="T59" s="62">
        <v>0.192948041099678</v>
      </c>
      <c r="U59" s="62">
        <v>0.20325903515439406</v>
      </c>
      <c r="V59" s="62">
        <v>0.20200000000000001</v>
      </c>
      <c r="W59" s="62">
        <v>0.186</v>
      </c>
      <c r="X59" s="62">
        <v>0.188</v>
      </c>
      <c r="Y59" s="239"/>
      <c r="Z59" s="239"/>
    </row>
    <row r="60" spans="1:34" ht="14.25" customHeight="1">
      <c r="A60" s="68"/>
      <c r="B60" s="66" t="s">
        <v>43</v>
      </c>
      <c r="C60" s="156">
        <v>17241.829771525772</v>
      </c>
      <c r="D60" s="41">
        <v>16793</v>
      </c>
      <c r="E60" s="41">
        <v>16704</v>
      </c>
      <c r="F60" s="41">
        <v>16502</v>
      </c>
      <c r="G60" s="41">
        <v>16418.062238133607</v>
      </c>
      <c r="H60" s="41">
        <v>15882.638526012159</v>
      </c>
      <c r="I60" s="41">
        <v>15444.079992212821</v>
      </c>
      <c r="J60" s="41">
        <v>15685.437575662983</v>
      </c>
      <c r="K60" s="41">
        <v>14981.635857309137</v>
      </c>
      <c r="L60" s="41">
        <v>14676.088655760017</v>
      </c>
      <c r="M60" s="41">
        <v>14672.323747520619</v>
      </c>
      <c r="N60" s="41">
        <v>14076.975417950534</v>
      </c>
      <c r="O60" s="41">
        <v>14288.335436423937</v>
      </c>
      <c r="P60" s="41">
        <v>14028</v>
      </c>
      <c r="Q60" s="41">
        <v>14138</v>
      </c>
      <c r="R60" s="67">
        <v>13423.270844741101</v>
      </c>
      <c r="S60" s="67">
        <v>13440.194272883036</v>
      </c>
      <c r="T60" s="67">
        <v>12648.510290755101</v>
      </c>
      <c r="U60" s="67">
        <v>12655.881342749999</v>
      </c>
      <c r="V60" s="67">
        <v>9608</v>
      </c>
      <c r="W60" s="67">
        <v>9305</v>
      </c>
      <c r="X60" s="67">
        <v>7229</v>
      </c>
      <c r="Y60" s="239"/>
      <c r="Z60" s="239"/>
    </row>
    <row r="61" spans="1:34" s="68" customFormat="1" ht="14.25" customHeight="1">
      <c r="B61" s="69"/>
      <c r="C61" s="70"/>
      <c r="D61" s="70"/>
      <c r="E61" s="70"/>
      <c r="F61" s="70"/>
      <c r="G61" s="70"/>
      <c r="H61" s="70"/>
      <c r="I61" s="70"/>
      <c r="J61" s="70"/>
      <c r="K61" s="70"/>
      <c r="L61" s="70"/>
      <c r="M61" s="70"/>
      <c r="N61" s="70"/>
      <c r="O61" s="70"/>
      <c r="P61" s="70"/>
      <c r="Q61" s="70"/>
      <c r="R61" s="70"/>
      <c r="S61" s="70"/>
    </row>
    <row r="62" spans="1:34" s="68" customFormat="1" ht="14.25" customHeight="1">
      <c r="B62" s="248" t="s">
        <v>140</v>
      </c>
      <c r="C62" s="71"/>
      <c r="D62" s="71"/>
      <c r="E62" s="71"/>
      <c r="F62" s="71"/>
      <c r="G62" s="71"/>
      <c r="H62" s="71"/>
      <c r="I62" s="71"/>
      <c r="J62" s="71"/>
      <c r="K62" s="71"/>
      <c r="L62" s="71"/>
      <c r="M62" s="71"/>
      <c r="N62" s="71"/>
      <c r="O62" s="71"/>
      <c r="P62" s="71"/>
      <c r="Q62" s="71"/>
      <c r="R62" s="71"/>
      <c r="S62" s="71"/>
    </row>
    <row r="63" spans="1:34" s="68" customFormat="1" ht="14.25" customHeight="1">
      <c r="B63" s="248" t="s">
        <v>141</v>
      </c>
      <c r="C63" s="71"/>
      <c r="D63" s="71"/>
      <c r="E63" s="71"/>
      <c r="F63" s="71"/>
      <c r="G63" s="71"/>
      <c r="H63" s="71"/>
      <c r="I63" s="71"/>
      <c r="J63" s="71"/>
      <c r="K63" s="71"/>
      <c r="L63" s="71"/>
      <c r="M63" s="71"/>
      <c r="N63" s="71"/>
      <c r="O63" s="71"/>
      <c r="P63" s="71"/>
      <c r="Q63" s="71"/>
      <c r="R63" s="71"/>
      <c r="S63" s="71"/>
    </row>
    <row r="64" spans="1:34" s="68" customFormat="1" ht="14.25" customHeight="1">
      <c r="B64" s="248" t="s">
        <v>142</v>
      </c>
      <c r="C64" s="70"/>
      <c r="D64" s="70"/>
      <c r="E64" s="70"/>
      <c r="F64" s="70"/>
      <c r="G64" s="70"/>
      <c r="H64" s="70"/>
      <c r="I64" s="70"/>
      <c r="J64" s="70"/>
      <c r="K64" s="70"/>
      <c r="L64" s="70"/>
      <c r="M64" s="70"/>
      <c r="N64" s="70"/>
      <c r="O64" s="70"/>
      <c r="P64" s="70"/>
      <c r="Q64" s="70"/>
      <c r="R64" s="70"/>
      <c r="S64" s="70"/>
    </row>
  </sheetData>
  <pageMargins left="0.7" right="0.7" top="0.75" bottom="0.75" header="0.3" footer="0.3"/>
  <pageSetup paperSize="9" orientation="portrait" verticalDpi="14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34FD6-7898-44C2-8D38-4C80CCFB4701}">
  <dimension ref="A2:V55"/>
  <sheetViews>
    <sheetView showGridLines="0" zoomScale="90" zoomScaleNormal="90" workbookViewId="0">
      <pane ySplit="2" topLeftCell="A3" activePane="bottomLeft" state="frozen"/>
      <selection pane="bottomLeft" activeCell="A83" sqref="A83"/>
    </sheetView>
  </sheetViews>
  <sheetFormatPr baseColWidth="10" defaultColWidth="11.42578125" defaultRowHeight="12.75"/>
  <cols>
    <col min="1" max="1" width="5" customWidth="1"/>
    <col min="2" max="2" width="48.85546875" bestFit="1" customWidth="1"/>
    <col min="3" max="3" width="10.28515625" bestFit="1" customWidth="1"/>
    <col min="4" max="4" width="12.140625" bestFit="1" customWidth="1"/>
    <col min="5" max="5" width="12" bestFit="1" customWidth="1"/>
  </cols>
  <sheetData>
    <row r="2" spans="1:22" ht="15">
      <c r="A2" s="20" t="s">
        <v>491</v>
      </c>
      <c r="B2" s="21"/>
    </row>
    <row r="5" spans="1:22" ht="15">
      <c r="B5" s="457"/>
      <c r="C5" s="452" t="s">
        <v>289</v>
      </c>
      <c r="D5" s="453" t="s">
        <v>290</v>
      </c>
      <c r="E5" s="453" t="s">
        <v>287</v>
      </c>
      <c r="F5" s="406" t="s">
        <v>288</v>
      </c>
      <c r="G5" s="406" t="s">
        <v>289</v>
      </c>
      <c r="H5" s="406" t="s">
        <v>290</v>
      </c>
      <c r="I5" s="406" t="s">
        <v>287</v>
      </c>
      <c r="J5" s="406" t="s">
        <v>288</v>
      </c>
      <c r="K5" s="406" t="s">
        <v>289</v>
      </c>
      <c r="L5" s="406" t="s">
        <v>290</v>
      </c>
      <c r="M5" s="406" t="s">
        <v>287</v>
      </c>
      <c r="N5" s="406" t="s">
        <v>288</v>
      </c>
      <c r="O5" s="406" t="s">
        <v>289</v>
      </c>
      <c r="P5" s="406" t="s">
        <v>290</v>
      </c>
    </row>
    <row r="6" spans="1:22" ht="15">
      <c r="B6" s="443" t="s">
        <v>97</v>
      </c>
      <c r="C6" s="454">
        <v>2021</v>
      </c>
      <c r="D6" s="455">
        <v>2021</v>
      </c>
      <c r="E6" s="455">
        <v>2020</v>
      </c>
      <c r="F6" s="407">
        <v>2020</v>
      </c>
      <c r="G6" s="407">
        <v>2020</v>
      </c>
      <c r="H6" s="407">
        <v>2020</v>
      </c>
      <c r="I6" s="407">
        <v>2019</v>
      </c>
      <c r="J6" s="407">
        <v>2019</v>
      </c>
      <c r="K6" s="407">
        <v>2019</v>
      </c>
      <c r="L6" s="407">
        <v>2019</v>
      </c>
      <c r="M6" s="407">
        <v>2018</v>
      </c>
      <c r="N6" s="407">
        <v>2018</v>
      </c>
      <c r="O6" s="407">
        <v>2018</v>
      </c>
      <c r="P6" s="407">
        <v>2018</v>
      </c>
    </row>
    <row r="7" spans="1:22" ht="15">
      <c r="B7" s="451"/>
      <c r="C7" s="446"/>
      <c r="D7" s="440"/>
      <c r="E7" s="440"/>
      <c r="F7" s="440"/>
      <c r="G7" s="440"/>
      <c r="H7" s="440"/>
      <c r="I7" s="440"/>
      <c r="J7" s="440"/>
      <c r="K7" s="440"/>
      <c r="L7" s="440"/>
      <c r="M7" s="440"/>
      <c r="N7" s="440"/>
      <c r="O7" s="440"/>
      <c r="P7" s="440"/>
    </row>
    <row r="8" spans="1:22" ht="15">
      <c r="B8" s="456" t="s">
        <v>514</v>
      </c>
      <c r="C8" s="446"/>
      <c r="D8" s="440"/>
      <c r="E8" s="440"/>
      <c r="F8" s="440"/>
      <c r="G8" s="440"/>
      <c r="H8" s="440"/>
      <c r="I8" s="440"/>
      <c r="J8" s="440"/>
      <c r="K8" s="440"/>
      <c r="L8" s="440"/>
      <c r="M8" s="440"/>
      <c r="N8" s="440"/>
      <c r="O8" s="440"/>
      <c r="P8" s="440"/>
    </row>
    <row r="9" spans="1:22">
      <c r="B9" s="458" t="s">
        <v>416</v>
      </c>
      <c r="C9" s="459">
        <v>248.96066387999991</v>
      </c>
      <c r="D9" s="460">
        <v>587.72658000000001</v>
      </c>
      <c r="E9" s="460">
        <v>682.74738000000002</v>
      </c>
      <c r="F9" s="460">
        <v>673.44931999999994</v>
      </c>
      <c r="G9" s="460">
        <v>375.37632889999998</v>
      </c>
      <c r="H9" s="460">
        <v>1697.8275003900001</v>
      </c>
      <c r="I9" s="460">
        <v>1324.7398635</v>
      </c>
      <c r="J9" s="460">
        <v>1279.0373320000001</v>
      </c>
      <c r="K9" s="460">
        <v>778.82646299999999</v>
      </c>
      <c r="L9" s="460">
        <v>359.99559900000003</v>
      </c>
      <c r="M9" s="460">
        <v>1878.3081159999999</v>
      </c>
      <c r="N9" s="460">
        <v>288.48948899999999</v>
      </c>
      <c r="O9" s="460">
        <v>639.42028400000004</v>
      </c>
      <c r="P9" s="460">
        <v>663.98488199999997</v>
      </c>
      <c r="Q9" s="395"/>
      <c r="R9" s="395"/>
      <c r="S9" s="395"/>
      <c r="T9" s="395"/>
      <c r="U9" s="395"/>
      <c r="V9" s="395"/>
    </row>
    <row r="10" spans="1:22">
      <c r="B10" s="458" t="s">
        <v>417</v>
      </c>
      <c r="C10" s="459">
        <v>3120.6357694499998</v>
      </c>
      <c r="D10" s="460">
        <v>3507.87014</v>
      </c>
      <c r="E10" s="460">
        <v>1576.16661</v>
      </c>
      <c r="F10" s="460">
        <v>3320.9339100000002</v>
      </c>
      <c r="G10" s="460">
        <v>2061.2227146700002</v>
      </c>
      <c r="H10" s="460">
        <v>4170.6037621100004</v>
      </c>
      <c r="I10" s="460">
        <v>1199.06413275</v>
      </c>
      <c r="J10" s="460">
        <v>4728.5451089999997</v>
      </c>
      <c r="K10" s="460">
        <v>2886.9467970000001</v>
      </c>
      <c r="L10" s="460">
        <v>1020.299053</v>
      </c>
      <c r="M10" s="460">
        <v>1022.7689820000001</v>
      </c>
      <c r="N10" s="460">
        <v>2057.0973829999998</v>
      </c>
      <c r="O10" s="460">
        <v>4300.791886</v>
      </c>
      <c r="P10" s="460">
        <v>2447.8061389999998</v>
      </c>
      <c r="Q10" s="395"/>
      <c r="R10" s="395"/>
      <c r="S10" s="395"/>
      <c r="T10" s="395"/>
      <c r="U10" s="395"/>
      <c r="V10" s="395"/>
    </row>
    <row r="11" spans="1:22">
      <c r="B11" s="458" t="s">
        <v>418</v>
      </c>
      <c r="C11" s="459">
        <v>117685.73577325998</v>
      </c>
      <c r="D11" s="460">
        <v>113581.26602</v>
      </c>
      <c r="E11" s="460">
        <v>112884.74255</v>
      </c>
      <c r="F11" s="460">
        <v>113048.86279</v>
      </c>
      <c r="G11" s="460">
        <v>111828.26380571</v>
      </c>
      <c r="H11" s="460">
        <v>108363.80187286</v>
      </c>
      <c r="I11" s="460">
        <v>106718.07852533</v>
      </c>
      <c r="J11" s="460">
        <v>103744.13766399999</v>
      </c>
      <c r="K11" s="460">
        <v>101377.882492</v>
      </c>
      <c r="L11" s="460">
        <v>98451.214464000004</v>
      </c>
      <c r="M11" s="460">
        <v>98605.716025999995</v>
      </c>
      <c r="N11" s="460">
        <v>97896.155442000003</v>
      </c>
      <c r="O11" s="460">
        <v>95680.740309000001</v>
      </c>
      <c r="P11" s="460">
        <v>92449.979246000003</v>
      </c>
      <c r="Q11" s="395"/>
      <c r="R11" s="395"/>
      <c r="S11" s="395"/>
      <c r="T11" s="395"/>
      <c r="U11" s="395"/>
      <c r="V11" s="395"/>
    </row>
    <row r="12" spans="1:22">
      <c r="B12" s="458" t="s">
        <v>419</v>
      </c>
      <c r="C12" s="459">
        <v>24946.220340430009</v>
      </c>
      <c r="D12" s="460">
        <v>23424.765340000002</v>
      </c>
      <c r="E12" s="460">
        <v>20999.177110000001</v>
      </c>
      <c r="F12" s="460">
        <v>20786.05458</v>
      </c>
      <c r="G12" s="460">
        <v>21170.802316739999</v>
      </c>
      <c r="H12" s="460">
        <v>17874.283924110001</v>
      </c>
      <c r="I12" s="460">
        <v>17252.349264619999</v>
      </c>
      <c r="J12" s="460">
        <v>18050.495138999999</v>
      </c>
      <c r="K12" s="460">
        <v>17589.802342999999</v>
      </c>
      <c r="L12" s="460">
        <v>17689.053485</v>
      </c>
      <c r="M12" s="460">
        <v>14445.539526</v>
      </c>
      <c r="N12" s="460">
        <v>14242.267663000001</v>
      </c>
      <c r="O12" s="460">
        <v>11912.862777</v>
      </c>
      <c r="P12" s="460">
        <v>11658.575022000001</v>
      </c>
      <c r="Q12" s="395"/>
      <c r="R12" s="395"/>
      <c r="S12" s="395"/>
      <c r="T12" s="395"/>
      <c r="U12" s="395"/>
      <c r="V12" s="395"/>
    </row>
    <row r="13" spans="1:22">
      <c r="B13" s="458" t="s">
        <v>420</v>
      </c>
      <c r="C13" s="459">
        <v>1398.1160280100012</v>
      </c>
      <c r="D13" s="460">
        <v>1237.1099999999999</v>
      </c>
      <c r="E13" s="460">
        <v>2212.31691</v>
      </c>
      <c r="F13" s="460">
        <v>3316.3608300000001</v>
      </c>
      <c r="G13" s="460">
        <v>3074.5962567900001</v>
      </c>
      <c r="H13" s="460">
        <v>3946.3133910000001</v>
      </c>
      <c r="I13" s="460">
        <v>878.28834528999005</v>
      </c>
      <c r="J13" s="460">
        <v>1200.6310129999999</v>
      </c>
      <c r="K13" s="460">
        <v>781.96812</v>
      </c>
      <c r="L13" s="460">
        <v>645.60446100000001</v>
      </c>
      <c r="M13" s="460">
        <f>819.055226-0.1</f>
        <v>818.95522599999993</v>
      </c>
      <c r="N13" s="460">
        <v>376.79364500000003</v>
      </c>
      <c r="O13" s="460">
        <v>436.098163</v>
      </c>
      <c r="P13" s="460">
        <v>454.59990399999998</v>
      </c>
      <c r="Q13" s="395"/>
      <c r="R13" s="395"/>
      <c r="S13" s="395"/>
      <c r="T13" s="395"/>
      <c r="U13" s="395"/>
      <c r="V13" s="395"/>
    </row>
    <row r="14" spans="1:22">
      <c r="B14" s="458" t="s">
        <v>488</v>
      </c>
      <c r="C14" s="459">
        <v>686.4992229500001</v>
      </c>
      <c r="D14" s="460">
        <v>635.65778999999998</v>
      </c>
      <c r="E14" s="460">
        <v>616.37981000000002</v>
      </c>
      <c r="F14" s="460">
        <v>654.93573000000004</v>
      </c>
      <c r="G14" s="460">
        <v>690.30167682000001</v>
      </c>
      <c r="H14" s="460">
        <v>660.42835894999996</v>
      </c>
      <c r="I14" s="460">
        <v>674.76843206000001</v>
      </c>
      <c r="J14" s="460">
        <v>643.03755799999999</v>
      </c>
      <c r="K14" s="460">
        <v>625.12832400000002</v>
      </c>
      <c r="L14" s="460">
        <v>616.07110599999999</v>
      </c>
      <c r="M14" s="460">
        <v>593.61375299999997</v>
      </c>
      <c r="N14" s="460">
        <v>606.26696800000002</v>
      </c>
      <c r="O14" s="460">
        <v>554.11826399999995</v>
      </c>
      <c r="P14" s="460">
        <v>486.660977</v>
      </c>
      <c r="Q14" s="395"/>
      <c r="R14" s="395"/>
      <c r="S14" s="395"/>
      <c r="T14" s="395"/>
      <c r="U14" s="395"/>
      <c r="V14" s="395"/>
    </row>
    <row r="15" spans="1:22">
      <c r="B15" s="458" t="s">
        <v>421</v>
      </c>
      <c r="C15" s="459">
        <v>5329.7149719000008</v>
      </c>
      <c r="D15" s="460">
        <v>5345.0649299999995</v>
      </c>
      <c r="E15" s="460">
        <v>5325.4157699999996</v>
      </c>
      <c r="F15" s="460">
        <v>5229.4253900000003</v>
      </c>
      <c r="G15" s="460">
        <v>5087.21391227</v>
      </c>
      <c r="H15" s="460">
        <v>4963.5195766099996</v>
      </c>
      <c r="I15" s="460">
        <v>4870.3173606</v>
      </c>
      <c r="J15" s="460">
        <v>4832.9879629999996</v>
      </c>
      <c r="K15" s="460">
        <v>4793.8684910000002</v>
      </c>
      <c r="L15" s="460">
        <v>4326.8841089999996</v>
      </c>
      <c r="M15" s="460">
        <v>4123.5721299999996</v>
      </c>
      <c r="N15" s="460">
        <v>3998.4704230000002</v>
      </c>
      <c r="O15" s="460">
        <v>3912.1149999999998</v>
      </c>
      <c r="P15" s="460">
        <v>3957.1392110000002</v>
      </c>
      <c r="Q15" s="395"/>
      <c r="R15" s="395"/>
      <c r="S15" s="395"/>
      <c r="T15" s="395"/>
      <c r="U15" s="395"/>
      <c r="V15" s="395"/>
    </row>
    <row r="16" spans="1:22">
      <c r="B16" s="458" t="s">
        <v>422</v>
      </c>
      <c r="C16" s="459">
        <v>0</v>
      </c>
      <c r="D16" s="460">
        <v>0</v>
      </c>
      <c r="E16" s="460">
        <v>0</v>
      </c>
      <c r="F16" s="460">
        <v>0</v>
      </c>
      <c r="G16" s="460">
        <v>0</v>
      </c>
      <c r="H16" s="460">
        <v>0</v>
      </c>
      <c r="I16" s="460">
        <v>0</v>
      </c>
      <c r="J16" s="460">
        <v>0</v>
      </c>
      <c r="K16" s="460">
        <v>0</v>
      </c>
      <c r="L16" s="460">
        <v>0</v>
      </c>
      <c r="M16" s="460">
        <v>0</v>
      </c>
      <c r="N16" s="460">
        <v>0</v>
      </c>
      <c r="O16" s="460">
        <v>0</v>
      </c>
      <c r="P16" s="460">
        <v>0</v>
      </c>
      <c r="Q16" s="395"/>
      <c r="R16" s="395"/>
      <c r="S16" s="395"/>
      <c r="T16" s="395"/>
      <c r="U16" s="395"/>
      <c r="V16" s="395"/>
    </row>
    <row r="17" spans="2:22">
      <c r="B17" s="458" t="s">
        <v>423</v>
      </c>
      <c r="C17" s="459">
        <v>414.40283357000004</v>
      </c>
      <c r="D17" s="460">
        <v>410.80718000000002</v>
      </c>
      <c r="E17" s="460">
        <v>410.13628999999997</v>
      </c>
      <c r="F17" s="460">
        <v>407.98964999999998</v>
      </c>
      <c r="G17" s="460">
        <v>409.60346866999998</v>
      </c>
      <c r="H17" s="460">
        <v>405.64959035999999</v>
      </c>
      <c r="I17" s="460">
        <v>406</v>
      </c>
      <c r="J17" s="460">
        <v>405.31681099999997</v>
      </c>
      <c r="K17" s="460">
        <v>409.44604733999995</v>
      </c>
      <c r="L17" s="460">
        <v>412</v>
      </c>
      <c r="M17" s="460">
        <v>399.57269600000001</v>
      </c>
      <c r="N17" s="460">
        <v>402.280035</v>
      </c>
      <c r="O17" s="460">
        <v>406.37406099999998</v>
      </c>
      <c r="P17" s="460">
        <v>366.96337999999997</v>
      </c>
      <c r="Q17" s="395"/>
      <c r="R17" s="395"/>
      <c r="S17" s="395"/>
      <c r="T17" s="395"/>
      <c r="U17" s="395"/>
      <c r="V17" s="395"/>
    </row>
    <row r="18" spans="2:22">
      <c r="B18" s="458" t="s">
        <v>424</v>
      </c>
      <c r="C18" s="459">
        <v>602.22279178000008</v>
      </c>
      <c r="D18" s="460">
        <v>606.55493000000001</v>
      </c>
      <c r="E18" s="460">
        <v>620.43528000000003</v>
      </c>
      <c r="F18" s="460">
        <f>468.15401+155</f>
        <v>623.15400999999997</v>
      </c>
      <c r="G18" s="460">
        <f>480.99595277+159</f>
        <v>639.99595277000003</v>
      </c>
      <c r="H18" s="460">
        <v>664.00329307000004</v>
      </c>
      <c r="I18" s="460">
        <f>503+169</f>
        <v>672</v>
      </c>
      <c r="J18" s="460">
        <f>520.75414475+156</f>
        <v>676.75414475000002</v>
      </c>
      <c r="K18" s="460">
        <f>525.45781065+161</f>
        <v>686.45781065000006</v>
      </c>
      <c r="L18" s="460">
        <v>686.44888800000001</v>
      </c>
      <c r="M18" s="460">
        <v>543.07394399999998</v>
      </c>
      <c r="N18" s="460">
        <v>544.13642800000002</v>
      </c>
      <c r="O18" s="460">
        <v>553.48247800000001</v>
      </c>
      <c r="P18" s="460">
        <v>564.32797700000003</v>
      </c>
      <c r="Q18" s="395"/>
      <c r="R18" s="395"/>
      <c r="S18" s="395"/>
      <c r="T18" s="395"/>
      <c r="U18" s="395"/>
      <c r="V18" s="395"/>
    </row>
    <row r="19" spans="2:22">
      <c r="B19" s="461" t="s">
        <v>425</v>
      </c>
      <c r="C19" s="462">
        <v>810.3577922701819</v>
      </c>
      <c r="D19" s="463">
        <v>781.31907000000001</v>
      </c>
      <c r="E19" s="463">
        <v>746.28430000000003</v>
      </c>
      <c r="F19" s="463">
        <v>836.95840999999996</v>
      </c>
      <c r="G19" s="463">
        <v>1859.5769371699998</v>
      </c>
      <c r="H19" s="463">
        <v>839.25942966000002</v>
      </c>
      <c r="I19" s="463">
        <v>787.47939578018998</v>
      </c>
      <c r="J19" s="463">
        <v>1007.176503</v>
      </c>
      <c r="K19" s="463">
        <v>924.09148200000004</v>
      </c>
      <c r="L19" s="463">
        <v>2084.4004660000001</v>
      </c>
      <c r="M19" s="463">
        <v>1041.1232949999999</v>
      </c>
      <c r="N19" s="463">
        <v>906.807051</v>
      </c>
      <c r="O19" s="463">
        <v>1195.8692679999999</v>
      </c>
      <c r="P19" s="463">
        <v>1038.1709980000001</v>
      </c>
      <c r="Q19" s="395"/>
      <c r="R19" s="395"/>
      <c r="S19" s="395"/>
      <c r="T19" s="395"/>
      <c r="U19" s="395"/>
      <c r="V19" s="395"/>
    </row>
    <row r="20" spans="2:22" ht="15">
      <c r="B20" s="444" t="s">
        <v>1</v>
      </c>
      <c r="C20" s="447">
        <f>SUM(C9:C19)</f>
        <v>155242.86618750019</v>
      </c>
      <c r="D20" s="441">
        <f>SUM(D9:D19)</f>
        <v>150118.14197999999</v>
      </c>
      <c r="E20" s="441">
        <f t="shared" ref="E20:P20" si="0">SUM(E9:E19)</f>
        <v>146073.80200999998</v>
      </c>
      <c r="F20" s="441">
        <f t="shared" si="0"/>
        <v>148898.12461999999</v>
      </c>
      <c r="G20" s="441">
        <f t="shared" si="0"/>
        <v>147196.95337050999</v>
      </c>
      <c r="H20" s="441">
        <f t="shared" si="0"/>
        <v>143585.69069912005</v>
      </c>
      <c r="I20" s="441">
        <f t="shared" si="0"/>
        <v>134783.08531993016</v>
      </c>
      <c r="J20" s="441">
        <f t="shared" si="0"/>
        <v>136568.11923675</v>
      </c>
      <c r="K20" s="441">
        <f t="shared" si="0"/>
        <v>130854.41836999002</v>
      </c>
      <c r="L20" s="441">
        <f t="shared" si="0"/>
        <v>126291.97163100001</v>
      </c>
      <c r="M20" s="441">
        <f t="shared" si="0"/>
        <v>123472.243694</v>
      </c>
      <c r="N20" s="441">
        <f t="shared" si="0"/>
        <v>121318.76452700001</v>
      </c>
      <c r="O20" s="441">
        <f t="shared" si="0"/>
        <v>119591.87249000001</v>
      </c>
      <c r="P20" s="441">
        <f t="shared" si="0"/>
        <v>114088.20773600001</v>
      </c>
      <c r="Q20" s="395"/>
      <c r="R20" s="395"/>
      <c r="S20" s="395"/>
      <c r="T20" s="395"/>
      <c r="U20" s="395"/>
      <c r="V20" s="395"/>
    </row>
    <row r="21" spans="2:22">
      <c r="B21" s="458"/>
      <c r="C21" s="459"/>
      <c r="D21" s="460"/>
      <c r="E21" s="460"/>
      <c r="F21" s="460"/>
      <c r="G21" s="460"/>
      <c r="H21" s="460"/>
      <c r="I21" s="460"/>
      <c r="J21" s="460"/>
      <c r="K21" s="460"/>
      <c r="L21" s="460"/>
      <c r="M21" s="460"/>
      <c r="N21" s="460"/>
      <c r="O21" s="460"/>
      <c r="P21" s="460"/>
      <c r="Q21" s="395"/>
      <c r="R21" s="395"/>
      <c r="S21" s="395"/>
      <c r="T21" s="395"/>
      <c r="U21" s="395"/>
      <c r="V21" s="395"/>
    </row>
    <row r="22" spans="2:22">
      <c r="B22" s="464" t="s">
        <v>515</v>
      </c>
      <c r="C22" s="459"/>
      <c r="D22" s="460"/>
      <c r="E22" s="460"/>
      <c r="F22" s="460"/>
      <c r="G22" s="460"/>
      <c r="H22" s="460"/>
      <c r="I22" s="460"/>
      <c r="J22" s="460"/>
      <c r="K22" s="460"/>
      <c r="L22" s="460"/>
      <c r="M22" s="460"/>
      <c r="N22" s="460"/>
      <c r="O22" s="460"/>
      <c r="P22" s="460"/>
      <c r="Q22" s="395"/>
      <c r="R22" s="395"/>
      <c r="S22" s="395"/>
      <c r="T22" s="395"/>
      <c r="U22" s="395"/>
      <c r="V22" s="395"/>
    </row>
    <row r="23" spans="2:22">
      <c r="B23" s="458" t="s">
        <v>426</v>
      </c>
      <c r="C23" s="459">
        <v>4068.6670678599999</v>
      </c>
      <c r="D23" s="460">
        <v>4952.7369699999999</v>
      </c>
      <c r="E23" s="460">
        <v>5090.2755100000004</v>
      </c>
      <c r="F23" s="460">
        <v>5505.7842099999998</v>
      </c>
      <c r="G23" s="460">
        <v>5745.9181593100002</v>
      </c>
      <c r="H23" s="460">
        <v>6429.07227943</v>
      </c>
      <c r="I23" s="460">
        <v>3650.2140058600003</v>
      </c>
      <c r="J23" s="460">
        <v>3897.2793259999999</v>
      </c>
      <c r="K23" s="460">
        <v>3656.1168360000001</v>
      </c>
      <c r="L23" s="460">
        <v>3624.9766749999999</v>
      </c>
      <c r="M23" s="460">
        <v>2635.6622080000002</v>
      </c>
      <c r="N23" s="460">
        <v>2190.558258</v>
      </c>
      <c r="O23" s="460">
        <v>2517.3967539999999</v>
      </c>
      <c r="P23" s="460">
        <v>2170.9614139999999</v>
      </c>
      <c r="Q23" s="395"/>
      <c r="R23" s="395"/>
      <c r="S23" s="395"/>
      <c r="T23" s="395"/>
      <c r="U23" s="395"/>
      <c r="V23" s="395"/>
    </row>
    <row r="24" spans="2:22">
      <c r="B24" s="458" t="s">
        <v>148</v>
      </c>
      <c r="C24" s="459">
        <v>92550.731135340044</v>
      </c>
      <c r="D24" s="460">
        <v>87476.178799999994</v>
      </c>
      <c r="E24" s="460">
        <v>85613.011799999993</v>
      </c>
      <c r="F24" s="460">
        <v>85495.609540000005</v>
      </c>
      <c r="G24" s="460">
        <v>85481.013749749996</v>
      </c>
      <c r="H24" s="460">
        <v>79901.205413660005</v>
      </c>
      <c r="I24" s="460">
        <v>78493.732629149992</v>
      </c>
      <c r="J24" s="460">
        <v>76866.417998000004</v>
      </c>
      <c r="K24" s="460">
        <v>77352.269637999998</v>
      </c>
      <c r="L24" s="460">
        <v>72377.261538000006</v>
      </c>
      <c r="M24" s="460">
        <f>71496.704425+0.4</f>
        <v>71497.104424999998</v>
      </c>
      <c r="N24" s="460">
        <v>70251.127166999999</v>
      </c>
      <c r="O24" s="460">
        <v>70644.658796999996</v>
      </c>
      <c r="P24" s="460">
        <v>66109.582498999996</v>
      </c>
      <c r="Q24" s="395"/>
      <c r="R24" s="395"/>
      <c r="S24" s="395"/>
      <c r="T24" s="395"/>
      <c r="U24" s="395"/>
      <c r="V24" s="395"/>
    </row>
    <row r="25" spans="2:22">
      <c r="B25" s="458" t="s">
        <v>427</v>
      </c>
      <c r="C25" s="459">
        <v>37359.128945609998</v>
      </c>
      <c r="D25" s="460">
        <v>36849.211660000001</v>
      </c>
      <c r="E25" s="460">
        <v>34952.186280000002</v>
      </c>
      <c r="F25" s="460">
        <v>37872.034460000003</v>
      </c>
      <c r="G25" s="460">
        <v>36373.49416591</v>
      </c>
      <c r="H25" s="460">
        <v>37624.847766879997</v>
      </c>
      <c r="I25" s="460">
        <v>33732.489345189999</v>
      </c>
      <c r="J25" s="460">
        <v>35460.326316999999</v>
      </c>
      <c r="K25" s="460">
        <v>31638.376914</v>
      </c>
      <c r="L25" s="460">
        <v>32128.172106000002</v>
      </c>
      <c r="M25" s="460">
        <v>31984.282126999999</v>
      </c>
      <c r="N25" s="460">
        <v>32357.857035000001</v>
      </c>
      <c r="O25" s="460">
        <v>29956.974822</v>
      </c>
      <c r="P25" s="460">
        <v>29273.633760000001</v>
      </c>
      <c r="Q25" s="395"/>
      <c r="R25" s="395"/>
      <c r="S25" s="395"/>
      <c r="T25" s="395"/>
      <c r="U25" s="395"/>
      <c r="V25" s="395"/>
    </row>
    <row r="26" spans="2:22">
      <c r="B26" s="458" t="s">
        <v>420</v>
      </c>
      <c r="C26" s="459">
        <v>615.60026498000002</v>
      </c>
      <c r="D26" s="460">
        <v>695.09617000000003</v>
      </c>
      <c r="E26" s="460">
        <v>697.08542</v>
      </c>
      <c r="F26" s="460">
        <v>826.69574999999998</v>
      </c>
      <c r="G26" s="460">
        <v>799.58827765000001</v>
      </c>
      <c r="H26" s="460">
        <v>804.41813215000002</v>
      </c>
      <c r="I26" s="460">
        <v>372.70519100000001</v>
      </c>
      <c r="J26" s="460">
        <v>352.91125199999999</v>
      </c>
      <c r="K26" s="460">
        <v>278.15249</v>
      </c>
      <c r="L26" s="460">
        <v>303.39644900000002</v>
      </c>
      <c r="M26" s="460">
        <v>353.83291300000002</v>
      </c>
      <c r="N26" s="460">
        <v>442.48053900000002</v>
      </c>
      <c r="O26" s="460">
        <v>362.07805999999999</v>
      </c>
      <c r="P26" s="460">
        <v>328.908953</v>
      </c>
      <c r="Q26" s="395"/>
      <c r="R26" s="395"/>
      <c r="S26" s="395"/>
      <c r="T26" s="395"/>
      <c r="U26" s="395"/>
      <c r="V26" s="395"/>
    </row>
    <row r="27" spans="2:22">
      <c r="B27" s="458" t="s">
        <v>428</v>
      </c>
      <c r="C27" s="459">
        <v>226.69516025999999</v>
      </c>
      <c r="D27" s="460">
        <v>126.38663</v>
      </c>
      <c r="E27" s="460">
        <v>127.90208000000001</v>
      </c>
      <c r="F27" s="460">
        <v>179.02213</v>
      </c>
      <c r="G27" s="460">
        <v>74.076929300000018</v>
      </c>
      <c r="H27" s="460">
        <v>167.77968430000001</v>
      </c>
      <c r="I27" s="460">
        <v>376.41946200000001</v>
      </c>
      <c r="J27" s="460">
        <v>274.30494199999998</v>
      </c>
      <c r="K27" s="460">
        <v>163.15605521000001</v>
      </c>
      <c r="L27" s="460">
        <v>74.294236999999995</v>
      </c>
      <c r="M27" s="460">
        <v>248.25874899999999</v>
      </c>
      <c r="N27" s="460">
        <v>395.85076500000002</v>
      </c>
      <c r="O27" s="460">
        <v>294.87136200000003</v>
      </c>
      <c r="P27" s="460">
        <v>245.82747999999998</v>
      </c>
      <c r="Q27" s="395"/>
      <c r="R27" s="395"/>
      <c r="S27" s="395"/>
      <c r="T27" s="395"/>
      <c r="U27" s="395"/>
      <c r="V27" s="395"/>
    </row>
    <row r="28" spans="2:22">
      <c r="B28" s="458" t="s">
        <v>429</v>
      </c>
      <c r="C28" s="459">
        <v>415.90034695000003</v>
      </c>
      <c r="D28" s="460">
        <v>417.88866000000002</v>
      </c>
      <c r="E28" s="460">
        <v>417.17140000000001</v>
      </c>
      <c r="F28" s="460">
        <v>212.74708999999999</v>
      </c>
      <c r="G28" s="460">
        <v>206.71124674999999</v>
      </c>
      <c r="H28" s="460">
        <v>184.70904582</v>
      </c>
      <c r="I28" s="460">
        <v>212.24971600000001</v>
      </c>
      <c r="J28" s="460">
        <v>210.11859699999999</v>
      </c>
      <c r="K28" s="460">
        <v>205.58998</v>
      </c>
      <c r="L28" s="460">
        <v>194.456053</v>
      </c>
      <c r="M28" s="460">
        <v>201.742031</v>
      </c>
      <c r="N28" s="460">
        <v>136.36432400000001</v>
      </c>
      <c r="O28" s="460">
        <v>137.08743799999999</v>
      </c>
      <c r="P28" s="460">
        <v>129.56702100000001</v>
      </c>
      <c r="Q28" s="395"/>
      <c r="R28" s="395"/>
      <c r="S28" s="395"/>
      <c r="T28" s="395"/>
      <c r="U28" s="395"/>
      <c r="V28" s="395"/>
    </row>
    <row r="29" spans="2:22">
      <c r="B29" s="458" t="s">
        <v>430</v>
      </c>
      <c r="C29" s="459">
        <v>913.15664681002409</v>
      </c>
      <c r="D29" s="460">
        <v>994.44187999999997</v>
      </c>
      <c r="E29" s="460">
        <v>739.34384</v>
      </c>
      <c r="F29" s="460">
        <v>849.76189999999997</v>
      </c>
      <c r="G29" s="460">
        <v>970.71121672999993</v>
      </c>
      <c r="H29" s="460">
        <v>1666.66190977</v>
      </c>
      <c r="I29" s="460">
        <v>739.32284000000004</v>
      </c>
      <c r="J29" s="460">
        <v>2297.0734750000001</v>
      </c>
      <c r="K29" s="460">
        <v>1369.066593</v>
      </c>
      <c r="L29" s="460">
        <v>1882.3458179999998</v>
      </c>
      <c r="M29" s="460">
        <v>687.15079999999989</v>
      </c>
      <c r="N29" s="460">
        <v>669.55545600000005</v>
      </c>
      <c r="O29" s="460">
        <v>856.31318399999998</v>
      </c>
      <c r="P29" s="460">
        <v>1319.8271360000001</v>
      </c>
      <c r="Q29" s="395"/>
      <c r="R29" s="395"/>
      <c r="S29" s="395"/>
      <c r="T29" s="395"/>
      <c r="U29" s="395"/>
      <c r="V29" s="395"/>
    </row>
    <row r="30" spans="2:22">
      <c r="B30" s="461" t="s">
        <v>431</v>
      </c>
      <c r="C30" s="462">
        <v>1301.5666111099999</v>
      </c>
      <c r="D30" s="463">
        <v>1301.78611</v>
      </c>
      <c r="E30" s="463">
        <v>1301.8157200000001</v>
      </c>
      <c r="F30" s="463">
        <v>1301.6005299999999</v>
      </c>
      <c r="G30" s="463">
        <v>1301.5819444399999</v>
      </c>
      <c r="H30" s="463">
        <v>1303.02688889</v>
      </c>
      <c r="I30" s="463">
        <v>1303.2181109999999</v>
      </c>
      <c r="J30" s="463">
        <v>1428.063709</v>
      </c>
      <c r="K30" s="463">
        <v>1102.5319999999999</v>
      </c>
      <c r="L30" s="463">
        <v>1102.2795000000001</v>
      </c>
      <c r="M30" s="463">
        <v>1102.3983880000001</v>
      </c>
      <c r="N30" s="463">
        <v>1102.177944</v>
      </c>
      <c r="O30" s="463">
        <v>1402.6669999999999</v>
      </c>
      <c r="P30" s="463">
        <v>1502.8569230000001</v>
      </c>
      <c r="Q30" s="395"/>
      <c r="R30" s="395"/>
      <c r="S30" s="395"/>
      <c r="T30" s="395"/>
      <c r="U30" s="395"/>
      <c r="V30" s="395"/>
    </row>
    <row r="31" spans="2:22" ht="15">
      <c r="B31" s="445" t="s">
        <v>432</v>
      </c>
      <c r="C31" s="448">
        <f>SUM(C23:C30)</f>
        <v>137451.44617892004</v>
      </c>
      <c r="D31" s="442">
        <f>SUM(D23:D30)</f>
        <v>132813.72687999997</v>
      </c>
      <c r="E31" s="442">
        <f t="shared" ref="E31:P31" si="1">SUM(E23:E30)</f>
        <v>128938.79205000002</v>
      </c>
      <c r="F31" s="442">
        <f t="shared" si="1"/>
        <v>132243.25561000002</v>
      </c>
      <c r="G31" s="442">
        <f t="shared" si="1"/>
        <v>130953.09568983997</v>
      </c>
      <c r="H31" s="442">
        <f t="shared" si="1"/>
        <v>128081.72112089999</v>
      </c>
      <c r="I31" s="442">
        <f t="shared" si="1"/>
        <v>118880.3513002</v>
      </c>
      <c r="J31" s="442">
        <f t="shared" si="1"/>
        <v>120786.495616</v>
      </c>
      <c r="K31" s="442">
        <f t="shared" si="1"/>
        <v>115765.26050620999</v>
      </c>
      <c r="L31" s="442">
        <f t="shared" si="1"/>
        <v>111687.18237600001</v>
      </c>
      <c r="M31" s="442">
        <f t="shared" si="1"/>
        <v>108710.431641</v>
      </c>
      <c r="N31" s="442">
        <f t="shared" si="1"/>
        <v>107545.97148799998</v>
      </c>
      <c r="O31" s="442">
        <f t="shared" si="1"/>
        <v>106172.04741700001</v>
      </c>
      <c r="P31" s="442">
        <f t="shared" si="1"/>
        <v>101081.16518600001</v>
      </c>
      <c r="Q31" s="395"/>
      <c r="R31" s="395"/>
      <c r="S31" s="395"/>
      <c r="T31" s="395"/>
      <c r="U31" s="395"/>
      <c r="V31" s="395"/>
    </row>
    <row r="32" spans="2:22">
      <c r="B32" s="458"/>
      <c r="C32" s="459"/>
      <c r="D32" s="460"/>
      <c r="E32" s="460"/>
      <c r="F32" s="460"/>
      <c r="G32" s="460"/>
      <c r="H32" s="460"/>
      <c r="I32" s="460"/>
      <c r="J32" s="460"/>
      <c r="K32" s="460"/>
      <c r="L32" s="460"/>
      <c r="M32" s="460"/>
      <c r="N32" s="460"/>
      <c r="O32" s="460"/>
      <c r="P32" s="460"/>
      <c r="Q32" s="395"/>
      <c r="R32" s="395"/>
      <c r="S32" s="395"/>
      <c r="T32" s="395"/>
      <c r="U32" s="395"/>
      <c r="V32" s="395"/>
    </row>
    <row r="33" spans="2:22">
      <c r="B33" s="464" t="s">
        <v>516</v>
      </c>
      <c r="C33" s="459"/>
      <c r="D33" s="460"/>
      <c r="E33" s="460"/>
      <c r="F33" s="460"/>
      <c r="G33" s="460"/>
      <c r="H33" s="460"/>
      <c r="I33" s="460"/>
      <c r="J33" s="460"/>
      <c r="K33" s="460"/>
      <c r="L33" s="460"/>
      <c r="M33" s="460"/>
      <c r="N33" s="460"/>
      <c r="O33" s="460"/>
      <c r="P33" s="460"/>
      <c r="Q33" s="395"/>
      <c r="R33" s="395"/>
      <c r="S33" s="395"/>
      <c r="T33" s="395"/>
      <c r="U33" s="395"/>
      <c r="V33" s="395"/>
    </row>
    <row r="34" spans="2:22">
      <c r="B34" s="458" t="s">
        <v>433</v>
      </c>
      <c r="C34" s="459">
        <v>5791.4894927699997</v>
      </c>
      <c r="D34" s="460">
        <v>5791.4894899999999</v>
      </c>
      <c r="E34" s="460">
        <v>5791.4894899999999</v>
      </c>
      <c r="F34" s="460">
        <v>5791.4894899999999</v>
      </c>
      <c r="G34" s="460">
        <v>5791.4894927900004</v>
      </c>
      <c r="H34" s="460">
        <v>5791.4894927900004</v>
      </c>
      <c r="I34" s="460">
        <v>5791.489493</v>
      </c>
      <c r="J34" s="460">
        <v>5791.489493</v>
      </c>
      <c r="K34" s="460">
        <v>5791.4894927900004</v>
      </c>
      <c r="L34" s="460">
        <v>5791.4894927900004</v>
      </c>
      <c r="M34" s="460">
        <f>5765.976093+0.3</f>
        <v>5766.2760930000004</v>
      </c>
      <c r="N34" s="460">
        <v>5358.9993489999997</v>
      </c>
      <c r="O34" s="460">
        <v>5358.9993489999997</v>
      </c>
      <c r="P34" s="460">
        <v>5358.9993489999997</v>
      </c>
      <c r="Q34" s="395"/>
      <c r="R34" s="395"/>
      <c r="S34" s="395"/>
      <c r="T34" s="395"/>
      <c r="U34" s="395"/>
      <c r="V34" s="395"/>
    </row>
    <row r="35" spans="2:22">
      <c r="B35" s="458" t="s">
        <v>434</v>
      </c>
      <c r="C35" s="459">
        <v>847.76921630999993</v>
      </c>
      <c r="D35" s="460">
        <v>847.76922000000002</v>
      </c>
      <c r="E35" s="460">
        <v>847.76922000000002</v>
      </c>
      <c r="F35" s="465">
        <v>847.76922000000002</v>
      </c>
      <c r="G35" s="465">
        <v>847.76921631000005</v>
      </c>
      <c r="H35" s="465">
        <v>847.76921631000005</v>
      </c>
      <c r="I35" s="465">
        <v>847.76921700000003</v>
      </c>
      <c r="J35" s="460">
        <v>847.76921600000003</v>
      </c>
      <c r="K35" s="460">
        <v>847.76921631000005</v>
      </c>
      <c r="L35" s="460">
        <v>847.76921631000005</v>
      </c>
      <c r="M35" s="460">
        <v>830.10758899999996</v>
      </c>
      <c r="N35" s="460">
        <v>547.05940699999996</v>
      </c>
      <c r="O35" s="460">
        <v>547.05940699999996</v>
      </c>
      <c r="P35" s="460">
        <v>547.05940699999996</v>
      </c>
      <c r="Q35" s="395"/>
      <c r="R35" s="395"/>
      <c r="S35" s="395"/>
      <c r="T35" s="395"/>
      <c r="U35" s="395"/>
      <c r="V35" s="395"/>
    </row>
    <row r="36" spans="2:22">
      <c r="B36" s="458" t="s">
        <v>435</v>
      </c>
      <c r="C36" s="459">
        <v>3950.1396138299992</v>
      </c>
      <c r="D36" s="460">
        <v>3574.131652</v>
      </c>
      <c r="E36" s="460">
        <v>3269.398365</v>
      </c>
      <c r="F36" s="465">
        <v>3535.1155699999999</v>
      </c>
      <c r="G36" s="465">
        <f>3373.7488184-36.9</f>
        <v>3336.8488183999998</v>
      </c>
      <c r="H36" s="465">
        <v>3124.4054245212151</v>
      </c>
      <c r="I36" s="465">
        <v>2740.2512000000002</v>
      </c>
      <c r="J36" s="460">
        <v>3192.1535140000001</v>
      </c>
      <c r="K36" s="460">
        <v>3008.8889770000001</v>
      </c>
      <c r="L36" s="460">
        <v>2584.87628</v>
      </c>
      <c r="M36" s="460">
        <v>2112.09610737711</v>
      </c>
      <c r="N36" s="460">
        <v>2406.2656139999999</v>
      </c>
      <c r="O36" s="460">
        <v>2216.1226350000002</v>
      </c>
      <c r="P36" s="460">
        <v>1896.6767090000001</v>
      </c>
      <c r="Q36" s="395"/>
      <c r="R36" s="395"/>
      <c r="S36" s="395"/>
      <c r="T36" s="395"/>
      <c r="U36" s="395"/>
      <c r="V36" s="395"/>
    </row>
    <row r="37" spans="2:22">
      <c r="B37" s="458" t="s">
        <v>489</v>
      </c>
      <c r="C37" s="459">
        <v>352.12255855999996</v>
      </c>
      <c r="D37" s="460">
        <v>352.12255800000003</v>
      </c>
      <c r="E37" s="460">
        <v>554.82468900000003</v>
      </c>
      <c r="F37" s="465">
        <v>0</v>
      </c>
      <c r="G37" s="465">
        <v>0</v>
      </c>
      <c r="H37" s="465">
        <v>0</v>
      </c>
      <c r="I37" s="465">
        <v>662.54639299999997</v>
      </c>
      <c r="J37" s="460">
        <v>0</v>
      </c>
      <c r="K37" s="460">
        <v>0</v>
      </c>
      <c r="L37" s="460">
        <v>0</v>
      </c>
      <c r="M37" s="460">
        <v>477.21873068000002</v>
      </c>
      <c r="N37" s="460">
        <v>0</v>
      </c>
      <c r="O37" s="460">
        <v>0</v>
      </c>
      <c r="P37" s="460">
        <v>0</v>
      </c>
      <c r="Q37" s="395"/>
      <c r="R37" s="395"/>
      <c r="S37" s="395"/>
      <c r="T37" s="395"/>
      <c r="U37" s="395"/>
      <c r="V37" s="395"/>
    </row>
    <row r="38" spans="2:22">
      <c r="B38" s="458" t="s">
        <v>436</v>
      </c>
      <c r="C38" s="459">
        <v>4344.43258135</v>
      </c>
      <c r="D38" s="460">
        <v>4183.2640419999998</v>
      </c>
      <c r="E38" s="460">
        <v>4052.6503259999999</v>
      </c>
      <c r="F38" s="465">
        <v>4165.9900000000007</v>
      </c>
      <c r="G38" s="465">
        <f>4097.15947868-15.8</f>
        <v>4081.3594786799995</v>
      </c>
      <c r="H38" s="465">
        <v>3991.0910252887852</v>
      </c>
      <c r="I38" s="465">
        <v>3824.9973</v>
      </c>
      <c r="J38" s="460">
        <v>4078.7316319999995</v>
      </c>
      <c r="K38" s="460">
        <v>3997.4077990000001</v>
      </c>
      <c r="L38" s="460">
        <v>3892.5457820000001</v>
      </c>
      <c r="M38" s="460">
        <v>3689.6450758767501</v>
      </c>
      <c r="N38" s="460">
        <v>3825.9076570000002</v>
      </c>
      <c r="O38" s="460">
        <v>3734.5778610000002</v>
      </c>
      <c r="P38" s="460">
        <v>3581.1410550000001</v>
      </c>
      <c r="Q38" s="395"/>
      <c r="R38" s="395"/>
      <c r="S38" s="395"/>
      <c r="T38" s="395"/>
      <c r="U38" s="395"/>
      <c r="V38" s="395"/>
    </row>
    <row r="39" spans="2:22">
      <c r="B39" s="458" t="s">
        <v>439</v>
      </c>
      <c r="C39" s="459">
        <v>230.65231861000001</v>
      </c>
      <c r="D39" s="460">
        <v>230.65231800000001</v>
      </c>
      <c r="E39" s="460">
        <v>236.65231900000001</v>
      </c>
      <c r="F39" s="465">
        <v>0</v>
      </c>
      <c r="G39" s="465">
        <v>0</v>
      </c>
      <c r="H39" s="465">
        <v>0</v>
      </c>
      <c r="I39" s="465">
        <v>292.07714499999997</v>
      </c>
      <c r="J39" s="460">
        <v>0</v>
      </c>
      <c r="K39" s="460">
        <v>0</v>
      </c>
      <c r="L39" s="460">
        <v>0</v>
      </c>
      <c r="M39" s="460">
        <v>221.901596600169</v>
      </c>
      <c r="N39" s="460">
        <v>0</v>
      </c>
      <c r="O39" s="460">
        <v>0</v>
      </c>
      <c r="P39" s="460">
        <v>0</v>
      </c>
      <c r="Q39" s="395"/>
      <c r="R39" s="395"/>
      <c r="S39" s="395"/>
      <c r="T39" s="395"/>
      <c r="U39" s="395"/>
      <c r="V39" s="395"/>
    </row>
    <row r="40" spans="2:22">
      <c r="B40" s="458" t="s">
        <v>438</v>
      </c>
      <c r="C40" s="459">
        <v>23.892459890000001</v>
      </c>
      <c r="D40" s="460">
        <v>28.696660000000001</v>
      </c>
      <c r="E40" s="460">
        <v>29.296659999999999</v>
      </c>
      <c r="F40" s="465">
        <v>30.43666</v>
      </c>
      <c r="G40" s="465">
        <v>31.936659890000001</v>
      </c>
      <c r="H40" s="465">
        <v>31.93666</v>
      </c>
      <c r="I40" s="465">
        <v>12.411659999999998</v>
      </c>
      <c r="J40" s="460">
        <v>12.96166</v>
      </c>
      <c r="K40" s="460">
        <v>14.46165989</v>
      </c>
      <c r="L40" s="460">
        <v>14.56165989</v>
      </c>
      <c r="M40" s="460">
        <v>14.661659999999999</v>
      </c>
      <c r="N40" s="460">
        <v>16.509160000000001</v>
      </c>
      <c r="O40" s="460">
        <v>19.009160000000001</v>
      </c>
      <c r="P40" s="460">
        <v>19.237159999999999</v>
      </c>
      <c r="Q40" s="395"/>
      <c r="R40" s="395"/>
      <c r="S40" s="395"/>
      <c r="T40" s="395"/>
      <c r="U40" s="395"/>
      <c r="V40" s="395"/>
    </row>
    <row r="41" spans="2:22">
      <c r="B41" s="458" t="s">
        <v>437</v>
      </c>
      <c r="C41" s="459">
        <v>166.22169815999999</v>
      </c>
      <c r="D41" s="460">
        <v>166.2217</v>
      </c>
      <c r="E41" s="460">
        <v>166.2217</v>
      </c>
      <c r="F41" s="465">
        <v>166.2217</v>
      </c>
      <c r="G41" s="465">
        <v>166.22169815999999</v>
      </c>
      <c r="H41" s="465">
        <v>166.22169815999999</v>
      </c>
      <c r="I41" s="465">
        <v>166.15294900000001</v>
      </c>
      <c r="J41" s="460">
        <v>166.221698</v>
      </c>
      <c r="K41" s="460">
        <v>166.22169815999999</v>
      </c>
      <c r="L41" s="460">
        <v>166.221698</v>
      </c>
      <c r="M41" s="460">
        <v>166.15377000000001</v>
      </c>
      <c r="N41" s="460">
        <v>166.22251800000001</v>
      </c>
      <c r="O41" s="460">
        <v>166.22251800000001</v>
      </c>
      <c r="P41" s="460">
        <v>166.15294900000001</v>
      </c>
      <c r="Q41" s="395"/>
      <c r="R41" s="395"/>
      <c r="S41" s="395"/>
      <c r="T41" s="395"/>
      <c r="U41" s="395"/>
      <c r="V41" s="395"/>
    </row>
    <row r="42" spans="2:22">
      <c r="B42" s="458" t="s">
        <v>440</v>
      </c>
      <c r="C42" s="459">
        <v>408.22992199999993</v>
      </c>
      <c r="D42" s="460">
        <v>360.53138000000001</v>
      </c>
      <c r="E42" s="460">
        <v>319.890423</v>
      </c>
      <c r="F42" s="465">
        <v>359.61671999999999</v>
      </c>
      <c r="G42" s="465">
        <v>351.37818499999997</v>
      </c>
      <c r="H42" s="465">
        <v>321.75502799999998</v>
      </c>
      <c r="I42" s="465">
        <v>334.45811600000002</v>
      </c>
      <c r="J42" s="460">
        <v>303.28629599999999</v>
      </c>
      <c r="K42" s="460">
        <v>284.78418599999998</v>
      </c>
      <c r="L42" s="460">
        <v>273.54773499999999</v>
      </c>
      <c r="M42" s="460">
        <v>253</v>
      </c>
      <c r="N42" s="460">
        <v>263</v>
      </c>
      <c r="O42" s="460">
        <v>279.25554</v>
      </c>
      <c r="P42" s="460">
        <v>274.35565800000001</v>
      </c>
      <c r="Q42" s="395"/>
      <c r="R42" s="395"/>
      <c r="S42" s="395"/>
      <c r="T42" s="395"/>
      <c r="U42" s="395"/>
      <c r="V42" s="395"/>
    </row>
    <row r="43" spans="2:22">
      <c r="B43" s="458" t="s">
        <v>441</v>
      </c>
      <c r="C43" s="459">
        <v>650</v>
      </c>
      <c r="D43" s="460">
        <v>650</v>
      </c>
      <c r="E43" s="460">
        <v>650</v>
      </c>
      <c r="F43" s="465">
        <v>650</v>
      </c>
      <c r="G43" s="465">
        <v>650</v>
      </c>
      <c r="H43" s="465">
        <v>300</v>
      </c>
      <c r="I43" s="465">
        <v>300.00475699999998</v>
      </c>
      <c r="J43" s="460">
        <v>493.44836600000002</v>
      </c>
      <c r="K43" s="460">
        <v>200</v>
      </c>
      <c r="L43" s="460">
        <v>200</v>
      </c>
      <c r="M43" s="460">
        <v>400</v>
      </c>
      <c r="N43" s="460">
        <v>400</v>
      </c>
      <c r="O43" s="460">
        <v>400</v>
      </c>
      <c r="P43" s="460">
        <v>400</v>
      </c>
      <c r="Q43" s="395"/>
      <c r="R43" s="395"/>
      <c r="S43" s="395"/>
      <c r="T43" s="395"/>
      <c r="U43" s="395"/>
      <c r="V43" s="395"/>
    </row>
    <row r="44" spans="2:22">
      <c r="B44" s="458" t="s">
        <v>442</v>
      </c>
      <c r="C44" s="459">
        <v>914.04033425</v>
      </c>
      <c r="D44" s="460">
        <v>1009.9652240199999</v>
      </c>
      <c r="E44" s="460">
        <v>1104</v>
      </c>
      <c r="F44" s="465">
        <v>995.66836999999998</v>
      </c>
      <c r="G44" s="465">
        <f>894.63843945-17.8</f>
        <v>876.83843945000001</v>
      </c>
      <c r="H44" s="465">
        <v>820.40357730000005</v>
      </c>
      <c r="I44" s="465">
        <f>835-18</f>
        <v>817</v>
      </c>
      <c r="J44" s="460">
        <v>794.58731</v>
      </c>
      <c r="K44" s="460">
        <f>731.973363-54</f>
        <v>677.97336299999995</v>
      </c>
      <c r="L44" s="460">
        <f>787-52</f>
        <v>735</v>
      </c>
      <c r="M44" s="460">
        <f>775.866806-48</f>
        <v>727.866806</v>
      </c>
      <c r="N44" s="460">
        <f>734.4680735-40</f>
        <v>694.46807349999995</v>
      </c>
      <c r="O44" s="460">
        <f>642.636374-37</f>
        <v>605.63637400000005</v>
      </c>
      <c r="P44" s="460">
        <f>740-34</f>
        <v>706</v>
      </c>
      <c r="Q44" s="395"/>
      <c r="R44" s="395"/>
      <c r="S44" s="395"/>
      <c r="T44" s="395"/>
      <c r="U44" s="395"/>
      <c r="V44" s="395"/>
    </row>
    <row r="45" spans="2:22">
      <c r="B45" s="461" t="s">
        <v>443</v>
      </c>
      <c r="C45" s="462">
        <v>112.42981</v>
      </c>
      <c r="D45" s="463">
        <v>109.570846</v>
      </c>
      <c r="E45" s="463">
        <v>113.26664</v>
      </c>
      <c r="F45" s="463">
        <v>112.57595999999999</v>
      </c>
      <c r="G45" s="463">
        <v>110.50827200000001</v>
      </c>
      <c r="H45" s="463">
        <v>108.83542270000001</v>
      </c>
      <c r="I45" s="463">
        <v>113.514532</v>
      </c>
      <c r="J45" s="463">
        <v>100.881528</v>
      </c>
      <c r="K45" s="463">
        <v>100.21979899999999</v>
      </c>
      <c r="L45" s="463">
        <v>98.409527999999995</v>
      </c>
      <c r="M45" s="463">
        <v>102.476</v>
      </c>
      <c r="N45" s="463">
        <v>94.432304000000002</v>
      </c>
      <c r="O45" s="463">
        <v>92.616168999999999</v>
      </c>
      <c r="P45" s="463">
        <v>57.376956999999997</v>
      </c>
      <c r="Q45" s="395"/>
      <c r="R45" s="395"/>
      <c r="S45" s="395"/>
      <c r="T45" s="395"/>
      <c r="U45" s="395"/>
      <c r="V45" s="395"/>
    </row>
    <row r="46" spans="2:22" ht="15">
      <c r="B46" s="445" t="s">
        <v>186</v>
      </c>
      <c r="C46" s="448">
        <f>SUM(C34:C45)</f>
        <v>17791.42000573</v>
      </c>
      <c r="D46" s="442">
        <f>SUM(D34:D45)</f>
        <v>17304.41509002</v>
      </c>
      <c r="E46" s="442">
        <f t="shared" ref="E46:P46" si="2">SUM(E34:E45)</f>
        <v>17135.459832</v>
      </c>
      <c r="F46" s="442">
        <f t="shared" si="2"/>
        <v>16654.883689999999</v>
      </c>
      <c r="G46" s="442">
        <f t="shared" si="2"/>
        <v>16244.350260679998</v>
      </c>
      <c r="H46" s="442">
        <f t="shared" si="2"/>
        <v>15503.907545069998</v>
      </c>
      <c r="I46" s="442">
        <f t="shared" si="2"/>
        <v>15902.672761999998</v>
      </c>
      <c r="J46" s="442">
        <f t="shared" si="2"/>
        <v>15781.530713</v>
      </c>
      <c r="K46" s="442">
        <f t="shared" si="2"/>
        <v>15089.216191150001</v>
      </c>
      <c r="L46" s="442">
        <f t="shared" si="2"/>
        <v>14604.421391989999</v>
      </c>
      <c r="M46" s="442">
        <f t="shared" si="2"/>
        <v>14761.403428534031</v>
      </c>
      <c r="N46" s="442">
        <f t="shared" si="2"/>
        <v>13772.864082499998</v>
      </c>
      <c r="O46" s="442">
        <f t="shared" si="2"/>
        <v>13419.499013000001</v>
      </c>
      <c r="P46" s="442">
        <f t="shared" si="2"/>
        <v>13006.999244000001</v>
      </c>
      <c r="Q46" s="395"/>
      <c r="R46" s="395"/>
      <c r="S46" s="395"/>
      <c r="T46" s="395"/>
      <c r="U46" s="395"/>
      <c r="V46" s="395"/>
    </row>
    <row r="47" spans="2:22">
      <c r="B47" s="461"/>
      <c r="C47" s="462"/>
      <c r="D47" s="463"/>
      <c r="E47" s="463"/>
      <c r="F47" s="463"/>
      <c r="G47" s="463"/>
      <c r="H47" s="463"/>
      <c r="I47" s="463"/>
      <c r="J47" s="463"/>
      <c r="K47" s="463"/>
      <c r="L47" s="463"/>
      <c r="M47" s="463"/>
      <c r="N47" s="463"/>
      <c r="O47" s="463"/>
      <c r="P47" s="463"/>
      <c r="Q47" s="395"/>
      <c r="R47" s="395"/>
      <c r="S47" s="395"/>
      <c r="T47" s="395"/>
      <c r="U47" s="395"/>
      <c r="V47" s="395"/>
    </row>
    <row r="48" spans="2:22" ht="15">
      <c r="B48" s="445" t="s">
        <v>444</v>
      </c>
      <c r="C48" s="448">
        <f>C46+C31</f>
        <v>155242.86618465005</v>
      </c>
      <c r="D48" s="442">
        <f>D46+D31</f>
        <v>150118.14197001996</v>
      </c>
      <c r="E48" s="442">
        <f t="shared" ref="E48:P48" si="3">E46+E31</f>
        <v>146074.25188200001</v>
      </c>
      <c r="F48" s="442">
        <f t="shared" si="3"/>
        <v>148898.13930000001</v>
      </c>
      <c r="G48" s="442">
        <f t="shared" si="3"/>
        <v>147197.44595051996</v>
      </c>
      <c r="H48" s="442">
        <f t="shared" si="3"/>
        <v>143585.62866597</v>
      </c>
      <c r="I48" s="442">
        <f t="shared" si="3"/>
        <v>134783.02406219998</v>
      </c>
      <c r="J48" s="442">
        <f t="shared" si="3"/>
        <v>136568.02632900001</v>
      </c>
      <c r="K48" s="442">
        <f t="shared" si="3"/>
        <v>130854.47669735999</v>
      </c>
      <c r="L48" s="442">
        <f t="shared" si="3"/>
        <v>126291.60376799002</v>
      </c>
      <c r="M48" s="442">
        <f t="shared" si="3"/>
        <v>123471.83506953403</v>
      </c>
      <c r="N48" s="442">
        <f t="shared" si="3"/>
        <v>121318.83557049998</v>
      </c>
      <c r="O48" s="442">
        <f t="shared" si="3"/>
        <v>119591.54643000002</v>
      </c>
      <c r="P48" s="442">
        <f t="shared" si="3"/>
        <v>114088.16443000002</v>
      </c>
      <c r="Q48" s="395"/>
      <c r="R48" s="395"/>
      <c r="S48" s="395"/>
      <c r="T48" s="395"/>
      <c r="U48" s="395"/>
      <c r="V48" s="395"/>
    </row>
    <row r="49" spans="3:21">
      <c r="C49" s="395"/>
      <c r="D49" s="395"/>
      <c r="E49" s="395"/>
      <c r="F49" s="395"/>
      <c r="G49" s="395"/>
      <c r="H49" s="395"/>
      <c r="I49" s="395"/>
      <c r="J49" s="395"/>
      <c r="K49" s="395"/>
      <c r="L49" s="395"/>
      <c r="M49" s="395"/>
      <c r="N49" s="395"/>
      <c r="O49" s="395"/>
      <c r="P49" s="395"/>
      <c r="Q49" s="395"/>
      <c r="R49" s="395"/>
      <c r="S49" s="395"/>
      <c r="T49" s="395"/>
      <c r="U49" s="395"/>
    </row>
    <row r="51" spans="3:21">
      <c r="C51" s="449"/>
      <c r="D51" s="449"/>
      <c r="E51" s="449"/>
      <c r="F51" s="449"/>
      <c r="G51" s="449"/>
      <c r="H51" s="449"/>
      <c r="I51" s="449"/>
      <c r="J51" s="449"/>
      <c r="K51" s="449"/>
      <c r="L51" s="449"/>
      <c r="M51" s="449"/>
      <c r="N51" s="449"/>
      <c r="O51" s="449"/>
    </row>
    <row r="53" spans="3:21">
      <c r="C53" s="449"/>
      <c r="D53" s="449"/>
      <c r="E53" s="449"/>
      <c r="F53" s="449"/>
      <c r="G53" s="449"/>
      <c r="H53" s="449"/>
      <c r="I53" s="449"/>
      <c r="J53" s="449"/>
      <c r="K53" s="449"/>
      <c r="L53" s="449"/>
      <c r="M53" s="449"/>
      <c r="N53" s="449"/>
      <c r="O53" s="449"/>
    </row>
    <row r="54" spans="3:21">
      <c r="C54" s="449"/>
      <c r="D54" s="449"/>
      <c r="E54" s="449"/>
      <c r="F54" s="449"/>
      <c r="G54" s="449"/>
      <c r="H54" s="449"/>
      <c r="I54" s="449"/>
      <c r="J54" s="449"/>
      <c r="K54" s="449"/>
      <c r="L54" s="449"/>
      <c r="M54" s="449"/>
      <c r="N54" s="449"/>
      <c r="O54" s="449"/>
    </row>
    <row r="55" spans="3:21">
      <c r="C55" s="449"/>
      <c r="D55" s="449"/>
      <c r="E55" s="449"/>
      <c r="F55" s="449"/>
      <c r="G55" s="449"/>
      <c r="H55" s="449"/>
      <c r="I55" s="449"/>
      <c r="J55" s="449"/>
      <c r="K55" s="449"/>
      <c r="L55" s="449"/>
      <c r="M55" s="449"/>
      <c r="N55" s="449"/>
      <c r="O55" s="449"/>
    </row>
  </sheetData>
  <pageMargins left="0.7" right="0.7" top="0.75" bottom="0.75" header="0.3" footer="0.3"/>
  <pageSetup paperSize="9" orientation="portrait" horizontalDpi="144" verticalDpi="14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7790-A7D6-4D8B-8712-97C809D44519}">
  <dimension ref="A2:P67"/>
  <sheetViews>
    <sheetView showGridLines="0" zoomScale="90" zoomScaleNormal="90" workbookViewId="0">
      <pane ySplit="7" topLeftCell="A8" activePane="bottomLeft" state="frozen"/>
      <selection pane="bottomLeft" activeCell="A87" sqref="A87"/>
    </sheetView>
  </sheetViews>
  <sheetFormatPr baseColWidth="10" defaultColWidth="11.42578125" defaultRowHeight="12.75"/>
  <cols>
    <col min="1" max="1" width="5" customWidth="1"/>
    <col min="2" max="2" width="83.85546875" customWidth="1"/>
  </cols>
  <sheetData>
    <row r="2" spans="1:16" ht="15">
      <c r="A2" s="20" t="s">
        <v>492</v>
      </c>
      <c r="B2" s="21"/>
    </row>
    <row r="5" spans="1:16">
      <c r="B5" s="406"/>
      <c r="C5" s="150" t="s">
        <v>289</v>
      </c>
      <c r="D5" s="406" t="s">
        <v>290</v>
      </c>
      <c r="E5" s="406" t="s">
        <v>287</v>
      </c>
      <c r="F5" s="406" t="s">
        <v>288</v>
      </c>
      <c r="G5" s="406" t="s">
        <v>289</v>
      </c>
      <c r="H5" s="406" t="s">
        <v>290</v>
      </c>
      <c r="I5" s="406" t="s">
        <v>287</v>
      </c>
      <c r="J5" s="406" t="s">
        <v>288</v>
      </c>
      <c r="K5" s="406" t="s">
        <v>289</v>
      </c>
      <c r="L5" s="406" t="s">
        <v>290</v>
      </c>
      <c r="M5" s="406" t="s">
        <v>287</v>
      </c>
      <c r="N5" s="406" t="s">
        <v>288</v>
      </c>
      <c r="O5" s="406" t="s">
        <v>289</v>
      </c>
      <c r="P5" s="406" t="s">
        <v>290</v>
      </c>
    </row>
    <row r="6" spans="1:16">
      <c r="B6" s="407"/>
      <c r="C6" s="151">
        <v>2021</v>
      </c>
      <c r="D6" s="407">
        <v>2021</v>
      </c>
      <c r="E6" s="407">
        <v>2020</v>
      </c>
      <c r="F6" s="407">
        <v>2020</v>
      </c>
      <c r="G6" s="407">
        <v>2020</v>
      </c>
      <c r="H6" s="407">
        <v>2020</v>
      </c>
      <c r="I6" s="407">
        <v>2019</v>
      </c>
      <c r="J6" s="407">
        <v>2019</v>
      </c>
      <c r="K6" s="407">
        <v>2019</v>
      </c>
      <c r="L6" s="407">
        <v>2019</v>
      </c>
      <c r="M6" s="407">
        <v>2018</v>
      </c>
      <c r="N6" s="407">
        <v>2018</v>
      </c>
      <c r="O6" s="407">
        <v>2018</v>
      </c>
      <c r="P6" s="407">
        <v>2018</v>
      </c>
    </row>
    <row r="7" spans="1:16">
      <c r="B7" s="408" t="s">
        <v>445</v>
      </c>
      <c r="C7" s="426">
        <v>17791.42000573</v>
      </c>
      <c r="D7" s="409">
        <v>17304</v>
      </c>
      <c r="E7" s="409">
        <v>17135</v>
      </c>
      <c r="F7" s="409">
        <v>16655</v>
      </c>
      <c r="G7" s="409">
        <v>16244.309692139999</v>
      </c>
      <c r="H7" s="409">
        <v>15503.969579549999</v>
      </c>
      <c r="I7" s="409">
        <v>15903</v>
      </c>
      <c r="J7" s="409">
        <v>15782</v>
      </c>
      <c r="K7" s="409">
        <v>15088.84546773</v>
      </c>
      <c r="L7" s="409">
        <v>14604.361196650001</v>
      </c>
      <c r="M7" s="409">
        <v>14762.313418040003</v>
      </c>
      <c r="N7" s="409">
        <v>13772.794400500001</v>
      </c>
      <c r="O7" s="409">
        <v>13419.826436819998</v>
      </c>
      <c r="P7" s="409">
        <v>13006.901985659999</v>
      </c>
    </row>
    <row r="8" spans="1:16">
      <c r="B8" s="410"/>
      <c r="C8" s="427"/>
      <c r="D8" s="411"/>
      <c r="E8" s="411"/>
      <c r="F8" s="411"/>
      <c r="G8" s="411"/>
      <c r="H8" s="411"/>
      <c r="I8" s="411"/>
      <c r="J8" s="411"/>
      <c r="K8" s="411"/>
      <c r="L8" s="411"/>
      <c r="M8" s="411"/>
      <c r="N8" s="411"/>
      <c r="O8" s="411"/>
      <c r="P8" s="411"/>
    </row>
    <row r="9" spans="1:16">
      <c r="B9" s="410" t="s">
        <v>446</v>
      </c>
      <c r="C9" s="427"/>
      <c r="D9" s="412"/>
      <c r="E9" s="412"/>
      <c r="F9" s="412"/>
      <c r="G9" s="412"/>
      <c r="H9" s="412"/>
      <c r="I9" s="412"/>
      <c r="J9" s="412"/>
      <c r="K9" s="412"/>
      <c r="L9" s="412"/>
      <c r="M9" s="412"/>
      <c r="N9" s="412"/>
      <c r="O9" s="412"/>
      <c r="P9" s="412"/>
    </row>
    <row r="10" spans="1:16">
      <c r="B10" s="413" t="s">
        <v>447</v>
      </c>
      <c r="C10" s="428">
        <v>-468.89739742000108</v>
      </c>
      <c r="D10" s="412">
        <v>-215</v>
      </c>
      <c r="E10" s="412">
        <v>-791</v>
      </c>
      <c r="F10" s="412">
        <v>-562</v>
      </c>
      <c r="G10" s="412">
        <v>-346.81306887999995</v>
      </c>
      <c r="H10" s="412">
        <v>-99.339878520000013</v>
      </c>
      <c r="I10" s="412">
        <v>-955</v>
      </c>
      <c r="J10" s="412">
        <v>-817</v>
      </c>
      <c r="K10" s="412">
        <v>-612.31566773000009</v>
      </c>
      <c r="L10" s="412">
        <v>-377.78693430999994</v>
      </c>
      <c r="M10" s="412">
        <v>-705.09759835999989</v>
      </c>
      <c r="N10" s="412">
        <v>-545.8739275800001</v>
      </c>
      <c r="O10" s="412">
        <v>-364.99105109000004</v>
      </c>
      <c r="P10" s="412">
        <v>-156.96264959000001</v>
      </c>
    </row>
    <row r="11" spans="1:16">
      <c r="B11" s="413" t="s">
        <v>448</v>
      </c>
      <c r="C11" s="428">
        <v>-650</v>
      </c>
      <c r="D11" s="412">
        <v>-650</v>
      </c>
      <c r="E11" s="412">
        <v>-650</v>
      </c>
      <c r="F11" s="412">
        <v>-650</v>
      </c>
      <c r="G11" s="412">
        <v>-650</v>
      </c>
      <c r="H11" s="412">
        <v>-300</v>
      </c>
      <c r="I11" s="412">
        <v>-300</v>
      </c>
      <c r="J11" s="412">
        <v>-493</v>
      </c>
      <c r="K11" s="412">
        <v>-200</v>
      </c>
      <c r="L11" s="412">
        <v>-200</v>
      </c>
      <c r="M11" s="412">
        <v>-400</v>
      </c>
      <c r="N11" s="412">
        <v>-400</v>
      </c>
      <c r="O11" s="412">
        <v>-400</v>
      </c>
      <c r="P11" s="412">
        <v>-400</v>
      </c>
    </row>
    <row r="12" spans="1:16">
      <c r="B12" s="414" t="s">
        <v>449</v>
      </c>
      <c r="C12" s="428">
        <v>-73.32800566001967</v>
      </c>
      <c r="D12" s="412">
        <v>-70</v>
      </c>
      <c r="E12" s="412">
        <v>-74</v>
      </c>
      <c r="F12" s="412">
        <v>-74</v>
      </c>
      <c r="G12" s="412">
        <v>-71.01619253276337</v>
      </c>
      <c r="H12" s="412">
        <v>-68.106350418620735</v>
      </c>
      <c r="I12" s="412">
        <v>-60</v>
      </c>
      <c r="J12" s="412">
        <v>-59</v>
      </c>
      <c r="K12" s="412">
        <v>-58.800967733456865</v>
      </c>
      <c r="L12" s="412">
        <v>-53.93528445618724</v>
      </c>
      <c r="M12" s="412">
        <v>-57.704292789962267</v>
      </c>
      <c r="N12" s="412">
        <v>-8.4905819499999993</v>
      </c>
      <c r="O12" s="412">
        <v>-9.1685087000000038</v>
      </c>
      <c r="P12" s="412">
        <v>-17.260120712677079</v>
      </c>
    </row>
    <row r="13" spans="1:16">
      <c r="B13" s="414" t="s">
        <v>450</v>
      </c>
      <c r="C13" s="428">
        <v>14.758065999999999</v>
      </c>
      <c r="D13" s="412">
        <v>17</v>
      </c>
      <c r="E13" s="412">
        <v>17</v>
      </c>
      <c r="F13" s="412">
        <v>18</v>
      </c>
      <c r="G13" s="412">
        <v>14.697101</v>
      </c>
      <c r="H13" s="412">
        <v>-29.172188999999999</v>
      </c>
      <c r="I13" s="412">
        <v>25</v>
      </c>
      <c r="J13" s="412">
        <v>38</v>
      </c>
      <c r="K13" s="412">
        <v>35.617061999999997</v>
      </c>
      <c r="L13" s="412">
        <v>33.789335000000001</v>
      </c>
      <c r="M13" s="412">
        <v>20.469172</v>
      </c>
      <c r="N13" s="412">
        <v>40.293514999999999</v>
      </c>
      <c r="O13" s="412">
        <v>43.590032000000001</v>
      </c>
      <c r="P13" s="412">
        <v>46.8091725695067</v>
      </c>
    </row>
    <row r="14" spans="1:16">
      <c r="B14" s="414" t="s">
        <v>423</v>
      </c>
      <c r="C14" s="428">
        <v>-480.03266998000004</v>
      </c>
      <c r="D14" s="412">
        <v>-482</v>
      </c>
      <c r="E14" s="412">
        <v>-461</v>
      </c>
      <c r="F14" s="412">
        <v>-452</v>
      </c>
      <c r="G14" s="412">
        <v>-460.53923550999997</v>
      </c>
      <c r="H14" s="412">
        <v>-471.11373408000003</v>
      </c>
      <c r="I14" s="412">
        <v>-420</v>
      </c>
      <c r="J14" s="412">
        <v>-401</v>
      </c>
      <c r="K14" s="412">
        <v>-403.70694225</v>
      </c>
      <c r="L14" s="412">
        <v>-405.67993274999998</v>
      </c>
      <c r="M14" s="412">
        <v>-395.25335174999998</v>
      </c>
      <c r="N14" s="412">
        <v>-415.75892599999997</v>
      </c>
      <c r="O14" s="412">
        <v>-406.37406099999998</v>
      </c>
      <c r="P14" s="412">
        <v>-366.96337979000003</v>
      </c>
    </row>
    <row r="15" spans="1:16">
      <c r="B15" s="413" t="s">
        <v>451</v>
      </c>
      <c r="C15" s="428">
        <v>-298.71344599999998</v>
      </c>
      <c r="D15" s="412">
        <v>-338</v>
      </c>
      <c r="E15" s="412">
        <v>-278</v>
      </c>
      <c r="F15" s="412">
        <v>-288</v>
      </c>
      <c r="G15" s="412">
        <v>-254.54170199999999</v>
      </c>
      <c r="H15" s="412">
        <v>-329.716184</v>
      </c>
      <c r="I15" s="412">
        <v>-441</v>
      </c>
      <c r="J15" s="412">
        <v>-408</v>
      </c>
      <c r="K15" s="412">
        <v>-392.19646899999998</v>
      </c>
      <c r="L15" s="412">
        <v>-369.43411800000001</v>
      </c>
      <c r="M15" s="412">
        <v>-311.07254499999999</v>
      </c>
      <c r="N15" s="412">
        <v>-191.22640799999999</v>
      </c>
      <c r="O15" s="412">
        <v>-174.12935400000001</v>
      </c>
      <c r="P15" s="412">
        <v>-208.0407772392</v>
      </c>
    </row>
    <row r="16" spans="1:16">
      <c r="B16" s="413" t="s">
        <v>452</v>
      </c>
      <c r="C16" s="428">
        <v>-222.10686999999999</v>
      </c>
      <c r="D16" s="412">
        <v>-387</v>
      </c>
      <c r="E16" s="412">
        <v>-539</v>
      </c>
      <c r="F16" s="412">
        <v>-481</v>
      </c>
      <c r="G16" s="412">
        <v>-439.89979899999997</v>
      </c>
      <c r="H16" s="412">
        <v>-367.92282399999999</v>
      </c>
      <c r="I16" s="412">
        <v>-292</v>
      </c>
      <c r="J16" s="412">
        <v>-292</v>
      </c>
      <c r="K16" s="412">
        <v>-350.11274100000003</v>
      </c>
      <c r="L16" s="412">
        <v>-409.40793100000002</v>
      </c>
      <c r="M16" s="412">
        <v>-325.93778700000001</v>
      </c>
      <c r="N16" s="412">
        <v>-298.83286700000002</v>
      </c>
      <c r="O16" s="412">
        <v>-193.46922499999999</v>
      </c>
      <c r="P16" s="412">
        <v>-202.21417611344995</v>
      </c>
    </row>
    <row r="17" spans="2:16">
      <c r="B17" s="413" t="s">
        <v>453</v>
      </c>
      <c r="C17" s="428">
        <v>-40.767139072435597</v>
      </c>
      <c r="D17" s="412">
        <v>-40</v>
      </c>
      <c r="E17" s="412">
        <v>-36</v>
      </c>
      <c r="F17" s="412">
        <v>-39</v>
      </c>
      <c r="G17" s="412">
        <v>-37.462444664419294</v>
      </c>
      <c r="H17" s="412">
        <v>-35.303351582362005</v>
      </c>
      <c r="I17" s="412">
        <v>-33</v>
      </c>
      <c r="J17" s="412">
        <v>-25</v>
      </c>
      <c r="K17" s="412">
        <v>-27.054808325750002</v>
      </c>
      <c r="L17" s="412">
        <v>-26.982502582000002</v>
      </c>
      <c r="M17" s="412">
        <v>-26.950457590630005</v>
      </c>
      <c r="N17" s="412">
        <v>-32.817639019463634</v>
      </c>
      <c r="O17" s="412">
        <v>-32.690712606060231</v>
      </c>
      <c r="P17" s="412">
        <v>-32.079589487150002</v>
      </c>
    </row>
    <row r="18" spans="2:16">
      <c r="B18" s="415" t="s">
        <v>454</v>
      </c>
      <c r="C18" s="156">
        <v>-716.71004954000011</v>
      </c>
      <c r="D18" s="41">
        <v>-719</v>
      </c>
      <c r="E18" s="41">
        <v>12</v>
      </c>
      <c r="F18" s="41">
        <v>15</v>
      </c>
      <c r="G18" s="41">
        <v>16.066314649999999</v>
      </c>
      <c r="H18" s="41">
        <v>14.77248329</v>
      </c>
      <c r="I18" s="41">
        <v>3</v>
      </c>
      <c r="J18" s="41">
        <v>6</v>
      </c>
      <c r="K18" s="41">
        <v>6.3773488424999991</v>
      </c>
      <c r="L18" s="41">
        <v>6.1811910000000001</v>
      </c>
      <c r="M18" s="41">
        <v>5.5878284999999996</v>
      </c>
      <c r="N18" s="41">
        <v>2.0473349999999999</v>
      </c>
      <c r="O18" s="41">
        <v>4.3002849999999997</v>
      </c>
      <c r="P18" s="41">
        <v>2.9683141050000001</v>
      </c>
    </row>
    <row r="19" spans="2:16">
      <c r="B19" s="410" t="s">
        <v>446</v>
      </c>
      <c r="C19" s="429">
        <v>14855.622494057541</v>
      </c>
      <c r="D19" s="416">
        <v>14421</v>
      </c>
      <c r="E19" s="416">
        <v>14335</v>
      </c>
      <c r="F19" s="416">
        <v>14142</v>
      </c>
      <c r="G19" s="416">
        <v>14014.800665202816</v>
      </c>
      <c r="H19" s="416">
        <v>13818.067551239015</v>
      </c>
      <c r="I19" s="416">
        <v>13430</v>
      </c>
      <c r="J19" s="416">
        <v>13330</v>
      </c>
      <c r="K19" s="416">
        <v>13086.652282533289</v>
      </c>
      <c r="L19" s="416">
        <v>12801.105019551816</v>
      </c>
      <c r="M19" s="416">
        <v>12566.35438604941</v>
      </c>
      <c r="N19" s="416">
        <v>11922.134900950536</v>
      </c>
      <c r="O19" s="416">
        <v>11886.893841423935</v>
      </c>
      <c r="P19" s="416">
        <v>11673.158779402031</v>
      </c>
    </row>
    <row r="20" spans="2:16">
      <c r="B20" s="417"/>
      <c r="C20" s="430"/>
      <c r="D20" s="412"/>
      <c r="E20" s="412"/>
      <c r="F20" s="412"/>
      <c r="G20" s="412"/>
      <c r="H20" s="412"/>
      <c r="I20" s="412"/>
      <c r="J20" s="412"/>
      <c r="K20" s="412"/>
      <c r="L20" s="412"/>
      <c r="M20" s="412"/>
      <c r="N20" s="412"/>
      <c r="O20" s="412"/>
      <c r="P20" s="412"/>
    </row>
    <row r="21" spans="2:16">
      <c r="B21" s="410" t="s">
        <v>455</v>
      </c>
      <c r="C21" s="427"/>
      <c r="D21" s="412"/>
      <c r="E21" s="412"/>
      <c r="F21" s="412"/>
      <c r="G21" s="412"/>
      <c r="H21" s="412"/>
      <c r="I21" s="412"/>
      <c r="J21" s="412"/>
      <c r="K21" s="412"/>
      <c r="L21" s="412"/>
      <c r="M21" s="412"/>
      <c r="N21" s="412"/>
      <c r="O21" s="412"/>
      <c r="P21" s="412"/>
    </row>
    <row r="22" spans="2:16">
      <c r="B22" s="413" t="s">
        <v>441</v>
      </c>
      <c r="C22" s="431">
        <v>650</v>
      </c>
      <c r="D22" s="46">
        <v>650</v>
      </c>
      <c r="E22" s="46">
        <v>650</v>
      </c>
      <c r="F22" s="46">
        <v>650</v>
      </c>
      <c r="G22" s="46">
        <v>650</v>
      </c>
      <c r="H22" s="46">
        <v>300</v>
      </c>
      <c r="I22" s="46">
        <v>300</v>
      </c>
      <c r="J22" s="46">
        <v>493</v>
      </c>
      <c r="K22" s="46">
        <v>200</v>
      </c>
      <c r="L22" s="46">
        <v>200</v>
      </c>
      <c r="M22" s="46">
        <v>400</v>
      </c>
      <c r="N22" s="46">
        <v>400</v>
      </c>
      <c r="O22" s="46">
        <v>400</v>
      </c>
      <c r="P22" s="46">
        <v>400</v>
      </c>
    </row>
    <row r="23" spans="2:16">
      <c r="B23" s="415" t="s">
        <v>456</v>
      </c>
      <c r="C23" s="432">
        <v>168.82727114178718</v>
      </c>
      <c r="D23" s="41">
        <v>160</v>
      </c>
      <c r="E23" s="41">
        <v>162</v>
      </c>
      <c r="F23" s="41">
        <v>153</v>
      </c>
      <c r="G23" s="41">
        <v>194.34221188023471</v>
      </c>
      <c r="H23" s="41">
        <v>199.40304705162333</v>
      </c>
      <c r="I23" s="41">
        <v>179</v>
      </c>
      <c r="J23" s="41">
        <v>283</v>
      </c>
      <c r="K23" s="41">
        <v>296.17886716118147</v>
      </c>
      <c r="L23" s="41">
        <v>243.23388882166611</v>
      </c>
      <c r="M23" s="41">
        <v>244.55680204611326</v>
      </c>
      <c r="N23" s="41">
        <v>259</v>
      </c>
      <c r="O23" s="41">
        <v>227</v>
      </c>
      <c r="P23" s="41">
        <v>216</v>
      </c>
    </row>
    <row r="24" spans="2:16">
      <c r="B24" s="410" t="s">
        <v>457</v>
      </c>
      <c r="C24" s="429">
        <v>818.82727114178715</v>
      </c>
      <c r="D24" s="416">
        <v>810</v>
      </c>
      <c r="E24" s="416">
        <v>812</v>
      </c>
      <c r="F24" s="416">
        <v>803</v>
      </c>
      <c r="G24" s="416">
        <v>844.34221188023469</v>
      </c>
      <c r="H24" s="416">
        <v>499.40304705162333</v>
      </c>
      <c r="I24" s="416">
        <v>479</v>
      </c>
      <c r="J24" s="416">
        <v>777</v>
      </c>
      <c r="K24" s="416">
        <v>496.17886716118147</v>
      </c>
      <c r="L24" s="416">
        <v>443.23388882166614</v>
      </c>
      <c r="M24" s="416">
        <v>644.55680204611326</v>
      </c>
      <c r="N24" s="416">
        <v>659.471812</v>
      </c>
      <c r="O24" s="416">
        <v>626.97681</v>
      </c>
      <c r="P24" s="416">
        <v>615.55818116</v>
      </c>
    </row>
    <row r="25" spans="2:16">
      <c r="B25" s="410"/>
      <c r="C25" s="427"/>
      <c r="D25" s="411"/>
      <c r="E25" s="411"/>
      <c r="F25" s="411"/>
      <c r="G25" s="411"/>
      <c r="H25" s="411"/>
      <c r="I25" s="411"/>
      <c r="J25" s="411"/>
      <c r="K25" s="411"/>
      <c r="L25" s="411"/>
      <c r="M25" s="411"/>
      <c r="N25" s="411"/>
      <c r="O25" s="411"/>
      <c r="P25" s="411"/>
    </row>
    <row r="26" spans="2:16">
      <c r="B26" s="410" t="s">
        <v>458</v>
      </c>
      <c r="C26" s="427">
        <v>0</v>
      </c>
      <c r="D26" s="411"/>
      <c r="E26" s="411"/>
      <c r="F26" s="411"/>
      <c r="G26" s="411"/>
      <c r="H26" s="411"/>
      <c r="I26" s="411"/>
      <c r="J26" s="411"/>
      <c r="K26" s="411"/>
      <c r="L26" s="411"/>
      <c r="M26" s="411"/>
      <c r="N26" s="411"/>
      <c r="O26" s="411"/>
      <c r="P26" s="411"/>
    </row>
    <row r="27" spans="2:16">
      <c r="B27" s="413" t="s">
        <v>431</v>
      </c>
      <c r="C27" s="433">
        <v>1300</v>
      </c>
      <c r="D27" s="412">
        <v>1300</v>
      </c>
      <c r="E27" s="412">
        <v>1300</v>
      </c>
      <c r="F27" s="412">
        <v>1300</v>
      </c>
      <c r="G27" s="412">
        <v>1300</v>
      </c>
      <c r="H27" s="412">
        <v>1300</v>
      </c>
      <c r="I27" s="412">
        <v>1300</v>
      </c>
      <c r="J27" s="412">
        <v>1425</v>
      </c>
      <c r="K27" s="412">
        <v>1100</v>
      </c>
      <c r="L27" s="412">
        <v>1100</v>
      </c>
      <c r="M27" s="412">
        <v>1100</v>
      </c>
      <c r="N27" s="412">
        <v>1100</v>
      </c>
      <c r="O27" s="412">
        <v>1400</v>
      </c>
      <c r="P27" s="412">
        <v>1499.9341456700001</v>
      </c>
    </row>
    <row r="28" spans="2:16">
      <c r="B28" s="413" t="s">
        <v>459</v>
      </c>
      <c r="C28" s="433">
        <v>267.38000632644628</v>
      </c>
      <c r="D28" s="412">
        <v>262</v>
      </c>
      <c r="E28" s="412">
        <v>257</v>
      </c>
      <c r="F28" s="412">
        <v>257</v>
      </c>
      <c r="G28" s="412">
        <v>258.91936105055379</v>
      </c>
      <c r="H28" s="412">
        <v>265.16792772152093</v>
      </c>
      <c r="I28" s="412">
        <v>235</v>
      </c>
      <c r="J28" s="412">
        <v>154</v>
      </c>
      <c r="K28" s="412">
        <v>298.8047076146662</v>
      </c>
      <c r="L28" s="412">
        <v>331.74974738653447</v>
      </c>
      <c r="M28" s="412">
        <v>361.41255942509412</v>
      </c>
      <c r="N28" s="412">
        <v>395.36870500000009</v>
      </c>
      <c r="O28" s="412">
        <v>374.46478499999989</v>
      </c>
      <c r="P28" s="412">
        <v>369.1144201300001</v>
      </c>
    </row>
    <row r="29" spans="2:16">
      <c r="B29" s="415" t="s">
        <v>490</v>
      </c>
      <c r="C29" s="432">
        <v>0</v>
      </c>
      <c r="D29" s="418">
        <v>0</v>
      </c>
      <c r="E29" s="418">
        <v>0</v>
      </c>
      <c r="F29" s="418">
        <v>0</v>
      </c>
      <c r="G29" s="418">
        <v>0</v>
      </c>
      <c r="H29" s="418">
        <v>0</v>
      </c>
      <c r="I29" s="418">
        <v>0</v>
      </c>
      <c r="J29" s="418">
        <v>0</v>
      </c>
      <c r="K29" s="418">
        <v>0</v>
      </c>
      <c r="L29" s="418">
        <v>0</v>
      </c>
      <c r="M29" s="418">
        <v>0</v>
      </c>
      <c r="N29" s="418">
        <v>0</v>
      </c>
      <c r="O29" s="418">
        <v>0</v>
      </c>
      <c r="P29" s="418">
        <v>-129.94413786999999</v>
      </c>
    </row>
    <row r="30" spans="2:16">
      <c r="B30" s="410" t="s">
        <v>460</v>
      </c>
      <c r="C30" s="429">
        <v>1567.3800063264462</v>
      </c>
      <c r="D30" s="419">
        <v>1562</v>
      </c>
      <c r="E30" s="419">
        <v>1557</v>
      </c>
      <c r="F30" s="419">
        <v>1557</v>
      </c>
      <c r="G30" s="419">
        <v>1558.9193610505538</v>
      </c>
      <c r="H30" s="419">
        <v>1565.167927721521</v>
      </c>
      <c r="I30" s="419">
        <v>1535</v>
      </c>
      <c r="J30" s="419">
        <v>1579</v>
      </c>
      <c r="K30" s="419">
        <v>1398.8047076146663</v>
      </c>
      <c r="L30" s="419">
        <v>1431.7497473865344</v>
      </c>
      <c r="M30" s="419">
        <v>1461.4125594250941</v>
      </c>
      <c r="N30" s="419">
        <v>1495.3687050000001</v>
      </c>
      <c r="O30" s="419">
        <v>1774.4647849999999</v>
      </c>
      <c r="P30" s="419">
        <v>1739.1044279300002</v>
      </c>
    </row>
    <row r="31" spans="2:16">
      <c r="B31" s="415"/>
      <c r="C31" s="434"/>
      <c r="D31" s="41"/>
      <c r="E31" s="41"/>
      <c r="F31" s="41"/>
      <c r="G31" s="41"/>
      <c r="H31" s="41"/>
      <c r="I31" s="41"/>
      <c r="J31" s="41"/>
      <c r="K31" s="41"/>
      <c r="L31" s="41"/>
      <c r="M31" s="41"/>
      <c r="N31" s="41"/>
      <c r="O31" s="41"/>
      <c r="P31" s="41"/>
    </row>
    <row r="32" spans="2:16">
      <c r="B32" s="408" t="s">
        <v>461</v>
      </c>
      <c r="C32" s="426">
        <v>17241.829771525772</v>
      </c>
      <c r="D32" s="409">
        <v>16793</v>
      </c>
      <c r="E32" s="409">
        <v>16704</v>
      </c>
      <c r="F32" s="409">
        <v>16502</v>
      </c>
      <c r="G32" s="409">
        <v>16418.062238133607</v>
      </c>
      <c r="H32" s="409">
        <v>15882.638526012159</v>
      </c>
      <c r="I32" s="409">
        <v>15444</v>
      </c>
      <c r="J32" s="409">
        <v>15685</v>
      </c>
      <c r="K32" s="409">
        <v>14981.635857309137</v>
      </c>
      <c r="L32" s="409">
        <v>14676.088655760017</v>
      </c>
      <c r="M32" s="409">
        <v>14672.323747520619</v>
      </c>
      <c r="N32" s="409">
        <v>14076.975417950536</v>
      </c>
      <c r="O32" s="409">
        <v>14288.335436423935</v>
      </c>
      <c r="P32" s="409">
        <v>14027.821388492031</v>
      </c>
    </row>
    <row r="33" spans="2:16">
      <c r="B33" s="413"/>
      <c r="C33" s="430"/>
      <c r="D33" s="412"/>
      <c r="E33" s="412"/>
      <c r="F33" s="412"/>
      <c r="G33" s="412"/>
      <c r="H33" s="412"/>
      <c r="I33" s="412"/>
      <c r="J33" s="412"/>
      <c r="K33" s="412"/>
      <c r="L33" s="412"/>
      <c r="M33" s="412"/>
      <c r="N33" s="412"/>
      <c r="O33" s="412"/>
      <c r="P33" s="412"/>
    </row>
    <row r="34" spans="2:16">
      <c r="B34" s="413" t="s">
        <v>462</v>
      </c>
      <c r="C34" s="428">
        <v>5292.3370169999998</v>
      </c>
      <c r="D34" s="412">
        <v>5173</v>
      </c>
      <c r="E34" s="412">
        <v>4775</v>
      </c>
      <c r="F34" s="412">
        <v>4712</v>
      </c>
      <c r="G34" s="412">
        <v>4794.5865119999999</v>
      </c>
      <c r="H34" s="412">
        <v>4796.5726459999996</v>
      </c>
      <c r="I34" s="412">
        <v>4819</v>
      </c>
      <c r="J34" s="412">
        <v>4782</v>
      </c>
      <c r="K34" s="412">
        <v>5128.4148880000002</v>
      </c>
      <c r="L34" s="412">
        <v>5203.8071069999996</v>
      </c>
      <c r="M34" s="412">
        <v>4781.244976</v>
      </c>
      <c r="N34" s="412">
        <v>5538.4748900000004</v>
      </c>
      <c r="O34" s="412">
        <v>5347.1102810000002</v>
      </c>
      <c r="P34" s="412">
        <v>5410.1873019499999</v>
      </c>
    </row>
    <row r="35" spans="2:16">
      <c r="B35" s="413" t="s">
        <v>463</v>
      </c>
      <c r="C35" s="428">
        <v>16809.617212000001</v>
      </c>
      <c r="D35" s="412">
        <v>15536</v>
      </c>
      <c r="E35" s="412">
        <v>14428</v>
      </c>
      <c r="F35" s="412">
        <v>15367</v>
      </c>
      <c r="G35" s="412">
        <v>14554.750641000001</v>
      </c>
      <c r="H35" s="412">
        <v>15103.473314000001</v>
      </c>
      <c r="I35" s="412">
        <v>14980</v>
      </c>
      <c r="J35" s="412">
        <v>14546</v>
      </c>
      <c r="K35" s="412">
        <v>13950.653437999999</v>
      </c>
      <c r="L35" s="412">
        <v>12968.051084000001</v>
      </c>
      <c r="M35" s="412">
        <v>11034.329040000001</v>
      </c>
      <c r="N35" s="412">
        <v>10528.845767000001</v>
      </c>
      <c r="O35" s="412">
        <v>10171.756998999999</v>
      </c>
      <c r="P35" s="412">
        <v>10526.407762229999</v>
      </c>
    </row>
    <row r="36" spans="2:16">
      <c r="B36" s="413" t="s">
        <v>464</v>
      </c>
      <c r="C36" s="428">
        <v>1143.429005</v>
      </c>
      <c r="D36" s="412">
        <v>1327</v>
      </c>
      <c r="E36" s="412">
        <v>1986</v>
      </c>
      <c r="F36" s="412">
        <v>2457</v>
      </c>
      <c r="G36" s="412">
        <v>3163.199169</v>
      </c>
      <c r="H36" s="412">
        <v>2814.0348650000001</v>
      </c>
      <c r="I36" s="412">
        <v>1815</v>
      </c>
      <c r="J36" s="412">
        <v>2021</v>
      </c>
      <c r="K36" s="412">
        <v>1557.077499</v>
      </c>
      <c r="L36" s="412">
        <v>1501.6866379999999</v>
      </c>
      <c r="M36" s="412">
        <v>1410.6694279999999</v>
      </c>
      <c r="N36" s="412">
        <v>944.78887199999997</v>
      </c>
      <c r="O36" s="412">
        <v>657.95309899999995</v>
      </c>
      <c r="P36" s="412">
        <v>589.08075298000006</v>
      </c>
    </row>
    <row r="37" spans="2:16">
      <c r="B37" s="413" t="s">
        <v>465</v>
      </c>
      <c r="C37" s="428">
        <v>1466.1487629999999</v>
      </c>
      <c r="D37" s="412">
        <v>1435</v>
      </c>
      <c r="E37" s="412">
        <v>1530</v>
      </c>
      <c r="F37" s="412">
        <v>1507</v>
      </c>
      <c r="G37" s="412">
        <v>1436.1537820000001</v>
      </c>
      <c r="H37" s="412">
        <v>1530.7514659999999</v>
      </c>
      <c r="I37" s="412">
        <v>1381</v>
      </c>
      <c r="J37" s="412">
        <v>1420</v>
      </c>
      <c r="K37" s="412">
        <v>1376.640885</v>
      </c>
      <c r="L37" s="412">
        <v>1338.481168</v>
      </c>
      <c r="M37" s="412">
        <v>1424.0888669999999</v>
      </c>
      <c r="N37" s="412">
        <v>1308.9687449999999</v>
      </c>
      <c r="O37" s="412">
        <v>1245.284987</v>
      </c>
      <c r="P37" s="412">
        <v>1208.9255964189879</v>
      </c>
    </row>
    <row r="38" spans="2:16">
      <c r="B38" s="413" t="s">
        <v>466</v>
      </c>
      <c r="C38" s="428">
        <v>27825.551872</v>
      </c>
      <c r="D38" s="412">
        <v>28242</v>
      </c>
      <c r="E38" s="412">
        <v>28485</v>
      </c>
      <c r="F38" s="412">
        <v>27820</v>
      </c>
      <c r="G38" s="412">
        <v>27573.646814</v>
      </c>
      <c r="H38" s="412">
        <v>27618.661767000001</v>
      </c>
      <c r="I38" s="412">
        <v>27293</v>
      </c>
      <c r="J38" s="412">
        <v>24912</v>
      </c>
      <c r="K38" s="412">
        <v>24611.071200999999</v>
      </c>
      <c r="L38" s="412">
        <v>24500.906522000001</v>
      </c>
      <c r="M38" s="412">
        <v>24235.144795</v>
      </c>
      <c r="N38" s="412">
        <v>23640.501744000001</v>
      </c>
      <c r="O38" s="412">
        <v>23081.603894</v>
      </c>
      <c r="P38" s="412">
        <v>22495.766742667325</v>
      </c>
    </row>
    <row r="39" spans="2:16">
      <c r="B39" s="413" t="s">
        <v>467</v>
      </c>
      <c r="C39" s="428">
        <v>850.33087</v>
      </c>
      <c r="D39" s="412">
        <v>842</v>
      </c>
      <c r="E39" s="412">
        <v>907</v>
      </c>
      <c r="F39" s="412">
        <v>1028</v>
      </c>
      <c r="G39" s="412">
        <v>1077.0105349999999</v>
      </c>
      <c r="H39" s="412">
        <v>1081.805378</v>
      </c>
      <c r="I39" s="412">
        <v>1071</v>
      </c>
      <c r="J39" s="412">
        <v>1166</v>
      </c>
      <c r="K39" s="412">
        <v>1195.326988</v>
      </c>
      <c r="L39" s="412">
        <v>1184.4344520000002</v>
      </c>
      <c r="M39" s="412">
        <v>1259.44281</v>
      </c>
      <c r="N39" s="412">
        <v>1352.932988</v>
      </c>
      <c r="O39" s="412">
        <v>1444.7846569999999</v>
      </c>
      <c r="P39" s="412">
        <v>1590.014714462784</v>
      </c>
    </row>
    <row r="40" spans="2:16">
      <c r="B40" s="413" t="s">
        <v>468</v>
      </c>
      <c r="C40" s="428">
        <v>0</v>
      </c>
      <c r="D40" s="412">
        <v>0</v>
      </c>
      <c r="E40" s="412">
        <v>0</v>
      </c>
      <c r="F40" s="412">
        <v>0</v>
      </c>
      <c r="G40" s="412">
        <v>2.53107580059</v>
      </c>
      <c r="H40" s="412">
        <v>2.53107580059</v>
      </c>
      <c r="I40" s="412">
        <v>3</v>
      </c>
      <c r="J40" s="412">
        <v>0</v>
      </c>
      <c r="K40" s="412">
        <v>0</v>
      </c>
      <c r="L40" s="412">
        <v>0</v>
      </c>
      <c r="M40" s="412">
        <v>0</v>
      </c>
      <c r="N40" s="412">
        <v>0</v>
      </c>
      <c r="O40" s="412">
        <v>0</v>
      </c>
      <c r="P40" s="412">
        <v>0</v>
      </c>
    </row>
    <row r="41" spans="2:16">
      <c r="B41" s="408" t="s">
        <v>469</v>
      </c>
      <c r="C41" s="426">
        <v>53387.414739</v>
      </c>
      <c r="D41" s="409">
        <v>52554</v>
      </c>
      <c r="E41" s="409">
        <v>52110</v>
      </c>
      <c r="F41" s="409">
        <v>52891</v>
      </c>
      <c r="G41" s="409">
        <v>52601.878528800589</v>
      </c>
      <c r="H41" s="409">
        <v>52947.830511800588</v>
      </c>
      <c r="I41" s="409">
        <v>51361</v>
      </c>
      <c r="J41" s="409">
        <v>48848</v>
      </c>
      <c r="K41" s="409">
        <v>47819.184899</v>
      </c>
      <c r="L41" s="409">
        <v>46697.366970999996</v>
      </c>
      <c r="M41" s="409">
        <v>44144.919915999999</v>
      </c>
      <c r="N41" s="409">
        <v>43314.513006000001</v>
      </c>
      <c r="O41" s="409">
        <v>41948.493917</v>
      </c>
      <c r="P41" s="409">
        <v>41820.382870709094</v>
      </c>
    </row>
    <row r="42" spans="2:16">
      <c r="B42" s="413"/>
      <c r="C42" s="428"/>
      <c r="D42" s="412"/>
      <c r="E42" s="412"/>
      <c r="F42" s="412"/>
      <c r="G42" s="412"/>
      <c r="H42" s="412"/>
      <c r="I42" s="412"/>
      <c r="J42" s="412"/>
      <c r="K42" s="412"/>
      <c r="L42" s="412"/>
      <c r="M42" s="412"/>
      <c r="N42" s="412"/>
      <c r="O42" s="412"/>
      <c r="P42" s="412"/>
    </row>
    <row r="43" spans="2:16">
      <c r="B43" s="413" t="s">
        <v>470</v>
      </c>
      <c r="C43" s="428">
        <v>20624.956847000001</v>
      </c>
      <c r="D43" s="412">
        <v>19770</v>
      </c>
      <c r="E43" s="412">
        <v>19705</v>
      </c>
      <c r="F43" s="412">
        <v>19324</v>
      </c>
      <c r="G43" s="412">
        <v>19419.33699</v>
      </c>
      <c r="H43" s="412">
        <v>18536.346997000001</v>
      </c>
      <c r="I43" s="412">
        <v>17972</v>
      </c>
      <c r="J43" s="412">
        <v>19918</v>
      </c>
      <c r="K43" s="412">
        <v>19596.794559000002</v>
      </c>
      <c r="L43" s="412">
        <v>17998.023391999999</v>
      </c>
      <c r="M43" s="412">
        <v>16405.282044</v>
      </c>
      <c r="N43" s="412">
        <v>16717.040118000001</v>
      </c>
      <c r="O43" s="412">
        <v>16600.437551999999</v>
      </c>
      <c r="P43" s="412">
        <v>16674.558599065898</v>
      </c>
    </row>
    <row r="44" spans="2:16">
      <c r="B44" s="413" t="s">
        <v>471</v>
      </c>
      <c r="C44" s="428">
        <v>2734.9640724999999</v>
      </c>
      <c r="D44" s="412">
        <v>2239</v>
      </c>
      <c r="E44" s="412">
        <v>1966</v>
      </c>
      <c r="F44" s="412">
        <v>2869</v>
      </c>
      <c r="G44" s="412">
        <v>3087.7946455000001</v>
      </c>
      <c r="H44" s="412">
        <v>2947.155248</v>
      </c>
      <c r="I44" s="412">
        <v>1881</v>
      </c>
      <c r="J44" s="412">
        <v>2024</v>
      </c>
      <c r="K44" s="412">
        <v>1959.741522</v>
      </c>
      <c r="L44" s="412">
        <v>1812.9278959999999</v>
      </c>
      <c r="M44" s="412">
        <v>1732.1153605</v>
      </c>
      <c r="N44" s="412">
        <v>1125.0209600000001</v>
      </c>
      <c r="O44" s="412">
        <v>1462.1319105</v>
      </c>
      <c r="P44" s="412">
        <v>1568.4010952633466</v>
      </c>
    </row>
    <row r="45" spans="2:16">
      <c r="B45" s="413" t="s">
        <v>472</v>
      </c>
      <c r="C45" s="428">
        <v>0</v>
      </c>
      <c r="D45" s="412">
        <v>0</v>
      </c>
      <c r="E45" s="412">
        <v>0</v>
      </c>
      <c r="F45" s="412">
        <v>0</v>
      </c>
      <c r="G45" s="412">
        <v>0</v>
      </c>
      <c r="H45" s="412">
        <v>0</v>
      </c>
      <c r="I45" s="412">
        <v>0</v>
      </c>
      <c r="J45" s="412">
        <v>0</v>
      </c>
      <c r="K45" s="412">
        <v>0</v>
      </c>
      <c r="L45" s="412">
        <v>0</v>
      </c>
      <c r="M45" s="412">
        <v>0</v>
      </c>
      <c r="N45" s="412">
        <v>0</v>
      </c>
      <c r="O45" s="412">
        <v>0</v>
      </c>
      <c r="P45" s="412">
        <v>0</v>
      </c>
    </row>
    <row r="46" spans="2:16">
      <c r="B46" s="413" t="s">
        <v>473</v>
      </c>
      <c r="C46" s="428">
        <v>6663.804838</v>
      </c>
      <c r="D46" s="412">
        <v>6664</v>
      </c>
      <c r="E46" s="412">
        <v>6664</v>
      </c>
      <c r="F46" s="412">
        <v>6659</v>
      </c>
      <c r="G46" s="412">
        <v>6658.5313749999996</v>
      </c>
      <c r="H46" s="412">
        <v>6658.5313749999996</v>
      </c>
      <c r="I46" s="412">
        <v>6659</v>
      </c>
      <c r="J46" s="412">
        <v>5869</v>
      </c>
      <c r="K46" s="412">
        <v>5868.9960629999996</v>
      </c>
      <c r="L46" s="412">
        <v>5868.9960629999996</v>
      </c>
      <c r="M46" s="412">
        <v>5222.0207879999998</v>
      </c>
      <c r="N46" s="412">
        <v>5222.0207879999998</v>
      </c>
      <c r="O46" s="412">
        <v>5222.0207879999998</v>
      </c>
      <c r="P46" s="412">
        <v>5222.020794012501</v>
      </c>
    </row>
    <row r="47" spans="2:16">
      <c r="B47" s="413" t="s">
        <v>487</v>
      </c>
      <c r="C47" s="428">
        <v>0</v>
      </c>
      <c r="D47" s="412">
        <v>0</v>
      </c>
      <c r="E47" s="412">
        <v>0</v>
      </c>
      <c r="F47" s="412">
        <v>0</v>
      </c>
      <c r="G47" s="412">
        <v>0</v>
      </c>
      <c r="H47" s="412">
        <v>0</v>
      </c>
      <c r="I47" s="412">
        <v>0</v>
      </c>
      <c r="J47" s="412">
        <v>2946</v>
      </c>
      <c r="K47" s="412">
        <v>3196.3506750000001</v>
      </c>
      <c r="L47" s="412">
        <v>3354.8729250000001</v>
      </c>
      <c r="M47" s="412">
        <v>7494.5267130000002</v>
      </c>
      <c r="N47" s="412">
        <v>8825.0737879999997</v>
      </c>
      <c r="O47" s="412">
        <v>8721.9471630000007</v>
      </c>
      <c r="P47" s="412">
        <v>6883.9894578169324</v>
      </c>
    </row>
    <row r="48" spans="2:16">
      <c r="B48" s="408" t="s">
        <v>474</v>
      </c>
      <c r="C48" s="426">
        <v>83411.140496499997</v>
      </c>
      <c r="D48" s="409">
        <v>81227</v>
      </c>
      <c r="E48" s="409">
        <v>80445</v>
      </c>
      <c r="F48" s="409">
        <v>81743</v>
      </c>
      <c r="G48" s="409">
        <v>81767.541539300597</v>
      </c>
      <c r="H48" s="409">
        <v>81089.864131800583</v>
      </c>
      <c r="I48" s="409">
        <v>77873</v>
      </c>
      <c r="J48" s="409">
        <v>79605</v>
      </c>
      <c r="K48" s="409">
        <v>78441.067717999991</v>
      </c>
      <c r="L48" s="409">
        <v>75732.187246999994</v>
      </c>
      <c r="M48" s="409">
        <v>74998.864821499999</v>
      </c>
      <c r="N48" s="409">
        <v>75203.668659999996</v>
      </c>
      <c r="O48" s="409">
        <v>73955.031330500002</v>
      </c>
      <c r="P48" s="409">
        <v>72169.352816867773</v>
      </c>
    </row>
    <row r="49" spans="2:16">
      <c r="B49" s="408" t="s">
        <v>475</v>
      </c>
      <c r="C49" s="426">
        <v>6672.8912397200002</v>
      </c>
      <c r="D49" s="409">
        <v>6498</v>
      </c>
      <c r="E49" s="409">
        <v>6436</v>
      </c>
      <c r="F49" s="409">
        <v>6539</v>
      </c>
      <c r="G49" s="409">
        <v>6541.403323144048</v>
      </c>
      <c r="H49" s="409">
        <v>6487.1891305440467</v>
      </c>
      <c r="I49" s="409">
        <v>6230</v>
      </c>
      <c r="J49" s="409">
        <v>6368</v>
      </c>
      <c r="K49" s="409">
        <v>6275.285417439999</v>
      </c>
      <c r="L49" s="409">
        <v>6058.5749797599992</v>
      </c>
      <c r="M49" s="409">
        <v>5999.9091857200001</v>
      </c>
      <c r="N49" s="409">
        <v>6016.2934927999995</v>
      </c>
      <c r="O49" s="409">
        <v>5916.4025064400003</v>
      </c>
      <c r="P49" s="409">
        <v>5773.548225349422</v>
      </c>
    </row>
    <row r="50" spans="2:16">
      <c r="B50" s="413"/>
      <c r="C50" s="430"/>
      <c r="D50" s="46"/>
      <c r="E50" s="46"/>
      <c r="F50" s="46"/>
      <c r="G50" s="46"/>
      <c r="H50" s="46"/>
      <c r="I50" s="46"/>
      <c r="J50" s="46"/>
      <c r="K50" s="46"/>
      <c r="L50" s="46"/>
      <c r="M50" s="46"/>
      <c r="N50" s="46"/>
      <c r="O50" s="46"/>
      <c r="P50" s="46"/>
    </row>
    <row r="51" spans="2:16">
      <c r="B51" s="408" t="s">
        <v>476</v>
      </c>
      <c r="C51" s="435">
        <v>1501.4005289369998</v>
      </c>
      <c r="D51" s="409">
        <v>1462</v>
      </c>
      <c r="E51" s="409">
        <v>1448</v>
      </c>
      <c r="F51" s="409">
        <v>1471</v>
      </c>
      <c r="G51" s="409">
        <v>1471.8157477074105</v>
      </c>
      <c r="H51" s="409">
        <v>1459.6175543724105</v>
      </c>
      <c r="I51" s="409">
        <v>1402</v>
      </c>
      <c r="J51" s="409">
        <v>1433</v>
      </c>
      <c r="K51" s="409">
        <v>1411.9392189239998</v>
      </c>
      <c r="L51" s="409">
        <v>1363.1793704459999</v>
      </c>
      <c r="M51" s="409">
        <v>1349.9795667869998</v>
      </c>
      <c r="N51" s="409">
        <v>1353.6660358799998</v>
      </c>
      <c r="O51" s="409">
        <v>1331.1905639489999</v>
      </c>
      <c r="P51" s="409">
        <v>1299.0483507036201</v>
      </c>
    </row>
    <row r="52" spans="2:16">
      <c r="B52" s="413"/>
      <c r="C52" s="433"/>
      <c r="D52" s="412"/>
      <c r="E52" s="412"/>
      <c r="F52" s="412"/>
      <c r="G52" s="412"/>
      <c r="H52" s="412"/>
      <c r="I52" s="412"/>
      <c r="J52" s="412"/>
      <c r="K52" s="412"/>
      <c r="L52" s="412"/>
      <c r="M52" s="412"/>
      <c r="N52" s="412"/>
      <c r="O52" s="412"/>
      <c r="P52" s="412"/>
    </row>
    <row r="53" spans="2:16">
      <c r="B53" s="410" t="s">
        <v>477</v>
      </c>
      <c r="C53" s="430"/>
      <c r="D53" s="412"/>
      <c r="E53" s="412"/>
      <c r="F53" s="412"/>
      <c r="G53" s="412"/>
      <c r="H53" s="412"/>
      <c r="I53" s="412"/>
      <c r="J53" s="412"/>
      <c r="K53" s="412"/>
      <c r="L53" s="412"/>
      <c r="M53" s="412"/>
      <c r="N53" s="412"/>
      <c r="O53" s="412"/>
      <c r="P53" s="412"/>
    </row>
    <row r="54" spans="2:16">
      <c r="B54" s="413" t="s">
        <v>509</v>
      </c>
      <c r="C54" s="428">
        <v>2085.2785124124998</v>
      </c>
      <c r="D54" s="412">
        <v>2031</v>
      </c>
      <c r="E54" s="412">
        <v>2011</v>
      </c>
      <c r="F54" s="412">
        <v>2044</v>
      </c>
      <c r="G54" s="412">
        <v>2044.188538482515</v>
      </c>
      <c r="H54" s="412">
        <v>2027.2466032950147</v>
      </c>
      <c r="I54" s="412">
        <v>1947</v>
      </c>
      <c r="J54" s="412">
        <v>1990</v>
      </c>
      <c r="K54" s="412">
        <v>1961.0266929499999</v>
      </c>
      <c r="L54" s="412">
        <v>1893.304681175</v>
      </c>
      <c r="M54" s="412">
        <v>1874.9716205375</v>
      </c>
      <c r="N54" s="412">
        <v>1880.0917165000001</v>
      </c>
      <c r="O54" s="412">
        <v>1848.8757832625001</v>
      </c>
      <c r="P54" s="412">
        <v>1804.2338204216944</v>
      </c>
    </row>
    <row r="55" spans="2:16">
      <c r="B55" s="466" t="s">
        <v>510</v>
      </c>
      <c r="C55" s="158">
        <v>834.11140496500002</v>
      </c>
      <c r="D55" s="46">
        <v>812</v>
      </c>
      <c r="E55" s="46">
        <v>804</v>
      </c>
      <c r="F55" s="46">
        <v>817</v>
      </c>
      <c r="G55" s="46">
        <v>817.67541539300601</v>
      </c>
      <c r="H55" s="46">
        <v>810.89864131800584</v>
      </c>
      <c r="I55" s="46">
        <v>1947</v>
      </c>
      <c r="J55" s="46">
        <v>1592</v>
      </c>
      <c r="K55" s="46">
        <v>1568.8213543599998</v>
      </c>
      <c r="L55" s="46">
        <v>1514.6437449399998</v>
      </c>
      <c r="M55" s="46">
        <v>1499.97729643</v>
      </c>
      <c r="N55" s="46">
        <v>1504.0733731999999</v>
      </c>
      <c r="O55" s="46">
        <v>1479.1006266100001</v>
      </c>
      <c r="P55" s="46">
        <v>1443.3870563373555</v>
      </c>
    </row>
    <row r="56" spans="2:16">
      <c r="B56" s="466" t="s">
        <v>511</v>
      </c>
      <c r="C56" s="158">
        <v>3670.0901818459997</v>
      </c>
      <c r="D56" s="46">
        <v>3655</v>
      </c>
      <c r="E56" s="46">
        <v>3459</v>
      </c>
      <c r="F56" s="46">
        <v>2452</v>
      </c>
      <c r="G56" s="46">
        <v>2453.026246179018</v>
      </c>
      <c r="H56" s="46">
        <v>2432.6959239540174</v>
      </c>
      <c r="I56" s="46">
        <v>2336</v>
      </c>
      <c r="J56" s="46">
        <v>2388</v>
      </c>
      <c r="K56" s="46">
        <v>2353.2320315399998</v>
      </c>
      <c r="L56" s="46">
        <v>2271.9656174099996</v>
      </c>
      <c r="M56" s="46">
        <v>2249.965944645</v>
      </c>
      <c r="N56" s="46">
        <v>2256.1100597999998</v>
      </c>
      <c r="O56" s="46">
        <v>2218.650939915</v>
      </c>
      <c r="P56" s="46">
        <v>2165.0805845060331</v>
      </c>
    </row>
    <row r="57" spans="2:16">
      <c r="B57" s="413" t="s">
        <v>519</v>
      </c>
      <c r="C57" s="163">
        <v>4.3999999999999997E-2</v>
      </c>
      <c r="D57" s="61">
        <v>4.4999999999999998E-2</v>
      </c>
      <c r="E57" s="61">
        <v>4.2999999999999997E-2</v>
      </c>
      <c r="F57" s="61">
        <v>0.03</v>
      </c>
      <c r="G57" s="61">
        <v>0.03</v>
      </c>
      <c r="H57" s="61">
        <v>0.03</v>
      </c>
      <c r="I57" s="61">
        <v>0.03</v>
      </c>
      <c r="J57" s="61">
        <v>0.03</v>
      </c>
      <c r="K57" s="61">
        <v>0.03</v>
      </c>
      <c r="L57" s="61">
        <v>0.03</v>
      </c>
      <c r="M57" s="61">
        <v>0.03</v>
      </c>
      <c r="N57" s="61">
        <v>0.03</v>
      </c>
      <c r="O57" s="61">
        <v>0.03</v>
      </c>
      <c r="P57" s="61">
        <v>0.03</v>
      </c>
    </row>
    <row r="58" spans="2:16">
      <c r="B58" s="408" t="s">
        <v>512</v>
      </c>
      <c r="C58" s="426">
        <v>6589.4800992234996</v>
      </c>
      <c r="D58" s="409">
        <v>6498</v>
      </c>
      <c r="E58" s="409">
        <v>6275</v>
      </c>
      <c r="F58" s="409">
        <v>5313</v>
      </c>
      <c r="G58" s="409">
        <v>5314.8902000545386</v>
      </c>
      <c r="H58" s="409">
        <v>5270.841168567038</v>
      </c>
      <c r="I58" s="409">
        <v>6230</v>
      </c>
      <c r="J58" s="409">
        <v>5970</v>
      </c>
      <c r="K58" s="409">
        <v>5883.0800788500001</v>
      </c>
      <c r="L58" s="409">
        <v>5679.9140435249992</v>
      </c>
      <c r="M58" s="409">
        <v>5624.9148616125003</v>
      </c>
      <c r="N58" s="409">
        <v>5640.2751494999993</v>
      </c>
      <c r="O58" s="409">
        <v>5546.6273497875</v>
      </c>
      <c r="P58" s="409">
        <v>5412.7014612650828</v>
      </c>
    </row>
    <row r="59" spans="2:16">
      <c r="B59" s="467"/>
      <c r="C59" s="468"/>
      <c r="D59" s="47"/>
      <c r="E59" s="47"/>
      <c r="F59" s="47"/>
      <c r="G59" s="47"/>
      <c r="H59" s="47"/>
      <c r="I59" s="47"/>
      <c r="J59" s="47"/>
      <c r="K59" s="47"/>
      <c r="L59" s="47"/>
      <c r="M59" s="47"/>
      <c r="N59" s="47"/>
      <c r="O59" s="47"/>
      <c r="P59" s="47"/>
    </row>
    <row r="60" spans="2:16">
      <c r="B60" s="410" t="s">
        <v>520</v>
      </c>
      <c r="C60" s="469">
        <v>0.14200000000000002</v>
      </c>
      <c r="D60" s="470">
        <v>0.14299999999999999</v>
      </c>
      <c r="E60" s="470">
        <v>0.14099999999999999</v>
      </c>
      <c r="F60" s="470">
        <v>0.128</v>
      </c>
      <c r="G60" s="470">
        <v>0.128</v>
      </c>
      <c r="H60" s="470">
        <v>0.128</v>
      </c>
      <c r="I60" s="470">
        <v>0.14299999999999999</v>
      </c>
      <c r="J60" s="470">
        <v>0.13800000000000001</v>
      </c>
      <c r="K60" s="470">
        <v>0.13800000000000001</v>
      </c>
      <c r="L60" s="470">
        <v>0.13800000000000001</v>
      </c>
      <c r="M60" s="470">
        <v>0.13800000000000001</v>
      </c>
      <c r="N60" s="470">
        <v>0.13800000000000001</v>
      </c>
      <c r="O60" s="470">
        <v>0.13800000000000001</v>
      </c>
      <c r="P60" s="470">
        <v>0.13800000000000001</v>
      </c>
    </row>
    <row r="61" spans="2:16">
      <c r="B61" s="420" t="s">
        <v>513</v>
      </c>
      <c r="C61" s="426">
        <v>3011.2405435545406</v>
      </c>
      <c r="D61" s="409">
        <v>2806</v>
      </c>
      <c r="E61" s="409">
        <v>2992</v>
      </c>
      <c r="F61" s="409">
        <v>3679</v>
      </c>
      <c r="G61" s="409">
        <v>3548.55534817234</v>
      </c>
      <c r="H61" s="409">
        <v>3438.5649423685409</v>
      </c>
      <c r="I61" s="409">
        <v>2294</v>
      </c>
      <c r="J61" s="409">
        <v>2344</v>
      </c>
      <c r="K61" s="409">
        <v>2261.7849374492889</v>
      </c>
      <c r="L61" s="409">
        <v>2350.0631794658166</v>
      </c>
      <c r="M61" s="409">
        <v>2216.5110406824097</v>
      </c>
      <c r="N61" s="409">
        <v>1544.0286258705346</v>
      </c>
      <c r="O61" s="409">
        <v>1681.0995178149333</v>
      </c>
      <c r="P61" s="409">
        <v>1714</v>
      </c>
    </row>
    <row r="62" spans="2:16">
      <c r="B62" s="413"/>
      <c r="C62" s="436"/>
      <c r="D62" s="421"/>
      <c r="E62" s="421"/>
      <c r="F62" s="421"/>
      <c r="G62" s="421"/>
      <c r="H62" s="421"/>
      <c r="I62" s="421"/>
      <c r="J62" s="421"/>
      <c r="K62" s="421"/>
      <c r="L62" s="421"/>
      <c r="M62" s="421"/>
      <c r="N62" s="421"/>
      <c r="O62" s="421"/>
      <c r="P62" s="421"/>
    </row>
    <row r="63" spans="2:16">
      <c r="B63" s="410" t="s">
        <v>478</v>
      </c>
      <c r="C63" s="437"/>
      <c r="D63" s="421"/>
      <c r="E63" s="421"/>
      <c r="F63" s="421"/>
      <c r="G63" s="421"/>
      <c r="H63" s="421"/>
      <c r="I63" s="421"/>
      <c r="J63" s="421"/>
      <c r="K63" s="421"/>
      <c r="L63" s="421"/>
      <c r="M63" s="421"/>
      <c r="N63" s="421"/>
      <c r="O63" s="421"/>
      <c r="P63" s="421"/>
    </row>
    <row r="64" spans="2:16">
      <c r="B64" s="422" t="s">
        <v>479</v>
      </c>
      <c r="C64" s="438">
        <v>0.17810117935842029</v>
      </c>
      <c r="D64" s="423">
        <v>0.17799999999999999</v>
      </c>
      <c r="E64" s="423">
        <v>0.17799999999999999</v>
      </c>
      <c r="F64" s="423">
        <v>0.17299999999999999</v>
      </c>
      <c r="G64" s="423">
        <v>0.17139809270732162</v>
      </c>
      <c r="H64" s="423">
        <v>0.17040437419872376</v>
      </c>
      <c r="I64" s="423">
        <v>0.17199999999999999</v>
      </c>
      <c r="J64" s="423">
        <v>0.16700000000000001</v>
      </c>
      <c r="K64" s="423">
        <v>0.16683419365963417</v>
      </c>
      <c r="L64" s="423">
        <v>0.16903123341467879</v>
      </c>
      <c r="M64" s="423">
        <v>0.16755392786221213</v>
      </c>
      <c r="N64" s="423">
        <v>0.15853129392997004</v>
      </c>
      <c r="O64" s="423">
        <v>0.16073137456060582</v>
      </c>
      <c r="P64" s="423">
        <v>0.16174675708985606</v>
      </c>
    </row>
    <row r="65" spans="2:16">
      <c r="B65" s="422" t="s">
        <v>480</v>
      </c>
      <c r="C65" s="439">
        <v>0.18791794083977356</v>
      </c>
      <c r="D65" s="424">
        <v>0.188</v>
      </c>
      <c r="E65" s="424">
        <v>0.188</v>
      </c>
      <c r="F65" s="424">
        <v>0.183</v>
      </c>
      <c r="G65" s="424">
        <v>0.18172422207339059</v>
      </c>
      <c r="H65" s="424">
        <v>0.17656301131568714</v>
      </c>
      <c r="I65" s="424">
        <v>0.17899999999999999</v>
      </c>
      <c r="J65" s="424">
        <v>0.17699999999999999</v>
      </c>
      <c r="K65" s="424">
        <v>0.17315969229951719</v>
      </c>
      <c r="L65" s="424">
        <v>0.17488388213557288</v>
      </c>
      <c r="M65" s="424">
        <v>0.17614814863582226</v>
      </c>
      <c r="N65" s="424">
        <v>0.16730043809209208</v>
      </c>
      <c r="O65" s="424">
        <v>0.16920918599169132</v>
      </c>
      <c r="P65" s="424">
        <v>0.17027611418028196</v>
      </c>
    </row>
    <row r="66" spans="2:16">
      <c r="B66" s="422" t="s">
        <v>481</v>
      </c>
      <c r="C66" s="439">
        <v>0.20670895600869113</v>
      </c>
      <c r="D66" s="424">
        <v>0.20699999999999999</v>
      </c>
      <c r="E66" s="424">
        <v>0.20799999999999999</v>
      </c>
      <c r="F66" s="424">
        <v>0.20200000000000001</v>
      </c>
      <c r="G66" s="424">
        <v>0.20078948111999259</v>
      </c>
      <c r="H66" s="424">
        <v>0.19586465825367622</v>
      </c>
      <c r="I66" s="424">
        <v>0.19800000000000001</v>
      </c>
      <c r="J66" s="424">
        <v>0.19700000000000001</v>
      </c>
      <c r="K66" s="424">
        <v>0.19099224797868575</v>
      </c>
      <c r="L66" s="424">
        <v>0.19378931454724868</v>
      </c>
      <c r="M66" s="424">
        <v>0.19563394435957501</v>
      </c>
      <c r="N66" s="424">
        <v>0.1871846901724081</v>
      </c>
      <c r="O66" s="424">
        <v>0.19320302052973701</v>
      </c>
      <c r="P66" s="424">
        <v>0.1943736619626909</v>
      </c>
    </row>
    <row r="67" spans="2:16">
      <c r="B67" s="425" t="s">
        <v>482</v>
      </c>
      <c r="C67" s="439">
        <v>7.0799013988265977E-2</v>
      </c>
      <c r="D67" s="424">
        <v>7.0999999999999994E-2</v>
      </c>
      <c r="E67" s="424">
        <v>7.1999999999999995E-2</v>
      </c>
      <c r="F67" s="424">
        <v>7.0999999999999994E-2</v>
      </c>
      <c r="G67" s="424">
        <v>7.068385915709062E-2</v>
      </c>
      <c r="H67" s="424">
        <v>7.0352404801812804E-2</v>
      </c>
      <c r="I67" s="424">
        <v>7.1999999999999995E-2</v>
      </c>
      <c r="J67" s="424">
        <v>7.3999999999999996E-2</v>
      </c>
      <c r="K67" s="424">
        <v>7.2944745677482672E-2</v>
      </c>
      <c r="L67" s="424">
        <v>7.3651490467500288E-2</v>
      </c>
      <c r="M67" s="424">
        <v>7.5119866566402738E-2</v>
      </c>
      <c r="N67" s="424">
        <v>7.2492699823943921E-2</v>
      </c>
      <c r="O67" s="424">
        <v>7.2903356386416956E-2</v>
      </c>
      <c r="P67" s="424">
        <v>7.3288442137376925E-2</v>
      </c>
    </row>
  </sheetData>
  <pageMargins left="0.7" right="0.7" top="0.75" bottom="0.75" header="0.3" footer="0.3"/>
  <pageSetup paperSize="9" orientation="portrait" horizontalDpi="144" verticalDpi="14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6"/>
  <dimension ref="A1:P135"/>
  <sheetViews>
    <sheetView showGridLines="0" zoomScale="85" zoomScaleNormal="85" workbookViewId="0">
      <selection activeCell="A164" sqref="A164"/>
    </sheetView>
  </sheetViews>
  <sheetFormatPr baseColWidth="10" defaultColWidth="11.42578125" defaultRowHeight="14.25"/>
  <cols>
    <col min="1" max="2" width="4.28515625" style="19" customWidth="1"/>
    <col min="3" max="3" width="76.140625" style="19" customWidth="1"/>
    <col min="4" max="8" width="14.28515625" style="19" customWidth="1"/>
    <col min="9" max="10" width="11.42578125" style="19"/>
    <col min="11" max="11" width="70.42578125" style="19" bestFit="1" customWidth="1"/>
    <col min="12" max="16384" width="11.42578125" style="19"/>
  </cols>
  <sheetData>
    <row r="1" spans="1:16" ht="18.75" customHeight="1">
      <c r="K1" s="190"/>
      <c r="L1" s="190"/>
      <c r="M1" s="190"/>
      <c r="N1" s="190"/>
      <c r="O1" s="190"/>
      <c r="P1" s="190"/>
    </row>
    <row r="2" spans="1:16" ht="18.75" customHeight="1">
      <c r="A2" s="20" t="s">
        <v>493</v>
      </c>
      <c r="B2" s="21"/>
      <c r="C2" s="21"/>
      <c r="D2" s="22"/>
      <c r="E2" s="22"/>
      <c r="F2" s="22"/>
      <c r="G2" s="22"/>
      <c r="K2" s="190"/>
      <c r="L2" s="190"/>
      <c r="M2" s="190"/>
      <c r="N2" s="190"/>
      <c r="O2" s="190"/>
    </row>
    <row r="3" spans="1:16" ht="14.25" customHeight="1">
      <c r="A3" s="20"/>
      <c r="B3" s="21"/>
      <c r="C3" s="21"/>
      <c r="D3" s="238"/>
      <c r="E3" s="238"/>
      <c r="F3" s="238"/>
      <c r="G3" s="238"/>
      <c r="H3" s="238"/>
    </row>
    <row r="4" spans="1:16" ht="14.25" customHeight="1">
      <c r="A4" s="20"/>
      <c r="B4" s="103"/>
      <c r="C4" s="108" t="s">
        <v>75</v>
      </c>
      <c r="D4" s="234" t="s">
        <v>521</v>
      </c>
      <c r="E4" s="235" t="s">
        <v>484</v>
      </c>
      <c r="F4" s="235" t="s">
        <v>409</v>
      </c>
      <c r="G4" s="235" t="s">
        <v>396</v>
      </c>
      <c r="H4" s="235" t="s">
        <v>383</v>
      </c>
    </row>
    <row r="5" spans="1:16" ht="14.25" customHeight="1">
      <c r="A5" s="20"/>
      <c r="B5" s="104"/>
      <c r="C5" s="104" t="s">
        <v>14</v>
      </c>
      <c r="D5" s="165">
        <v>541.89793853999947</v>
      </c>
      <c r="E5" s="105">
        <v>534.88565628000003</v>
      </c>
      <c r="F5" s="105">
        <v>549.13812258000019</v>
      </c>
      <c r="G5" s="105">
        <v>535.78626426999972</v>
      </c>
      <c r="H5" s="105">
        <v>498.0970762</v>
      </c>
    </row>
    <row r="6" spans="1:16" ht="14.25" customHeight="1">
      <c r="B6" s="104"/>
      <c r="C6" s="109" t="s">
        <v>70</v>
      </c>
      <c r="D6" s="166">
        <v>113.28816130000001</v>
      </c>
      <c r="E6" s="182">
        <v>107.95459314999997</v>
      </c>
      <c r="F6" s="182">
        <v>131.01541984000002</v>
      </c>
      <c r="G6" s="182">
        <v>116.03408038000002</v>
      </c>
      <c r="H6" s="112">
        <v>41.550429529999995</v>
      </c>
    </row>
    <row r="7" spans="1:16" ht="14.25" customHeight="1">
      <c r="B7" s="104"/>
      <c r="C7" s="110" t="s">
        <v>71</v>
      </c>
      <c r="D7" s="167">
        <f>SUM(D5:D6)</f>
        <v>655.18609983999954</v>
      </c>
      <c r="E7" s="183">
        <f>SUM(E5:E6)</f>
        <v>642.84024942999997</v>
      </c>
      <c r="F7" s="183">
        <f>SUM(F5:F6)</f>
        <v>680.15354242000024</v>
      </c>
      <c r="G7" s="183">
        <f>SUM(G5:G6)</f>
        <v>651.8203446499997</v>
      </c>
      <c r="H7" s="111">
        <v>673.45152168000004</v>
      </c>
    </row>
    <row r="8" spans="1:16" ht="15">
      <c r="B8" s="106"/>
      <c r="C8" s="106" t="s">
        <v>72</v>
      </c>
      <c r="D8" s="168">
        <v>1.44E-2</v>
      </c>
      <c r="E8" s="184">
        <v>1.46E-2</v>
      </c>
      <c r="F8" s="184">
        <v>1.4800000000000001E-2</v>
      </c>
      <c r="G8" s="184">
        <v>1.44E-2</v>
      </c>
      <c r="H8" s="107">
        <v>1.38E-2</v>
      </c>
    </row>
    <row r="9" spans="1:16" ht="15">
      <c r="B9" s="106"/>
      <c r="C9" s="185"/>
      <c r="D9" s="186">
        <f>H8</f>
        <v>1.38E-2</v>
      </c>
      <c r="E9" s="186">
        <f>G8</f>
        <v>1.44E-2</v>
      </c>
      <c r="F9" s="186">
        <f>F8</f>
        <v>1.4800000000000001E-2</v>
      </c>
      <c r="G9" s="186">
        <f>E8</f>
        <v>1.46E-2</v>
      </c>
      <c r="H9" s="186">
        <f>D8</f>
        <v>1.44E-2</v>
      </c>
    </row>
    <row r="10" spans="1:16" ht="14.25" customHeight="1">
      <c r="B10" s="99"/>
      <c r="C10" s="100"/>
      <c r="D10" s="70"/>
      <c r="E10" s="70"/>
      <c r="F10" s="70"/>
      <c r="G10" s="70"/>
    </row>
    <row r="11" spans="1:16" ht="14.25" customHeight="1">
      <c r="B11" s="101"/>
      <c r="C11" s="94"/>
      <c r="D11" s="71"/>
      <c r="E11" s="71"/>
      <c r="F11" s="71"/>
      <c r="G11" s="71"/>
      <c r="H11" s="71"/>
    </row>
    <row r="12" spans="1:16" ht="14.25" customHeight="1">
      <c r="B12" s="101"/>
      <c r="C12" s="94"/>
      <c r="D12" s="71"/>
      <c r="E12" s="71"/>
      <c r="F12" s="71"/>
      <c r="G12" s="71"/>
      <c r="H12" s="71"/>
    </row>
    <row r="13" spans="1:16" ht="14.25" customHeight="1">
      <c r="B13" s="101"/>
      <c r="C13" s="94"/>
      <c r="D13" s="71"/>
      <c r="E13" s="71"/>
      <c r="F13" s="71"/>
      <c r="G13" s="71"/>
      <c r="H13" s="71"/>
    </row>
    <row r="14" spans="1:16" ht="14.25" customHeight="1">
      <c r="B14" s="101"/>
      <c r="C14" s="94"/>
      <c r="D14" s="71"/>
      <c r="E14" s="71"/>
      <c r="F14" s="71"/>
      <c r="G14" s="71"/>
      <c r="H14" s="71"/>
    </row>
    <row r="15" spans="1:16" ht="14.25" customHeight="1">
      <c r="B15" s="101"/>
      <c r="C15" s="94"/>
      <c r="D15" s="71"/>
      <c r="E15" s="71"/>
      <c r="F15" s="71"/>
      <c r="G15" s="71"/>
      <c r="H15" s="71"/>
    </row>
    <row r="16" spans="1:16" ht="14.25" customHeight="1">
      <c r="B16" s="101"/>
      <c r="C16" s="94"/>
      <c r="D16" s="71"/>
      <c r="E16" s="71"/>
      <c r="F16" s="71"/>
      <c r="G16" s="71"/>
      <c r="H16" s="71"/>
    </row>
    <row r="17" spans="2:8" ht="14.25" customHeight="1">
      <c r="B17" s="101"/>
      <c r="C17" s="94"/>
      <c r="D17" s="71"/>
      <c r="E17" s="71"/>
      <c r="F17" s="71"/>
      <c r="G17" s="71"/>
      <c r="H17" s="71"/>
    </row>
    <row r="18" spans="2:8" ht="14.25" customHeight="1">
      <c r="B18" s="101"/>
      <c r="C18" s="94"/>
      <c r="D18" s="71"/>
      <c r="E18" s="71"/>
      <c r="F18" s="71"/>
      <c r="G18" s="71"/>
      <c r="H18" s="71"/>
    </row>
    <row r="19" spans="2:8" ht="14.25" customHeight="1">
      <c r="B19" s="101"/>
      <c r="C19" s="94"/>
      <c r="D19" s="71"/>
      <c r="E19" s="71"/>
      <c r="F19" s="71"/>
      <c r="G19" s="71"/>
      <c r="H19" s="71"/>
    </row>
    <row r="20" spans="2:8" ht="14.25" customHeight="1">
      <c r="B20" s="101"/>
      <c r="C20" s="94"/>
      <c r="D20" s="71"/>
      <c r="E20" s="71"/>
      <c r="F20" s="71"/>
      <c r="G20" s="71"/>
      <c r="H20" s="71"/>
    </row>
    <row r="21" spans="2:8" ht="14.25" customHeight="1">
      <c r="B21" s="101"/>
      <c r="C21" s="94"/>
      <c r="D21" s="71"/>
      <c r="E21" s="71"/>
      <c r="F21" s="71"/>
      <c r="G21" s="71"/>
      <c r="H21" s="71"/>
    </row>
    <row r="22" spans="2:8" ht="14.25" customHeight="1">
      <c r="B22" s="101"/>
      <c r="C22" s="94"/>
      <c r="D22" s="71"/>
      <c r="E22" s="71"/>
      <c r="F22" s="71"/>
      <c r="G22" s="71"/>
      <c r="H22" s="71"/>
    </row>
    <row r="23" spans="2:8" ht="14.25" customHeight="1">
      <c r="B23" s="101"/>
      <c r="C23" s="102"/>
      <c r="D23" s="71"/>
      <c r="E23" s="71"/>
      <c r="F23" s="71"/>
      <c r="G23" s="71"/>
      <c r="H23" s="71"/>
    </row>
    <row r="24" spans="2:8" ht="14.25" customHeight="1">
      <c r="B24" s="101"/>
      <c r="C24" s="102"/>
      <c r="D24" s="71"/>
      <c r="E24" s="71"/>
      <c r="F24" s="71"/>
      <c r="G24" s="71"/>
      <c r="H24" s="71"/>
    </row>
    <row r="25" spans="2:8" ht="14.25" customHeight="1">
      <c r="B25" s="101"/>
      <c r="C25" s="102"/>
      <c r="D25" s="71"/>
      <c r="E25" s="71"/>
      <c r="F25" s="71"/>
      <c r="G25" s="71"/>
      <c r="H25" s="71"/>
    </row>
    <row r="26" spans="2:8" ht="14.25" customHeight="1">
      <c r="B26" s="101"/>
      <c r="C26" s="102"/>
      <c r="D26" s="71"/>
      <c r="E26" s="71"/>
      <c r="F26" s="71"/>
      <c r="G26" s="71"/>
      <c r="H26" s="71"/>
    </row>
    <row r="27" spans="2:8" ht="14.25" customHeight="1">
      <c r="B27" s="101"/>
      <c r="C27" s="94"/>
      <c r="D27" s="71"/>
      <c r="E27" s="71"/>
      <c r="F27" s="71"/>
      <c r="G27" s="71"/>
      <c r="H27" s="71"/>
    </row>
    <row r="28" spans="2:8" ht="14.25" customHeight="1">
      <c r="B28" s="99"/>
      <c r="C28" s="100"/>
      <c r="D28" s="70"/>
      <c r="E28" s="70"/>
      <c r="F28" s="70"/>
      <c r="G28" s="70"/>
      <c r="H28" s="70"/>
    </row>
    <row r="43" spans="1:10" ht="15">
      <c r="A43" s="20" t="s">
        <v>494</v>
      </c>
    </row>
    <row r="44" spans="1:10">
      <c r="D44" s="190"/>
      <c r="E44" s="190"/>
      <c r="F44" s="190"/>
      <c r="G44" s="190"/>
      <c r="H44" s="190"/>
    </row>
    <row r="45" spans="1:10">
      <c r="C45" s="108" t="s">
        <v>76</v>
      </c>
      <c r="D45" s="234" t="s">
        <v>521</v>
      </c>
      <c r="E45" s="170" t="s">
        <v>484</v>
      </c>
      <c r="F45" s="170" t="s">
        <v>409</v>
      </c>
      <c r="G45" s="170" t="s">
        <v>396</v>
      </c>
      <c r="H45" s="170" t="s">
        <v>383</v>
      </c>
    </row>
    <row r="46" spans="1:10" ht="15">
      <c r="C46" s="144" t="s">
        <v>70</v>
      </c>
      <c r="D46" s="366">
        <f>D6</f>
        <v>113.28816130000001</v>
      </c>
      <c r="E46" s="368">
        <v>107.95459314999997</v>
      </c>
      <c r="F46" s="368">
        <f>F6</f>
        <v>131.01541984000002</v>
      </c>
      <c r="G46" s="369">
        <v>116.03408038000002</v>
      </c>
      <c r="H46" s="369">
        <v>41.550429529999995</v>
      </c>
      <c r="I46" s="190"/>
      <c r="J46" s="190"/>
    </row>
    <row r="47" spans="1:10" ht="15">
      <c r="C47" s="144" t="s">
        <v>86</v>
      </c>
      <c r="D47" s="366">
        <v>11.051273999999999</v>
      </c>
      <c r="E47" s="370">
        <v>15.25033047</v>
      </c>
      <c r="F47" s="370">
        <v>13.687484</v>
      </c>
      <c r="G47" s="370">
        <v>14.295226000000001</v>
      </c>
      <c r="H47" s="370">
        <v>14.097383799999999</v>
      </c>
      <c r="I47" s="190"/>
      <c r="J47" s="190"/>
    </row>
    <row r="48" spans="1:10">
      <c r="C48" s="144" t="s">
        <v>87</v>
      </c>
      <c r="D48" s="367">
        <v>32.38791719000001</v>
      </c>
      <c r="E48" s="145">
        <v>23.942271430000016</v>
      </c>
      <c r="F48" s="145">
        <v>38.872279470000009</v>
      </c>
      <c r="G48" s="145">
        <v>27.183375469999991</v>
      </c>
      <c r="H48" s="145">
        <v>23.26165228</v>
      </c>
      <c r="I48" s="190"/>
      <c r="J48" s="190"/>
    </row>
    <row r="49" spans="3:10">
      <c r="C49" s="144" t="s">
        <v>88</v>
      </c>
      <c r="D49" s="171">
        <v>64.605286939999999</v>
      </c>
      <c r="E49" s="145">
        <v>65.463808380000017</v>
      </c>
      <c r="F49" s="145">
        <v>64.050199190000015</v>
      </c>
      <c r="G49" s="145">
        <v>57.627777260000023</v>
      </c>
      <c r="H49" s="145">
        <v>55.386316669999992</v>
      </c>
      <c r="I49" s="190"/>
      <c r="J49" s="190"/>
    </row>
    <row r="50" spans="3:10">
      <c r="C50" s="144" t="s">
        <v>89</v>
      </c>
      <c r="D50" s="171">
        <v>106.23761298000001</v>
      </c>
      <c r="E50" s="145">
        <v>80.888476979999993</v>
      </c>
      <c r="F50" s="145">
        <v>77.588826149999989</v>
      </c>
      <c r="G50" s="145">
        <v>101.95162042999999</v>
      </c>
      <c r="H50" s="145">
        <v>84.016227420000007</v>
      </c>
      <c r="I50" s="190"/>
      <c r="J50" s="190"/>
    </row>
    <row r="51" spans="3:10">
      <c r="C51" s="144" t="s">
        <v>90</v>
      </c>
      <c r="D51" s="171">
        <v>50.875800630000008</v>
      </c>
      <c r="E51" s="145">
        <v>52.215935049999999</v>
      </c>
      <c r="F51" s="145">
        <v>43.623899200000011</v>
      </c>
      <c r="G51" s="145">
        <v>39.804018680000006</v>
      </c>
      <c r="H51" s="145">
        <v>49.477726210000007</v>
      </c>
      <c r="I51" s="190"/>
      <c r="J51" s="190"/>
    </row>
    <row r="52" spans="3:10">
      <c r="C52" s="146" t="s">
        <v>91</v>
      </c>
      <c r="D52" s="172">
        <v>37.170782560000013</v>
      </c>
      <c r="E52" s="178">
        <v>32.873121000000026</v>
      </c>
      <c r="F52" s="178">
        <v>37.224553380000003</v>
      </c>
      <c r="G52" s="147">
        <v>35.241983420000004</v>
      </c>
      <c r="H52" s="147">
        <v>32.501328249999979</v>
      </c>
      <c r="I52" s="190"/>
      <c r="J52" s="190"/>
    </row>
    <row r="53" spans="3:10">
      <c r="C53" s="142" t="s">
        <v>92</v>
      </c>
      <c r="D53" s="173">
        <f>SUM(D46:D52)</f>
        <v>415.61683560000006</v>
      </c>
      <c r="E53" s="181">
        <f>SUM(E46:E52)</f>
        <v>378.58853646</v>
      </c>
      <c r="F53" s="181">
        <f t="shared" ref="F53:H53" si="0">SUM(F46:F52)</f>
        <v>406.06266123</v>
      </c>
      <c r="G53" s="148">
        <f t="shared" si="0"/>
        <v>392.13808164</v>
      </c>
      <c r="H53" s="148">
        <f t="shared" si="0"/>
        <v>300.29106415999996</v>
      </c>
    </row>
    <row r="54" spans="3:10">
      <c r="C54" s="236"/>
    </row>
    <row r="86" spans="1:16">
      <c r="A86" s="187"/>
      <c r="K86" s="190"/>
      <c r="L86" s="190"/>
      <c r="M86" s="190"/>
      <c r="N86" s="190"/>
      <c r="O86" s="190"/>
      <c r="P86" s="190"/>
    </row>
    <row r="87" spans="1:16">
      <c r="K87" s="190"/>
      <c r="L87" s="190"/>
      <c r="M87" s="190"/>
      <c r="N87" s="190"/>
      <c r="O87" s="190"/>
      <c r="P87" s="190"/>
    </row>
    <row r="88" spans="1:16">
      <c r="K88" s="190"/>
      <c r="L88" s="190"/>
      <c r="M88" s="190"/>
      <c r="N88" s="190"/>
      <c r="O88" s="190"/>
      <c r="P88" s="190"/>
    </row>
    <row r="89" spans="1:16">
      <c r="K89" s="190"/>
      <c r="L89" s="190"/>
      <c r="M89" s="190"/>
      <c r="N89" s="190"/>
      <c r="O89" s="190"/>
      <c r="P89" s="190"/>
    </row>
    <row r="90" spans="1:16" ht="15">
      <c r="A90" s="20" t="s">
        <v>495</v>
      </c>
      <c r="K90" s="190"/>
      <c r="L90" s="190"/>
      <c r="M90" s="190"/>
      <c r="N90" s="190"/>
      <c r="O90" s="190"/>
      <c r="P90" s="190"/>
    </row>
    <row r="91" spans="1:16">
      <c r="K91" s="190"/>
      <c r="L91" s="190"/>
      <c r="M91" s="190"/>
      <c r="N91" s="190"/>
      <c r="O91" s="190"/>
      <c r="P91" s="190"/>
    </row>
    <row r="92" spans="1:16">
      <c r="K92" s="190"/>
      <c r="L92" s="190"/>
      <c r="M92" s="190"/>
      <c r="N92" s="190"/>
      <c r="O92" s="190"/>
      <c r="P92" s="190"/>
    </row>
    <row r="93" spans="1:16">
      <c r="C93" s="108" t="s">
        <v>97</v>
      </c>
      <c r="D93" s="234" t="s">
        <v>521</v>
      </c>
      <c r="E93" s="170" t="s">
        <v>484</v>
      </c>
      <c r="F93" s="170" t="s">
        <v>409</v>
      </c>
      <c r="G93" s="170" t="s">
        <v>396</v>
      </c>
      <c r="H93" s="170" t="s">
        <v>383</v>
      </c>
      <c r="K93" s="190"/>
      <c r="L93" s="190"/>
      <c r="M93" s="190"/>
      <c r="N93" s="190"/>
      <c r="O93" s="190"/>
      <c r="P93" s="190"/>
    </row>
    <row r="94" spans="1:16">
      <c r="C94" s="144" t="s">
        <v>19</v>
      </c>
      <c r="D94" s="171">
        <v>9.261057619999999</v>
      </c>
      <c r="E94" s="180">
        <v>11.05883128</v>
      </c>
      <c r="F94" s="180">
        <v>28.599771950000001</v>
      </c>
      <c r="G94" s="180">
        <v>0.52473499000000001</v>
      </c>
      <c r="H94" s="180">
        <v>0.20983959000000141</v>
      </c>
      <c r="I94" s="190"/>
      <c r="J94" s="190"/>
      <c r="K94" s="190"/>
      <c r="L94" s="190"/>
    </row>
    <row r="95" spans="1:16">
      <c r="C95" s="144" t="s">
        <v>20</v>
      </c>
      <c r="D95" s="171">
        <v>110.53405205</v>
      </c>
      <c r="E95" s="180">
        <v>58.729093169999999</v>
      </c>
      <c r="F95" s="180">
        <v>63.380853089999974</v>
      </c>
      <c r="G95" s="180">
        <v>87.893367530000006</v>
      </c>
      <c r="H95" s="180">
        <v>128.18699436000003</v>
      </c>
      <c r="J95" s="190"/>
      <c r="K95" s="190"/>
      <c r="L95" s="190"/>
    </row>
    <row r="96" spans="1:16">
      <c r="C96" s="146" t="s">
        <v>21</v>
      </c>
      <c r="D96" s="172">
        <v>61.638719260000038</v>
      </c>
      <c r="E96" s="178">
        <v>37.816308909999968</v>
      </c>
      <c r="F96" s="178">
        <v>54.517827030000063</v>
      </c>
      <c r="G96" s="178">
        <v>44.820131629999821</v>
      </c>
      <c r="H96" s="178">
        <v>185.3272080200002</v>
      </c>
      <c r="J96" s="190"/>
      <c r="K96" s="190"/>
      <c r="L96" s="190"/>
    </row>
    <row r="97" spans="1:16">
      <c r="C97" s="142" t="s">
        <v>18</v>
      </c>
      <c r="D97" s="173">
        <f>SUM(D94:D96)</f>
        <v>181.43382893000003</v>
      </c>
      <c r="E97" s="181">
        <f>SUM(E94:E96)</f>
        <v>107.60423335999997</v>
      </c>
      <c r="F97" s="181">
        <f>SUM(F94:F96)</f>
        <v>146.49845207000004</v>
      </c>
      <c r="G97" s="181">
        <f t="shared" ref="G97:H97" si="1">SUM(G94:G96)</f>
        <v>133.23823414999981</v>
      </c>
      <c r="H97" s="181">
        <f t="shared" si="1"/>
        <v>313.72404197000026</v>
      </c>
    </row>
    <row r="98" spans="1:16">
      <c r="D98" s="190"/>
      <c r="E98" s="190"/>
      <c r="F98" s="190"/>
      <c r="G98" s="190"/>
      <c r="H98" s="190"/>
    </row>
    <row r="99" spans="1:16">
      <c r="E99" s="190"/>
      <c r="G99" s="190"/>
    </row>
    <row r="103" spans="1:16" ht="15">
      <c r="A103" s="20" t="s">
        <v>496</v>
      </c>
    </row>
    <row r="104" spans="1:16">
      <c r="A104" s="237"/>
    </row>
    <row r="106" spans="1:16">
      <c r="C106" s="108" t="s">
        <v>98</v>
      </c>
      <c r="D106" s="234" t="s">
        <v>521</v>
      </c>
      <c r="E106" s="170" t="s">
        <v>484</v>
      </c>
      <c r="F106" s="170" t="s">
        <v>409</v>
      </c>
      <c r="G106" s="170" t="s">
        <v>396</v>
      </c>
      <c r="H106" s="170" t="s">
        <v>383</v>
      </c>
    </row>
    <row r="107" spans="1:16">
      <c r="C107" s="144" t="s">
        <v>99</v>
      </c>
      <c r="D107" s="171">
        <v>595.35200000000009</v>
      </c>
      <c r="E107" s="180">
        <v>495.78199999999998</v>
      </c>
      <c r="F107" s="180">
        <v>377.06299999999999</v>
      </c>
      <c r="G107" s="180">
        <v>299.14499999999998</v>
      </c>
      <c r="H107" s="180">
        <v>386.12430000000001</v>
      </c>
      <c r="I107" s="190"/>
      <c r="J107" s="190"/>
      <c r="K107" s="190"/>
      <c r="M107" s="190"/>
      <c r="N107" s="190"/>
      <c r="O107" s="190"/>
      <c r="P107" s="190"/>
    </row>
    <row r="108" spans="1:16">
      <c r="C108" s="144" t="s">
        <v>100</v>
      </c>
      <c r="D108" s="171">
        <v>-253.09400000000002</v>
      </c>
      <c r="E108" s="180">
        <v>-167.345</v>
      </c>
      <c r="F108" s="180">
        <v>0</v>
      </c>
      <c r="G108" s="180">
        <v>-7</v>
      </c>
      <c r="H108" s="180">
        <v>-124.20780000000002</v>
      </c>
      <c r="I108" s="190"/>
      <c r="J108" s="190"/>
      <c r="K108" s="190"/>
      <c r="M108" s="190"/>
      <c r="N108" s="190"/>
      <c r="O108" s="190"/>
      <c r="P108" s="190"/>
    </row>
    <row r="109" spans="1:16" ht="15">
      <c r="C109" s="249"/>
      <c r="D109" s="171"/>
      <c r="E109" s="188"/>
      <c r="F109" s="188"/>
      <c r="G109" s="188"/>
      <c r="H109" s="191"/>
      <c r="I109" s="190"/>
      <c r="J109" s="190"/>
      <c r="K109" s="190"/>
      <c r="M109" s="190"/>
      <c r="N109" s="190"/>
      <c r="O109" s="190"/>
      <c r="P109" s="190"/>
    </row>
    <row r="110" spans="1:16" ht="15">
      <c r="C110" s="250" t="s">
        <v>101</v>
      </c>
      <c r="D110" s="171"/>
      <c r="E110" s="188"/>
      <c r="F110" s="188"/>
      <c r="G110" s="188"/>
      <c r="H110" s="191"/>
      <c r="I110" s="190"/>
      <c r="K110" s="190"/>
      <c r="M110" s="190"/>
      <c r="N110" s="190"/>
      <c r="O110" s="190"/>
      <c r="P110" s="190"/>
    </row>
    <row r="111" spans="1:16">
      <c r="C111" s="249" t="s">
        <v>373</v>
      </c>
      <c r="D111" s="171">
        <v>93.146999999999991</v>
      </c>
      <c r="E111" s="191">
        <v>42.673000000000002</v>
      </c>
      <c r="F111" s="191">
        <v>54.836999999999989</v>
      </c>
      <c r="G111" s="191">
        <v>72.428999999999974</v>
      </c>
      <c r="H111" s="191">
        <v>69.004400000000004</v>
      </c>
      <c r="I111" s="190"/>
      <c r="J111" s="190"/>
      <c r="K111" s="190"/>
      <c r="M111" s="190"/>
      <c r="N111" s="190"/>
      <c r="O111" s="190"/>
      <c r="P111" s="190"/>
    </row>
    <row r="112" spans="1:16">
      <c r="C112" s="249" t="s">
        <v>7</v>
      </c>
      <c r="D112" s="171">
        <v>3.2119999999999997</v>
      </c>
      <c r="E112" s="191">
        <v>3.7610000000000001</v>
      </c>
      <c r="F112" s="191">
        <v>-3.8569999999999993</v>
      </c>
      <c r="G112" s="191">
        <v>12.15</v>
      </c>
      <c r="H112" s="191">
        <v>43.968600000000002</v>
      </c>
      <c r="I112" s="190"/>
      <c r="J112" s="190"/>
      <c r="K112" s="190"/>
      <c r="M112" s="190"/>
      <c r="N112" s="190"/>
      <c r="O112" s="190"/>
      <c r="P112" s="190"/>
    </row>
    <row r="113" spans="3:16">
      <c r="C113" s="249" t="s">
        <v>8</v>
      </c>
      <c r="D113" s="171">
        <v>1.5009999999999999</v>
      </c>
      <c r="E113" s="191">
        <v>1.343</v>
      </c>
      <c r="F113" s="191">
        <v>1.883</v>
      </c>
      <c r="G113" s="191">
        <v>1.9049999999999998</v>
      </c>
      <c r="H113" s="191">
        <v>2.762</v>
      </c>
      <c r="I113" s="190"/>
      <c r="J113" s="190"/>
      <c r="K113" s="190"/>
      <c r="M113" s="190"/>
      <c r="N113" s="190"/>
      <c r="O113" s="190"/>
      <c r="P113" s="190"/>
    </row>
    <row r="114" spans="3:16">
      <c r="C114" s="249" t="s">
        <v>371</v>
      </c>
      <c r="D114" s="171">
        <v>6.0589999999999993</v>
      </c>
      <c r="E114" s="191">
        <v>-1.363</v>
      </c>
      <c r="F114" s="191">
        <v>-6.9710000000000019</v>
      </c>
      <c r="G114" s="191">
        <v>5.5250000000000021</v>
      </c>
      <c r="H114" s="191">
        <v>10.671799999999999</v>
      </c>
      <c r="I114" s="190"/>
      <c r="J114" s="190"/>
      <c r="K114" s="190"/>
      <c r="M114" s="190"/>
      <c r="N114" s="190"/>
      <c r="O114" s="190"/>
      <c r="P114" s="190"/>
    </row>
    <row r="115" spans="3:16">
      <c r="C115" s="249" t="s">
        <v>372</v>
      </c>
      <c r="D115" s="171">
        <v>8.1579999999999995</v>
      </c>
      <c r="E115" s="192">
        <v>3.3239999999999998</v>
      </c>
      <c r="F115" s="192">
        <v>1.1590000000000007</v>
      </c>
      <c r="G115" s="192">
        <v>6.2149999999999999</v>
      </c>
      <c r="H115" s="192">
        <v>5.1326000000000001</v>
      </c>
      <c r="I115" s="190"/>
      <c r="J115" s="190"/>
      <c r="K115" s="190"/>
      <c r="M115" s="190"/>
      <c r="N115" s="190"/>
      <c r="O115" s="190"/>
      <c r="P115" s="190"/>
    </row>
    <row r="116" spans="3:16">
      <c r="C116" s="249" t="s">
        <v>6</v>
      </c>
      <c r="D116" s="171">
        <v>46.837000000000003</v>
      </c>
      <c r="E116" s="191">
        <v>47.984999999999999</v>
      </c>
      <c r="F116" s="191">
        <v>31.489999999999995</v>
      </c>
      <c r="G116" s="191">
        <v>37.332999999999998</v>
      </c>
      <c r="H116" s="191">
        <v>28.431699999999999</v>
      </c>
      <c r="I116" s="190"/>
      <c r="J116" s="190"/>
      <c r="K116" s="190"/>
      <c r="M116" s="190"/>
      <c r="N116" s="190"/>
      <c r="O116" s="190"/>
      <c r="P116" s="190"/>
    </row>
    <row r="117" spans="3:16">
      <c r="C117" s="251" t="s">
        <v>517</v>
      </c>
      <c r="D117" s="171">
        <v>1.9540000000000002</v>
      </c>
      <c r="E117" s="191">
        <v>0.54500000000000004</v>
      </c>
      <c r="F117" s="191">
        <v>-2.423</v>
      </c>
      <c r="G117" s="191">
        <v>0.87640000000000007</v>
      </c>
      <c r="H117" s="191">
        <v>1.8623999999999998</v>
      </c>
      <c r="I117" s="190"/>
      <c r="J117" s="190"/>
      <c r="K117" s="190"/>
      <c r="M117" s="190"/>
      <c r="N117" s="190"/>
      <c r="O117" s="190"/>
      <c r="P117" s="190"/>
    </row>
    <row r="118" spans="3:16">
      <c r="C118" s="251" t="s">
        <v>397</v>
      </c>
      <c r="D118" s="171">
        <v>0.89900000000000002</v>
      </c>
      <c r="E118" s="191">
        <v>0.29099999999999998</v>
      </c>
      <c r="F118" s="191">
        <v>0.58800000000000008</v>
      </c>
      <c r="G118" s="191">
        <v>-0.40100000000000025</v>
      </c>
      <c r="H118" s="191">
        <v>1.8238000000000003</v>
      </c>
      <c r="I118" s="190"/>
      <c r="J118" s="190"/>
      <c r="K118" s="190"/>
      <c r="M118" s="190"/>
      <c r="N118" s="190"/>
      <c r="O118" s="190"/>
      <c r="P118" s="190"/>
    </row>
    <row r="119" spans="3:16">
      <c r="C119" s="144" t="s">
        <v>10</v>
      </c>
      <c r="D119" s="171">
        <v>-4.1849999999999996</v>
      </c>
      <c r="E119" s="180">
        <v>-0.72599999999999998</v>
      </c>
      <c r="F119" s="180">
        <v>1.0269999999999999</v>
      </c>
      <c r="G119" s="180">
        <v>-0.93799999999999994</v>
      </c>
      <c r="H119" s="180">
        <v>0.34409999999999985</v>
      </c>
      <c r="I119" s="190"/>
      <c r="J119" s="190"/>
      <c r="K119" s="190"/>
      <c r="M119" s="190"/>
      <c r="N119" s="190"/>
      <c r="O119" s="190"/>
      <c r="P119" s="190"/>
    </row>
    <row r="120" spans="3:16">
      <c r="C120" s="144" t="s">
        <v>522</v>
      </c>
      <c r="D120" s="171">
        <v>4.0439999999999996</v>
      </c>
      <c r="E120" s="180">
        <v>0</v>
      </c>
      <c r="F120" s="180">
        <v>0</v>
      </c>
      <c r="G120" s="180">
        <v>0</v>
      </c>
      <c r="H120" s="180">
        <v>0</v>
      </c>
      <c r="I120" s="190"/>
      <c r="J120" s="190"/>
      <c r="K120" s="190"/>
      <c r="M120" s="190"/>
      <c r="N120" s="190"/>
      <c r="O120" s="190"/>
      <c r="P120" s="190"/>
    </row>
    <row r="121" spans="3:16">
      <c r="C121" s="144" t="s">
        <v>374</v>
      </c>
      <c r="D121" s="171">
        <v>11.893000000000002</v>
      </c>
      <c r="E121" s="180">
        <v>11.465999999999999</v>
      </c>
      <c r="F121" s="180">
        <v>10.193999999999999</v>
      </c>
      <c r="G121" s="180">
        <v>9.702</v>
      </c>
      <c r="H121" s="180">
        <v>7.8342999999999998</v>
      </c>
      <c r="I121" s="190"/>
      <c r="J121" s="190"/>
      <c r="K121" s="190"/>
      <c r="M121" s="190"/>
      <c r="N121" s="190"/>
      <c r="O121" s="190"/>
      <c r="P121" s="190"/>
    </row>
    <row r="122" spans="3:16">
      <c r="C122" s="144" t="s">
        <v>375</v>
      </c>
      <c r="D122" s="171">
        <v>1.147</v>
      </c>
      <c r="E122" s="180">
        <v>1.1279999999999999</v>
      </c>
      <c r="F122" s="180">
        <v>1.0449999999999999</v>
      </c>
      <c r="G122" s="180">
        <v>1.0150000000000001</v>
      </c>
      <c r="H122" s="180">
        <v>1.1323999999999999</v>
      </c>
      <c r="I122" s="190"/>
      <c r="J122" s="190"/>
      <c r="M122" s="190"/>
      <c r="N122" s="190"/>
      <c r="O122" s="190"/>
      <c r="P122" s="190"/>
    </row>
    <row r="123" spans="3:16">
      <c r="C123" s="146" t="s">
        <v>102</v>
      </c>
      <c r="D123" s="172">
        <v>-0.96899999999999986</v>
      </c>
      <c r="E123" s="178">
        <v>0.47500000000000003</v>
      </c>
      <c r="F123" s="178">
        <v>0.29899999999999971</v>
      </c>
      <c r="G123" s="178">
        <v>-7.4999999999999983E-2</v>
      </c>
      <c r="H123" s="178">
        <v>2.9699999999999998</v>
      </c>
      <c r="I123" s="190"/>
      <c r="J123" s="181"/>
      <c r="K123" s="190"/>
      <c r="M123" s="190"/>
      <c r="N123" s="190"/>
      <c r="O123" s="190"/>
      <c r="P123" s="190"/>
    </row>
    <row r="124" spans="3:16">
      <c r="C124" s="142" t="s">
        <v>103</v>
      </c>
      <c r="D124" s="173">
        <f>SUM(D107:D123)</f>
        <v>515.95500000000004</v>
      </c>
      <c r="E124" s="181">
        <f>SUM(E107:E123)</f>
        <v>439.33900000000011</v>
      </c>
      <c r="F124" s="181">
        <f>SUM(F107:F123)</f>
        <v>466.334</v>
      </c>
      <c r="G124" s="181">
        <f>SUM(G107:G123)</f>
        <v>437.88139999999987</v>
      </c>
      <c r="H124" s="181">
        <f>SUM(H107:H123)</f>
        <v>437.8546</v>
      </c>
      <c r="I124" s="181"/>
      <c r="K124" s="190"/>
      <c r="M124" s="190"/>
      <c r="N124" s="190"/>
      <c r="O124" s="190"/>
      <c r="P124" s="190"/>
    </row>
    <row r="125" spans="3:16">
      <c r="C125" s="356"/>
      <c r="D125"/>
      <c r="H125" s="193"/>
      <c r="K125" s="190"/>
      <c r="L125" s="190"/>
      <c r="M125" s="190"/>
      <c r="N125" s="190"/>
      <c r="O125" s="190"/>
      <c r="P125" s="190"/>
    </row>
    <row r="126" spans="3:16">
      <c r="C126"/>
      <c r="D126"/>
      <c r="H126" s="193"/>
      <c r="K126" s="190"/>
      <c r="L126" s="190"/>
      <c r="M126" s="190"/>
      <c r="N126" s="190"/>
      <c r="O126" s="190"/>
      <c r="P126" s="190"/>
    </row>
    <row r="127" spans="3:16">
      <c r="C127" s="108" t="s">
        <v>104</v>
      </c>
      <c r="D127" s="234" t="s">
        <v>521</v>
      </c>
      <c r="E127" s="170" t="s">
        <v>484</v>
      </c>
      <c r="F127" s="170" t="s">
        <v>409</v>
      </c>
      <c r="G127" s="170" t="s">
        <v>396</v>
      </c>
      <c r="H127" s="170" t="s">
        <v>383</v>
      </c>
      <c r="K127" s="190"/>
      <c r="L127" s="190"/>
      <c r="M127" s="190"/>
      <c r="N127" s="190"/>
      <c r="O127" s="190"/>
      <c r="P127" s="190"/>
    </row>
    <row r="128" spans="3:16">
      <c r="C128" s="144" t="s">
        <v>9</v>
      </c>
      <c r="D128" s="171">
        <f>D111</f>
        <v>93.146999999999991</v>
      </c>
      <c r="E128" s="180">
        <f t="shared" ref="E128:H128" si="2">E111</f>
        <v>42.673000000000002</v>
      </c>
      <c r="F128" s="180">
        <f t="shared" si="2"/>
        <v>54.836999999999989</v>
      </c>
      <c r="G128" s="180">
        <f t="shared" si="2"/>
        <v>72.428999999999974</v>
      </c>
      <c r="H128" s="180">
        <f t="shared" si="2"/>
        <v>69.004400000000004</v>
      </c>
      <c r="I128" s="190"/>
      <c r="J128" s="190"/>
      <c r="K128" s="190"/>
      <c r="M128" s="190"/>
      <c r="N128" s="190"/>
      <c r="O128" s="190"/>
      <c r="P128" s="190"/>
    </row>
    <row r="129" spans="3:16">
      <c r="C129" s="144" t="s">
        <v>7</v>
      </c>
      <c r="D129" s="171">
        <f>D112</f>
        <v>3.2119999999999997</v>
      </c>
      <c r="E129" s="180">
        <f t="shared" ref="E129:H129" si="3">E112</f>
        <v>3.7610000000000001</v>
      </c>
      <c r="F129" s="180">
        <f t="shared" si="3"/>
        <v>-3.8569999999999993</v>
      </c>
      <c r="G129" s="180">
        <f t="shared" si="3"/>
        <v>12.15</v>
      </c>
      <c r="H129" s="180">
        <f t="shared" si="3"/>
        <v>43.968600000000002</v>
      </c>
      <c r="I129" s="190"/>
      <c r="J129" s="190"/>
      <c r="K129" s="190"/>
      <c r="M129" s="190"/>
      <c r="N129" s="190"/>
      <c r="O129" s="190"/>
      <c r="P129" s="190"/>
    </row>
    <row r="130" spans="3:16">
      <c r="C130" s="189" t="s">
        <v>8</v>
      </c>
      <c r="D130" s="171">
        <f>D113</f>
        <v>1.5009999999999999</v>
      </c>
      <c r="E130" s="191">
        <f t="shared" ref="E130:H130" si="4">E113</f>
        <v>1.343</v>
      </c>
      <c r="F130" s="191">
        <f t="shared" si="4"/>
        <v>1.883</v>
      </c>
      <c r="G130" s="191">
        <f t="shared" si="4"/>
        <v>1.9049999999999998</v>
      </c>
      <c r="H130" s="191">
        <f t="shared" si="4"/>
        <v>2.762</v>
      </c>
      <c r="I130" s="190"/>
      <c r="J130" s="190"/>
      <c r="K130" s="190"/>
      <c r="M130" s="190"/>
      <c r="N130" s="190"/>
      <c r="O130" s="190"/>
      <c r="P130" s="190"/>
    </row>
    <row r="131" spans="3:16">
      <c r="C131" s="189" t="s">
        <v>397</v>
      </c>
      <c r="D131" s="171">
        <f>D118</f>
        <v>0.89900000000000002</v>
      </c>
      <c r="E131" s="191">
        <f t="shared" ref="E131:H131" si="5">E118</f>
        <v>0.29099999999999998</v>
      </c>
      <c r="F131" s="191">
        <f t="shared" si="5"/>
        <v>0.58800000000000008</v>
      </c>
      <c r="G131" s="191">
        <f t="shared" si="5"/>
        <v>-0.40100000000000025</v>
      </c>
      <c r="H131" s="191">
        <f t="shared" si="5"/>
        <v>1.8238000000000003</v>
      </c>
      <c r="I131" s="190"/>
      <c r="J131" s="190"/>
      <c r="K131" s="190"/>
      <c r="M131" s="190"/>
      <c r="N131" s="190"/>
      <c r="O131" s="190"/>
      <c r="P131" s="190"/>
    </row>
    <row r="132" spans="3:16">
      <c r="C132" s="144" t="s">
        <v>10</v>
      </c>
      <c r="D132" s="171">
        <f>D119</f>
        <v>-4.1849999999999996</v>
      </c>
      <c r="E132" s="180">
        <f t="shared" ref="E132:H132" si="6">E119</f>
        <v>-0.72599999999999998</v>
      </c>
      <c r="F132" s="180">
        <f t="shared" si="6"/>
        <v>1.0269999999999999</v>
      </c>
      <c r="G132" s="180">
        <f t="shared" si="6"/>
        <v>-0.93799999999999994</v>
      </c>
      <c r="H132" s="180">
        <f t="shared" si="6"/>
        <v>0.34409999999999985</v>
      </c>
      <c r="I132" s="190"/>
      <c r="J132" s="190"/>
      <c r="K132" s="190"/>
      <c r="M132" s="190"/>
      <c r="N132" s="190"/>
      <c r="O132" s="190"/>
      <c r="P132" s="190"/>
    </row>
    <row r="133" spans="3:16">
      <c r="C133" s="144" t="s">
        <v>315</v>
      </c>
      <c r="D133" s="171">
        <f>D121</f>
        <v>11.893000000000002</v>
      </c>
      <c r="E133" s="180">
        <f t="shared" ref="E133:H133" si="7">E121</f>
        <v>11.465999999999999</v>
      </c>
      <c r="F133" s="180">
        <f t="shared" si="7"/>
        <v>10.193999999999999</v>
      </c>
      <c r="G133" s="180">
        <f t="shared" si="7"/>
        <v>9.702</v>
      </c>
      <c r="H133" s="180">
        <f t="shared" si="7"/>
        <v>7.8342999999999998</v>
      </c>
      <c r="I133" s="190"/>
      <c r="J133" s="190"/>
      <c r="K133" s="190"/>
      <c r="M133" s="190"/>
      <c r="N133" s="190"/>
      <c r="O133" s="190"/>
      <c r="P133" s="190"/>
    </row>
    <row r="134" spans="3:16">
      <c r="C134" s="146" t="s">
        <v>102</v>
      </c>
      <c r="D134" s="172">
        <f>SUM(D111:D123)-SUM(D128:D133)</f>
        <v>67.23</v>
      </c>
      <c r="E134" s="178">
        <f t="shared" ref="E134:H134" si="8">SUM(E111:E123)-SUM(E128:E133)</f>
        <v>52.093999999999987</v>
      </c>
      <c r="F134" s="178">
        <f t="shared" si="8"/>
        <v>24.59899999999999</v>
      </c>
      <c r="G134" s="178">
        <f t="shared" si="8"/>
        <v>50.889399999999995</v>
      </c>
      <c r="H134" s="178">
        <f t="shared" si="8"/>
        <v>50.200900000000033</v>
      </c>
      <c r="I134" s="190"/>
      <c r="J134" s="190"/>
      <c r="K134" s="190"/>
      <c r="M134" s="190"/>
      <c r="N134" s="190"/>
      <c r="O134" s="190"/>
      <c r="P134" s="190"/>
    </row>
    <row r="135" spans="3:16">
      <c r="C135" s="142" t="s">
        <v>20</v>
      </c>
      <c r="D135" s="173">
        <f>SUM(D128:D134)</f>
        <v>173.697</v>
      </c>
      <c r="E135" s="181">
        <f t="shared" ref="E135:H135" si="9">SUM(E128:E134)</f>
        <v>110.90199999999999</v>
      </c>
      <c r="F135" s="181">
        <f t="shared" si="9"/>
        <v>89.270999999999987</v>
      </c>
      <c r="G135" s="181">
        <f t="shared" si="9"/>
        <v>145.73639999999997</v>
      </c>
      <c r="H135" s="181">
        <f t="shared" si="9"/>
        <v>175.93810000000005</v>
      </c>
      <c r="I135" s="190"/>
      <c r="K135" s="190"/>
      <c r="M135" s="190"/>
      <c r="N135" s="190"/>
      <c r="O135" s="190"/>
      <c r="P135" s="190"/>
    </row>
  </sheetData>
  <sortState xmlns:xlrd2="http://schemas.microsoft.com/office/spreadsheetml/2017/richdata2" columnSort="1" ref="D44:H52">
    <sortCondition descending="1" ref="D44:H44"/>
  </sortState>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y 0 q r U I 8 S u U a n A A A A + Q A A A B I A H A B D b 2 5 m a W c v U G F j a 2 F n Z S 5 4 b W w g o h g A K K A U A A A A A A A A A A A A A A A A A A A A A A A A A A A A h Y + 9 D o I w G E V f h X S n f 0 S j 5 K M M r q I m J s a 1 Y o V G K I Y W y 7 s 5 + E i + g i S K u j n e k z O c + 7 j d I e 3 r K r i q 1 u r G J I h h i g J l 8 u a o T Z G g z p 3 C G U o F b G R + l o U K B t n Y u L f H B J X O X W J C v P f Y R 7 h p C 8 I p Z W S f L b d 5 q W q J P r L + L 4 f a W C d N r p C A 3 S t G c D x l e M L m H L O I M i A j h 0 y b r 8 O H Z E y B / E B Y d J X r W i X M I V y t g Y w T y P u G e A J Q S w M E F A A C A A g A y 0 q r 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t K q 1 A o i k e 4 D g A A A B E A A A A T A B w A R m 9 y b X V s Y X M v U 2 V j d G l v b j E u b S C i G A A o o B Q A A A A A A A A A A A A A A A A A A A A A A A A A A A A r T k 0 u y c z P U w i G 0 I b W A F B L A Q I t A B Q A A g A I A M t K q 1 C P E r l G p w A A A P k A A A A S A A A A A A A A A A A A A A A A A A A A A A B D b 2 5 m a W c v U G F j a 2 F n Z S 5 4 b W x Q S w E C L Q A U A A I A C A D L S q t Q D 8 r p q 6 Q A A A D p A A A A E w A A A A A A A A A A A A A A A A D z A A A A W 0 N v b n R l b n R f V H l w Z X N d L n h t b F B L A Q I t A B Q A A g A I A M t K q 1 A 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K u E m h + q n z T b q b X i m S u 9 j B A A A A A A I A A A A A A A N m A A D A A A A A E A A A A I l z e J w t K F v 9 P y 0 n k r k h q y c A A A A A B I A A A K A A A A A Q A A A A H o I y A t B L 9 D c E U I J N k 4 6 R v l A A A A C + M 7 Q a q q k 9 2 x 0 r I r D 2 7 N a a j E 0 d W q X / Q E p A Y 0 A w Z o a 6 s i t b p 4 p u U q u y I E 4 Y F r F m q l N 6 d t i W G J F 1 0 k g F F 6 + w k a z H p A Q o b h 0 K t L x 8 F z t v Q W H 2 N B Q A A A B y k J j o b R 9 4 h Z L u k 6 n K 7 I J P I P 2 s g w = = < / D a t a M a s h u p > 
</file>

<file path=customXml/itemProps1.xml><?xml version="1.0" encoding="utf-8"?>
<ds:datastoreItem xmlns:ds="http://schemas.openxmlformats.org/officeDocument/2006/customXml" ds:itemID="{AB342D97-B0AA-41BF-BA78-5337AE5EE4D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Front</vt:lpstr>
      <vt:lpstr>Contact info</vt:lpstr>
      <vt:lpstr>Contents</vt:lpstr>
      <vt:lpstr>APM definition</vt:lpstr>
      <vt:lpstr>1 APM</vt:lpstr>
      <vt:lpstr>2 Results and key figures</vt:lpstr>
      <vt:lpstr>3 Balance sheet</vt:lpstr>
      <vt:lpstr>4 Capital Adequacy</vt:lpstr>
      <vt:lpstr>5 Income</vt:lpstr>
      <vt:lpstr>6 Expences</vt:lpstr>
      <vt:lpstr>7 Margins</vt:lpstr>
      <vt:lpstr>8 Lending</vt:lpstr>
      <vt:lpstr>9 Deposits</vt:lpstr>
      <vt:lpstr>10 Customers</vt:lpstr>
      <vt:lpstr>11 Macro sensitivity</vt:lpstr>
    </vt:vector>
  </TitlesOfParts>
  <Company>SpareBank1 Østlandet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christian.hoistad@sb1ostlandet.no</dc:creator>
  <cp:lastModifiedBy>Siv Stenseth</cp:lastModifiedBy>
  <dcterms:created xsi:type="dcterms:W3CDTF">2017-12-01T09:54:14Z</dcterms:created>
  <dcterms:modified xsi:type="dcterms:W3CDTF">2021-08-09T14:00:19Z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522f8-dde9-421e-9a4d-85fac4e712b6_Enabled">
    <vt:lpwstr>True</vt:lpwstr>
  </property>
  <property fmtid="{D5CDD505-2E9C-101B-9397-08002B2CF9AE}" pid="3" name="MSIP_Label_38f522f8-dde9-421e-9a4d-85fac4e712b6_SiteId">
    <vt:lpwstr>8c39e660-8fca-4445-8047-ade8999d2570</vt:lpwstr>
  </property>
  <property fmtid="{D5CDD505-2E9C-101B-9397-08002B2CF9AE}" pid="4" name="MSIP_Label_38f522f8-dde9-421e-9a4d-85fac4e712b6_Owner">
    <vt:lpwstr>z.marius.mosholen@sb1ostlandet.no</vt:lpwstr>
  </property>
  <property fmtid="{D5CDD505-2E9C-101B-9397-08002B2CF9AE}" pid="5" name="MSIP_Label_38f522f8-dde9-421e-9a4d-85fac4e712b6_SetDate">
    <vt:lpwstr>2019-12-17T05:05:10.3016808Z</vt:lpwstr>
  </property>
  <property fmtid="{D5CDD505-2E9C-101B-9397-08002B2CF9AE}" pid="6" name="MSIP_Label_38f522f8-dde9-421e-9a4d-85fac4e712b6_Name">
    <vt:lpwstr>Intern</vt:lpwstr>
  </property>
  <property fmtid="{D5CDD505-2E9C-101B-9397-08002B2CF9AE}" pid="7" name="MSIP_Label_38f522f8-dde9-421e-9a4d-85fac4e712b6_Application">
    <vt:lpwstr>Microsoft Azure Information Protection</vt:lpwstr>
  </property>
  <property fmtid="{D5CDD505-2E9C-101B-9397-08002B2CF9AE}" pid="8" name="MSIP_Label_38f522f8-dde9-421e-9a4d-85fac4e712b6_ActionId">
    <vt:lpwstr>78b8061c-8f8d-4f61-9180-f016b4acbc56</vt:lpwstr>
  </property>
  <property fmtid="{D5CDD505-2E9C-101B-9397-08002B2CF9AE}" pid="9" name="MSIP_Label_38f522f8-dde9-421e-9a4d-85fac4e712b6_Extended_MSFT_Method">
    <vt:lpwstr>Automatic</vt:lpwstr>
  </property>
  <property fmtid="{D5CDD505-2E9C-101B-9397-08002B2CF9AE}" pid="10" name="MSIP_Label_e2178bd9-03cb-4874-80e6-5f216f933119_Enabled">
    <vt:lpwstr>True</vt:lpwstr>
  </property>
  <property fmtid="{D5CDD505-2E9C-101B-9397-08002B2CF9AE}" pid="11" name="MSIP_Label_e2178bd9-03cb-4874-80e6-5f216f933119_SiteId">
    <vt:lpwstr>8c39e660-8fca-4445-8047-ade8999d2570</vt:lpwstr>
  </property>
  <property fmtid="{D5CDD505-2E9C-101B-9397-08002B2CF9AE}" pid="12" name="MSIP_Label_e2178bd9-03cb-4874-80e6-5f216f933119_Owner">
    <vt:lpwstr>z.marius.mosholen@sb1ostlandet.no</vt:lpwstr>
  </property>
  <property fmtid="{D5CDD505-2E9C-101B-9397-08002B2CF9AE}" pid="13" name="MSIP_Label_e2178bd9-03cb-4874-80e6-5f216f933119_SetDate">
    <vt:lpwstr>2019-12-17T05:05:10.3016808Z</vt:lpwstr>
  </property>
  <property fmtid="{D5CDD505-2E9C-101B-9397-08002B2CF9AE}" pid="14" name="MSIP_Label_e2178bd9-03cb-4874-80e6-5f216f933119_Name">
    <vt:lpwstr>Intern</vt:lpwstr>
  </property>
  <property fmtid="{D5CDD505-2E9C-101B-9397-08002B2CF9AE}" pid="15" name="MSIP_Label_e2178bd9-03cb-4874-80e6-5f216f933119_Application">
    <vt:lpwstr>Microsoft Azure Information Protection</vt:lpwstr>
  </property>
  <property fmtid="{D5CDD505-2E9C-101B-9397-08002B2CF9AE}" pid="16" name="MSIP_Label_e2178bd9-03cb-4874-80e6-5f216f933119_ActionId">
    <vt:lpwstr>78b8061c-8f8d-4f61-9180-f016b4acbc56</vt:lpwstr>
  </property>
  <property fmtid="{D5CDD505-2E9C-101B-9397-08002B2CF9AE}" pid="17" name="MSIP_Label_e2178bd9-03cb-4874-80e6-5f216f933119_Parent">
    <vt:lpwstr>38f522f8-dde9-421e-9a4d-85fac4e712b6</vt:lpwstr>
  </property>
  <property fmtid="{D5CDD505-2E9C-101B-9397-08002B2CF9AE}" pid="18" name="MSIP_Label_e2178bd9-03cb-4874-80e6-5f216f933119_Extended_MSFT_Method">
    <vt:lpwstr>Automatic</vt:lpwstr>
  </property>
  <property fmtid="{D5CDD505-2E9C-101B-9397-08002B2CF9AE}" pid="19" name="Sensitivity">
    <vt:lpwstr>Intern Intern</vt:lpwstr>
  </property>
</Properties>
</file>