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amspar.sharepoint.com/sites/msteams_7521cf_987516/Shared Documents/General/Regnskap/Kvartalsregnskap/APM og Fact Book/"/>
    </mc:Choice>
  </mc:AlternateContent>
  <xr:revisionPtr revIDLastSave="3990" documentId="8_{FB189595-ADE9-44C9-A14D-8A097C2D04CC}" xr6:coauthVersionLast="47" xr6:coauthVersionMax="47" xr10:uidLastSave="{FFF48372-0048-43BA-9DD5-2F568A9DF489}"/>
  <bookViews>
    <workbookView xWindow="-120" yWindow="-120" windowWidth="51840" windowHeight="21120" tabRatio="914" activeTab="2" xr2:uid="{F6438FED-D499-4198-915A-5973091EBD28}"/>
  </bookViews>
  <sheets>
    <sheet name="Forside" sheetId="1" r:id="rId1"/>
    <sheet name="1.1 APM definisjoner" sheetId="4" r:id="rId2"/>
    <sheet name="1.2 APM" sheetId="5" r:id="rId3"/>
    <sheet name="2 Resultatregnskap" sheetId="6" r:id="rId4"/>
    <sheet name="3 Nøkkeltall" sheetId="21" r:id="rId5"/>
    <sheet name="4 Balanse" sheetId="7" r:id="rId6"/>
    <sheet name="5 Kapitaldekning" sheetId="8" r:id="rId7"/>
    <sheet name="6 Segmenter" sheetId="9" r:id="rId8"/>
    <sheet name="7 Inntekter" sheetId="11" r:id="rId9"/>
    <sheet name="8 Kostnader" sheetId="12" r:id="rId10"/>
    <sheet name="9 Utlån" sheetId="13" r:id="rId11"/>
    <sheet name="10 Brutto utlån og tap" sheetId="15" r:id="rId12"/>
    <sheet name="11 Innskudd" sheetId="16" r:id="rId13"/>
    <sheet name="12 Marginer" sheetId="23" r:id="rId14"/>
    <sheet name="13 Årsverk" sheetId="20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3" i="5" l="1"/>
  <c r="D216" i="5"/>
  <c r="D253" i="5"/>
  <c r="P26" i="5"/>
  <c r="D254" i="5"/>
  <c r="E26" i="5"/>
  <c r="E59" i="6"/>
  <c r="F59" i="6"/>
  <c r="G59" i="6"/>
  <c r="H59" i="6"/>
  <c r="I59" i="6"/>
  <c r="J59" i="6"/>
  <c r="K59" i="6"/>
  <c r="L59" i="6"/>
  <c r="M59" i="6"/>
  <c r="N59" i="6"/>
  <c r="O59" i="6"/>
  <c r="P59" i="6"/>
  <c r="D59" i="6"/>
  <c r="E57" i="6"/>
  <c r="F57" i="6"/>
  <c r="G57" i="6"/>
  <c r="H57" i="6"/>
  <c r="I57" i="6"/>
  <c r="J57" i="6"/>
  <c r="K57" i="6"/>
  <c r="L57" i="6"/>
  <c r="M57" i="6"/>
  <c r="N57" i="6"/>
  <c r="O57" i="6"/>
  <c r="P57" i="6"/>
  <c r="D57" i="6"/>
  <c r="E55" i="6"/>
  <c r="F55" i="6"/>
  <c r="G55" i="6"/>
  <c r="H55" i="6"/>
  <c r="I55" i="6"/>
  <c r="J55" i="6"/>
  <c r="K55" i="6"/>
  <c r="L55" i="6"/>
  <c r="M55" i="6"/>
  <c r="N55" i="6"/>
  <c r="O55" i="6"/>
  <c r="P55" i="6"/>
  <c r="D55" i="6"/>
  <c r="E53" i="6"/>
  <c r="F53" i="6"/>
  <c r="G53" i="6"/>
  <c r="H53" i="6"/>
  <c r="I53" i="6"/>
  <c r="J53" i="6"/>
  <c r="K53" i="6"/>
  <c r="L53" i="6"/>
  <c r="M53" i="6"/>
  <c r="N53" i="6"/>
  <c r="O53" i="6"/>
  <c r="P53" i="6"/>
  <c r="D53" i="6"/>
  <c r="E52" i="6"/>
  <c r="F52" i="6"/>
  <c r="G52" i="6"/>
  <c r="H52" i="6"/>
  <c r="I52" i="6"/>
  <c r="J52" i="6"/>
  <c r="K52" i="6"/>
  <c r="L52" i="6"/>
  <c r="M52" i="6"/>
  <c r="N52" i="6"/>
  <c r="O52" i="6"/>
  <c r="P52" i="6"/>
  <c r="D52" i="6"/>
  <c r="E48" i="6"/>
  <c r="F48" i="6"/>
  <c r="G48" i="6"/>
  <c r="H48" i="6"/>
  <c r="I48" i="6"/>
  <c r="J48" i="6"/>
  <c r="K48" i="6"/>
  <c r="L48" i="6"/>
  <c r="M48" i="6"/>
  <c r="N48" i="6"/>
  <c r="O48" i="6"/>
  <c r="P48" i="6"/>
  <c r="D48" i="6"/>
  <c r="E47" i="6"/>
  <c r="F47" i="6"/>
  <c r="G47" i="6"/>
  <c r="H47" i="6"/>
  <c r="I47" i="6"/>
  <c r="J47" i="6"/>
  <c r="K47" i="6"/>
  <c r="L47" i="6"/>
  <c r="M47" i="6"/>
  <c r="N47" i="6"/>
  <c r="O47" i="6"/>
  <c r="P47" i="6"/>
  <c r="D47" i="6"/>
  <c r="E43" i="6"/>
  <c r="F43" i="6"/>
  <c r="G43" i="6"/>
  <c r="H43" i="6"/>
  <c r="I43" i="6"/>
  <c r="J43" i="6"/>
  <c r="K43" i="6"/>
  <c r="L43" i="6"/>
  <c r="M43" i="6"/>
  <c r="N43" i="6"/>
  <c r="O43" i="6"/>
  <c r="P43" i="6"/>
  <c r="D43" i="6"/>
  <c r="E39" i="6"/>
  <c r="F39" i="6"/>
  <c r="G39" i="6"/>
  <c r="H39" i="6"/>
  <c r="I39" i="6"/>
  <c r="J39" i="6"/>
  <c r="K39" i="6"/>
  <c r="L39" i="6"/>
  <c r="M39" i="6"/>
  <c r="N39" i="6"/>
  <c r="O39" i="6"/>
  <c r="P39" i="6"/>
  <c r="D39" i="6"/>
  <c r="E57" i="5"/>
  <c r="D17" i="5" l="1"/>
  <c r="E154" i="5"/>
  <c r="F154" i="5"/>
  <c r="G154" i="5"/>
  <c r="H154" i="5"/>
  <c r="I154" i="5"/>
  <c r="J154" i="5"/>
  <c r="K154" i="5"/>
  <c r="L154" i="5"/>
  <c r="M154" i="5"/>
  <c r="N154" i="5"/>
  <c r="O154" i="5"/>
  <c r="P154" i="5"/>
  <c r="D154" i="5"/>
  <c r="D165" i="5"/>
  <c r="D57" i="5" l="1"/>
  <c r="F57" i="5"/>
  <c r="G57" i="5"/>
  <c r="H57" i="5"/>
  <c r="I57" i="5"/>
  <c r="J57" i="5"/>
  <c r="K57" i="5"/>
  <c r="L57" i="5"/>
  <c r="M57" i="5"/>
  <c r="N57" i="5"/>
  <c r="O57" i="5"/>
  <c r="P57" i="5"/>
  <c r="D243" i="5"/>
  <c r="D37" i="5" s="1"/>
  <c r="D230" i="5"/>
  <c r="D232" i="5" s="1"/>
  <c r="D221" i="5"/>
  <c r="D211" i="5"/>
  <c r="D210" i="5"/>
  <c r="D200" i="5"/>
  <c r="D199" i="5"/>
  <c r="D196" i="5"/>
  <c r="D195" i="5"/>
  <c r="D194" i="5"/>
  <c r="D188" i="5"/>
  <c r="D187" i="5"/>
  <c r="D181" i="5"/>
  <c r="D180" i="5"/>
  <c r="D174" i="5"/>
  <c r="D173" i="5"/>
  <c r="D164" i="5"/>
  <c r="D161" i="5"/>
  <c r="D160" i="5"/>
  <c r="D153" i="5"/>
  <c r="D147" i="5"/>
  <c r="D146" i="5"/>
  <c r="D139" i="5"/>
  <c r="D138" i="5"/>
  <c r="D128" i="5"/>
  <c r="D127" i="5"/>
  <c r="D124" i="5"/>
  <c r="D123" i="5"/>
  <c r="D116" i="5"/>
  <c r="D115" i="5"/>
  <c r="D107" i="5"/>
  <c r="D106" i="5"/>
  <c r="D104" i="5"/>
  <c r="D98" i="5"/>
  <c r="D97" i="5"/>
  <c r="D89" i="5"/>
  <c r="D85" i="5"/>
  <c r="D87" i="5" s="1"/>
  <c r="D77" i="5"/>
  <c r="D75" i="5"/>
  <c r="D69" i="5"/>
  <c r="D68" i="5"/>
  <c r="D59" i="5"/>
  <c r="D60" i="5"/>
  <c r="D51" i="5"/>
  <c r="D50" i="5"/>
  <c r="D40" i="5"/>
  <c r="D39" i="5"/>
  <c r="D33" i="5"/>
  <c r="D35" i="5" s="1"/>
  <c r="D23" i="5"/>
  <c r="D22" i="5"/>
  <c r="D18" i="5"/>
  <c r="D12" i="5"/>
  <c r="D14" i="5" s="1"/>
  <c r="P22" i="5"/>
  <c r="D61" i="5" l="1"/>
  <c r="D63" i="5" s="1"/>
  <c r="D20" i="5"/>
  <c r="D28" i="5" s="1"/>
  <c r="D197" i="5"/>
  <c r="D166" i="5"/>
  <c r="D117" i="5"/>
  <c r="D118" i="5" s="1"/>
  <c r="D182" i="5"/>
  <c r="D129" i="5"/>
  <c r="D162" i="5"/>
  <c r="D201" i="5"/>
  <c r="D148" i="5"/>
  <c r="D212" i="5"/>
  <c r="D52" i="5"/>
  <c r="D70" i="5"/>
  <c r="D41" i="5"/>
  <c r="D108" i="5"/>
  <c r="D110" i="5" s="1"/>
  <c r="D140" i="5"/>
  <c r="D141" i="5" s="1"/>
  <c r="D189" i="5"/>
  <c r="D24" i="5"/>
  <c r="D125" i="5"/>
  <c r="D175" i="5"/>
  <c r="D99" i="5"/>
  <c r="D155" i="5"/>
  <c r="D203" i="5" l="1"/>
  <c r="D205" i="5" s="1"/>
  <c r="D222" i="5" s="1"/>
  <c r="D223" i="5" s="1"/>
  <c r="D225" i="5" s="1"/>
  <c r="D239" i="5" s="1"/>
  <c r="D245" i="5" s="1"/>
  <c r="D247" i="5" s="1"/>
  <c r="D168" i="5"/>
  <c r="D131" i="5"/>
  <c r="D133" i="5" s="1"/>
  <c r="F59" i="5"/>
  <c r="G59" i="5"/>
  <c r="H59" i="5"/>
  <c r="I59" i="5"/>
  <c r="J59" i="5"/>
  <c r="K59" i="5"/>
  <c r="L59" i="5"/>
  <c r="M59" i="5"/>
  <c r="N59" i="5"/>
  <c r="O59" i="5"/>
  <c r="P59" i="5"/>
  <c r="E59" i="5"/>
  <c r="F60" i="5"/>
  <c r="G60" i="5"/>
  <c r="H60" i="5"/>
  <c r="I60" i="5"/>
  <c r="J60" i="5"/>
  <c r="K60" i="5"/>
  <c r="L60" i="5"/>
  <c r="M60" i="5"/>
  <c r="N60" i="5"/>
  <c r="O60" i="5"/>
  <c r="P60" i="5"/>
  <c r="E60" i="5"/>
  <c r="F51" i="5"/>
  <c r="G51" i="5"/>
  <c r="H51" i="5"/>
  <c r="I51" i="5"/>
  <c r="J51" i="5"/>
  <c r="K51" i="5"/>
  <c r="L51" i="5"/>
  <c r="M51" i="5"/>
  <c r="N51" i="5"/>
  <c r="O51" i="5"/>
  <c r="P51" i="5"/>
  <c r="E51" i="5"/>
  <c r="F50" i="5"/>
  <c r="G50" i="5"/>
  <c r="H50" i="5"/>
  <c r="I50" i="5"/>
  <c r="J50" i="5"/>
  <c r="K50" i="5"/>
  <c r="L50" i="5"/>
  <c r="M50" i="5"/>
  <c r="N50" i="5"/>
  <c r="O50" i="5"/>
  <c r="P50" i="5"/>
  <c r="E50" i="5"/>
  <c r="F211" i="5"/>
  <c r="G211" i="5"/>
  <c r="H211" i="5"/>
  <c r="I211" i="5"/>
  <c r="J211" i="5"/>
  <c r="K211" i="5"/>
  <c r="L211" i="5"/>
  <c r="M211" i="5"/>
  <c r="N211" i="5"/>
  <c r="O211" i="5"/>
  <c r="P211" i="5"/>
  <c r="E211" i="5"/>
  <c r="F210" i="5"/>
  <c r="G210" i="5"/>
  <c r="H210" i="5"/>
  <c r="I210" i="5"/>
  <c r="J210" i="5"/>
  <c r="K210" i="5"/>
  <c r="L210" i="5"/>
  <c r="M210" i="5"/>
  <c r="N210" i="5"/>
  <c r="O210" i="5"/>
  <c r="P210" i="5"/>
  <c r="E210" i="5"/>
  <c r="F230" i="5"/>
  <c r="F232" i="5" s="1"/>
  <c r="G230" i="5"/>
  <c r="G232" i="5" s="1"/>
  <c r="H230" i="5"/>
  <c r="H232" i="5" s="1"/>
  <c r="I230" i="5"/>
  <c r="I232" i="5" s="1"/>
  <c r="J230" i="5"/>
  <c r="J232" i="5" s="1"/>
  <c r="K230" i="5"/>
  <c r="K232" i="5" s="1"/>
  <c r="L230" i="5"/>
  <c r="L232" i="5" s="1"/>
  <c r="M230" i="5"/>
  <c r="M232" i="5" s="1"/>
  <c r="N230" i="5"/>
  <c r="N232" i="5" s="1"/>
  <c r="O230" i="5"/>
  <c r="O232" i="5" s="1"/>
  <c r="P230" i="5"/>
  <c r="P232" i="5" s="1"/>
  <c r="E230" i="5"/>
  <c r="E232" i="5" s="1"/>
  <c r="F221" i="5"/>
  <c r="G221" i="5"/>
  <c r="H221" i="5"/>
  <c r="I221" i="5"/>
  <c r="J221" i="5"/>
  <c r="K221" i="5"/>
  <c r="L221" i="5"/>
  <c r="M221" i="5"/>
  <c r="N221" i="5"/>
  <c r="O221" i="5"/>
  <c r="P221" i="5"/>
  <c r="E221" i="5"/>
  <c r="E52" i="5" l="1"/>
  <c r="E61" i="5"/>
  <c r="E63" i="5" s="1"/>
  <c r="J61" i="5"/>
  <c r="J63" i="5" s="1"/>
  <c r="P61" i="5"/>
  <c r="P63" i="5" s="1"/>
  <c r="H61" i="5"/>
  <c r="H63" i="5" s="1"/>
  <c r="I61" i="5"/>
  <c r="I63" i="5" s="1"/>
  <c r="O61" i="5"/>
  <c r="O63" i="5" s="1"/>
  <c r="G61" i="5"/>
  <c r="G63" i="5" s="1"/>
  <c r="N61" i="5"/>
  <c r="N63" i="5" s="1"/>
  <c r="F61" i="5"/>
  <c r="F63" i="5" s="1"/>
  <c r="M61" i="5"/>
  <c r="M63" i="5" s="1"/>
  <c r="L61" i="5"/>
  <c r="L63" i="5" s="1"/>
  <c r="K61" i="5"/>
  <c r="K63" i="5" s="1"/>
  <c r="D213" i="5"/>
  <c r="D214" i="5" s="1"/>
  <c r="J212" i="5"/>
  <c r="H212" i="5"/>
  <c r="P212" i="5"/>
  <c r="L212" i="5"/>
  <c r="M212" i="5"/>
  <c r="E212" i="5"/>
  <c r="I212" i="5"/>
  <c r="G212" i="5"/>
  <c r="O212" i="5"/>
  <c r="K212" i="5"/>
  <c r="N212" i="5"/>
  <c r="F212" i="5"/>
  <c r="F52" i="5"/>
  <c r="N52" i="5"/>
  <c r="J52" i="5"/>
  <c r="M52" i="5"/>
  <c r="O52" i="5"/>
  <c r="L52" i="5"/>
  <c r="K52" i="5"/>
  <c r="G52" i="5"/>
  <c r="H52" i="5"/>
  <c r="P52" i="5"/>
  <c r="I52" i="5"/>
  <c r="F200" i="5" l="1"/>
  <c r="G200" i="5"/>
  <c r="H200" i="5"/>
  <c r="I200" i="5"/>
  <c r="J200" i="5"/>
  <c r="K200" i="5"/>
  <c r="L200" i="5"/>
  <c r="M200" i="5"/>
  <c r="N200" i="5"/>
  <c r="O200" i="5"/>
  <c r="P200" i="5"/>
  <c r="E200" i="5"/>
  <c r="F199" i="5"/>
  <c r="G199" i="5"/>
  <c r="H199" i="5"/>
  <c r="I199" i="5"/>
  <c r="J199" i="5"/>
  <c r="K199" i="5"/>
  <c r="L199" i="5"/>
  <c r="M199" i="5"/>
  <c r="N199" i="5"/>
  <c r="O199" i="5"/>
  <c r="P199" i="5"/>
  <c r="E199" i="5"/>
  <c r="F196" i="5"/>
  <c r="G196" i="5"/>
  <c r="H196" i="5"/>
  <c r="I196" i="5"/>
  <c r="J196" i="5"/>
  <c r="K196" i="5"/>
  <c r="L196" i="5"/>
  <c r="M196" i="5"/>
  <c r="N196" i="5"/>
  <c r="O196" i="5"/>
  <c r="P196" i="5"/>
  <c r="E196" i="5"/>
  <c r="F195" i="5"/>
  <c r="G195" i="5"/>
  <c r="H195" i="5"/>
  <c r="I195" i="5"/>
  <c r="J195" i="5"/>
  <c r="K195" i="5"/>
  <c r="L195" i="5"/>
  <c r="M195" i="5"/>
  <c r="N195" i="5"/>
  <c r="O195" i="5"/>
  <c r="P195" i="5"/>
  <c r="E195" i="5"/>
  <c r="F194" i="5"/>
  <c r="G194" i="5"/>
  <c r="H194" i="5"/>
  <c r="I194" i="5"/>
  <c r="J194" i="5"/>
  <c r="K194" i="5"/>
  <c r="L194" i="5"/>
  <c r="M194" i="5"/>
  <c r="N194" i="5"/>
  <c r="O194" i="5"/>
  <c r="P194" i="5"/>
  <c r="E194" i="5"/>
  <c r="F187" i="5"/>
  <c r="G187" i="5"/>
  <c r="H187" i="5"/>
  <c r="I187" i="5"/>
  <c r="J187" i="5"/>
  <c r="K187" i="5"/>
  <c r="L187" i="5"/>
  <c r="E187" i="5"/>
  <c r="L188" i="5"/>
  <c r="K188" i="5"/>
  <c r="J188" i="5"/>
  <c r="I188" i="5"/>
  <c r="H188" i="5"/>
  <c r="G188" i="5"/>
  <c r="F188" i="5"/>
  <c r="E188" i="5"/>
  <c r="F181" i="5"/>
  <c r="G181" i="5"/>
  <c r="H181" i="5"/>
  <c r="I181" i="5"/>
  <c r="J181" i="5"/>
  <c r="K181" i="5"/>
  <c r="L181" i="5"/>
  <c r="E181" i="5"/>
  <c r="F180" i="5"/>
  <c r="G180" i="5"/>
  <c r="H180" i="5"/>
  <c r="I180" i="5"/>
  <c r="J180" i="5"/>
  <c r="K180" i="5"/>
  <c r="K182" i="5" s="1"/>
  <c r="L180" i="5"/>
  <c r="E180" i="5"/>
  <c r="F174" i="5"/>
  <c r="G174" i="5"/>
  <c r="H174" i="5"/>
  <c r="I174" i="5"/>
  <c r="J174" i="5"/>
  <c r="K174" i="5"/>
  <c r="L174" i="5"/>
  <c r="E174" i="5"/>
  <c r="F173" i="5"/>
  <c r="G173" i="5"/>
  <c r="H173" i="5"/>
  <c r="I173" i="5"/>
  <c r="J173" i="5"/>
  <c r="K173" i="5"/>
  <c r="L173" i="5"/>
  <c r="E173" i="5"/>
  <c r="E175" i="5" s="1"/>
  <c r="F165" i="5"/>
  <c r="G165" i="5"/>
  <c r="H165" i="5"/>
  <c r="I165" i="5"/>
  <c r="J165" i="5"/>
  <c r="K165" i="5"/>
  <c r="L165" i="5"/>
  <c r="M165" i="5"/>
  <c r="N165" i="5"/>
  <c r="O165" i="5"/>
  <c r="P165" i="5"/>
  <c r="E165" i="5"/>
  <c r="F161" i="5"/>
  <c r="G161" i="5"/>
  <c r="H161" i="5"/>
  <c r="I161" i="5"/>
  <c r="J161" i="5"/>
  <c r="K161" i="5"/>
  <c r="L161" i="5"/>
  <c r="M161" i="5"/>
  <c r="N161" i="5"/>
  <c r="O161" i="5"/>
  <c r="E161" i="5"/>
  <c r="P153" i="5"/>
  <c r="P155" i="5" s="1"/>
  <c r="O153" i="5"/>
  <c r="N153" i="5"/>
  <c r="M153" i="5"/>
  <c r="L153" i="5"/>
  <c r="K153" i="5"/>
  <c r="J153" i="5"/>
  <c r="I153" i="5"/>
  <c r="H153" i="5"/>
  <c r="G153" i="5"/>
  <c r="F153" i="5"/>
  <c r="E153" i="5"/>
  <c r="E164" i="5"/>
  <c r="P164" i="5"/>
  <c r="O164" i="5"/>
  <c r="N164" i="5"/>
  <c r="M164" i="5"/>
  <c r="L164" i="5"/>
  <c r="K164" i="5"/>
  <c r="J164" i="5"/>
  <c r="I164" i="5"/>
  <c r="H164" i="5"/>
  <c r="G164" i="5"/>
  <c r="F164" i="5"/>
  <c r="E160" i="5"/>
  <c r="F160" i="5"/>
  <c r="G160" i="5"/>
  <c r="H160" i="5"/>
  <c r="I160" i="5"/>
  <c r="J160" i="5"/>
  <c r="K160" i="5"/>
  <c r="L160" i="5"/>
  <c r="M160" i="5"/>
  <c r="N160" i="5"/>
  <c r="O160" i="5"/>
  <c r="E146" i="5"/>
  <c r="F146" i="5"/>
  <c r="G146" i="5"/>
  <c r="H146" i="5"/>
  <c r="I146" i="5"/>
  <c r="J146" i="5"/>
  <c r="K146" i="5"/>
  <c r="L146" i="5"/>
  <c r="M146" i="5"/>
  <c r="N146" i="5"/>
  <c r="O146" i="5"/>
  <c r="E147" i="5"/>
  <c r="P162" i="5"/>
  <c r="F147" i="5"/>
  <c r="G147" i="5"/>
  <c r="H147" i="5"/>
  <c r="I147" i="5"/>
  <c r="J147" i="5"/>
  <c r="K147" i="5"/>
  <c r="L147" i="5"/>
  <c r="M147" i="5"/>
  <c r="N147" i="5"/>
  <c r="O147" i="5"/>
  <c r="P147" i="5"/>
  <c r="P148" i="5" s="1"/>
  <c r="F139" i="5"/>
  <c r="G139" i="5"/>
  <c r="H139" i="5"/>
  <c r="I139" i="5"/>
  <c r="J139" i="5"/>
  <c r="K139" i="5"/>
  <c r="L139" i="5"/>
  <c r="E139" i="5"/>
  <c r="E138" i="5"/>
  <c r="P138" i="5"/>
  <c r="P140" i="5" s="1"/>
  <c r="P141" i="5" s="1"/>
  <c r="O138" i="5"/>
  <c r="O140" i="5" s="1"/>
  <c r="O141" i="5" s="1"/>
  <c r="N138" i="5"/>
  <c r="N140" i="5" s="1"/>
  <c r="N141" i="5" s="1"/>
  <c r="M138" i="5"/>
  <c r="M140" i="5" s="1"/>
  <c r="M141" i="5" s="1"/>
  <c r="L138" i="5"/>
  <c r="K138" i="5"/>
  <c r="J138" i="5"/>
  <c r="I138" i="5"/>
  <c r="H138" i="5"/>
  <c r="G138" i="5"/>
  <c r="F138" i="5"/>
  <c r="L127" i="5"/>
  <c r="F128" i="5"/>
  <c r="G128" i="5"/>
  <c r="H128" i="5"/>
  <c r="I128" i="5"/>
  <c r="J128" i="5"/>
  <c r="K128" i="5"/>
  <c r="L128" i="5"/>
  <c r="M129" i="5"/>
  <c r="P129" i="5"/>
  <c r="E128" i="5"/>
  <c r="F127" i="5"/>
  <c r="G127" i="5"/>
  <c r="H127" i="5"/>
  <c r="I127" i="5"/>
  <c r="J127" i="5"/>
  <c r="K127" i="5"/>
  <c r="E127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F116" i="5"/>
  <c r="G116" i="5"/>
  <c r="H116" i="5"/>
  <c r="I116" i="5"/>
  <c r="J116" i="5"/>
  <c r="K116" i="5"/>
  <c r="L116" i="5"/>
  <c r="E116" i="5"/>
  <c r="F115" i="5"/>
  <c r="G115" i="5"/>
  <c r="H115" i="5"/>
  <c r="I115" i="5"/>
  <c r="J115" i="5"/>
  <c r="K115" i="5"/>
  <c r="L115" i="5"/>
  <c r="M115" i="5"/>
  <c r="M117" i="5" s="1"/>
  <c r="M118" i="5" s="1"/>
  <c r="N115" i="5"/>
  <c r="N117" i="5" s="1"/>
  <c r="N118" i="5" s="1"/>
  <c r="O115" i="5"/>
  <c r="O117" i="5" s="1"/>
  <c r="O118" i="5" s="1"/>
  <c r="P115" i="5"/>
  <c r="P117" i="5" s="1"/>
  <c r="P118" i="5" s="1"/>
  <c r="E115" i="5"/>
  <c r="H175" i="5" l="1"/>
  <c r="I182" i="5"/>
  <c r="I175" i="5"/>
  <c r="E201" i="5"/>
  <c r="I201" i="5"/>
  <c r="F175" i="5"/>
  <c r="N197" i="5"/>
  <c r="F197" i="5"/>
  <c r="J201" i="5"/>
  <c r="M201" i="5"/>
  <c r="L201" i="5"/>
  <c r="O201" i="5"/>
  <c r="G201" i="5"/>
  <c r="H197" i="5"/>
  <c r="N201" i="5"/>
  <c r="F201" i="5"/>
  <c r="J175" i="5"/>
  <c r="O197" i="5"/>
  <c r="G197" i="5"/>
  <c r="K201" i="5"/>
  <c r="P201" i="5"/>
  <c r="H201" i="5"/>
  <c r="K175" i="5"/>
  <c r="P197" i="5"/>
  <c r="J197" i="5"/>
  <c r="F117" i="5"/>
  <c r="F118" i="5" s="1"/>
  <c r="H182" i="5"/>
  <c r="L197" i="5"/>
  <c r="G175" i="5"/>
  <c r="F189" i="5"/>
  <c r="L155" i="5"/>
  <c r="L182" i="5"/>
  <c r="M197" i="5"/>
  <c r="E197" i="5"/>
  <c r="I197" i="5"/>
  <c r="G155" i="5"/>
  <c r="O155" i="5"/>
  <c r="G182" i="5"/>
  <c r="G189" i="5"/>
  <c r="L175" i="5"/>
  <c r="J182" i="5"/>
  <c r="K197" i="5"/>
  <c r="K189" i="5"/>
  <c r="J189" i="5"/>
  <c r="F182" i="5"/>
  <c r="E182" i="5"/>
  <c r="H189" i="5"/>
  <c r="I189" i="5"/>
  <c r="L189" i="5"/>
  <c r="E189" i="5"/>
  <c r="P166" i="5"/>
  <c r="P168" i="5" s="1"/>
  <c r="E155" i="5"/>
  <c r="M155" i="5"/>
  <c r="I155" i="5"/>
  <c r="F155" i="5"/>
  <c r="N155" i="5"/>
  <c r="J155" i="5"/>
  <c r="P125" i="5"/>
  <c r="P131" i="5" s="1"/>
  <c r="P133" i="5" s="1"/>
  <c r="H155" i="5"/>
  <c r="F166" i="5"/>
  <c r="K155" i="5"/>
  <c r="H166" i="5"/>
  <c r="G125" i="5"/>
  <c r="O125" i="5"/>
  <c r="F140" i="5"/>
  <c r="F141" i="5" s="1"/>
  <c r="N166" i="5"/>
  <c r="G166" i="5"/>
  <c r="O166" i="5"/>
  <c r="I166" i="5"/>
  <c r="H140" i="5"/>
  <c r="H141" i="5" s="1"/>
  <c r="G129" i="5"/>
  <c r="H125" i="5"/>
  <c r="I129" i="5"/>
  <c r="G140" i="5"/>
  <c r="G141" i="5" s="1"/>
  <c r="L166" i="5"/>
  <c r="K117" i="5"/>
  <c r="K118" i="5" s="1"/>
  <c r="E166" i="5"/>
  <c r="L117" i="5"/>
  <c r="L118" i="5" s="1"/>
  <c r="K166" i="5"/>
  <c r="H117" i="5"/>
  <c r="H118" i="5" s="1"/>
  <c r="K125" i="5"/>
  <c r="J166" i="5"/>
  <c r="F162" i="5"/>
  <c r="L162" i="5"/>
  <c r="J162" i="5"/>
  <c r="M166" i="5"/>
  <c r="I140" i="5"/>
  <c r="I141" i="5" s="1"/>
  <c r="J117" i="5"/>
  <c r="J118" i="5" s="1"/>
  <c r="E117" i="5"/>
  <c r="E118" i="5" s="1"/>
  <c r="F129" i="5"/>
  <c r="M162" i="5"/>
  <c r="I125" i="5"/>
  <c r="K140" i="5"/>
  <c r="K141" i="5" s="1"/>
  <c r="J129" i="5"/>
  <c r="K162" i="5"/>
  <c r="O162" i="5"/>
  <c r="I162" i="5"/>
  <c r="N162" i="5"/>
  <c r="H162" i="5"/>
  <c r="G162" i="5"/>
  <c r="E162" i="5"/>
  <c r="J148" i="5"/>
  <c r="I148" i="5"/>
  <c r="O148" i="5"/>
  <c r="G148" i="5"/>
  <c r="E148" i="5"/>
  <c r="H148" i="5"/>
  <c r="F148" i="5"/>
  <c r="I117" i="5"/>
  <c r="I118" i="5" s="1"/>
  <c r="K148" i="5"/>
  <c r="N148" i="5"/>
  <c r="L140" i="5"/>
  <c r="L141" i="5" s="1"/>
  <c r="G117" i="5"/>
  <c r="G118" i="5" s="1"/>
  <c r="L125" i="5"/>
  <c r="M148" i="5"/>
  <c r="E125" i="5"/>
  <c r="M125" i="5"/>
  <c r="M131" i="5" s="1"/>
  <c r="M133" i="5" s="1"/>
  <c r="H129" i="5"/>
  <c r="L148" i="5"/>
  <c r="F125" i="5"/>
  <c r="N125" i="5"/>
  <c r="J140" i="5"/>
  <c r="J141" i="5" s="1"/>
  <c r="E140" i="5"/>
  <c r="E141" i="5" s="1"/>
  <c r="L129" i="5"/>
  <c r="K129" i="5"/>
  <c r="J125" i="5"/>
  <c r="O129" i="5"/>
  <c r="N129" i="5"/>
  <c r="E129" i="5"/>
  <c r="N203" i="5" l="1"/>
  <c r="N205" i="5" s="1"/>
  <c r="F203" i="5"/>
  <c r="F205" i="5" s="1"/>
  <c r="G131" i="5"/>
  <c r="G133" i="5" s="1"/>
  <c r="H203" i="5"/>
  <c r="H205" i="5" s="1"/>
  <c r="O203" i="5"/>
  <c r="O205" i="5" s="1"/>
  <c r="G203" i="5"/>
  <c r="G205" i="5" s="1"/>
  <c r="L203" i="5"/>
  <c r="L205" i="5" s="1"/>
  <c r="I203" i="5"/>
  <c r="I205" i="5" s="1"/>
  <c r="P203" i="5"/>
  <c r="P205" i="5" s="1"/>
  <c r="K203" i="5"/>
  <c r="K205" i="5" s="1"/>
  <c r="E203" i="5"/>
  <c r="E205" i="5" s="1"/>
  <c r="E213" i="5" s="1"/>
  <c r="E214" i="5" s="1"/>
  <c r="E216" i="5" s="1"/>
  <c r="M203" i="5"/>
  <c r="M205" i="5" s="1"/>
  <c r="J203" i="5"/>
  <c r="J205" i="5" s="1"/>
  <c r="N168" i="5"/>
  <c r="F131" i="5"/>
  <c r="F133" i="5" s="1"/>
  <c r="J168" i="5"/>
  <c r="F168" i="5"/>
  <c r="I168" i="5"/>
  <c r="K168" i="5"/>
  <c r="H168" i="5"/>
  <c r="G168" i="5"/>
  <c r="M168" i="5"/>
  <c r="L168" i="5"/>
  <c r="E168" i="5"/>
  <c r="O168" i="5"/>
  <c r="K131" i="5"/>
  <c r="K133" i="5" s="1"/>
  <c r="O131" i="5"/>
  <c r="O133" i="5" s="1"/>
  <c r="I131" i="5"/>
  <c r="I133" i="5" s="1"/>
  <c r="J131" i="5"/>
  <c r="J133" i="5" s="1"/>
  <c r="H131" i="5"/>
  <c r="H133" i="5" s="1"/>
  <c r="E131" i="5"/>
  <c r="E133" i="5" s="1"/>
  <c r="L131" i="5"/>
  <c r="L133" i="5" s="1"/>
  <c r="N131" i="5"/>
  <c r="N133" i="5" s="1"/>
  <c r="G222" i="5" l="1"/>
  <c r="G223" i="5" s="1"/>
  <c r="G225" i="5" s="1"/>
  <c r="G239" i="5" s="1"/>
  <c r="G213" i="5"/>
  <c r="G214" i="5" s="1"/>
  <c r="G216" i="5" s="1"/>
  <c r="G253" i="5" s="1"/>
  <c r="G254" i="5" s="1"/>
  <c r="I222" i="5"/>
  <c r="I223" i="5" s="1"/>
  <c r="I225" i="5" s="1"/>
  <c r="I239" i="5" s="1"/>
  <c r="I213" i="5"/>
  <c r="I214" i="5" s="1"/>
  <c r="I216" i="5" s="1"/>
  <c r="I254" i="5" s="1"/>
  <c r="M222" i="5"/>
  <c r="M223" i="5" s="1"/>
  <c r="M225" i="5" s="1"/>
  <c r="M239" i="5" s="1"/>
  <c r="M213" i="5"/>
  <c r="M214" i="5" s="1"/>
  <c r="M216" i="5" s="1"/>
  <c r="M253" i="5" s="1"/>
  <c r="M254" i="5" s="1"/>
  <c r="O222" i="5"/>
  <c r="O223" i="5" s="1"/>
  <c r="O225" i="5" s="1"/>
  <c r="O239" i="5" s="1"/>
  <c r="O213" i="5"/>
  <c r="O214" i="5" s="1"/>
  <c r="O216" i="5" s="1"/>
  <c r="O253" i="5" s="1"/>
  <c r="O254" i="5" s="1"/>
  <c r="H222" i="5"/>
  <c r="H223" i="5" s="1"/>
  <c r="H225" i="5" s="1"/>
  <c r="H239" i="5" s="1"/>
  <c r="H213" i="5"/>
  <c r="H214" i="5" s="1"/>
  <c r="H216" i="5" s="1"/>
  <c r="H253" i="5" s="1"/>
  <c r="H254" i="5" s="1"/>
  <c r="K222" i="5"/>
  <c r="K223" i="5" s="1"/>
  <c r="K225" i="5" s="1"/>
  <c r="K239" i="5" s="1"/>
  <c r="K213" i="5"/>
  <c r="K214" i="5" s="1"/>
  <c r="K216" i="5" s="1"/>
  <c r="K253" i="5" s="1"/>
  <c r="K254" i="5" s="1"/>
  <c r="F222" i="5"/>
  <c r="F223" i="5" s="1"/>
  <c r="F225" i="5" s="1"/>
  <c r="F239" i="5" s="1"/>
  <c r="F213" i="5"/>
  <c r="F214" i="5" s="1"/>
  <c r="F216" i="5" s="1"/>
  <c r="F253" i="5" s="1"/>
  <c r="F254" i="5" s="1"/>
  <c r="L222" i="5"/>
  <c r="L223" i="5" s="1"/>
  <c r="L225" i="5" s="1"/>
  <c r="L239" i="5" s="1"/>
  <c r="L213" i="5"/>
  <c r="L214" i="5" s="1"/>
  <c r="L216" i="5" s="1"/>
  <c r="L253" i="5" s="1"/>
  <c r="L254" i="5" s="1"/>
  <c r="J222" i="5"/>
  <c r="J223" i="5" s="1"/>
  <c r="J225" i="5" s="1"/>
  <c r="J239" i="5" s="1"/>
  <c r="J213" i="5"/>
  <c r="J214" i="5" s="1"/>
  <c r="J216" i="5" s="1"/>
  <c r="J253" i="5" s="1"/>
  <c r="J254" i="5" s="1"/>
  <c r="E253" i="5"/>
  <c r="E254" i="5" s="1"/>
  <c r="P222" i="5"/>
  <c r="P223" i="5" s="1"/>
  <c r="P225" i="5" s="1"/>
  <c r="P239" i="5" s="1"/>
  <c r="P213" i="5"/>
  <c r="P214" i="5" s="1"/>
  <c r="P216" i="5" s="1"/>
  <c r="P253" i="5" s="1"/>
  <c r="P254" i="5" s="1"/>
  <c r="N222" i="5"/>
  <c r="N223" i="5" s="1"/>
  <c r="N225" i="5" s="1"/>
  <c r="N239" i="5" s="1"/>
  <c r="N213" i="5"/>
  <c r="N214" i="5" s="1"/>
  <c r="N216" i="5" s="1"/>
  <c r="N253" i="5" s="1"/>
  <c r="N254" i="5" s="1"/>
  <c r="E222" i="5"/>
  <c r="E223" i="5" s="1"/>
  <c r="E225" i="5" s="1"/>
  <c r="E239" i="5" s="1"/>
  <c r="F107" i="5"/>
  <c r="G107" i="5"/>
  <c r="H107" i="5"/>
  <c r="I107" i="5"/>
  <c r="J107" i="5"/>
  <c r="K107" i="5"/>
  <c r="L107" i="5"/>
  <c r="M107" i="5"/>
  <c r="N107" i="5"/>
  <c r="O107" i="5"/>
  <c r="P107" i="5"/>
  <c r="E107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F98" i="5"/>
  <c r="G98" i="5"/>
  <c r="H98" i="5"/>
  <c r="I98" i="5"/>
  <c r="J98" i="5"/>
  <c r="K98" i="5"/>
  <c r="L98" i="5"/>
  <c r="M98" i="5"/>
  <c r="N98" i="5"/>
  <c r="O98" i="5"/>
  <c r="P98" i="5"/>
  <c r="E98" i="5"/>
  <c r="F97" i="5"/>
  <c r="G97" i="5"/>
  <c r="H97" i="5"/>
  <c r="I97" i="5"/>
  <c r="J97" i="5"/>
  <c r="K97" i="5"/>
  <c r="L97" i="5"/>
  <c r="M97" i="5"/>
  <c r="N97" i="5"/>
  <c r="O97" i="5"/>
  <c r="P97" i="5"/>
  <c r="E97" i="5"/>
  <c r="P89" i="5"/>
  <c r="P90" i="5" s="1"/>
  <c r="O89" i="5"/>
  <c r="N89" i="5"/>
  <c r="M89" i="5"/>
  <c r="L89" i="5"/>
  <c r="K89" i="5"/>
  <c r="J89" i="5"/>
  <c r="I89" i="5"/>
  <c r="H89" i="5"/>
  <c r="G89" i="5"/>
  <c r="F89" i="5"/>
  <c r="E89" i="5"/>
  <c r="D90" i="5" s="1"/>
  <c r="D92" i="5" s="1"/>
  <c r="P85" i="5"/>
  <c r="P87" i="5" s="1"/>
  <c r="O85" i="5"/>
  <c r="O87" i="5" s="1"/>
  <c r="N85" i="5"/>
  <c r="N87" i="5" s="1"/>
  <c r="M85" i="5"/>
  <c r="M87" i="5" s="1"/>
  <c r="L85" i="5"/>
  <c r="L87" i="5" s="1"/>
  <c r="K85" i="5"/>
  <c r="K87" i="5" s="1"/>
  <c r="J85" i="5"/>
  <c r="J87" i="5" s="1"/>
  <c r="I85" i="5"/>
  <c r="I87" i="5" s="1"/>
  <c r="H85" i="5"/>
  <c r="H87" i="5" s="1"/>
  <c r="G85" i="5"/>
  <c r="G87" i="5" s="1"/>
  <c r="F85" i="5"/>
  <c r="F87" i="5" s="1"/>
  <c r="E85" i="5"/>
  <c r="E87" i="5" s="1"/>
  <c r="F77" i="5"/>
  <c r="G77" i="5"/>
  <c r="H77" i="5"/>
  <c r="I77" i="5"/>
  <c r="J77" i="5"/>
  <c r="K77" i="5"/>
  <c r="L77" i="5"/>
  <c r="M77" i="5"/>
  <c r="N77" i="5"/>
  <c r="O77" i="5"/>
  <c r="P77" i="5"/>
  <c r="P78" i="5" s="1"/>
  <c r="E77" i="5"/>
  <c r="D78" i="5" s="1"/>
  <c r="D80" i="5" s="1"/>
  <c r="F75" i="5"/>
  <c r="G75" i="5"/>
  <c r="H75" i="5"/>
  <c r="I75" i="5"/>
  <c r="J75" i="5"/>
  <c r="K75" i="5"/>
  <c r="L75" i="5"/>
  <c r="M75" i="5"/>
  <c r="N75" i="5"/>
  <c r="O75" i="5"/>
  <c r="P75" i="5"/>
  <c r="E75" i="5"/>
  <c r="F69" i="5"/>
  <c r="G69" i="5"/>
  <c r="H69" i="5"/>
  <c r="I69" i="5"/>
  <c r="J69" i="5"/>
  <c r="K69" i="5"/>
  <c r="L69" i="5"/>
  <c r="M69" i="5"/>
  <c r="N69" i="5"/>
  <c r="O69" i="5"/>
  <c r="P69" i="5"/>
  <c r="E69" i="5"/>
  <c r="F68" i="5"/>
  <c r="G68" i="5"/>
  <c r="H68" i="5"/>
  <c r="I68" i="5"/>
  <c r="J68" i="5"/>
  <c r="K68" i="5"/>
  <c r="L68" i="5"/>
  <c r="M68" i="5"/>
  <c r="N68" i="5"/>
  <c r="O68" i="5"/>
  <c r="P68" i="5"/>
  <c r="E68" i="5"/>
  <c r="F108" i="5" l="1"/>
  <c r="F110" i="5" s="1"/>
  <c r="G108" i="5"/>
  <c r="G110" i="5" s="1"/>
  <c r="O108" i="5"/>
  <c r="O110" i="5" s="1"/>
  <c r="L108" i="5"/>
  <c r="L110" i="5" s="1"/>
  <c r="N108" i="5"/>
  <c r="N110" i="5" s="1"/>
  <c r="M108" i="5"/>
  <c r="M110" i="5" s="1"/>
  <c r="H108" i="5"/>
  <c r="H110" i="5" s="1"/>
  <c r="P108" i="5"/>
  <c r="P110" i="5" s="1"/>
  <c r="J108" i="5"/>
  <c r="J110" i="5" s="1"/>
  <c r="I108" i="5"/>
  <c r="I110" i="5" s="1"/>
  <c r="K108" i="5"/>
  <c r="K110" i="5" s="1"/>
  <c r="O90" i="5"/>
  <c r="O92" i="5" s="1"/>
  <c r="E108" i="5"/>
  <c r="E110" i="5" s="1"/>
  <c r="P92" i="5"/>
  <c r="P80" i="5"/>
  <c r="P99" i="5"/>
  <c r="H99" i="5"/>
  <c r="O99" i="5"/>
  <c r="G99" i="5"/>
  <c r="L90" i="5"/>
  <c r="L92" i="5" s="1"/>
  <c r="N99" i="5"/>
  <c r="F99" i="5"/>
  <c r="H90" i="5"/>
  <c r="H92" i="5" s="1"/>
  <c r="K99" i="5"/>
  <c r="E99" i="5"/>
  <c r="I99" i="5"/>
  <c r="G90" i="5"/>
  <c r="G92" i="5" s="1"/>
  <c r="M99" i="5"/>
  <c r="L99" i="5"/>
  <c r="J99" i="5"/>
  <c r="N78" i="5"/>
  <c r="N80" i="5" s="1"/>
  <c r="F78" i="5"/>
  <c r="F80" i="5" s="1"/>
  <c r="E90" i="5"/>
  <c r="E92" i="5" s="1"/>
  <c r="M90" i="5"/>
  <c r="M92" i="5" s="1"/>
  <c r="J90" i="5"/>
  <c r="J92" i="5" s="1"/>
  <c r="K90" i="5"/>
  <c r="K92" i="5" s="1"/>
  <c r="F90" i="5"/>
  <c r="F92" i="5" s="1"/>
  <c r="N90" i="5"/>
  <c r="N92" i="5" s="1"/>
  <c r="I90" i="5"/>
  <c r="I92" i="5" s="1"/>
  <c r="O78" i="5"/>
  <c r="O80" i="5" s="1"/>
  <c r="G78" i="5"/>
  <c r="G80" i="5" s="1"/>
  <c r="K78" i="5"/>
  <c r="K80" i="5" s="1"/>
  <c r="L78" i="5"/>
  <c r="L80" i="5" s="1"/>
  <c r="I78" i="5"/>
  <c r="I80" i="5" s="1"/>
  <c r="E78" i="5"/>
  <c r="E80" i="5" s="1"/>
  <c r="M78" i="5"/>
  <c r="M80" i="5" s="1"/>
  <c r="J78" i="5"/>
  <c r="J80" i="5" s="1"/>
  <c r="G70" i="5"/>
  <c r="H78" i="5"/>
  <c r="H80" i="5" s="1"/>
  <c r="E70" i="5"/>
  <c r="I70" i="5"/>
  <c r="H70" i="5"/>
  <c r="O70" i="5"/>
  <c r="J70" i="5"/>
  <c r="P70" i="5"/>
  <c r="N70" i="5"/>
  <c r="F70" i="5"/>
  <c r="M70" i="5"/>
  <c r="L70" i="5"/>
  <c r="K70" i="5"/>
  <c r="F33" i="5"/>
  <c r="F35" i="5" s="1"/>
  <c r="G33" i="5"/>
  <c r="G35" i="5" s="1"/>
  <c r="H33" i="5"/>
  <c r="H35" i="5" s="1"/>
  <c r="I33" i="5"/>
  <c r="I35" i="5" s="1"/>
  <c r="J33" i="5"/>
  <c r="J35" i="5" s="1"/>
  <c r="K33" i="5"/>
  <c r="K35" i="5" s="1"/>
  <c r="L33" i="5"/>
  <c r="L35" i="5" s="1"/>
  <c r="M33" i="5"/>
  <c r="M35" i="5" s="1"/>
  <c r="N33" i="5"/>
  <c r="N35" i="5" s="1"/>
  <c r="O33" i="5"/>
  <c r="O35" i="5" s="1"/>
  <c r="P33" i="5"/>
  <c r="P35" i="5" s="1"/>
  <c r="E33" i="5"/>
  <c r="E35" i="5" s="1"/>
  <c r="P40" i="5"/>
  <c r="O40" i="5"/>
  <c r="N40" i="5"/>
  <c r="M40" i="5"/>
  <c r="L40" i="5"/>
  <c r="K40" i="5"/>
  <c r="J40" i="5"/>
  <c r="I40" i="5"/>
  <c r="H40" i="5"/>
  <c r="G40" i="5"/>
  <c r="F40" i="5"/>
  <c r="E40" i="5"/>
  <c r="P39" i="5"/>
  <c r="O39" i="5"/>
  <c r="N39" i="5"/>
  <c r="M39" i="5"/>
  <c r="L39" i="5"/>
  <c r="K39" i="5"/>
  <c r="J39" i="5"/>
  <c r="I39" i="5"/>
  <c r="H39" i="5"/>
  <c r="G39" i="5"/>
  <c r="F39" i="5"/>
  <c r="E39" i="5"/>
  <c r="P242" i="5"/>
  <c r="P243" i="5" s="1"/>
  <c r="P245" i="5" s="1"/>
  <c r="P247" i="5" s="1"/>
  <c r="O242" i="5"/>
  <c r="O243" i="5" s="1"/>
  <c r="O245" i="5" s="1"/>
  <c r="O247" i="5" s="1"/>
  <c r="N242" i="5"/>
  <c r="N243" i="5" s="1"/>
  <c r="N245" i="5" s="1"/>
  <c r="N247" i="5" s="1"/>
  <c r="M242" i="5"/>
  <c r="M243" i="5" s="1"/>
  <c r="M245" i="5" s="1"/>
  <c r="M247" i="5" s="1"/>
  <c r="L242" i="5"/>
  <c r="L243" i="5" s="1"/>
  <c r="L245" i="5" s="1"/>
  <c r="L247" i="5" s="1"/>
  <c r="K242" i="5"/>
  <c r="K243" i="5" s="1"/>
  <c r="K245" i="5" s="1"/>
  <c r="K247" i="5" s="1"/>
  <c r="J242" i="5"/>
  <c r="J243" i="5" s="1"/>
  <c r="J245" i="5" s="1"/>
  <c r="J247" i="5" s="1"/>
  <c r="I242" i="5"/>
  <c r="I243" i="5" s="1"/>
  <c r="I245" i="5" s="1"/>
  <c r="I247" i="5" s="1"/>
  <c r="H242" i="5"/>
  <c r="H243" i="5" s="1"/>
  <c r="H245" i="5" s="1"/>
  <c r="H247" i="5" s="1"/>
  <c r="G242" i="5"/>
  <c r="G243" i="5" s="1"/>
  <c r="G245" i="5" s="1"/>
  <c r="G247" i="5" s="1"/>
  <c r="F242" i="5"/>
  <c r="F243" i="5" s="1"/>
  <c r="F245" i="5" s="1"/>
  <c r="F247" i="5" s="1"/>
  <c r="E242" i="5"/>
  <c r="E243" i="5" s="1"/>
  <c r="E245" i="5" s="1"/>
  <c r="E247" i="5" s="1"/>
  <c r="F23" i="5"/>
  <c r="G23" i="5"/>
  <c r="H23" i="5"/>
  <c r="I23" i="5"/>
  <c r="J23" i="5"/>
  <c r="K23" i="5"/>
  <c r="L23" i="5"/>
  <c r="M23" i="5"/>
  <c r="N23" i="5"/>
  <c r="O23" i="5"/>
  <c r="P23" i="5"/>
  <c r="E23" i="5"/>
  <c r="F22" i="5"/>
  <c r="G22" i="5"/>
  <c r="H22" i="5"/>
  <c r="I22" i="5"/>
  <c r="J22" i="5"/>
  <c r="K22" i="5"/>
  <c r="L22" i="5"/>
  <c r="M22" i="5"/>
  <c r="N22" i="5"/>
  <c r="O22" i="5"/>
  <c r="E22" i="5"/>
  <c r="P17" i="5"/>
  <c r="P18" i="5" s="1"/>
  <c r="O17" i="5"/>
  <c r="O18" i="5" s="1"/>
  <c r="N17" i="5"/>
  <c r="N18" i="5" s="1"/>
  <c r="M17" i="5"/>
  <c r="M18" i="5" s="1"/>
  <c r="L17" i="5"/>
  <c r="L18" i="5" s="1"/>
  <c r="K17" i="5"/>
  <c r="K18" i="5" s="1"/>
  <c r="J17" i="5"/>
  <c r="J18" i="5" s="1"/>
  <c r="I17" i="5"/>
  <c r="I18" i="5" s="1"/>
  <c r="F17" i="5"/>
  <c r="F18" i="5" s="1"/>
  <c r="G17" i="5"/>
  <c r="G18" i="5" s="1"/>
  <c r="H17" i="5"/>
  <c r="H18" i="5" s="1"/>
  <c r="E17" i="5"/>
  <c r="E18" i="5" s="1"/>
  <c r="F12" i="5"/>
  <c r="F14" i="5" s="1"/>
  <c r="G12" i="5"/>
  <c r="G14" i="5" s="1"/>
  <c r="H12" i="5"/>
  <c r="H14" i="5" s="1"/>
  <c r="I12" i="5"/>
  <c r="I14" i="5" s="1"/>
  <c r="I20" i="5" s="1"/>
  <c r="J12" i="5"/>
  <c r="J14" i="5" s="1"/>
  <c r="K12" i="5"/>
  <c r="K14" i="5" s="1"/>
  <c r="L12" i="5"/>
  <c r="L14" i="5" s="1"/>
  <c r="M12" i="5"/>
  <c r="M14" i="5" s="1"/>
  <c r="M20" i="5" s="1"/>
  <c r="N12" i="5"/>
  <c r="N14" i="5" s="1"/>
  <c r="O12" i="5"/>
  <c r="O14" i="5" s="1"/>
  <c r="P12" i="5"/>
  <c r="P14" i="5" s="1"/>
  <c r="E12" i="5"/>
  <c r="E14" i="5" s="1"/>
  <c r="J37" i="5" l="1"/>
  <c r="P41" i="5"/>
  <c r="P43" i="5" s="1"/>
  <c r="F24" i="5"/>
  <c r="H41" i="5"/>
  <c r="F41" i="5"/>
  <c r="N41" i="5"/>
  <c r="G41" i="5"/>
  <c r="O41" i="5"/>
  <c r="O43" i="5" s="1"/>
  <c r="I37" i="5"/>
  <c r="L37" i="5"/>
  <c r="K37" i="5"/>
  <c r="L41" i="5"/>
  <c r="F37" i="5"/>
  <c r="E41" i="5"/>
  <c r="D43" i="5" s="1"/>
  <c r="D45" i="5" s="1"/>
  <c r="M41" i="5"/>
  <c r="E37" i="5"/>
  <c r="N37" i="5"/>
  <c r="M37" i="5"/>
  <c r="O37" i="5"/>
  <c r="G37" i="5"/>
  <c r="I24" i="5"/>
  <c r="I41" i="5"/>
  <c r="H20" i="5"/>
  <c r="P24" i="5"/>
  <c r="H24" i="5"/>
  <c r="J41" i="5"/>
  <c r="K41" i="5"/>
  <c r="H37" i="5"/>
  <c r="P37" i="5"/>
  <c r="O20" i="5"/>
  <c r="G20" i="5"/>
  <c r="N20" i="5"/>
  <c r="L20" i="5"/>
  <c r="K24" i="5"/>
  <c r="J20" i="5"/>
  <c r="O24" i="5"/>
  <c r="G24" i="5"/>
  <c r="N24" i="5"/>
  <c r="L24" i="5"/>
  <c r="J24" i="5"/>
  <c r="M24" i="5"/>
  <c r="E24" i="5"/>
  <c r="D26" i="5" s="1"/>
  <c r="E20" i="5"/>
  <c r="P20" i="5"/>
  <c r="F20" i="5"/>
  <c r="K20" i="5"/>
  <c r="P45" i="5" l="1"/>
  <c r="O26" i="5"/>
  <c r="O28" i="5" s="1"/>
  <c r="P28" i="5"/>
  <c r="E43" i="5"/>
  <c r="E45" i="5" s="1"/>
  <c r="J43" i="5"/>
  <c r="J45" i="5" s="1"/>
  <c r="N43" i="5"/>
  <c r="N45" i="5" s="1"/>
  <c r="O45" i="5"/>
  <c r="I43" i="5"/>
  <c r="I45" i="5" s="1"/>
  <c r="M43" i="5"/>
  <c r="M45" i="5" s="1"/>
  <c r="G43" i="5"/>
  <c r="G45" i="5" s="1"/>
  <c r="E28" i="5"/>
  <c r="F43" i="5"/>
  <c r="F45" i="5" s="1"/>
  <c r="L43" i="5"/>
  <c r="L45" i="5" s="1"/>
  <c r="H26" i="5"/>
  <c r="H28" i="5" s="1"/>
  <c r="G26" i="5"/>
  <c r="G28" i="5" s="1"/>
  <c r="K43" i="5"/>
  <c r="K45" i="5" s="1"/>
  <c r="H43" i="5"/>
  <c r="H45" i="5" s="1"/>
  <c r="J26" i="5"/>
  <c r="J28" i="5" s="1"/>
  <c r="L26" i="5"/>
  <c r="L28" i="5" s="1"/>
  <c r="N26" i="5"/>
  <c r="N28" i="5" s="1"/>
  <c r="I26" i="5"/>
  <c r="I28" i="5" s="1"/>
  <c r="F26" i="5"/>
  <c r="F28" i="5" s="1"/>
  <c r="M26" i="5"/>
  <c r="M28" i="5" s="1"/>
  <c r="K26" i="5"/>
  <c r="K28" i="5" s="1"/>
  <c r="O9" i="20"/>
</calcChain>
</file>

<file path=xl/sharedStrings.xml><?xml version="1.0" encoding="utf-8"?>
<sst xmlns="http://schemas.openxmlformats.org/spreadsheetml/2006/main" count="822" uniqueCount="366">
  <si>
    <t>Rentekostnader</t>
  </si>
  <si>
    <t>Netto renteinntekter</t>
  </si>
  <si>
    <t>Provisjonsinntekter</t>
  </si>
  <si>
    <t>Provisjonskostnader</t>
  </si>
  <si>
    <t>Andre driftsinntekter</t>
  </si>
  <si>
    <t>Netto provisjons- og andre inntekter</t>
  </si>
  <si>
    <t>Inntekter av eierinteresser</t>
  </si>
  <si>
    <t>Sum inntekter</t>
  </si>
  <si>
    <t>Personalkostnader</t>
  </si>
  <si>
    <t>Andre driftskostnader</t>
  </si>
  <si>
    <t>Sum driftskostnader</t>
  </si>
  <si>
    <t>Resultat før tap</t>
  </si>
  <si>
    <t>Tap på utlån og garantier</t>
  </si>
  <si>
    <t>Resultat før skatt</t>
  </si>
  <si>
    <t>Skattekostnad</t>
  </si>
  <si>
    <t>Periodens resultat</t>
  </si>
  <si>
    <t>Q4-2025</t>
  </si>
  <si>
    <t>Q3-2025</t>
  </si>
  <si>
    <t>Q2-2025</t>
  </si>
  <si>
    <t>Q1-2025</t>
  </si>
  <si>
    <t>Q4-2024</t>
  </si>
  <si>
    <t>Q3-2024</t>
  </si>
  <si>
    <t>Q2-2024</t>
  </si>
  <si>
    <t>Q1-2024</t>
  </si>
  <si>
    <t>Q4-2023</t>
  </si>
  <si>
    <t>Q3-2023</t>
  </si>
  <si>
    <t>Q2-2023</t>
  </si>
  <si>
    <t>Q1-2023</t>
  </si>
  <si>
    <t>Nøkkeltall</t>
  </si>
  <si>
    <t>Lønnsomhet</t>
  </si>
  <si>
    <t>Kostnadsprosent (morbank)</t>
  </si>
  <si>
    <t>Kostnadsprosent (morbank) eks. finans</t>
  </si>
  <si>
    <t>Kostnadsprosent  (konsern)</t>
  </si>
  <si>
    <t>Netto renteinntekter i % av gj. Forvaltningskapital</t>
  </si>
  <si>
    <t>Netto renteinntekter i % av gj. Forvaltningskapital (ink. Prov. KF)</t>
  </si>
  <si>
    <t>Balansetall</t>
  </si>
  <si>
    <t>Brutto utlån til kunder</t>
  </si>
  <si>
    <t>Brutto utlån til kunder inkl. overført til kredittforetak</t>
  </si>
  <si>
    <t>Innskudd fra kunder</t>
  </si>
  <si>
    <t>Innskuddsdekning</t>
  </si>
  <si>
    <t>Innskuddsdekning inkl. overført til kredittforetak</t>
  </si>
  <si>
    <t>Utlånsvekst siste 12 måneder</t>
  </si>
  <si>
    <t>Utlånsvekst inkl. overført til kredittforetak</t>
  </si>
  <si>
    <t>Innskuddsvekst siste 12 måneder</t>
  </si>
  <si>
    <t>Gjennomsnittlig forvaltningskapital</t>
  </si>
  <si>
    <t>Forvaltningskapital</t>
  </si>
  <si>
    <t>Forvaltningskapital inkl. overført til kredittforetak</t>
  </si>
  <si>
    <t>Tap og mislighold i % av brutto utlån</t>
  </si>
  <si>
    <t>Sum tapsavsetninger som andel av brutto utlån</t>
  </si>
  <si>
    <t>Andel utlån trinn 2 av brutto utlån</t>
  </si>
  <si>
    <t>Andel utlån trinn 3 av brutto utlån</t>
  </si>
  <si>
    <t xml:space="preserve">Kapitaldekningsprosent </t>
  </si>
  <si>
    <t xml:space="preserve">Kjernekapitaldekningsprosent </t>
  </si>
  <si>
    <t xml:space="preserve">Ren kjernekapitalprosent </t>
  </si>
  <si>
    <t>Ren kjernekapitalprosent, morbank</t>
  </si>
  <si>
    <t xml:space="preserve">Netto ansvarlig kapital </t>
  </si>
  <si>
    <t>Kjernekapital</t>
  </si>
  <si>
    <t>Ren kjernekapital</t>
  </si>
  <si>
    <t>Uvektet kjernekapitalandel (Leverage ratio)</t>
  </si>
  <si>
    <t>Likviditet</t>
  </si>
  <si>
    <t>LCR</t>
  </si>
  <si>
    <t>NSFR</t>
  </si>
  <si>
    <t>Kontor og bemanning</t>
  </si>
  <si>
    <t>Antall kontor</t>
  </si>
  <si>
    <t>Antall årsverk</t>
  </si>
  <si>
    <t>Egenkapitalbevis</t>
  </si>
  <si>
    <t>Egenkapitalbevisbrøk</t>
  </si>
  <si>
    <t>Børskurs (NOK)</t>
  </si>
  <si>
    <t>Børsverdi (mnok)</t>
  </si>
  <si>
    <t>Bokført egenkapital per egenkapitalbevis (NOK)</t>
  </si>
  <si>
    <t xml:space="preserve">Resultat per egenkapitalbevis (NOK) (konsern) </t>
  </si>
  <si>
    <t>Utbytte per egenkapitalbevis (NOK)</t>
  </si>
  <si>
    <t>Pris / Resultat per egenkapitalbevis annualisert</t>
  </si>
  <si>
    <t xml:space="preserve">Pris / Bokført egenkapital </t>
  </si>
  <si>
    <t>3</t>
  </si>
  <si>
    <t>2</t>
  </si>
  <si>
    <t>Resultatregnskap</t>
  </si>
  <si>
    <t>Balanse</t>
  </si>
  <si>
    <t>Kontanter og fordringer på sentralbanker</t>
  </si>
  <si>
    <t>Utlån til og fordringer på kredittinstitusjoner</t>
  </si>
  <si>
    <t>Netto utlån til kunder</t>
  </si>
  <si>
    <t xml:space="preserve">Sertifikater og obligasjoner </t>
  </si>
  <si>
    <t>Finansielle derivater</t>
  </si>
  <si>
    <t>Aksjer, andeler og andre egenkapitalinteresser</t>
  </si>
  <si>
    <t>Investering i eierinteresser</t>
  </si>
  <si>
    <t>Investering i konsernselskaper</t>
  </si>
  <si>
    <t>Eiendom, anlegg og utstyr</t>
  </si>
  <si>
    <t>Utsatt skattefordel</t>
  </si>
  <si>
    <t>Goodwill og andre immaterielle eiendeler</t>
  </si>
  <si>
    <t xml:space="preserve">Andre eiendeler </t>
  </si>
  <si>
    <t>Eiendeler</t>
  </si>
  <si>
    <t xml:space="preserve">Gjeld til kredittinstitusjoner </t>
  </si>
  <si>
    <t>Innskudd fra og gjeld til kunder</t>
  </si>
  <si>
    <t>Gjeld stiftet ved ustedelse av verdipapirer</t>
  </si>
  <si>
    <t>Annen gjeld og balanseførte forpliktelser</t>
  </si>
  <si>
    <t>Ansvarlig lånekapital</t>
  </si>
  <si>
    <t>Sum gjeld</t>
  </si>
  <si>
    <t>Overkursfond</t>
  </si>
  <si>
    <t>Utjevningsfond</t>
  </si>
  <si>
    <t>Avsatt utbytte</t>
  </si>
  <si>
    <t>Avsatt til gaver</t>
  </si>
  <si>
    <t>Grunnfond</t>
  </si>
  <si>
    <t>Kompensasjonsfond</t>
  </si>
  <si>
    <t>Hybridkapital</t>
  </si>
  <si>
    <t>Annen egenkapital</t>
  </si>
  <si>
    <t>Ikke-kontrollerende eierinteresser</t>
  </si>
  <si>
    <t>Sum egenkapital</t>
  </si>
  <si>
    <t>Gjeld og egenkapital</t>
  </si>
  <si>
    <t>Kapitaldekning</t>
  </si>
  <si>
    <t xml:space="preserve">Kjernekapital </t>
  </si>
  <si>
    <t>Ansvarlig kapital</t>
  </si>
  <si>
    <t>Totalt beregningsgrunnlag</t>
  </si>
  <si>
    <t>Ren kjernekapitaldekning</t>
  </si>
  <si>
    <t>Kjernekapitaldekning</t>
  </si>
  <si>
    <t>Uvektet kjernekapitaldekning (Leverage ratio )</t>
  </si>
  <si>
    <t>Forholdsmessig konsolidering</t>
  </si>
  <si>
    <t>Utjevningsfond, grunnfond og kompensasjonsfond</t>
  </si>
  <si>
    <t>Fond for urealiserte gevinster</t>
  </si>
  <si>
    <t>Avsatt til gaver og utbytte</t>
  </si>
  <si>
    <t>Balanseført egenkapital</t>
  </si>
  <si>
    <t>Balanseført egenkapital som ikke inngår i kjernekapital</t>
  </si>
  <si>
    <t>Verdiendringer som følge av kravene om forsvarlig verdsettelse (AVA)</t>
  </si>
  <si>
    <t>Fradrag for utsatt skatt, goodwill og andre immaterielle eiendeler</t>
  </si>
  <si>
    <t xml:space="preserve">Fradrag for direkte og indirekte investeringer i selskaper i finansiell sektor </t>
  </si>
  <si>
    <t>Tilleggsfradrag i ren kjernekapital som institusjonen anser som nødvendige</t>
  </si>
  <si>
    <t xml:space="preserve">Fondsobligasjoner </t>
  </si>
  <si>
    <t>Fradrag for direkte og indirekte investeringer i selskaper i finansiell sektor kjernekapital</t>
  </si>
  <si>
    <t>Tidsbegrenset ansvarlig kapital</t>
  </si>
  <si>
    <t>Fradrag for direkte og indirekte investeringer i selskaper i finansiell sektor ansvarlig kapital</t>
  </si>
  <si>
    <t>Morbank</t>
  </si>
  <si>
    <t>Risikoveid beregningsgrunnlag</t>
  </si>
  <si>
    <t>Stater</t>
  </si>
  <si>
    <t>Lokale og regionale myndigheter</t>
  </si>
  <si>
    <t>Offentlige foretak</t>
  </si>
  <si>
    <t>Institusjoner</t>
  </si>
  <si>
    <t>Foretak</t>
  </si>
  <si>
    <t>Massemarked</t>
  </si>
  <si>
    <t>Pantsikkerhet i eiendom</t>
  </si>
  <si>
    <t>Ikke-inntektsgenererende boligeiendom</t>
  </si>
  <si>
    <t>Inntektsgenererende boligeiendom</t>
  </si>
  <si>
    <t>Ikke-inntektsgenererende næringseiendom</t>
  </si>
  <si>
    <t>Inntektsgenererende næringseiendom</t>
  </si>
  <si>
    <t>Anskaffelse, utvikling og bygging (ADC)</t>
  </si>
  <si>
    <t>Forfalte engasjementer</t>
  </si>
  <si>
    <t>Høyrisikoengasjementer</t>
  </si>
  <si>
    <t>Subordinert gjeld</t>
  </si>
  <si>
    <t>Obligasjoner med fortrinnsrett</t>
  </si>
  <si>
    <t>Egenkapitalposisjoner</t>
  </si>
  <si>
    <t>Øvrige engasjementer</t>
  </si>
  <si>
    <t>Sum kredittrisiko</t>
  </si>
  <si>
    <t>Operasjonell risiko</t>
  </si>
  <si>
    <t>Motpartsrisiko derivater (CVA-risiko)</t>
  </si>
  <si>
    <t>Ren kjernekapitaldekning, morbank</t>
  </si>
  <si>
    <t>Kjernekapitaldekning, morbank</t>
  </si>
  <si>
    <t>Kapitaldekning, morbank</t>
  </si>
  <si>
    <t>Bufferkrav</t>
  </si>
  <si>
    <t>Bevaringsbuffer (2,50%)</t>
  </si>
  <si>
    <t>Motsyklisk buffer (2,5%)</t>
  </si>
  <si>
    <t>Systemrisikobuffer (4,50 %)</t>
  </si>
  <si>
    <t>Sum bufferkrav til ren kjernekapital</t>
  </si>
  <si>
    <t>Minimumskrav til ren kjernekapital (4,50%)</t>
  </si>
  <si>
    <t>Tilgjengelig ren kjernekapital</t>
  </si>
  <si>
    <t>Uvektet kjernekapitaldekning (Leverage ratio), morbank</t>
  </si>
  <si>
    <t>6</t>
  </si>
  <si>
    <t>Segmenter</t>
  </si>
  <si>
    <t>RESULTAT</t>
  </si>
  <si>
    <t>Netto renteinntekter og provisjon BK/ NK</t>
  </si>
  <si>
    <t>Netto andre provisjonsinntekter</t>
  </si>
  <si>
    <t>Netto andre inntekter</t>
  </si>
  <si>
    <t>Driftskostnader</t>
  </si>
  <si>
    <t>BALANSE</t>
  </si>
  <si>
    <t>Utlån til kunder</t>
  </si>
  <si>
    <t>Nedskrivning utlån</t>
  </si>
  <si>
    <t>Verdiendring utover tapsnedskrivning</t>
  </si>
  <si>
    <t>Andre eiendeler</t>
  </si>
  <si>
    <t>Sum eiendeler</t>
  </si>
  <si>
    <t>Annen gjeld og egenkapital</t>
  </si>
  <si>
    <t>Sum egenkapital og gjeld</t>
  </si>
  <si>
    <t>Privatmarked (PM)</t>
  </si>
  <si>
    <t>Bedriftsmarked (BM)</t>
  </si>
  <si>
    <t>Eiendomsmegler 1 Ringerike Hadeland AS (Eiendomsmegling)</t>
  </si>
  <si>
    <t>SpareBank 1 Økonomihuset AS (Regnskapstjenester)</t>
  </si>
  <si>
    <t>Øvrig virksomhet/elimineringer</t>
  </si>
  <si>
    <t>7</t>
  </si>
  <si>
    <t>Alternative Performance Measures (APM)</t>
  </si>
  <si>
    <t>9</t>
  </si>
  <si>
    <t>Kostnader</t>
  </si>
  <si>
    <t>IKT-kostnader</t>
  </si>
  <si>
    <t>10</t>
  </si>
  <si>
    <t>Utlån</t>
  </si>
  <si>
    <t>Lønnstakere o.l</t>
  </si>
  <si>
    <t>Offentlig sektor</t>
  </si>
  <si>
    <t>Primærnæringer</t>
  </si>
  <si>
    <t>Industri og bergverk</t>
  </si>
  <si>
    <t>Bygg- og anleggsvirksomhet</t>
  </si>
  <si>
    <t>Varehandel</t>
  </si>
  <si>
    <t>Transport</t>
  </si>
  <si>
    <t>Overnattings- og serveringsvirksomhet</t>
  </si>
  <si>
    <t>Omsetning/drift eiendommer</t>
  </si>
  <si>
    <t>Tjenesteytende virksomhet</t>
  </si>
  <si>
    <t>Diverse næringer</t>
  </si>
  <si>
    <t>Påløpte renter</t>
  </si>
  <si>
    <t>- Tap på utlån til amortisert kost</t>
  </si>
  <si>
    <t>- Tap på utlån til virkelig verdi over utvidet resultat</t>
  </si>
  <si>
    <t>- Verdiendring utover tapsnedskrivning</t>
  </si>
  <si>
    <t xml:space="preserve">Netto utlån </t>
  </si>
  <si>
    <t>Sum brutto utlån</t>
  </si>
  <si>
    <t>Lån overført til SpareBank 1 Næringskreditt</t>
  </si>
  <si>
    <t>Lån overført til SpareBank 1 Boligkreditt</t>
  </si>
  <si>
    <t>Sum brutto utlån inkl. kredittforetak</t>
  </si>
  <si>
    <t>12</t>
  </si>
  <si>
    <t>Innskudd</t>
  </si>
  <si>
    <t>Sum innskudd fordelt på sektor og næring</t>
  </si>
  <si>
    <t>FactBook og APM</t>
  </si>
  <si>
    <t>Rapportering</t>
  </si>
  <si>
    <t>Dato</t>
  </si>
  <si>
    <t>Finansiell kalender</t>
  </si>
  <si>
    <t>Kvartalsrapport Q1-2026</t>
  </si>
  <si>
    <t>Halvårsrapport 2026</t>
  </si>
  <si>
    <t>Kvartalsrapport Q3-2026</t>
  </si>
  <si>
    <t>Innholdsfortegnelse</t>
  </si>
  <si>
    <t>APM</t>
  </si>
  <si>
    <t>1.1</t>
  </si>
  <si>
    <t>APM Definisjoner</t>
  </si>
  <si>
    <t>1.2</t>
  </si>
  <si>
    <t>8</t>
  </si>
  <si>
    <t>Inntekter</t>
  </si>
  <si>
    <t>Netto renter inkl. provisjon fra kredittforetak</t>
  </si>
  <si>
    <t>Renteinntekter</t>
  </si>
  <si>
    <t>Provisjonsinntekter fra lån og kreditter overført til kredittforetak</t>
  </si>
  <si>
    <t>Samlede netto renteinntekter og provisjonsinntekter fra kredittforetak</t>
  </si>
  <si>
    <t>Netto provisjonsinntekter</t>
  </si>
  <si>
    <t>Betalingsformidling</t>
  </si>
  <si>
    <t>Forsikringsprovisjon</t>
  </si>
  <si>
    <t>Spareprovisjon</t>
  </si>
  <si>
    <t>Øvrige provisjons- og andre inntekter</t>
  </si>
  <si>
    <t>Netto provisjons- og andre inntekter morbank</t>
  </si>
  <si>
    <t>Netto resultat fra finans</t>
  </si>
  <si>
    <t>Utbytte fra aksjer og andre egenkapitalinstrumenter</t>
  </si>
  <si>
    <t>Netto resultat fra tilknyttet foretak og felles-kontrollert virksomhet</t>
  </si>
  <si>
    <t>Netto resultat fra andre finansielle eiendeler og forpliktelser</t>
  </si>
  <si>
    <t>Netto resultat fra finansielle eiendeler og forpliktelser</t>
  </si>
  <si>
    <t>Av- og nedskrivninger</t>
  </si>
  <si>
    <t>Markedsføring</t>
  </si>
  <si>
    <t>Driftskostnader faste eiendommer</t>
  </si>
  <si>
    <t>Øvrige driftskostnader</t>
  </si>
  <si>
    <t>Tapskostnader</t>
  </si>
  <si>
    <t>Endring modellbaserte tapsavsetninger</t>
  </si>
  <si>
    <t>Endring individuelle tapsavsetninger</t>
  </si>
  <si>
    <t>Periodens konstaterte tap</t>
  </si>
  <si>
    <t>Periodens tapskostnad</t>
  </si>
  <si>
    <t>Brutto utlån og tap</t>
  </si>
  <si>
    <t>Balanseverdier i mill. kr. / prosent av brutto utlån</t>
  </si>
  <si>
    <t>Brutto utlån i trinn 1</t>
  </si>
  <si>
    <t>Brutto utlån i trinn 2</t>
  </si>
  <si>
    <t>Brutto utlån i trinn 3</t>
  </si>
  <si>
    <t>Avsetning til tap på utlån og forpliktelser i trinn 1</t>
  </si>
  <si>
    <t>Avsetning til tap på utlån og forpliktelser i trinn 2</t>
  </si>
  <si>
    <t>Avsetning til tap på utlån og forpliktelser i trinn 3</t>
  </si>
  <si>
    <t>Sum avsetning til tap på utlån og garantier</t>
  </si>
  <si>
    <t>Avsetningsgrad på utlån og forpliktelser i trinn 1</t>
  </si>
  <si>
    <t>Avsetningsgrad på utlån og forpliktelser i trinn 2</t>
  </si>
  <si>
    <t>Avsetningsgrad på utlån og forpliktelser i trinn 3</t>
  </si>
  <si>
    <t>Sum avsetninger til tap i prosent av brutto utlån</t>
  </si>
  <si>
    <t>Soliditet</t>
  </si>
  <si>
    <t>SpareBank 1 Ringerike Hadeland AS</t>
  </si>
  <si>
    <t>Eiendomsmegler 1 Ringerike Hadeland AS</t>
  </si>
  <si>
    <t>SpareBank 1 Økonomihuset AS</t>
  </si>
  <si>
    <t>13</t>
  </si>
  <si>
    <t>Netto provisjonsinntekter og andre inntekter</t>
  </si>
  <si>
    <t>Utbytte og andre inntekter fra verdipapirer</t>
  </si>
  <si>
    <t>Netto verdiendring på finansielle eiendeler</t>
  </si>
  <si>
    <t>Netto avkastning på finansielle investeringer</t>
  </si>
  <si>
    <t xml:space="preserve">Ordinære avskrivninger </t>
  </si>
  <si>
    <t>Driftsresultat før tap</t>
  </si>
  <si>
    <t>Sum øvrige resultatposter ført mot egenkapitalen</t>
  </si>
  <si>
    <t>Totalresultat</t>
  </si>
  <si>
    <t>-</t>
  </si>
  <si>
    <t>Årsverk</t>
  </si>
  <si>
    <t>HIÅ (beløp i mnok)</t>
  </si>
  <si>
    <t>Konsern (beløp i mnok)</t>
  </si>
  <si>
    <t>Definisjon</t>
  </si>
  <si>
    <t>Beregning</t>
  </si>
  <si>
    <t>Kostnadsprosent</t>
  </si>
  <si>
    <t>Kostnadsprosent eks. finans</t>
  </si>
  <si>
    <t>Egenkapitalavkastning eks. hybridkapitalrenter</t>
  </si>
  <si>
    <t>Egenkapitalavkastning (totalresultat) eks. hybridkapitalenter</t>
  </si>
  <si>
    <t>Gjennomsnittlig forvaltningskapital ink. overført til kredittforetak</t>
  </si>
  <si>
    <t>- Betalte renter fondsobligasjon</t>
  </si>
  <si>
    <t>Antall dager i året</t>
  </si>
  <si>
    <t>Annualisert resultat som tilfaller eiere av egenkapitalbeivs og grunnfond</t>
  </si>
  <si>
    <t>Resultat som tilfaller eiere av egenkapitalbeivs og grunnfond</t>
  </si>
  <si>
    <t>Antall dager i perioden</t>
  </si>
  <si>
    <t>Annualiseringsfaktor for perioden</t>
  </si>
  <si>
    <t>Egenkapital UB</t>
  </si>
  <si>
    <t>- Hybridkapital UB</t>
  </si>
  <si>
    <t>Egenkapital eks. hybridkapital UB</t>
  </si>
  <si>
    <t>Gjennomsnittlig egenkapital eks. hybridkapital denne perioden</t>
  </si>
  <si>
    <t>Kostnadsprosent (konsern)</t>
  </si>
  <si>
    <t>Kostnadsprosent eks. finans (morbank)</t>
  </si>
  <si>
    <t>Forvaltningskapital (eiendeler)</t>
  </si>
  <si>
    <t>Gjennomsnittlig forvaltningskapital i perioden</t>
  </si>
  <si>
    <t>Netto renteinntekter ink. Prov. KF</t>
  </si>
  <si>
    <t>Brutto utlån</t>
  </si>
  <si>
    <t>- Netto avkastning på finansielle investeringer</t>
  </si>
  <si>
    <t>+ Provisjon fra kredittforetak</t>
  </si>
  <si>
    <t>+ Utlån overført til kredittforetak</t>
  </si>
  <si>
    <t>Utlånsvekst siste 12 måneder (kr)</t>
  </si>
  <si>
    <t>Brutto utlån UB denne periode</t>
  </si>
  <si>
    <t>Brutto utlån UB denne perioden i fjor</t>
  </si>
  <si>
    <t>Brutto utlån UB denne perioden</t>
  </si>
  <si>
    <t>+ Utlån overført til kredittforetak UB denne perioden</t>
  </si>
  <si>
    <t>+ Utlån overført til kredittforetak UB denne perioden i fjor</t>
  </si>
  <si>
    <t>Sum brutto utlån inkl. kredittforetak denne perioden i fjor</t>
  </si>
  <si>
    <t>Utlånsvekst inkl. overført til kredittforetak siste 12 måneder (kr)</t>
  </si>
  <si>
    <t>Utlånsvekst inkl. overført til kredittforetak siste 12 måneder</t>
  </si>
  <si>
    <t>Innskudd fra kunder denne periode i fjor</t>
  </si>
  <si>
    <t>Innskuddsvekst siste 12 måneder (kr)</t>
  </si>
  <si>
    <t>Utlånsvekst siste 12 mnd inkl. overført til kredittforetak</t>
  </si>
  <si>
    <t>Gjennomsnitlig forfaltningskapital</t>
  </si>
  <si>
    <t>Forvaltnignskapital IB</t>
  </si>
  <si>
    <t>Forvaltningskapital UB</t>
  </si>
  <si>
    <t>Forvaltningskapital IB</t>
  </si>
  <si>
    <t>Utlån overført til kredittforetak IB</t>
  </si>
  <si>
    <t>Forvaltningskapital inkl. utlån overført til kredittforetak</t>
  </si>
  <si>
    <t>Forvaltningskapital inkl. utlån overført til kredittforetak IB</t>
  </si>
  <si>
    <t>Utlån overført til kredittforetak UB</t>
  </si>
  <si>
    <t>Forvaltningskapital inkl. utlån overført til kredittforetak UB</t>
  </si>
  <si>
    <t>Utlån overført til kredittforetak</t>
  </si>
  <si>
    <t>Gjennomsnittlig forvaltningskapital inkl. utlån overført til kredittforetak</t>
  </si>
  <si>
    <t>Brutto utlån i Trinn 2</t>
  </si>
  <si>
    <t>Brutto utlån i Trinn 3</t>
  </si>
  <si>
    <t>Egenkapital tilegnet egenkapitalbeviseierne</t>
  </si>
  <si>
    <t>Egenkapital tilegnet grunnfondet</t>
  </si>
  <si>
    <t>Egenkapital tilegnet egenkapitalbeviseierne og grunnfondet</t>
  </si>
  <si>
    <t>Resultat tilegnet egenkapitalbeviseierne</t>
  </si>
  <si>
    <t>Antall egenkapitalbeivs</t>
  </si>
  <si>
    <t>Resultat per egenkapitalbeivs i kr (konsern)</t>
  </si>
  <si>
    <t>Antall egenkapitalbevis</t>
  </si>
  <si>
    <t>Utbytte per egenkapitalbevis i kr</t>
  </si>
  <si>
    <t>Børskurs i kr</t>
  </si>
  <si>
    <t>Resultat per egenkapitalbevis</t>
  </si>
  <si>
    <t>Annualisert resultat per egenkapitalbevis</t>
  </si>
  <si>
    <t>Bokført egenkapital per egenkapital</t>
  </si>
  <si>
    <t>Pris / Bokført egenkapital</t>
  </si>
  <si>
    <t>- Hybridkapital</t>
  </si>
  <si>
    <t>Egenkapital fratrukket hybridkapital</t>
  </si>
  <si>
    <t>Bokført egenkapital for egenkapitalbeviseierne</t>
  </si>
  <si>
    <t>Morbank (beløp i mnok)</t>
  </si>
  <si>
    <t>Tilbake til forsiden</t>
  </si>
  <si>
    <t>Alternative resultatmål, herettes omtalt som APM (Alternative Performance Measures), er nøkkeltall som ikke er definert under IFRS eller annen lovgivning, og som har til hensikt å gi relevant tilleggsinformasjon til regnskapet. APM-ene skal ikke være et substitutt for den lovpålagte regnskapsinformasjonen, men er inkludert i den finansielle rapporteringen for å gi beskrivelse av bankens prestasjoner på en mer spisset og forståelig måte. APM’ene gjenspeiler også hvilke måleparametre som er viktig for ledelsen til oppfølging og styring.
SpareBank 1 Ringerike Hadeland sine APM-er er utarbeidet i henhold til ESMA's retningslinjer.</t>
  </si>
  <si>
    <t>Q1-2026</t>
  </si>
  <si>
    <t>Gjennomsnittlig forvaltningskapital inkl. overført til kredittforetak</t>
  </si>
  <si>
    <t>Til "Nøkkeltall"</t>
  </si>
  <si>
    <t>Nøkkeltallene presenteres her slik de fremlegges i kvartalsrapporteringen. Enkelte nøkkeltall som presenteres er APM-er. Trykk på linken for å komme til beregning av den enkelte APM</t>
  </si>
  <si>
    <t>Marginer</t>
  </si>
  <si>
    <t>Innskuddsmarginer</t>
  </si>
  <si>
    <t>Innskuddsmargin PM</t>
  </si>
  <si>
    <t>Innskuddsmargin BM</t>
  </si>
  <si>
    <t>Utlånsmarginer</t>
  </si>
  <si>
    <t>Utlånsmargin PM</t>
  </si>
  <si>
    <t>Utlånsmargin BM</t>
  </si>
  <si>
    <t>Resultat som tilfaller eiere av egenkapitalbevis og grunnfond</t>
  </si>
  <si>
    <t>Annualisert resultat som tilfaller eiere av egenkapitalbevis og grunnfond</t>
  </si>
  <si>
    <t>Egenkapitalavkastning (totalresultat) eks. hybridkapitalrenter</t>
  </si>
  <si>
    <t>Sum inntekter eks. finans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</si>
</sst>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\ %"/>
    <numFmt numFmtId="166" formatCode="_ * #,##0.00_ ;_ * \-#,##0.00_ ;_ * &quot;-&quot;??_ ;_ @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SpareBank 1"/>
      <family val="2"/>
    </font>
    <font>
      <sz val="16"/>
      <color theme="1"/>
      <name val="SpareBank 1"/>
      <family val="2"/>
    </font>
    <font>
      <sz val="18"/>
      <color theme="1"/>
      <name val="SpareBank 1"/>
      <family val="2"/>
    </font>
    <font>
      <sz val="10"/>
      <name val="Arial"/>
      <family val="2"/>
    </font>
    <font>
      <sz val="10"/>
      <name val="SpareBank 1"/>
      <family val="2"/>
    </font>
    <font>
      <b/>
      <sz val="10"/>
      <name val="SpareBank 1"/>
      <family val="2"/>
    </font>
    <font>
      <sz val="10"/>
      <color theme="1"/>
      <name val="SpareBank 1"/>
      <family val="2"/>
    </font>
    <font>
      <b/>
      <sz val="10"/>
      <color theme="1"/>
      <name val="SpareBank 1"/>
      <family val="2"/>
    </font>
    <font>
      <sz val="11"/>
      <name val="SpareBank 1"/>
      <family val="2"/>
    </font>
    <font>
      <b/>
      <sz val="11"/>
      <name val="SpareBank 1"/>
      <family val="2"/>
    </font>
    <font>
      <b/>
      <sz val="11"/>
      <color theme="1"/>
      <name val="SpareBank 1"/>
      <family val="2"/>
    </font>
    <font>
      <sz val="10"/>
      <color theme="1"/>
      <name val="Aptos Narrow"/>
      <family val="2"/>
      <scheme val="minor"/>
    </font>
    <font>
      <sz val="11"/>
      <color rgb="FFFF0000"/>
      <name val="SpareBank 1"/>
      <family val="2"/>
    </font>
    <font>
      <sz val="10"/>
      <color rgb="FFFF0000"/>
      <name val="SpareBank 1"/>
      <family val="2"/>
    </font>
    <font>
      <sz val="10"/>
      <color theme="5"/>
      <name val="SpareBank 1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SpareBank 1"/>
      <family val="2"/>
    </font>
    <font>
      <i/>
      <sz val="9"/>
      <color theme="1"/>
      <name val="SpareBank 1"/>
      <family val="2"/>
    </font>
    <font>
      <i/>
      <sz val="10"/>
      <color theme="1"/>
      <name val="SpareBank 1"/>
      <family val="2"/>
    </font>
    <font>
      <u/>
      <sz val="10"/>
      <color theme="10"/>
      <name val="SpareBank 1"/>
      <family val="2"/>
    </font>
    <font>
      <sz val="10"/>
      <color rgb="FFFF0000"/>
      <name val="SpareBank 1"/>
    </font>
    <font>
      <sz val="10"/>
      <color theme="1"/>
      <name val="SpareBank 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6" fontId="5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0" borderId="1" xfId="0" applyFont="1" applyBorder="1"/>
    <xf numFmtId="49" fontId="4" fillId="0" borderId="0" xfId="0" applyNumberFormat="1" applyFont="1"/>
    <xf numFmtId="0" fontId="6" fillId="0" borderId="0" xfId="1" applyFont="1" applyFill="1" applyBorder="1"/>
    <xf numFmtId="0" fontId="7" fillId="3" borderId="0" xfId="1" applyFont="1" applyFill="1" applyBorder="1"/>
    <xf numFmtId="0" fontId="8" fillId="3" borderId="0" xfId="0" applyFont="1" applyFill="1"/>
    <xf numFmtId="0" fontId="6" fillId="2" borderId="0" xfId="1" applyFont="1" applyFill="1" applyBorder="1"/>
    <xf numFmtId="0" fontId="7" fillId="2" borderId="1" xfId="1" applyFont="1" applyFill="1" applyBorder="1"/>
    <xf numFmtId="0" fontId="7" fillId="0" borderId="0" xfId="1" applyFont="1" applyFill="1" applyBorder="1"/>
    <xf numFmtId="0" fontId="7" fillId="0" borderId="3" xfId="1" applyFont="1" applyFill="1" applyBorder="1"/>
    <xf numFmtId="0" fontId="7" fillId="2" borderId="3" xfId="1" applyFont="1" applyFill="1" applyBorder="1"/>
    <xf numFmtId="0" fontId="9" fillId="3" borderId="0" xfId="0" applyFont="1" applyFill="1"/>
    <xf numFmtId="49" fontId="6" fillId="0" borderId="0" xfId="1" applyNumberFormat="1" applyFont="1" applyBorder="1"/>
    <xf numFmtId="49" fontId="6" fillId="0" borderId="0" xfId="1" applyNumberFormat="1" applyFont="1" applyFill="1" applyBorder="1"/>
    <xf numFmtId="49" fontId="6" fillId="0" borderId="1" xfId="1" applyNumberFormat="1" applyFont="1" applyFill="1" applyBorder="1"/>
    <xf numFmtId="49" fontId="6" fillId="0" borderId="0" xfId="1" applyNumberFormat="1" applyFont="1" applyBorder="1" applyAlignment="1">
      <alignment horizontal="left"/>
    </xf>
    <xf numFmtId="49" fontId="7" fillId="0" borderId="0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7" fillId="0" borderId="0" xfId="1" applyNumberFormat="1" applyFont="1" applyFill="1" applyBorder="1" applyAlignment="1">
      <alignment horizontal="left"/>
    </xf>
    <xf numFmtId="49" fontId="7" fillId="0" borderId="1" xfId="1" applyNumberFormat="1" applyFont="1" applyFill="1" applyBorder="1" applyAlignment="1">
      <alignment horizontal="left"/>
    </xf>
    <xf numFmtId="0" fontId="8" fillId="4" borderId="0" xfId="0" applyFont="1" applyFill="1"/>
    <xf numFmtId="0" fontId="6" fillId="0" borderId="0" xfId="1" quotePrefix="1" applyFont="1" applyFill="1" applyBorder="1"/>
    <xf numFmtId="0" fontId="7" fillId="0" borderId="1" xfId="1" applyFont="1" applyFill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43" fontId="8" fillId="0" borderId="0" xfId="3" applyFont="1"/>
    <xf numFmtId="164" fontId="8" fillId="0" borderId="0" xfId="3" applyNumberFormat="1" applyFont="1"/>
    <xf numFmtId="164" fontId="8" fillId="0" borderId="1" xfId="3" applyNumberFormat="1" applyFont="1" applyBorder="1"/>
    <xf numFmtId="164" fontId="6" fillId="0" borderId="0" xfId="3" applyNumberFormat="1" applyFont="1" applyFill="1" applyBorder="1"/>
    <xf numFmtId="164" fontId="6" fillId="0" borderId="0" xfId="3" applyNumberFormat="1" applyFont="1" applyBorder="1"/>
    <xf numFmtId="164" fontId="7" fillId="0" borderId="1" xfId="3" applyNumberFormat="1" applyFont="1" applyBorder="1"/>
    <xf numFmtId="164" fontId="6" fillId="0" borderId="2" xfId="3" applyNumberFormat="1" applyFont="1" applyBorder="1"/>
    <xf numFmtId="164" fontId="6" fillId="0" borderId="0" xfId="3" applyNumberFormat="1" applyFont="1" applyBorder="1" applyAlignment="1">
      <alignment wrapText="1"/>
    </xf>
    <xf numFmtId="164" fontId="6" fillId="0" borderId="2" xfId="3" applyNumberFormat="1" applyFont="1" applyFill="1" applyBorder="1"/>
    <xf numFmtId="164" fontId="9" fillId="0" borderId="1" xfId="3" applyNumberFormat="1" applyFont="1" applyBorder="1"/>
    <xf numFmtId="164" fontId="9" fillId="0" borderId="0" xfId="3" applyNumberFormat="1" applyFont="1"/>
    <xf numFmtId="0" fontId="8" fillId="3" borderId="0" xfId="0" applyFont="1" applyFill="1" applyAlignment="1">
      <alignment horizontal="right"/>
    </xf>
    <xf numFmtId="9" fontId="8" fillId="0" borderId="0" xfId="4" applyFont="1"/>
    <xf numFmtId="165" fontId="8" fillId="0" borderId="0" xfId="4" applyNumberFormat="1" applyFont="1"/>
    <xf numFmtId="1" fontId="8" fillId="0" borderId="0" xfId="0" applyNumberFormat="1" applyFont="1"/>
    <xf numFmtId="10" fontId="8" fillId="0" borderId="0" xfId="4" applyNumberFormat="1" applyFont="1"/>
    <xf numFmtId="165" fontId="8" fillId="0" borderId="1" xfId="4" applyNumberFormat="1" applyFont="1" applyBorder="1"/>
    <xf numFmtId="164" fontId="9" fillId="0" borderId="3" xfId="3" applyNumberFormat="1" applyFont="1" applyBorder="1"/>
    <xf numFmtId="0" fontId="12" fillId="0" borderId="0" xfId="0" applyFont="1"/>
    <xf numFmtId="164" fontId="8" fillId="3" borderId="0" xfId="3" applyNumberFormat="1" applyFont="1" applyFill="1"/>
    <xf numFmtId="0" fontId="14" fillId="0" borderId="0" xfId="0" applyFont="1"/>
    <xf numFmtId="164" fontId="9" fillId="0" borderId="0" xfId="3" applyNumberFormat="1" applyFont="1" applyBorder="1"/>
    <xf numFmtId="0" fontId="8" fillId="0" borderId="2" xfId="0" applyFont="1" applyBorder="1" applyAlignment="1">
      <alignment wrapText="1"/>
    </xf>
    <xf numFmtId="1" fontId="2" fillId="0" borderId="0" xfId="0" applyNumberFormat="1" applyFont="1"/>
    <xf numFmtId="164" fontId="8" fillId="0" borderId="0" xfId="3" applyNumberFormat="1" applyFont="1" applyBorder="1"/>
    <xf numFmtId="0" fontId="8" fillId="0" borderId="0" xfId="0" applyFont="1" applyAlignment="1">
      <alignment horizontal="right"/>
    </xf>
    <xf numFmtId="0" fontId="13" fillId="0" borderId="2" xfId="0" applyFont="1" applyBorder="1"/>
    <xf numFmtId="0" fontId="8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vertical="top"/>
    </xf>
    <xf numFmtId="0" fontId="8" fillId="5" borderId="0" xfId="0" applyFont="1" applyFill="1"/>
    <xf numFmtId="0" fontId="6" fillId="5" borderId="0" xfId="1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8" fillId="5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/>
    <xf numFmtId="0" fontId="15" fillId="0" borderId="0" xfId="0" applyFont="1" applyAlignment="1">
      <alignment vertical="top" wrapText="1"/>
    </xf>
    <xf numFmtId="0" fontId="8" fillId="3" borderId="0" xfId="0" applyFont="1" applyFill="1" applyAlignment="1">
      <alignment vertical="top"/>
    </xf>
    <xf numFmtId="0" fontId="8" fillId="5" borderId="0" xfId="0" applyFont="1" applyFill="1" applyAlignment="1">
      <alignment horizontal="left" vertical="center" wrapText="1"/>
    </xf>
    <xf numFmtId="0" fontId="16" fillId="0" borderId="0" xfId="0" applyFont="1"/>
    <xf numFmtId="0" fontId="8" fillId="5" borderId="0" xfId="0" applyFont="1" applyFill="1" applyAlignment="1">
      <alignment horizontal="right"/>
    </xf>
    <xf numFmtId="164" fontId="8" fillId="5" borderId="0" xfId="3" applyNumberFormat="1" applyFont="1" applyFill="1" applyAlignment="1">
      <alignment horizontal="right"/>
    </xf>
    <xf numFmtId="0" fontId="8" fillId="5" borderId="2" xfId="0" quotePrefix="1" applyFont="1" applyFill="1" applyBorder="1"/>
    <xf numFmtId="164" fontId="8" fillId="5" borderId="3" xfId="3" applyNumberFormat="1" applyFont="1" applyFill="1" applyBorder="1" applyAlignment="1">
      <alignment horizontal="right"/>
    </xf>
    <xf numFmtId="0" fontId="8" fillId="5" borderId="3" xfId="0" applyFont="1" applyFill="1" applyBorder="1"/>
    <xf numFmtId="0" fontId="8" fillId="5" borderId="1" xfId="0" applyFont="1" applyFill="1" applyBorder="1"/>
    <xf numFmtId="164" fontId="8" fillId="5" borderId="1" xfId="3" applyNumberFormat="1" applyFont="1" applyFill="1" applyBorder="1" applyAlignment="1">
      <alignment horizontal="right"/>
    </xf>
    <xf numFmtId="0" fontId="8" fillId="5" borderId="0" xfId="0" quotePrefix="1" applyFont="1" applyFill="1"/>
    <xf numFmtId="0" fontId="8" fillId="5" borderId="3" xfId="0" quotePrefix="1" applyFont="1" applyFill="1" applyBorder="1"/>
    <xf numFmtId="164" fontId="8" fillId="5" borderId="0" xfId="3" applyNumberFormat="1" applyFont="1" applyFill="1" applyBorder="1" applyAlignment="1">
      <alignment horizontal="right"/>
    </xf>
    <xf numFmtId="0" fontId="8" fillId="4" borderId="0" xfId="0" applyFont="1" applyFill="1" applyAlignment="1">
      <alignment horizontal="right"/>
    </xf>
    <xf numFmtId="0" fontId="8" fillId="5" borderId="1" xfId="0" quotePrefix="1" applyFont="1" applyFill="1" applyBorder="1"/>
    <xf numFmtId="43" fontId="8" fillId="5" borderId="3" xfId="3" applyFont="1" applyFill="1" applyBorder="1" applyAlignment="1">
      <alignment horizontal="right"/>
    </xf>
    <xf numFmtId="165" fontId="8" fillId="0" borderId="0" xfId="4" applyNumberFormat="1" applyFont="1" applyFill="1" applyAlignment="1">
      <alignment horizontal="right"/>
    </xf>
    <xf numFmtId="0" fontId="8" fillId="0" borderId="0" xfId="0" quotePrefix="1" applyFont="1"/>
    <xf numFmtId="0" fontId="6" fillId="5" borderId="0" xfId="1" applyFont="1" applyFill="1" applyBorder="1"/>
    <xf numFmtId="165" fontId="8" fillId="5" borderId="0" xfId="4" applyNumberFormat="1" applyFont="1" applyFill="1" applyAlignment="1">
      <alignment horizontal="right"/>
    </xf>
    <xf numFmtId="164" fontId="8" fillId="2" borderId="0" xfId="3" applyNumberFormat="1" applyFont="1" applyFill="1" applyAlignment="1">
      <alignment horizontal="right"/>
    </xf>
    <xf numFmtId="0" fontId="8" fillId="2" borderId="2" xfId="0" quotePrefix="1" applyFont="1" applyFill="1" applyBorder="1"/>
    <xf numFmtId="164" fontId="8" fillId="2" borderId="3" xfId="3" applyNumberFormat="1" applyFont="1" applyFill="1" applyBorder="1" applyAlignment="1">
      <alignment horizontal="right"/>
    </xf>
    <xf numFmtId="0" fontId="8" fillId="2" borderId="1" xfId="0" applyFont="1" applyFill="1" applyBorder="1"/>
    <xf numFmtId="164" fontId="8" fillId="2" borderId="1" xfId="3" applyNumberFormat="1" applyFont="1" applyFill="1" applyBorder="1" applyAlignment="1">
      <alignment horizontal="right"/>
    </xf>
    <xf numFmtId="0" fontId="8" fillId="2" borderId="0" xfId="0" quotePrefix="1" applyFont="1" applyFill="1"/>
    <xf numFmtId="0" fontId="8" fillId="2" borderId="3" xfId="0" quotePrefix="1" applyFont="1" applyFill="1" applyBorder="1"/>
    <xf numFmtId="164" fontId="8" fillId="2" borderId="0" xfId="3" applyNumberFormat="1" applyFont="1" applyFill="1" applyBorder="1" applyAlignment="1">
      <alignment horizontal="right"/>
    </xf>
    <xf numFmtId="0" fontId="8" fillId="2" borderId="1" xfId="0" quotePrefix="1" applyFont="1" applyFill="1" applyBorder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164" fontId="8" fillId="5" borderId="0" xfId="3" applyNumberFormat="1" applyFont="1" applyFill="1"/>
    <xf numFmtId="164" fontId="8" fillId="2" borderId="0" xfId="3" applyNumberFormat="1" applyFont="1" applyFill="1"/>
    <xf numFmtId="0" fontId="9" fillId="5" borderId="1" xfId="0" applyFont="1" applyFill="1" applyBorder="1"/>
    <xf numFmtId="9" fontId="9" fillId="5" borderId="1" xfId="4" applyFont="1" applyFill="1" applyBorder="1"/>
    <xf numFmtId="0" fontId="9" fillId="2" borderId="1" xfId="0" applyFont="1" applyFill="1" applyBorder="1"/>
    <xf numFmtId="165" fontId="9" fillId="2" borderId="1" xfId="4" applyNumberFormat="1" applyFont="1" applyFill="1" applyBorder="1" applyAlignment="1">
      <alignment horizontal="right"/>
    </xf>
    <xf numFmtId="165" fontId="9" fillId="5" borderId="1" xfId="4" applyNumberFormat="1" applyFont="1" applyFill="1" applyBorder="1" applyAlignment="1">
      <alignment horizontal="right"/>
    </xf>
    <xf numFmtId="164" fontId="8" fillId="5" borderId="0" xfId="0" applyNumberFormat="1" applyFont="1" applyFill="1"/>
    <xf numFmtId="10" fontId="9" fillId="5" borderId="1" xfId="4" applyNumberFormat="1" applyFont="1" applyFill="1" applyBorder="1"/>
    <xf numFmtId="164" fontId="8" fillId="2" borderId="0" xfId="0" applyNumberFormat="1" applyFont="1" applyFill="1"/>
    <xf numFmtId="10" fontId="9" fillId="2" borderId="1" xfId="4" applyNumberFormat="1" applyFont="1" applyFill="1" applyBorder="1"/>
    <xf numFmtId="0" fontId="15" fillId="0" borderId="0" xfId="0" applyFont="1"/>
    <xf numFmtId="0" fontId="6" fillId="5" borderId="0" xfId="0" applyFont="1" applyFill="1"/>
    <xf numFmtId="0" fontId="6" fillId="5" borderId="0" xfId="0" applyFont="1" applyFill="1" applyAlignment="1">
      <alignment horizontal="left"/>
    </xf>
    <xf numFmtId="164" fontId="6" fillId="5" borderId="0" xfId="3" applyNumberFormat="1" applyFont="1" applyFill="1"/>
    <xf numFmtId="0" fontId="6" fillId="5" borderId="1" xfId="0" applyFont="1" applyFill="1" applyBorder="1"/>
    <xf numFmtId="164" fontId="6" fillId="5" borderId="1" xfId="0" applyNumberFormat="1" applyFont="1" applyFill="1" applyBorder="1"/>
    <xf numFmtId="0" fontId="7" fillId="5" borderId="1" xfId="0" applyFont="1" applyFill="1" applyBorder="1"/>
    <xf numFmtId="0" fontId="6" fillId="2" borderId="0" xfId="0" applyFont="1" applyFill="1"/>
    <xf numFmtId="164" fontId="6" fillId="2" borderId="0" xfId="3" applyNumberFormat="1" applyFont="1" applyFill="1"/>
    <xf numFmtId="0" fontId="6" fillId="2" borderId="1" xfId="0" applyFont="1" applyFill="1" applyBorder="1"/>
    <xf numFmtId="0" fontId="7" fillId="2" borderId="1" xfId="0" applyFont="1" applyFill="1" applyBorder="1"/>
    <xf numFmtId="164" fontId="8" fillId="5" borderId="1" xfId="0" applyNumberFormat="1" applyFont="1" applyFill="1" applyBorder="1"/>
    <xf numFmtId="165" fontId="9" fillId="5" borderId="1" xfId="4" applyNumberFormat="1" applyFont="1" applyFill="1" applyBorder="1"/>
    <xf numFmtId="164" fontId="9" fillId="2" borderId="1" xfId="0" applyNumberFormat="1" applyFont="1" applyFill="1" applyBorder="1"/>
    <xf numFmtId="164" fontId="9" fillId="5" borderId="1" xfId="0" applyNumberFormat="1" applyFont="1" applyFill="1" applyBorder="1"/>
    <xf numFmtId="0" fontId="9" fillId="0" borderId="0" xfId="0" applyFont="1"/>
    <xf numFmtId="164" fontId="8" fillId="2" borderId="1" xfId="0" applyNumberFormat="1" applyFont="1" applyFill="1" applyBorder="1"/>
    <xf numFmtId="0" fontId="9" fillId="2" borderId="0" xfId="0" applyFont="1" applyFill="1"/>
    <xf numFmtId="43" fontId="8" fillId="5" borderId="0" xfId="3" applyFont="1" applyFill="1"/>
    <xf numFmtId="43" fontId="9" fillId="2" borderId="1" xfId="3" applyFont="1" applyFill="1" applyBorder="1"/>
    <xf numFmtId="9" fontId="9" fillId="2" borderId="1" xfId="4" applyFont="1" applyFill="1" applyBorder="1"/>
    <xf numFmtId="165" fontId="9" fillId="2" borderId="1" xfId="4" applyNumberFormat="1" applyFont="1" applyFill="1" applyBorder="1"/>
    <xf numFmtId="0" fontId="8" fillId="2" borderId="0" xfId="0" applyFont="1" applyFill="1" applyAlignment="1">
      <alignment vertical="top"/>
    </xf>
    <xf numFmtId="164" fontId="8" fillId="5" borderId="0" xfId="3" applyNumberFormat="1" applyFont="1" applyFill="1" applyAlignment="1">
      <alignment horizontal="left"/>
    </xf>
    <xf numFmtId="43" fontId="9" fillId="5" borderId="1" xfId="3" applyFont="1" applyFill="1" applyBorder="1"/>
    <xf numFmtId="49" fontId="8" fillId="0" borderId="0" xfId="0" applyNumberFormat="1" applyFont="1" applyAlignment="1">
      <alignment horizontal="left" indent="2"/>
    </xf>
    <xf numFmtId="0" fontId="15" fillId="2" borderId="0" xfId="0" applyFont="1" applyFill="1"/>
    <xf numFmtId="0" fontId="15" fillId="2" borderId="0" xfId="0" applyFont="1" applyFill="1" applyAlignment="1">
      <alignment horizontal="right"/>
    </xf>
    <xf numFmtId="164" fontId="6" fillId="5" borderId="0" xfId="3" applyNumberFormat="1" applyFont="1" applyFill="1" applyAlignment="1">
      <alignment horizontal="right"/>
    </xf>
    <xf numFmtId="164" fontId="6" fillId="2" borderId="0" xfId="3" applyNumberFormat="1" applyFont="1" applyFill="1" applyAlignment="1">
      <alignment horizontal="right"/>
    </xf>
    <xf numFmtId="165" fontId="9" fillId="2" borderId="0" xfId="4" applyNumberFormat="1" applyFont="1" applyFill="1" applyBorder="1" applyAlignment="1">
      <alignment horizontal="right"/>
    </xf>
    <xf numFmtId="164" fontId="8" fillId="5" borderId="3" xfId="0" applyNumberFormat="1" applyFont="1" applyFill="1" applyBorder="1"/>
    <xf numFmtId="0" fontId="15" fillId="2" borderId="0" xfId="0" quotePrefix="1" applyFont="1" applyFill="1" applyAlignment="1">
      <alignment horizontal="right"/>
    </xf>
    <xf numFmtId="164" fontId="15" fillId="2" borderId="0" xfId="3" applyNumberFormat="1" applyFont="1" applyFill="1"/>
    <xf numFmtId="164" fontId="8" fillId="5" borderId="3" xfId="3" applyNumberFormat="1" applyFont="1" applyFill="1" applyBorder="1"/>
    <xf numFmtId="0" fontId="6" fillId="5" borderId="1" xfId="1" applyFont="1" applyFill="1" applyBorder="1"/>
    <xf numFmtId="164" fontId="8" fillId="5" borderId="1" xfId="3" applyNumberFormat="1" applyFont="1" applyFill="1" applyBorder="1"/>
    <xf numFmtId="0" fontId="6" fillId="2" borderId="0" xfId="0" applyFont="1" applyFill="1" applyAlignment="1">
      <alignment horizontal="left"/>
    </xf>
    <xf numFmtId="164" fontId="6" fillId="2" borderId="1" xfId="0" applyNumberFormat="1" applyFont="1" applyFill="1" applyBorder="1"/>
    <xf numFmtId="165" fontId="7" fillId="2" borderId="1" xfId="4" applyNumberFormat="1" applyFont="1" applyFill="1" applyBorder="1"/>
    <xf numFmtId="0" fontId="8" fillId="2" borderId="0" xfId="0" applyFont="1" applyFill="1" applyAlignment="1">
      <alignment wrapText="1"/>
    </xf>
    <xf numFmtId="0" fontId="15" fillId="2" borderId="0" xfId="0" applyFont="1" applyFill="1" applyAlignment="1">
      <alignment horizontal="left"/>
    </xf>
    <xf numFmtId="10" fontId="8" fillId="5" borderId="0" xfId="0" applyNumberFormat="1" applyFont="1" applyFill="1"/>
    <xf numFmtId="164" fontId="8" fillId="2" borderId="0" xfId="3" applyNumberFormat="1" applyFont="1" applyFill="1" applyAlignment="1">
      <alignment horizontal="left"/>
    </xf>
    <xf numFmtId="43" fontId="8" fillId="5" borderId="0" xfId="0" applyNumberFormat="1" applyFont="1" applyFill="1"/>
    <xf numFmtId="0" fontId="7" fillId="5" borderId="1" xfId="1" applyFont="1" applyFill="1" applyBorder="1"/>
    <xf numFmtId="49" fontId="6" fillId="5" borderId="0" xfId="1" applyNumberFormat="1" applyFont="1" applyFill="1" applyBorder="1"/>
    <xf numFmtId="10" fontId="7" fillId="5" borderId="1" xfId="4" applyNumberFormat="1" applyFont="1" applyFill="1" applyBorder="1"/>
    <xf numFmtId="0" fontId="6" fillId="2" borderId="0" xfId="3" quotePrefix="1" applyNumberFormat="1" applyFont="1" applyFill="1" applyBorder="1"/>
    <xf numFmtId="0" fontId="6" fillId="2" borderId="3" xfId="0" applyFont="1" applyFill="1" applyBorder="1"/>
    <xf numFmtId="164" fontId="6" fillId="2" borderId="3" xfId="0" applyNumberFormat="1" applyFont="1" applyFill="1" applyBorder="1"/>
    <xf numFmtId="164" fontId="6" fillId="2" borderId="3" xfId="3" applyNumberFormat="1" applyFont="1" applyFill="1" applyBorder="1"/>
    <xf numFmtId="0" fontId="6" fillId="2" borderId="0" xfId="0" quotePrefix="1" applyFont="1" applyFill="1"/>
    <xf numFmtId="10" fontId="6" fillId="2" borderId="0" xfId="0" applyNumberFormat="1" applyFont="1" applyFill="1"/>
    <xf numFmtId="164" fontId="7" fillId="2" borderId="1" xfId="0" applyNumberFormat="1" applyFont="1" applyFill="1" applyBorder="1"/>
    <xf numFmtId="0" fontId="7" fillId="0" borderId="0" xfId="0" applyFont="1" applyAlignment="1">
      <alignment horizontal="left"/>
    </xf>
    <xf numFmtId="14" fontId="6" fillId="0" borderId="0" xfId="3" applyNumberFormat="1" applyFont="1" applyFill="1" applyBorder="1" applyAlignment="1">
      <alignment horizontal="left"/>
    </xf>
    <xf numFmtId="0" fontId="18" fillId="0" borderId="0" xfId="6" applyFont="1" applyAlignment="1">
      <alignment horizontal="left" indent="2"/>
    </xf>
    <xf numFmtId="0" fontId="18" fillId="0" borderId="0" xfId="6" applyFont="1"/>
    <xf numFmtId="0" fontId="18" fillId="0" borderId="0" xfId="6" applyFont="1" applyFill="1"/>
    <xf numFmtId="0" fontId="19" fillId="0" borderId="0" xfId="0" applyFont="1"/>
    <xf numFmtId="0" fontId="20" fillId="0" borderId="0" xfId="0" applyFont="1"/>
    <xf numFmtId="0" fontId="21" fillId="0" borderId="0" xfId="6" applyFont="1" applyFill="1" applyBorder="1"/>
    <xf numFmtId="0" fontId="21" fillId="0" borderId="0" xfId="6" applyFont="1" applyFill="1"/>
    <xf numFmtId="0" fontId="22" fillId="2" borderId="0" xfId="0" applyFont="1" applyFill="1"/>
    <xf numFmtId="0" fontId="23" fillId="2" borderId="0" xfId="0" applyFont="1" applyFill="1"/>
    <xf numFmtId="0" fontId="22" fillId="0" borderId="0" xfId="0" applyFont="1"/>
    <xf numFmtId="164" fontId="6" fillId="2" borderId="0" xfId="3" applyNumberFormat="1" applyFont="1" applyFill="1" applyBorder="1"/>
    <xf numFmtId="164" fontId="6" fillId="2" borderId="0" xfId="0" applyNumberFormat="1" applyFont="1" applyFill="1"/>
    <xf numFmtId="0" fontId="6" fillId="2" borderId="3" xfId="3" quotePrefix="1" applyNumberFormat="1" applyFont="1" applyFill="1" applyBorder="1"/>
    <xf numFmtId="165" fontId="7" fillId="5" borderId="1" xfId="4" applyNumberFormat="1" applyFont="1" applyFill="1" applyBorder="1"/>
    <xf numFmtId="164" fontId="8" fillId="0" borderId="0" xfId="0" applyNumberFormat="1" applyFont="1"/>
    <xf numFmtId="165" fontId="8" fillId="0" borderId="0" xfId="4" applyNumberFormat="1" applyFont="1" applyFill="1"/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</cellXfs>
  <cellStyles count="8">
    <cellStyle name="Comma" xfId="3" builtinId="3"/>
    <cellStyle name="Hyperlink" xfId="6" builtinId="8"/>
    <cellStyle name="Komma 3" xfId="7" xr:uid="{45F05792-8F10-41AF-A1CC-7F769DEF5514}"/>
    <cellStyle name="Normal" xfId="0" builtinId="0"/>
    <cellStyle name="Normal 10 7" xfId="2" xr:uid="{85B7D81C-3AA9-4539-8A1B-F0DE64E53FAE}"/>
    <cellStyle name="Normal 7" xfId="1" xr:uid="{C384302A-35FF-4020-AA18-5CC3690DBC33}"/>
    <cellStyle name="Percent" xfId="4" builtinId="5"/>
    <cellStyle name="Prosent 2 2" xfId="5" xr:uid="{97AC4587-E441-4327-989D-B4DF6DCBDE0A}"/>
  </cellStyles>
  <dxfs count="0"/>
  <tableStyles count="0" defaultTableStyle="TableStyleMedium2" defaultPivotStyle="PivotStyleLight16"/>
  <colors>
    <mruColors>
      <color rgb="FFFFFF99"/>
      <color rgb="FFEAF0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2</xdr:row>
      <xdr:rowOff>123825</xdr:rowOff>
    </xdr:from>
    <xdr:to>
      <xdr:col>3</xdr:col>
      <xdr:colOff>285750</xdr:colOff>
      <xdr:row>7</xdr:row>
      <xdr:rowOff>120423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F2C635-48BC-864A-9231-5D728EF8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504825"/>
          <a:ext cx="2657475" cy="949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3838575</xdr:colOff>
      <xdr:row>13</xdr:row>
      <xdr:rowOff>76200</xdr:rowOff>
    </xdr:from>
    <xdr:to>
      <xdr:col>4</xdr:col>
      <xdr:colOff>7143750</xdr:colOff>
      <xdr:row>13</xdr:row>
      <xdr:rowOff>819150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5E88D9-1702-63BA-8495-95CD4D374CB7}"/>
            </a:ext>
          </a:extLst>
        </xdr:cNvPr>
        <xdr:cNvSpPr txBox="1"/>
      </xdr:nvSpPr>
      <xdr:spPr>
        <a:xfrm>
          <a:off x="8743950" y="4314825"/>
          <a:ext cx="71532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(Periodens</a:t>
          </a:r>
          <a:r>
            <a:rPr lang="nb-NO" sz="1000" u="sng" baseline="0">
              <a:latin typeface="SpareBank 1" panose="020B0500030000000000" pitchFamily="34" charset="0"/>
            </a:rPr>
            <a:t> r</a:t>
          </a:r>
          <a:r>
            <a:rPr lang="nb-NO" sz="1000" u="sng">
              <a:latin typeface="SpareBank 1" panose="020B0500030000000000" pitchFamily="34" charset="0"/>
            </a:rPr>
            <a:t>esultat - Betalte renter fondsobligasjoner) *</a:t>
          </a:r>
          <a:r>
            <a:rPr lang="nb-NO" sz="1000" u="sng" baseline="0">
              <a:latin typeface="SpareBank 1" panose="020B0500030000000000" pitchFamily="34" charset="0"/>
            </a:rPr>
            <a:t> (Antall dager i året/antall dager i perioden)</a:t>
          </a:r>
        </a:p>
        <a:p>
          <a:pPr algn="ctr"/>
          <a:endParaRPr lang="nb-NO" sz="1000" u="sng">
            <a:latin typeface="SpareBank 1" panose="020B0500030000000000" pitchFamily="34" charset="0"/>
          </a:endParaRPr>
        </a:p>
        <a:p>
          <a:pPr algn="ctr"/>
          <a:r>
            <a:rPr lang="nb-NO" sz="1000" u="none">
              <a:latin typeface="SpareBank 1" panose="020B0500030000000000" pitchFamily="34" charset="0"/>
            </a:rPr>
            <a:t>((Sum EK IB -</a:t>
          </a:r>
          <a:r>
            <a:rPr lang="nb-NO" sz="1000" u="none" baseline="0">
              <a:latin typeface="SpareBank 1" panose="020B0500030000000000" pitchFamily="34" charset="0"/>
            </a:rPr>
            <a:t> Hybridkapital IB) </a:t>
          </a:r>
          <a:r>
            <a:rPr lang="nb-NO" sz="1000" u="none">
              <a:latin typeface="SpareBank 1" panose="020B0500030000000000" pitchFamily="34" charset="0"/>
            </a:rPr>
            <a:t>+ (Sum EK UB - Hybridkapital UB))/2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9525</xdr:colOff>
      <xdr:row>15</xdr:row>
      <xdr:rowOff>180976</xdr:rowOff>
    </xdr:from>
    <xdr:to>
      <xdr:col>4</xdr:col>
      <xdr:colOff>4648201</xdr:colOff>
      <xdr:row>15</xdr:row>
      <xdr:rowOff>676275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BB431B8-8080-4218-9456-F27E33AA2F06}"/>
            </a:ext>
          </a:extLst>
        </xdr:cNvPr>
        <xdr:cNvSpPr txBox="1"/>
      </xdr:nvSpPr>
      <xdr:spPr>
        <a:xfrm>
          <a:off x="8763000" y="6305551"/>
          <a:ext cx="4638676" cy="495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Sum</a:t>
          </a:r>
          <a:r>
            <a:rPr lang="nb-NO" sz="1000" u="sng" baseline="0">
              <a:latin typeface="SpareBank 1" panose="020B0500030000000000" pitchFamily="34" charset="0"/>
            </a:rPr>
            <a:t> driftskostnader</a:t>
          </a:r>
        </a:p>
        <a:p>
          <a:pPr algn="ctr"/>
          <a:r>
            <a:rPr lang="nb-NO" sz="1000" u="none" baseline="0">
              <a:latin typeface="SpareBank 1" panose="020B0500030000000000" pitchFamily="34" charset="0"/>
            </a:rPr>
            <a:t>Sum inntekter</a:t>
          </a:r>
          <a:endParaRPr lang="nb-NO" sz="1000" u="none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9525</xdr:colOff>
      <xdr:row>16</xdr:row>
      <xdr:rowOff>209550</xdr:rowOff>
    </xdr:from>
    <xdr:to>
      <xdr:col>4</xdr:col>
      <xdr:colOff>4619625</xdr:colOff>
      <xdr:row>16</xdr:row>
      <xdr:rowOff>809624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3B2E8A-55E6-4B4D-ABED-99E7E9C02819}"/>
            </a:ext>
          </a:extLst>
        </xdr:cNvPr>
        <xdr:cNvSpPr txBox="1"/>
      </xdr:nvSpPr>
      <xdr:spPr>
        <a:xfrm>
          <a:off x="8763000" y="7277100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(Sum driftskostnader)</a:t>
          </a:r>
        </a:p>
        <a:p>
          <a:pPr algn="ctr"/>
          <a:r>
            <a:rPr lang="nb-NO" sz="1000" u="none">
              <a:latin typeface="SpareBank 1" panose="020B0500030000000000" pitchFamily="34" charset="0"/>
            </a:rPr>
            <a:t>(Sum inntekter - netto avkastning på finans)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9525</xdr:colOff>
      <xdr:row>14</xdr:row>
      <xdr:rowOff>104775</xdr:rowOff>
    </xdr:from>
    <xdr:to>
      <xdr:col>4</xdr:col>
      <xdr:colOff>7162800</xdr:colOff>
      <xdr:row>14</xdr:row>
      <xdr:rowOff>847725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51C6E78-62BF-4C7F-82FE-4FC64B39B595}"/>
            </a:ext>
          </a:extLst>
        </xdr:cNvPr>
        <xdr:cNvSpPr txBox="1"/>
      </xdr:nvSpPr>
      <xdr:spPr>
        <a:xfrm>
          <a:off x="8763000" y="5286375"/>
          <a:ext cx="71532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(Totalresultat - Betalte renter fondsobligasjoner) *</a:t>
          </a:r>
          <a:r>
            <a:rPr lang="nb-NO" sz="1000" u="sng" baseline="0">
              <a:latin typeface="SpareBank 1" panose="020B0500030000000000" pitchFamily="34" charset="0"/>
            </a:rPr>
            <a:t> (Antall dager i året/antall dager i perioden)</a:t>
          </a:r>
        </a:p>
        <a:p>
          <a:pPr algn="ctr"/>
          <a:endParaRPr lang="nb-NO" sz="1000" u="sng">
            <a:latin typeface="SpareBank 1" panose="020B0500030000000000" pitchFamily="34" charset="0"/>
          </a:endParaRPr>
        </a:p>
        <a:p>
          <a:pPr algn="ctr"/>
          <a:r>
            <a:rPr lang="nb-NO" sz="1000" u="none">
              <a:latin typeface="SpareBank 1" panose="020B0500030000000000" pitchFamily="34" charset="0"/>
            </a:rPr>
            <a:t>((Sum EK IB -</a:t>
          </a:r>
          <a:r>
            <a:rPr lang="nb-NO" sz="1000" u="none" baseline="0">
              <a:latin typeface="SpareBank 1" panose="020B0500030000000000" pitchFamily="34" charset="0"/>
            </a:rPr>
            <a:t> Hybridkapital IB) </a:t>
          </a:r>
          <a:r>
            <a:rPr lang="nb-NO" sz="1000" u="none">
              <a:latin typeface="SpareBank 1" panose="020B0500030000000000" pitchFamily="34" charset="0"/>
            </a:rPr>
            <a:t>+ (Sum EK UB - Hybridkapital UB))/2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9525</xdr:colOff>
      <xdr:row>17</xdr:row>
      <xdr:rowOff>171450</xdr:rowOff>
    </xdr:from>
    <xdr:to>
      <xdr:col>4</xdr:col>
      <xdr:colOff>4619625</xdr:colOff>
      <xdr:row>17</xdr:row>
      <xdr:rowOff>771524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7B6A95C-DC72-4EF6-BF82-E2DEE4231EE0}"/>
            </a:ext>
          </a:extLst>
        </xdr:cNvPr>
        <xdr:cNvSpPr txBox="1"/>
      </xdr:nvSpPr>
      <xdr:spPr>
        <a:xfrm>
          <a:off x="8763000" y="8181975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Netto</a:t>
          </a:r>
          <a:r>
            <a:rPr lang="nb-NO" sz="1000" u="sng" baseline="0">
              <a:latin typeface="SpareBank 1" panose="020B0500030000000000" pitchFamily="34" charset="0"/>
            </a:rPr>
            <a:t> renteinntekter</a:t>
          </a:r>
        </a:p>
        <a:p>
          <a:pPr algn="ctr"/>
          <a:r>
            <a:rPr lang="nb-NO" sz="1000" u="none">
              <a:latin typeface="SpareBank 1" panose="020B0500030000000000" pitchFamily="34" charset="0"/>
            </a:rPr>
            <a:t>(Forvaltningskapital IB - Forvaltningskapital UB)/2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0</xdr:colOff>
      <xdr:row>18</xdr:row>
      <xdr:rowOff>142875</xdr:rowOff>
    </xdr:from>
    <xdr:to>
      <xdr:col>4</xdr:col>
      <xdr:colOff>4610100</xdr:colOff>
      <xdr:row>18</xdr:row>
      <xdr:rowOff>742949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C6D4F0F-CD0B-4259-8CFB-99194BBE2F0C}"/>
            </a:ext>
          </a:extLst>
        </xdr:cNvPr>
        <xdr:cNvSpPr txBox="1"/>
      </xdr:nvSpPr>
      <xdr:spPr>
        <a:xfrm>
          <a:off x="8753475" y="9096375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(Netto</a:t>
          </a:r>
          <a:r>
            <a:rPr lang="nb-NO" sz="1000" u="sng" baseline="0">
              <a:latin typeface="SpareBank 1" panose="020B0500030000000000" pitchFamily="34" charset="0"/>
            </a:rPr>
            <a:t> renteinntekter + Provisjon fra kredittforetak)</a:t>
          </a:r>
        </a:p>
        <a:p>
          <a:pPr algn="ctr"/>
          <a:r>
            <a:rPr lang="nb-NO" sz="1000" u="none">
              <a:latin typeface="SpareBank 1" panose="020B0500030000000000" pitchFamily="34" charset="0"/>
            </a:rPr>
            <a:t>(Forvaltningskapital IB - Forvaltningskapital UB)/2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0</xdr:colOff>
      <xdr:row>20</xdr:row>
      <xdr:rowOff>171450</xdr:rowOff>
    </xdr:from>
    <xdr:to>
      <xdr:col>4</xdr:col>
      <xdr:colOff>4610100</xdr:colOff>
      <xdr:row>20</xdr:row>
      <xdr:rowOff>771524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5E59131-D920-4AC2-80A4-0E265F31C88F}"/>
            </a:ext>
          </a:extLst>
        </xdr:cNvPr>
        <xdr:cNvSpPr txBox="1"/>
      </xdr:nvSpPr>
      <xdr:spPr>
        <a:xfrm>
          <a:off x="8753475" y="10229850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Innskudd fra kunder</a:t>
          </a:r>
        </a:p>
        <a:p>
          <a:pPr algn="ctr"/>
          <a:r>
            <a:rPr lang="nb-NO" sz="1000" u="none">
              <a:latin typeface="SpareBank 1" panose="020B0500030000000000" pitchFamily="34" charset="0"/>
            </a:rPr>
            <a:t>Brutto utlån til kunder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0</xdr:colOff>
      <xdr:row>21</xdr:row>
      <xdr:rowOff>190500</xdr:rowOff>
    </xdr:from>
    <xdr:to>
      <xdr:col>4</xdr:col>
      <xdr:colOff>4610100</xdr:colOff>
      <xdr:row>21</xdr:row>
      <xdr:rowOff>790574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636E4D7-C68F-493D-A39D-9F5339F244BB}"/>
            </a:ext>
          </a:extLst>
        </xdr:cNvPr>
        <xdr:cNvSpPr txBox="1"/>
      </xdr:nvSpPr>
      <xdr:spPr>
        <a:xfrm>
          <a:off x="8753475" y="11191875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Innskudd fra kunder</a:t>
          </a:r>
        </a:p>
        <a:p>
          <a:pPr algn="ctr"/>
          <a:r>
            <a:rPr lang="nb-NO" sz="1000" u="none">
              <a:latin typeface="SpareBank 1" panose="020B0500030000000000" pitchFamily="34" charset="0"/>
            </a:rPr>
            <a:t>(Brutto utlån +</a:t>
          </a:r>
          <a:r>
            <a:rPr lang="nb-NO" sz="1000" u="none" baseline="0">
              <a:latin typeface="SpareBank 1" panose="020B0500030000000000" pitchFamily="34" charset="0"/>
            </a:rPr>
            <a:t> Utlån overført til kredittforetak)</a:t>
          </a:r>
          <a:endParaRPr lang="nb-NO" sz="1000" u="none">
            <a:latin typeface="SpareBank 1" panose="020B0500030000000000" pitchFamily="34" charset="0"/>
          </a:endParaRP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3</xdr:col>
      <xdr:colOff>3829050</xdr:colOff>
      <xdr:row>22</xdr:row>
      <xdr:rowOff>152400</xdr:rowOff>
    </xdr:from>
    <xdr:to>
      <xdr:col>4</xdr:col>
      <xdr:colOff>4591050</xdr:colOff>
      <xdr:row>22</xdr:row>
      <xdr:rowOff>752474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B6769A-12A5-4E3D-A95D-3B81D89CE2B8}"/>
            </a:ext>
          </a:extLst>
        </xdr:cNvPr>
        <xdr:cNvSpPr txBox="1"/>
      </xdr:nvSpPr>
      <xdr:spPr>
        <a:xfrm>
          <a:off x="8734425" y="12096750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(Brutto utlån</a:t>
          </a:r>
          <a:r>
            <a:rPr lang="nb-NO" sz="1000" u="sng" baseline="0">
              <a:latin typeface="SpareBank 1" panose="020B0500030000000000" pitchFamily="34" charset="0"/>
            </a:rPr>
            <a:t> UB denne perioden - Brutto utlån UB denne periode i fjor) </a:t>
          </a:r>
          <a:endParaRPr lang="nb-NO" sz="1000" u="sng">
            <a:latin typeface="SpareBank 1" panose="020B0500030000000000" pitchFamily="34" charset="0"/>
          </a:endParaRPr>
        </a:p>
        <a:p>
          <a:pPr algn="ctr"/>
          <a:r>
            <a:rPr lang="nb-NO" sz="1000" u="none">
              <a:latin typeface="SpareBank 1" panose="020B0500030000000000" pitchFamily="34" charset="0"/>
            </a:rPr>
            <a:t>Brutto utlån UB denne periode</a:t>
          </a:r>
          <a:r>
            <a:rPr lang="nb-NO" sz="1000" u="none" baseline="0">
              <a:latin typeface="SpareBank 1" panose="020B0500030000000000" pitchFamily="34" charset="0"/>
            </a:rPr>
            <a:t> i fjor</a:t>
          </a:r>
          <a:endParaRPr lang="nb-NO" sz="1000" u="none">
            <a:latin typeface="SpareBank 1" panose="020B0500030000000000" pitchFamily="34" charset="0"/>
          </a:endParaRP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3</xdr:col>
      <xdr:colOff>3829050</xdr:colOff>
      <xdr:row>23</xdr:row>
      <xdr:rowOff>180975</xdr:rowOff>
    </xdr:from>
    <xdr:to>
      <xdr:col>4</xdr:col>
      <xdr:colOff>9820275</xdr:colOff>
      <xdr:row>23</xdr:row>
      <xdr:rowOff>781049</xdr:rowOff>
    </xdr:to>
    <xdr:sp macro="" textlink="">
      <xdr:nvSpPr>
        <xdr:cNvPr id="28" name="TextBox 10">
          <a:extLst>
            <a:ext uri="{FF2B5EF4-FFF2-40B4-BE49-F238E27FC236}">
              <a16:creationId xmlns:a16="http://schemas.microsoft.com/office/drawing/2014/main" id="{E65F41D8-979D-4C47-A006-3C3F50A7B899}"/>
            </a:ext>
          </a:extLst>
        </xdr:cNvPr>
        <xdr:cNvSpPr txBox="1"/>
      </xdr:nvSpPr>
      <xdr:spPr>
        <a:xfrm>
          <a:off x="8734425" y="13068300"/>
          <a:ext cx="9839325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((Brutto utlån</a:t>
          </a:r>
          <a:r>
            <a:rPr lang="nb-NO" sz="1000" u="sng" baseline="0">
              <a:latin typeface="SpareBank 1" panose="020B0500030000000000" pitchFamily="34" charset="0"/>
            </a:rPr>
            <a:t> UB denne perioden + Utlån overf. til KF UB denne periode) - (Brutto utlån UB denne periode i fjor + Utlån overf. til KF UB denne periode i fjor)) </a:t>
          </a:r>
          <a:endParaRPr lang="nb-NO" sz="1000" u="sng">
            <a:latin typeface="SpareBank 1" panose="020B0500030000000000" pitchFamily="34" charset="0"/>
          </a:endParaRPr>
        </a:p>
        <a:p>
          <a:pPr algn="ctr"/>
          <a:r>
            <a:rPr lang="nb-NO" sz="1000" u="none">
              <a:latin typeface="SpareBank 1" panose="020B0500030000000000" pitchFamily="34" charset="0"/>
            </a:rPr>
            <a:t>(Brutto utlån UB denne periode</a:t>
          </a:r>
          <a:r>
            <a:rPr lang="nb-NO" sz="1000" u="none" baseline="0">
              <a:latin typeface="SpareBank 1" panose="020B0500030000000000" pitchFamily="34" charset="0"/>
            </a:rPr>
            <a:t> i fjor + Utlån overf. til KF UB denne periode i fjor)</a:t>
          </a:r>
          <a:endParaRPr lang="nb-NO" sz="1000" u="none">
            <a:latin typeface="SpareBank 1" panose="020B0500030000000000" pitchFamily="34" charset="0"/>
          </a:endParaRP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9525</xdr:colOff>
      <xdr:row>24</xdr:row>
      <xdr:rowOff>180975</xdr:rowOff>
    </xdr:from>
    <xdr:to>
      <xdr:col>4</xdr:col>
      <xdr:colOff>5724525</xdr:colOff>
      <xdr:row>24</xdr:row>
      <xdr:rowOff>781049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7F41FF4-399E-42C3-9AE6-CF9345DDC56D}"/>
            </a:ext>
          </a:extLst>
        </xdr:cNvPr>
        <xdr:cNvSpPr txBox="1"/>
      </xdr:nvSpPr>
      <xdr:spPr>
        <a:xfrm>
          <a:off x="8763000" y="14011275"/>
          <a:ext cx="57150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Innskudd</a:t>
          </a:r>
          <a:r>
            <a:rPr lang="nb-NO" sz="1000" u="sng" baseline="0">
              <a:latin typeface="SpareBank 1" panose="020B0500030000000000" pitchFamily="34" charset="0"/>
            </a:rPr>
            <a:t> fra kunder UB denne perioden - Innskudd fra kunder UB denne periode i fjor</a:t>
          </a:r>
          <a:endParaRPr lang="nb-NO" sz="1000" u="sng">
            <a:latin typeface="SpareBank 1" panose="020B0500030000000000" pitchFamily="34" charset="0"/>
          </a:endParaRPr>
        </a:p>
        <a:p>
          <a:pPr algn="ctr"/>
          <a:r>
            <a:rPr lang="nb-NO" sz="1000" u="none">
              <a:latin typeface="SpareBank 1" panose="020B0500030000000000" pitchFamily="34" charset="0"/>
            </a:rPr>
            <a:t>Innskudd fra kunder UB denne periode i fjor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38100</xdr:colOff>
      <xdr:row>25</xdr:row>
      <xdr:rowOff>161925</xdr:rowOff>
    </xdr:from>
    <xdr:to>
      <xdr:col>4</xdr:col>
      <xdr:colOff>4648200</xdr:colOff>
      <xdr:row>25</xdr:row>
      <xdr:rowOff>761999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C590FE7-1F7C-4CEF-9228-3776013E7047}"/>
            </a:ext>
          </a:extLst>
        </xdr:cNvPr>
        <xdr:cNvSpPr txBox="1"/>
      </xdr:nvSpPr>
      <xdr:spPr>
        <a:xfrm>
          <a:off x="8791575" y="14935200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Forvaltningskapital UB - Forvaltningskapital IB</a:t>
          </a:r>
        </a:p>
        <a:p>
          <a:pPr algn="ctr"/>
          <a:r>
            <a:rPr lang="nb-NO" sz="1000" u="none">
              <a:latin typeface="SpareBank 1" panose="020B0500030000000000" pitchFamily="34" charset="0"/>
            </a:rPr>
            <a:t>2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57150</xdr:colOff>
      <xdr:row>26</xdr:row>
      <xdr:rowOff>161925</xdr:rowOff>
    </xdr:from>
    <xdr:to>
      <xdr:col>4</xdr:col>
      <xdr:colOff>4667250</xdr:colOff>
      <xdr:row>26</xdr:row>
      <xdr:rowOff>761999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211B101-F390-42CD-9DEE-9B97C753E11B}"/>
            </a:ext>
          </a:extLst>
        </xdr:cNvPr>
        <xdr:cNvSpPr txBox="1"/>
      </xdr:nvSpPr>
      <xdr:spPr>
        <a:xfrm>
          <a:off x="8810625" y="15878175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none">
              <a:latin typeface="SpareBank 1" panose="020B0500030000000000" pitchFamily="34" charset="0"/>
            </a:rPr>
            <a:t>Forvaltningskapital + Utlån overf. til kredittforetak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57150</xdr:colOff>
      <xdr:row>27</xdr:row>
      <xdr:rowOff>161925</xdr:rowOff>
    </xdr:from>
    <xdr:to>
      <xdr:col>4</xdr:col>
      <xdr:colOff>7458076</xdr:colOff>
      <xdr:row>27</xdr:row>
      <xdr:rowOff>761999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1D87977-CBA3-48E2-8F67-5D3ED10E22E1}"/>
            </a:ext>
          </a:extLst>
        </xdr:cNvPr>
        <xdr:cNvSpPr txBox="1"/>
      </xdr:nvSpPr>
      <xdr:spPr>
        <a:xfrm>
          <a:off x="8810625" y="16821150"/>
          <a:ext cx="7400926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 u="sng">
              <a:latin typeface="SpareBank 1" panose="020B0500030000000000" pitchFamily="34" charset="0"/>
            </a:rPr>
            <a:t>((Forvaltningskapital IB + Utlån overf. til kredittforetak IB) + </a:t>
          </a:r>
          <a:r>
            <a:rPr lang="nb-NO" sz="1000" u="sng">
              <a:solidFill>
                <a:schemeClr val="dk1"/>
              </a:solidFill>
              <a:effectLst/>
              <a:latin typeface="SpareBank 1" panose="020B0500030000000000" pitchFamily="34" charset="0"/>
              <a:ea typeface="+mn-ea"/>
              <a:cs typeface="+mn-cs"/>
            </a:rPr>
            <a:t>Forvaltningskapital UB + Utlån overf. til kredittforetak UB))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 u="none">
              <a:solidFill>
                <a:schemeClr val="dk1"/>
              </a:solidFill>
              <a:effectLst/>
              <a:latin typeface="SpareBank 1" panose="020B0500030000000000" pitchFamily="34" charset="0"/>
              <a:ea typeface="+mn-ea"/>
              <a:cs typeface="+mn-cs"/>
            </a:rPr>
            <a:t>2</a:t>
          </a:r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57150</xdr:colOff>
      <xdr:row>29</xdr:row>
      <xdr:rowOff>161925</xdr:rowOff>
    </xdr:from>
    <xdr:to>
      <xdr:col>4</xdr:col>
      <xdr:colOff>4667250</xdr:colOff>
      <xdr:row>29</xdr:row>
      <xdr:rowOff>761999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14CE03D-4307-4244-9BC0-B9643D838EF5}"/>
            </a:ext>
          </a:extLst>
        </xdr:cNvPr>
        <xdr:cNvSpPr txBox="1"/>
      </xdr:nvSpPr>
      <xdr:spPr>
        <a:xfrm>
          <a:off x="8810625" y="17926050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Sum avsetnings til tap på utlån og garantier</a:t>
          </a:r>
        </a:p>
        <a:p>
          <a:pPr algn="ctr"/>
          <a:r>
            <a:rPr lang="nb-NO" sz="1000" u="none">
              <a:latin typeface="SpareBank 1" panose="020B0500030000000000" pitchFamily="34" charset="0"/>
            </a:rPr>
            <a:t>Brutto utlån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76200</xdr:colOff>
      <xdr:row>30</xdr:row>
      <xdr:rowOff>152400</xdr:rowOff>
    </xdr:from>
    <xdr:to>
      <xdr:col>4</xdr:col>
      <xdr:colOff>4686300</xdr:colOff>
      <xdr:row>30</xdr:row>
      <xdr:rowOff>752474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6C1961E-9D77-47A2-8253-3016F8563CD7}"/>
            </a:ext>
          </a:extLst>
        </xdr:cNvPr>
        <xdr:cNvSpPr txBox="1"/>
      </xdr:nvSpPr>
      <xdr:spPr>
        <a:xfrm>
          <a:off x="8829675" y="18859500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Brutto utlån i Trinn 2</a:t>
          </a:r>
        </a:p>
        <a:p>
          <a:pPr algn="ctr"/>
          <a:r>
            <a:rPr lang="nb-NO" sz="1000" u="none">
              <a:latin typeface="SpareBank 1" panose="020B0500030000000000" pitchFamily="34" charset="0"/>
            </a:rPr>
            <a:t>Brutto utlån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95250</xdr:colOff>
      <xdr:row>31</xdr:row>
      <xdr:rowOff>219075</xdr:rowOff>
    </xdr:from>
    <xdr:to>
      <xdr:col>4</xdr:col>
      <xdr:colOff>4705350</xdr:colOff>
      <xdr:row>31</xdr:row>
      <xdr:rowOff>819149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44DF854-C2D9-40D7-A9D8-C21714605A66}"/>
            </a:ext>
          </a:extLst>
        </xdr:cNvPr>
        <xdr:cNvSpPr txBox="1"/>
      </xdr:nvSpPr>
      <xdr:spPr>
        <a:xfrm>
          <a:off x="8848725" y="19869150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Brutto utlån i Trinn 3</a:t>
          </a:r>
        </a:p>
        <a:p>
          <a:pPr algn="ctr"/>
          <a:r>
            <a:rPr lang="nb-NO" sz="1000" u="none">
              <a:latin typeface="SpareBank 1" panose="020B0500030000000000" pitchFamily="34" charset="0"/>
            </a:rPr>
            <a:t>Brutto utlån</a:t>
          </a: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152400</xdr:colOff>
      <xdr:row>33</xdr:row>
      <xdr:rowOff>123825</xdr:rowOff>
    </xdr:from>
    <xdr:to>
      <xdr:col>4</xdr:col>
      <xdr:colOff>4762500</xdr:colOff>
      <xdr:row>33</xdr:row>
      <xdr:rowOff>723899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76E2386-649E-43ED-8EBB-06C87AF9B2F6}"/>
            </a:ext>
          </a:extLst>
        </xdr:cNvPr>
        <xdr:cNvSpPr txBox="1"/>
      </xdr:nvSpPr>
      <xdr:spPr>
        <a:xfrm>
          <a:off x="8905875" y="20878800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Egenkapital tilegnet eierne</a:t>
          </a:r>
          <a:r>
            <a:rPr lang="nb-NO" sz="1000" u="sng" baseline="0">
              <a:latin typeface="SpareBank 1" panose="020B0500030000000000" pitchFamily="34" charset="0"/>
            </a:rPr>
            <a:t> av egenkapitalbevis</a:t>
          </a:r>
        </a:p>
        <a:p>
          <a:pPr algn="ctr"/>
          <a:r>
            <a:rPr lang="nb-NO" sz="1000" u="none" baseline="0">
              <a:latin typeface="SpareBank 1" panose="020B0500030000000000" pitchFamily="34" charset="0"/>
            </a:rPr>
            <a:t>Egenkapital tilegnet eierne av egenkapitalbevis og grunnfond</a:t>
          </a:r>
          <a:endParaRPr lang="nb-NO" sz="1000" u="none">
            <a:latin typeface="SpareBank 1" panose="020B0500030000000000" pitchFamily="34" charset="0"/>
          </a:endParaRP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133350</xdr:colOff>
      <xdr:row>35</xdr:row>
      <xdr:rowOff>171450</xdr:rowOff>
    </xdr:from>
    <xdr:to>
      <xdr:col>4</xdr:col>
      <xdr:colOff>4743450</xdr:colOff>
      <xdr:row>35</xdr:row>
      <xdr:rowOff>771524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CAFA3AE-E822-4A09-A1B4-AF9C322F1C9E}"/>
            </a:ext>
          </a:extLst>
        </xdr:cNvPr>
        <xdr:cNvSpPr txBox="1"/>
      </xdr:nvSpPr>
      <xdr:spPr>
        <a:xfrm>
          <a:off x="8886825" y="22812375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Periodens resultat * Egenkapitalbevisbrøk</a:t>
          </a:r>
          <a:endParaRPr lang="nb-NO" sz="1000" u="sng" baseline="0">
            <a:latin typeface="SpareBank 1" panose="020B0500030000000000" pitchFamily="34" charset="0"/>
          </a:endParaRPr>
        </a:p>
        <a:p>
          <a:pPr algn="ctr"/>
          <a:r>
            <a:rPr lang="nb-NO" sz="1000" u="none" baseline="0">
              <a:latin typeface="SpareBank 1" panose="020B0500030000000000" pitchFamily="34" charset="0"/>
            </a:rPr>
            <a:t>Antall egenkapitalbevis</a:t>
          </a:r>
          <a:endParaRPr lang="nb-NO" sz="1000" u="none">
            <a:latin typeface="SpareBank 1" panose="020B0500030000000000" pitchFamily="34" charset="0"/>
          </a:endParaRP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152400</xdr:colOff>
      <xdr:row>36</xdr:row>
      <xdr:rowOff>152400</xdr:rowOff>
    </xdr:from>
    <xdr:to>
      <xdr:col>4</xdr:col>
      <xdr:colOff>4762500</xdr:colOff>
      <xdr:row>36</xdr:row>
      <xdr:rowOff>752474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0A5C2D7-7C22-4DF9-B89A-A12214B7BA5C}"/>
            </a:ext>
          </a:extLst>
        </xdr:cNvPr>
        <xdr:cNvSpPr txBox="1"/>
      </xdr:nvSpPr>
      <xdr:spPr>
        <a:xfrm>
          <a:off x="8905875" y="23736300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Avsatt utbytte</a:t>
          </a:r>
          <a:endParaRPr lang="nb-NO" sz="1000" u="sng" baseline="0">
            <a:latin typeface="SpareBank 1" panose="020B0500030000000000" pitchFamily="34" charset="0"/>
          </a:endParaRPr>
        </a:p>
        <a:p>
          <a:pPr algn="ctr"/>
          <a:r>
            <a:rPr lang="nb-NO" sz="1000" u="none" baseline="0">
              <a:latin typeface="SpareBank 1" panose="020B0500030000000000" pitchFamily="34" charset="0"/>
            </a:rPr>
            <a:t>Antall egenkapitalbevis</a:t>
          </a:r>
          <a:endParaRPr lang="nb-NO" sz="1000" u="none">
            <a:latin typeface="SpareBank 1" panose="020B0500030000000000" pitchFamily="34" charset="0"/>
          </a:endParaRP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161924</xdr:colOff>
      <xdr:row>37</xdr:row>
      <xdr:rowOff>180975</xdr:rowOff>
    </xdr:from>
    <xdr:to>
      <xdr:col>4</xdr:col>
      <xdr:colOff>5429249</xdr:colOff>
      <xdr:row>37</xdr:row>
      <xdr:rowOff>781049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C984520-2E13-4627-BD59-E1BD10A711F7}"/>
            </a:ext>
          </a:extLst>
        </xdr:cNvPr>
        <xdr:cNvSpPr txBox="1"/>
      </xdr:nvSpPr>
      <xdr:spPr>
        <a:xfrm>
          <a:off x="8915399" y="24707850"/>
          <a:ext cx="5267325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Børskurs</a:t>
          </a:r>
          <a:endParaRPr lang="nb-NO" sz="1000" u="sng" baseline="0">
            <a:latin typeface="SpareBank 1" panose="020B0500030000000000" pitchFamily="34" charset="0"/>
          </a:endParaRPr>
        </a:p>
        <a:p>
          <a:pPr algn="ctr"/>
          <a:r>
            <a:rPr lang="nb-NO" sz="1000" u="none" baseline="0">
              <a:latin typeface="SpareBank 1" panose="020B0500030000000000" pitchFamily="34" charset="0"/>
            </a:rPr>
            <a:t>Resultat per egenkapitalbevis * (Antall dager i året / Antall dager i perioden)</a:t>
          </a:r>
          <a:endParaRPr lang="nb-NO" sz="1000" u="none">
            <a:latin typeface="SpareBank 1" panose="020B0500030000000000" pitchFamily="34" charset="0"/>
          </a:endParaRP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171450</xdr:colOff>
      <xdr:row>38</xdr:row>
      <xdr:rowOff>180975</xdr:rowOff>
    </xdr:from>
    <xdr:to>
      <xdr:col>4</xdr:col>
      <xdr:colOff>5438775</xdr:colOff>
      <xdr:row>38</xdr:row>
      <xdr:rowOff>781049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FE5B64E-A94C-44A0-827E-FCC6D7978F2D}"/>
            </a:ext>
          </a:extLst>
        </xdr:cNvPr>
        <xdr:cNvSpPr txBox="1"/>
      </xdr:nvSpPr>
      <xdr:spPr>
        <a:xfrm>
          <a:off x="8924925" y="25650825"/>
          <a:ext cx="5267325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Børskurs</a:t>
          </a:r>
          <a:endParaRPr lang="nb-NO" sz="1000" u="sng" baseline="0">
            <a:latin typeface="SpareBank 1" panose="020B0500030000000000" pitchFamily="34" charset="0"/>
          </a:endParaRPr>
        </a:p>
        <a:p>
          <a:pPr algn="ctr"/>
          <a:r>
            <a:rPr lang="nb-NO" sz="1000" u="none" baseline="0">
              <a:latin typeface="SpareBank 1" panose="020B0500030000000000" pitchFamily="34" charset="0"/>
            </a:rPr>
            <a:t>Resultat per egenkapitalbevis * (Antall dager i året / Antall dager i perioden)</a:t>
          </a:r>
          <a:endParaRPr lang="nb-NO" sz="1000" u="none">
            <a:latin typeface="SpareBank 1" panose="020B0500030000000000" pitchFamily="34" charset="0"/>
          </a:endParaRP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  <xdr:twoCellAnchor>
    <xdr:from>
      <xdr:col>4</xdr:col>
      <xdr:colOff>142875</xdr:colOff>
      <xdr:row>34</xdr:row>
      <xdr:rowOff>161925</xdr:rowOff>
    </xdr:from>
    <xdr:to>
      <xdr:col>4</xdr:col>
      <xdr:colOff>4752975</xdr:colOff>
      <xdr:row>34</xdr:row>
      <xdr:rowOff>761999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A976BBA-EBE4-475B-A1C1-F7B8BA84D3B0}"/>
            </a:ext>
          </a:extLst>
        </xdr:cNvPr>
        <xdr:cNvSpPr txBox="1"/>
      </xdr:nvSpPr>
      <xdr:spPr>
        <a:xfrm>
          <a:off x="8896350" y="21859875"/>
          <a:ext cx="461010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000" u="sng">
              <a:latin typeface="SpareBank 1" panose="020B0500030000000000" pitchFamily="34" charset="0"/>
            </a:rPr>
            <a:t>(Sum egenkapital - Hybridkapital) * Egenkapitalbevisbrøk</a:t>
          </a:r>
          <a:endParaRPr lang="nb-NO" sz="1000" u="sng" baseline="0">
            <a:latin typeface="SpareBank 1" panose="020B0500030000000000" pitchFamily="34" charset="0"/>
          </a:endParaRPr>
        </a:p>
        <a:p>
          <a:pPr algn="ctr"/>
          <a:r>
            <a:rPr lang="nb-NO" sz="1000" u="none" baseline="0">
              <a:latin typeface="SpareBank 1" panose="020B0500030000000000" pitchFamily="34" charset="0"/>
            </a:rPr>
            <a:t>Antall egenkapitalbevis</a:t>
          </a:r>
          <a:endParaRPr lang="nb-NO" sz="1000" u="none">
            <a:latin typeface="SpareBank 1" panose="020B0500030000000000" pitchFamily="34" charset="0"/>
          </a:endParaRPr>
        </a:p>
        <a:p>
          <a:endParaRPr lang="nb-NO" sz="1000">
            <a:latin typeface="SpareBank 1" panose="020B0500030000000000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C5FE-CB34-41C1-A557-EA1F35E62233}">
  <sheetPr codeName="Sheet1"/>
  <dimension ref="B10:D41"/>
  <sheetViews>
    <sheetView showGridLines="0" workbookViewId="0">
      <selection activeCell="F19" sqref="F19"/>
    </sheetView>
  </sheetViews>
  <sheetFormatPr defaultRowHeight="15" x14ac:dyDescent="0.25"/>
  <cols>
    <col min="1" max="1" width="18.42578125" style="1" customWidth="1"/>
    <col min="2" max="2" width="9.140625" style="1" customWidth="1"/>
    <col min="3" max="3" width="23.85546875" style="1" customWidth="1"/>
    <col min="4" max="4" width="13.140625" style="1" bestFit="1" customWidth="1"/>
    <col min="5" max="6" width="9.140625" style="1"/>
    <col min="7" max="7" width="32.140625" style="1" bestFit="1" customWidth="1"/>
    <col min="8" max="16384" width="9.140625" style="1"/>
  </cols>
  <sheetData>
    <row r="10" spans="2:4" x14ac:dyDescent="0.25">
      <c r="B10" s="62" t="s">
        <v>213</v>
      </c>
      <c r="D10" s="62" t="s">
        <v>351</v>
      </c>
    </row>
    <row r="12" spans="2:4" s="61" customFormat="1" x14ac:dyDescent="0.25"/>
    <row r="13" spans="2:4" s="61" customFormat="1" x14ac:dyDescent="0.25">
      <c r="B13" s="62" t="s">
        <v>216</v>
      </c>
    </row>
    <row r="14" spans="2:4" s="64" customFormat="1" ht="12.75" x14ac:dyDescent="0.2">
      <c r="B14" s="63" t="s">
        <v>214</v>
      </c>
      <c r="D14" s="171" t="s">
        <v>215</v>
      </c>
    </row>
    <row r="15" spans="2:4" s="64" customFormat="1" ht="12.75" x14ac:dyDescent="0.2">
      <c r="B15" s="64" t="s">
        <v>217</v>
      </c>
      <c r="D15" s="172">
        <v>46148</v>
      </c>
    </row>
    <row r="16" spans="2:4" s="64" customFormat="1" ht="12.75" x14ac:dyDescent="0.2">
      <c r="B16" s="64" t="s">
        <v>218</v>
      </c>
      <c r="D16" s="172">
        <v>46247</v>
      </c>
    </row>
    <row r="17" spans="2:4" s="64" customFormat="1" ht="12.75" x14ac:dyDescent="0.2">
      <c r="B17" s="64" t="s">
        <v>219</v>
      </c>
      <c r="D17" s="172">
        <v>46325</v>
      </c>
    </row>
    <row r="18" spans="2:4" s="61" customFormat="1" x14ac:dyDescent="0.25"/>
    <row r="19" spans="2:4" s="61" customFormat="1" x14ac:dyDescent="0.25"/>
    <row r="20" spans="2:4" s="61" customFormat="1" x14ac:dyDescent="0.25">
      <c r="B20" s="62" t="s">
        <v>220</v>
      </c>
    </row>
    <row r="21" spans="2:4" s="61" customFormat="1" x14ac:dyDescent="0.25">
      <c r="B21" s="60">
        <v>1</v>
      </c>
      <c r="C21" s="4" t="s">
        <v>221</v>
      </c>
    </row>
    <row r="22" spans="2:4" s="61" customFormat="1" x14ac:dyDescent="0.25">
      <c r="B22" s="141" t="s">
        <v>222</v>
      </c>
      <c r="C22" s="173" t="s">
        <v>223</v>
      </c>
    </row>
    <row r="23" spans="2:4" s="61" customFormat="1" x14ac:dyDescent="0.25">
      <c r="B23" s="141" t="s">
        <v>224</v>
      </c>
      <c r="C23" s="173" t="s">
        <v>221</v>
      </c>
    </row>
    <row r="24" spans="2:4" s="61" customFormat="1" x14ac:dyDescent="0.25">
      <c r="B24" s="60">
        <v>2</v>
      </c>
      <c r="C24" s="174" t="s">
        <v>76</v>
      </c>
    </row>
    <row r="25" spans="2:4" s="61" customFormat="1" x14ac:dyDescent="0.25">
      <c r="B25" s="60">
        <v>3</v>
      </c>
      <c r="C25" s="174" t="s">
        <v>28</v>
      </c>
    </row>
    <row r="26" spans="2:4" s="61" customFormat="1" x14ac:dyDescent="0.25">
      <c r="B26" s="60">
        <v>4</v>
      </c>
      <c r="C26" s="174" t="s">
        <v>77</v>
      </c>
    </row>
    <row r="27" spans="2:4" s="61" customFormat="1" x14ac:dyDescent="0.25">
      <c r="B27" s="60">
        <v>5</v>
      </c>
      <c r="C27" s="174" t="s">
        <v>108</v>
      </c>
    </row>
    <row r="28" spans="2:4" s="61" customFormat="1" x14ac:dyDescent="0.25">
      <c r="B28" s="60">
        <v>6</v>
      </c>
      <c r="C28" s="174" t="s">
        <v>164</v>
      </c>
    </row>
    <row r="29" spans="2:4" s="61" customFormat="1" x14ac:dyDescent="0.25">
      <c r="B29" s="60">
        <v>7</v>
      </c>
      <c r="C29" s="175" t="s">
        <v>226</v>
      </c>
    </row>
    <row r="30" spans="2:4" s="61" customFormat="1" x14ac:dyDescent="0.25">
      <c r="B30" s="60">
        <v>8</v>
      </c>
      <c r="C30" s="175" t="s">
        <v>186</v>
      </c>
    </row>
    <row r="31" spans="2:4" s="61" customFormat="1" x14ac:dyDescent="0.25">
      <c r="B31" s="60">
        <v>9</v>
      </c>
      <c r="C31" s="175" t="s">
        <v>189</v>
      </c>
    </row>
    <row r="32" spans="2:4" s="61" customFormat="1" x14ac:dyDescent="0.25">
      <c r="B32" s="60">
        <v>10</v>
      </c>
      <c r="C32" s="175" t="s">
        <v>251</v>
      </c>
    </row>
    <row r="33" spans="2:3" s="61" customFormat="1" x14ac:dyDescent="0.25">
      <c r="B33" s="60">
        <v>11</v>
      </c>
      <c r="C33" s="175" t="s">
        <v>211</v>
      </c>
    </row>
    <row r="34" spans="2:3" s="61" customFormat="1" x14ac:dyDescent="0.25">
      <c r="B34" s="60">
        <v>12</v>
      </c>
      <c r="C34" s="174" t="s">
        <v>355</v>
      </c>
    </row>
    <row r="35" spans="2:3" s="61" customFormat="1" x14ac:dyDescent="0.25">
      <c r="B35" s="60">
        <v>13</v>
      </c>
      <c r="C35" s="175" t="s">
        <v>278</v>
      </c>
    </row>
    <row r="36" spans="2:3" s="61" customFormat="1" x14ac:dyDescent="0.25"/>
    <row r="37" spans="2:3" s="61" customFormat="1" x14ac:dyDescent="0.25"/>
    <row r="38" spans="2:3" s="61" customFormat="1" x14ac:dyDescent="0.25"/>
    <row r="41" spans="2:3" x14ac:dyDescent="0.25">
      <c r="B41" s="176"/>
    </row>
  </sheetData>
  <hyperlinks>
    <hyperlink ref="C22" location="'1.1 APM definisjoner'!A1" display="APM Definisjoner" xr:uid="{8FC185A3-B8A6-4536-ABEE-2A0EDDA92AF8}"/>
    <hyperlink ref="C23" location="'1.2 APM'!A1" display="APM" xr:uid="{43802ED3-7861-4601-89FC-AD7F14DBEDBA}"/>
    <hyperlink ref="C24" location="'2 Resultatregnskap'!A1" display="Resultatregnskap" xr:uid="{14D9FF27-ADD4-40FD-AB65-BA4F665B6474}"/>
    <hyperlink ref="C25" location="'3 Nøkkeltall'!A1" display="Nøkkeltall" xr:uid="{15BF44F6-F66E-4F97-AAF2-E339C7AD88B4}"/>
    <hyperlink ref="C26" location="'4 Balanse'!A1" display="Balanse" xr:uid="{B6605BA8-36EB-4C5F-B186-4FDE61C9C2DB}"/>
    <hyperlink ref="C27" location="'5 Kapitaldekning'!A1" display="Kapitaldekning" xr:uid="{46837890-B6DD-4699-A1B0-C255C521FD03}"/>
    <hyperlink ref="C28" location="'6 Segmenter'!A1" display="Segmenter" xr:uid="{1F72C849-29DE-416D-B896-2E9000D0506F}"/>
    <hyperlink ref="C29" location="'7 Inntekter'!A1" display="Inntekter" xr:uid="{51948BB1-107B-4350-9A38-2ABC1FE4C318}"/>
    <hyperlink ref="C30" location="'8 Kostnader'!A1" display="Kostnader" xr:uid="{2DDB739D-4882-4ACA-B228-66914ED138AB}"/>
    <hyperlink ref="C31" location="'9 Utlån'!A1" display="Utlån" xr:uid="{06E422FC-2399-42C4-AF30-E54CC06CA665}"/>
    <hyperlink ref="C32" location="'10 Brutto utlån og tap'!A1" display="Brutto utlån og tap" xr:uid="{3C9EBC6B-6D67-4037-80C0-BE7D557F7132}"/>
    <hyperlink ref="C34" location="'12 Marginer'!A1" display="Marginer" xr:uid="{C097B3E6-299B-42CE-B4D4-4D64CECA3F81}"/>
    <hyperlink ref="C35" location="'13 Årsverk'!A1" display="Årsverk" xr:uid="{442D4BC1-F378-4663-B301-1136F9B46C74}"/>
    <hyperlink ref="C33" location="'11 Innskudd'!A1" display="Innskudd" xr:uid="{DEBC182C-6DC7-4D80-AE1E-2012B4795EE5}"/>
  </hyperlinks>
  <pageMargins left="0.7" right="0.7" top="0.75" bottom="0.75" header="0.3" footer="0.3"/>
  <pageSetup paperSize="9" orientation="portrait" verticalDpi="0" r:id="rId1"/>
  <headerFooter>
    <oddHeader>&amp;R&amp;"Aptos"&amp;12&amp;KFF0000 Fortrolig&amp;1#_x000D_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7546-FFBF-4BD3-86BC-05FD2255A4BE}">
  <sheetPr codeName="Sheet10"/>
  <dimension ref="B2:P35"/>
  <sheetViews>
    <sheetView showGridLines="0" workbookViewId="0">
      <pane xSplit="3" ySplit="8" topLeftCell="D9" activePane="bottomRight" state="frozen"/>
      <selection activeCell="K50" sqref="K50"/>
      <selection pane="topRight" activeCell="K50" sqref="K50"/>
      <selection pane="bottomLeft" activeCell="K50" sqref="K50"/>
      <selection pane="bottomRight" activeCell="C2" sqref="C2"/>
    </sheetView>
  </sheetViews>
  <sheetFormatPr defaultRowHeight="15" x14ac:dyDescent="0.25"/>
  <cols>
    <col min="1" max="1" width="9.140625" style="1"/>
    <col min="2" max="2" width="4.42578125" style="1" bestFit="1" customWidth="1"/>
    <col min="3" max="3" width="37.140625" style="1" bestFit="1" customWidth="1"/>
    <col min="4" max="16384" width="9.140625" style="1"/>
  </cols>
  <sheetData>
    <row r="2" spans="2:16" x14ac:dyDescent="0.25">
      <c r="C2" s="174" t="s">
        <v>349</v>
      </c>
    </row>
    <row r="6" spans="2:16" ht="23.25" x14ac:dyDescent="0.35">
      <c r="B6" s="6" t="s">
        <v>225</v>
      </c>
      <c r="C6" s="3" t="s">
        <v>186</v>
      </c>
    </row>
    <row r="8" spans="2:16" x14ac:dyDescent="0.25">
      <c r="C8" s="9" t="s">
        <v>280</v>
      </c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  <c r="M8" s="43" t="s">
        <v>24</v>
      </c>
      <c r="N8" s="43" t="s">
        <v>25</v>
      </c>
      <c r="O8" s="43" t="s">
        <v>26</v>
      </c>
      <c r="P8" s="43" t="s">
        <v>27</v>
      </c>
    </row>
    <row r="9" spans="2:16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2:16" x14ac:dyDescent="0.25">
      <c r="C10" s="9" t="s">
        <v>169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2:16" x14ac:dyDescent="0.25">
      <c r="C11" s="4" t="s">
        <v>8</v>
      </c>
      <c r="D11" s="33">
        <v>79.248910979999991</v>
      </c>
      <c r="E11" s="33">
        <v>78.051616349999989</v>
      </c>
      <c r="F11" s="33">
        <v>77.824259269999999</v>
      </c>
      <c r="G11" s="33">
        <v>78.28335318000002</v>
      </c>
      <c r="H11" s="33">
        <v>77.26589946</v>
      </c>
      <c r="I11" s="33">
        <v>47.179098319999987</v>
      </c>
      <c r="J11" s="33">
        <v>72.191774350000046</v>
      </c>
      <c r="K11" s="33">
        <v>71.985065839999962</v>
      </c>
      <c r="L11" s="33">
        <v>70.510583669999988</v>
      </c>
      <c r="M11" s="33">
        <v>65.529828179999924</v>
      </c>
      <c r="N11" s="33">
        <v>65.936990100000031</v>
      </c>
      <c r="O11" s="33">
        <v>64.86258414000001</v>
      </c>
      <c r="P11" s="33">
        <v>63.934595849999994</v>
      </c>
    </row>
    <row r="12" spans="2:16" x14ac:dyDescent="0.25">
      <c r="C12" s="4" t="s">
        <v>242</v>
      </c>
      <c r="D12" s="33">
        <v>5.1846107199999993</v>
      </c>
      <c r="E12" s="33">
        <v>4.201366049999999</v>
      </c>
      <c r="F12" s="33">
        <v>3.6985448499999984</v>
      </c>
      <c r="G12" s="33">
        <v>3.7242295499999991</v>
      </c>
      <c r="H12" s="33">
        <v>3.73932215</v>
      </c>
      <c r="I12" s="33">
        <v>3.7090120899999985</v>
      </c>
      <c r="J12" s="33">
        <v>6.5494392399999999</v>
      </c>
      <c r="K12" s="33">
        <v>2.2922332200000004</v>
      </c>
      <c r="L12" s="33">
        <v>2.2200671099999996</v>
      </c>
      <c r="M12" s="33">
        <v>2.0876028900000039</v>
      </c>
      <c r="N12" s="33">
        <v>2.0663479699999994</v>
      </c>
      <c r="O12" s="33">
        <v>0.52379113999999982</v>
      </c>
      <c r="P12" s="33">
        <v>3.4504659299999996</v>
      </c>
    </row>
    <row r="13" spans="2:16" x14ac:dyDescent="0.25">
      <c r="C13" s="4" t="s">
        <v>187</v>
      </c>
      <c r="D13" s="33">
        <v>9.8856624100000001</v>
      </c>
      <c r="E13" s="33">
        <v>10.25303559</v>
      </c>
      <c r="F13" s="33">
        <v>9.0571839000000001</v>
      </c>
      <c r="G13" s="33">
        <v>10.25303559</v>
      </c>
      <c r="H13" s="33">
        <v>9.0571839000000001</v>
      </c>
      <c r="I13" s="33">
        <v>7.8755695299999999</v>
      </c>
      <c r="J13" s="33">
        <v>10.25303559</v>
      </c>
      <c r="K13" s="33">
        <v>7.8755695299999999</v>
      </c>
      <c r="L13" s="33">
        <v>10.25303559</v>
      </c>
      <c r="M13" s="33">
        <v>10.25303559</v>
      </c>
      <c r="N13" s="33">
        <v>10.25303559</v>
      </c>
      <c r="O13" s="33">
        <v>9.0571839000000001</v>
      </c>
      <c r="P13" s="33">
        <v>10.25303559</v>
      </c>
    </row>
    <row r="14" spans="2:16" x14ac:dyDescent="0.25">
      <c r="C14" s="4" t="s">
        <v>243</v>
      </c>
      <c r="D14" s="33">
        <v>4.6119699900000004</v>
      </c>
      <c r="E14" s="33">
        <v>3.5491048199999997</v>
      </c>
      <c r="F14" s="33">
        <v>4.2154398300000002</v>
      </c>
      <c r="G14" s="33">
        <v>3.5491048199999997</v>
      </c>
      <c r="H14" s="33">
        <v>4.2154398300000002</v>
      </c>
      <c r="I14" s="33">
        <v>5.4983672600000002</v>
      </c>
      <c r="J14" s="33">
        <v>3.5491048199999997</v>
      </c>
      <c r="K14" s="33">
        <v>5.4983672600000002</v>
      </c>
      <c r="L14" s="33">
        <v>3.5491048199999997</v>
      </c>
      <c r="M14" s="33">
        <v>3.5491048199999997</v>
      </c>
      <c r="N14" s="33">
        <v>3.5491048199999997</v>
      </c>
      <c r="O14" s="33">
        <v>4.2154398300000002</v>
      </c>
      <c r="P14" s="33">
        <v>3.5491048199999997</v>
      </c>
    </row>
    <row r="15" spans="2:16" x14ac:dyDescent="0.25">
      <c r="C15" s="4" t="s">
        <v>244</v>
      </c>
      <c r="D15" s="33">
        <v>2.7796790099999997</v>
      </c>
      <c r="E15" s="33">
        <v>2.9347801000000002</v>
      </c>
      <c r="F15" s="33">
        <v>2.1815794999999998</v>
      </c>
      <c r="G15" s="33">
        <v>2.9347801000000002</v>
      </c>
      <c r="H15" s="33">
        <v>2.1815794999999998</v>
      </c>
      <c r="I15" s="33">
        <v>2.0630355900000001</v>
      </c>
      <c r="J15" s="33">
        <v>2.9347801000000002</v>
      </c>
      <c r="K15" s="33">
        <v>2.0630355900000001</v>
      </c>
      <c r="L15" s="33">
        <v>2.9347801000000002</v>
      </c>
      <c r="M15" s="33">
        <v>2.9347801000000002</v>
      </c>
      <c r="N15" s="33">
        <v>2.9347801000000002</v>
      </c>
      <c r="O15" s="33">
        <v>2.1815794999999998</v>
      </c>
      <c r="P15" s="33">
        <v>2.9347801000000002</v>
      </c>
    </row>
    <row r="16" spans="2:16" x14ac:dyDescent="0.25">
      <c r="C16" s="4" t="s">
        <v>245</v>
      </c>
      <c r="D16" s="33">
        <v>39.154372990000013</v>
      </c>
      <c r="E16" s="33">
        <v>35.403339229999887</v>
      </c>
      <c r="F16" s="33">
        <v>34.433702030000077</v>
      </c>
      <c r="G16" s="33">
        <v>47.048389279999967</v>
      </c>
      <c r="H16" s="33">
        <v>36.597044560000001</v>
      </c>
      <c r="I16" s="33">
        <v>33.584889429999905</v>
      </c>
      <c r="J16" s="33">
        <v>29.695204560000064</v>
      </c>
      <c r="K16" s="33">
        <v>38.163831830000007</v>
      </c>
      <c r="L16" s="33">
        <v>35.60397110000001</v>
      </c>
      <c r="M16" s="33">
        <v>35.994055349999968</v>
      </c>
      <c r="N16" s="33">
        <v>23.849070430000026</v>
      </c>
      <c r="O16" s="33">
        <v>32.180569360000007</v>
      </c>
      <c r="P16" s="33">
        <v>28.730366020000034</v>
      </c>
    </row>
    <row r="17" spans="3:16" x14ac:dyDescent="0.25">
      <c r="C17" s="31" t="s">
        <v>10</v>
      </c>
      <c r="D17" s="34">
        <v>140.86520609999999</v>
      </c>
      <c r="E17" s="34">
        <v>134.39324213999987</v>
      </c>
      <c r="F17" s="34">
        <v>131.41070938000007</v>
      </c>
      <c r="G17" s="34">
        <v>145.79289251999998</v>
      </c>
      <c r="H17" s="34">
        <v>133.0564694</v>
      </c>
      <c r="I17" s="34">
        <v>99.909972219999887</v>
      </c>
      <c r="J17" s="34">
        <v>125.1733386600001</v>
      </c>
      <c r="K17" s="34">
        <v>127.87810326999997</v>
      </c>
      <c r="L17" s="34">
        <v>125.07154238999999</v>
      </c>
      <c r="M17" s="34">
        <v>120.34840692999988</v>
      </c>
      <c r="N17" s="34">
        <v>108.58932901000004</v>
      </c>
      <c r="O17" s="34">
        <v>113.02114787000001</v>
      </c>
      <c r="P17" s="34">
        <v>112.85234831000001</v>
      </c>
    </row>
    <row r="18" spans="3:16" x14ac:dyDescent="0.25">
      <c r="C18" s="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3:16" x14ac:dyDescent="0.25">
      <c r="C19" s="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3:16" x14ac:dyDescent="0.25">
      <c r="C20" s="9" t="s">
        <v>246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3:16" x14ac:dyDescent="0.25">
      <c r="C21" s="4" t="s">
        <v>247</v>
      </c>
      <c r="D21" s="33">
        <v>-21.669833349999998</v>
      </c>
      <c r="E21" s="33">
        <v>-5.4719216199999998</v>
      </c>
      <c r="F21" s="33">
        <v>0.22104168000000013</v>
      </c>
      <c r="G21" s="33">
        <v>-5.4719216199999998</v>
      </c>
      <c r="H21" s="33">
        <v>0.22104168000000013</v>
      </c>
      <c r="I21" s="33">
        <v>18.954481589999997</v>
      </c>
      <c r="J21" s="33">
        <v>-5.4719216199999998</v>
      </c>
      <c r="K21" s="33">
        <v>18.954481589999997</v>
      </c>
      <c r="L21" s="33">
        <v>-5.4719216199999998</v>
      </c>
      <c r="M21" s="33">
        <v>-5.4719216199999998</v>
      </c>
      <c r="N21" s="33">
        <v>-5.4719216199999998</v>
      </c>
      <c r="O21" s="33">
        <v>0.22104168000000013</v>
      </c>
      <c r="P21" s="33">
        <v>-5.4719216199999998</v>
      </c>
    </row>
    <row r="22" spans="3:16" x14ac:dyDescent="0.25">
      <c r="C22" s="4" t="s">
        <v>248</v>
      </c>
      <c r="D22" s="33">
        <v>-1.0928592399999995</v>
      </c>
      <c r="E22" s="33">
        <v>-0.63299495000000361</v>
      </c>
      <c r="F22" s="33">
        <v>1.8257038199999989</v>
      </c>
      <c r="G22" s="33">
        <v>0.63023929000000001</v>
      </c>
      <c r="H22" s="33">
        <v>4.5849584200000004</v>
      </c>
      <c r="I22" s="33">
        <v>2.2548332600000069</v>
      </c>
      <c r="J22" s="33">
        <v>16.453097510000006</v>
      </c>
      <c r="K22" s="33">
        <v>-18.769649009999998</v>
      </c>
      <c r="L22" s="33">
        <v>5.5199124099999999</v>
      </c>
      <c r="M22" s="33">
        <v>22.872199339999998</v>
      </c>
      <c r="N22" s="33">
        <v>7.5436807600000009</v>
      </c>
      <c r="O22" s="33">
        <v>-2.2337472700000029</v>
      </c>
      <c r="P22" s="33">
        <v>2.3493185800000012</v>
      </c>
    </row>
    <row r="23" spans="3:16" x14ac:dyDescent="0.25">
      <c r="C23" s="4" t="s">
        <v>249</v>
      </c>
      <c r="D23" s="33">
        <v>1.1331277500000001</v>
      </c>
      <c r="E23" s="33">
        <v>0.13307869999999999</v>
      </c>
      <c r="F23" s="33">
        <v>-0.34014892000000002</v>
      </c>
      <c r="G23" s="33">
        <v>0.13307869999999999</v>
      </c>
      <c r="H23" s="33">
        <v>-0.34014892000000002</v>
      </c>
      <c r="I23" s="33">
        <v>0.35061591000000003</v>
      </c>
      <c r="J23" s="33">
        <v>0.13307869999999999</v>
      </c>
      <c r="K23" s="33">
        <v>0.35061591000000003</v>
      </c>
      <c r="L23" s="33">
        <v>0.13307869999999999</v>
      </c>
      <c r="M23" s="33">
        <v>0.13307869999999999</v>
      </c>
      <c r="N23" s="33">
        <v>0.13307869999999999</v>
      </c>
      <c r="O23" s="33">
        <v>-0.34014892000000002</v>
      </c>
      <c r="P23" s="33">
        <v>0.13307869999999999</v>
      </c>
    </row>
    <row r="24" spans="3:16" x14ac:dyDescent="0.25">
      <c r="C24" s="31" t="s">
        <v>250</v>
      </c>
      <c r="D24" s="34">
        <v>-21.629564839999997</v>
      </c>
      <c r="E24" s="34">
        <v>-5.9718378700000034</v>
      </c>
      <c r="F24" s="34">
        <v>1.7065965799999989</v>
      </c>
      <c r="G24" s="34">
        <v>-4.7086036299999998</v>
      </c>
      <c r="H24" s="34">
        <v>4.4658511800000005</v>
      </c>
      <c r="I24" s="34">
        <v>21.559930760000004</v>
      </c>
      <c r="J24" s="34">
        <v>11.114254590000003</v>
      </c>
      <c r="K24" s="34">
        <v>0.5354484899999975</v>
      </c>
      <c r="L24" s="34">
        <v>0.18106949000000022</v>
      </c>
      <c r="M24" s="34">
        <v>17.533356419999997</v>
      </c>
      <c r="N24" s="34">
        <v>2.204837840000001</v>
      </c>
      <c r="O24" s="34">
        <v>-2.3528545100000025</v>
      </c>
      <c r="P24" s="34">
        <v>-2.9895243399999987</v>
      </c>
    </row>
    <row r="25" spans="3:16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3:1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</sheetData>
  <hyperlinks>
    <hyperlink ref="C2" location="Forside!A1" display="Tilbake til forsiden" xr:uid="{8A634AC7-D244-4942-9637-12A12AEFB0C6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4533-972A-406B-BC26-6A6AD614626E}">
  <sheetPr codeName="Sheet11"/>
  <dimension ref="B2:P30"/>
  <sheetViews>
    <sheetView showGridLines="0" workbookViewId="0">
      <pane xSplit="3" ySplit="8" topLeftCell="D9" activePane="bottomRight" state="frozen"/>
      <selection activeCell="K50" sqref="K50"/>
      <selection pane="topRight" activeCell="K50" sqref="K50"/>
      <selection pane="bottomLeft" activeCell="K50" sqref="K50"/>
      <selection pane="bottomRight" activeCell="D28" sqref="D28:D29"/>
    </sheetView>
  </sheetViews>
  <sheetFormatPr defaultRowHeight="15" x14ac:dyDescent="0.25"/>
  <cols>
    <col min="1" max="1" width="9.140625" style="1"/>
    <col min="2" max="2" width="5" style="1" bestFit="1" customWidth="1"/>
    <col min="3" max="3" width="47.42578125" style="1" bestFit="1" customWidth="1"/>
    <col min="4" max="16" width="10.5703125" style="1" bestFit="1" customWidth="1"/>
    <col min="17" max="16384" width="9.140625" style="1"/>
  </cols>
  <sheetData>
    <row r="2" spans="2:16" x14ac:dyDescent="0.25">
      <c r="C2" s="175" t="s">
        <v>349</v>
      </c>
    </row>
    <row r="6" spans="2:16" ht="23.25" x14ac:dyDescent="0.35">
      <c r="B6" s="6" t="s">
        <v>185</v>
      </c>
      <c r="C6" s="3" t="s">
        <v>189</v>
      </c>
    </row>
    <row r="8" spans="2:16" x14ac:dyDescent="0.25">
      <c r="C8" s="9"/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  <c r="M8" s="43" t="s">
        <v>24</v>
      </c>
      <c r="N8" s="43" t="s">
        <v>25</v>
      </c>
      <c r="O8" s="43" t="s">
        <v>26</v>
      </c>
      <c r="P8" s="43" t="s">
        <v>27</v>
      </c>
    </row>
    <row r="9" spans="2:16" x14ac:dyDescent="0.25">
      <c r="C9" s="7" t="s">
        <v>190</v>
      </c>
      <c r="D9" s="33">
        <v>13871.03753521</v>
      </c>
      <c r="E9" s="33">
        <v>13670.681507930001</v>
      </c>
      <c r="F9" s="33">
        <v>13334.694924359999</v>
      </c>
      <c r="G9" s="33">
        <v>13237.044933900002</v>
      </c>
      <c r="H9" s="33">
        <v>13052.203422030001</v>
      </c>
      <c r="I9" s="33">
        <v>12995.428953280001</v>
      </c>
      <c r="J9" s="33">
        <v>13057.355633110001</v>
      </c>
      <c r="K9" s="33">
        <v>13180.680485300001</v>
      </c>
      <c r="L9" s="33">
        <v>12892.645318219998</v>
      </c>
      <c r="M9" s="33">
        <v>12984.42278173</v>
      </c>
      <c r="N9" s="33">
        <v>13221.229755420003</v>
      </c>
      <c r="O9" s="33">
        <v>13339.668766130002</v>
      </c>
      <c r="P9" s="33">
        <v>13117.662874539999</v>
      </c>
    </row>
    <row r="10" spans="2:16" x14ac:dyDescent="0.25">
      <c r="C10" s="7" t="s">
        <v>191</v>
      </c>
      <c r="D10" s="33">
        <v>46.305850000000007</v>
      </c>
      <c r="E10" s="33">
        <v>46.305850000000007</v>
      </c>
      <c r="F10" s="33">
        <v>46.892005859999998</v>
      </c>
      <c r="G10" s="33">
        <v>46.892840399999997</v>
      </c>
      <c r="H10" s="33">
        <v>1.6540000000000001E-4</v>
      </c>
      <c r="I10" s="33">
        <v>0.31773800000000002</v>
      </c>
      <c r="J10" s="33">
        <v>0</v>
      </c>
      <c r="K10" s="33">
        <v>3.9399999999999998E-4</v>
      </c>
      <c r="L10" s="33">
        <v>3.5300000000000002E-4</v>
      </c>
      <c r="M10" s="33">
        <v>0</v>
      </c>
      <c r="N10" s="33">
        <v>0</v>
      </c>
      <c r="O10" s="33">
        <v>1E-3</v>
      </c>
      <c r="P10" s="33">
        <v>3.9800000000000002E-4</v>
      </c>
    </row>
    <row r="11" spans="2:16" x14ac:dyDescent="0.25">
      <c r="C11" s="7" t="s">
        <v>192</v>
      </c>
      <c r="D11" s="33">
        <v>1452.98316026</v>
      </c>
      <c r="E11" s="33">
        <v>1475.4342153500002</v>
      </c>
      <c r="F11" s="33">
        <v>1471.55560827</v>
      </c>
      <c r="G11" s="33">
        <v>1431.19152551</v>
      </c>
      <c r="H11" s="33">
        <v>1433.4992714100001</v>
      </c>
      <c r="I11" s="33">
        <v>1390.4285592000001</v>
      </c>
      <c r="J11" s="33">
        <v>1370.2864932299999</v>
      </c>
      <c r="K11" s="33">
        <v>1338.1844498</v>
      </c>
      <c r="L11" s="33">
        <v>1296.07064698</v>
      </c>
      <c r="M11" s="33">
        <v>1238.90008272</v>
      </c>
      <c r="N11" s="33">
        <v>1225.1763022800001</v>
      </c>
      <c r="O11" s="33">
        <v>1210.66861666</v>
      </c>
      <c r="P11" s="33">
        <v>1151.65875822</v>
      </c>
    </row>
    <row r="12" spans="2:16" x14ac:dyDescent="0.25">
      <c r="C12" s="7" t="s">
        <v>193</v>
      </c>
      <c r="D12" s="33">
        <v>272.50683638000004</v>
      </c>
      <c r="E12" s="33">
        <v>324.68307242000003</v>
      </c>
      <c r="F12" s="33">
        <v>339.19391089999999</v>
      </c>
      <c r="G12" s="33">
        <v>324.69182456000004</v>
      </c>
      <c r="H12" s="33">
        <v>350.65571559000006</v>
      </c>
      <c r="I12" s="33">
        <v>335.44751862999999</v>
      </c>
      <c r="J12" s="33">
        <v>337.90445719000002</v>
      </c>
      <c r="K12" s="33">
        <v>313.86891464999997</v>
      </c>
      <c r="L12" s="33">
        <v>340.23901333000003</v>
      </c>
      <c r="M12" s="33">
        <v>387.34165496000003</v>
      </c>
      <c r="N12" s="33">
        <v>304.27747569999997</v>
      </c>
      <c r="O12" s="33">
        <v>280.86909673999997</v>
      </c>
      <c r="P12" s="33">
        <v>311.65547905</v>
      </c>
    </row>
    <row r="13" spans="2:16" x14ac:dyDescent="0.25">
      <c r="C13" s="7" t="s">
        <v>194</v>
      </c>
      <c r="D13" s="33">
        <v>1793.5459207800002</v>
      </c>
      <c r="E13" s="33">
        <v>1812.1801823400001</v>
      </c>
      <c r="F13" s="33">
        <v>1770.8847516599999</v>
      </c>
      <c r="G13" s="33">
        <v>1807.6363230900001</v>
      </c>
      <c r="H13" s="33">
        <v>1792.27124856</v>
      </c>
      <c r="I13" s="33">
        <v>1747.4167168900001</v>
      </c>
      <c r="J13" s="33">
        <v>1822.3812721900001</v>
      </c>
      <c r="K13" s="33">
        <v>1750.1884447800001</v>
      </c>
      <c r="L13" s="33">
        <v>1753.6989710400003</v>
      </c>
      <c r="M13" s="33">
        <v>1713.9830109500001</v>
      </c>
      <c r="N13" s="33">
        <v>1567.17553976</v>
      </c>
      <c r="O13" s="33">
        <v>1573.3734943899999</v>
      </c>
      <c r="P13" s="33">
        <v>1517.04401435</v>
      </c>
    </row>
    <row r="14" spans="2:16" x14ac:dyDescent="0.25">
      <c r="C14" s="7" t="s">
        <v>195</v>
      </c>
      <c r="D14" s="33">
        <v>513.94654094999999</v>
      </c>
      <c r="E14" s="33">
        <v>509.25283193000001</v>
      </c>
      <c r="F14" s="33">
        <v>496.97939907</v>
      </c>
      <c r="G14" s="33">
        <v>532.63355393999996</v>
      </c>
      <c r="H14" s="33">
        <v>509.03438519000002</v>
      </c>
      <c r="I14" s="33">
        <v>506.91918513000002</v>
      </c>
      <c r="J14" s="33">
        <v>472.51637890000006</v>
      </c>
      <c r="K14" s="33">
        <v>473.97581120000001</v>
      </c>
      <c r="L14" s="33">
        <v>447.85472332000001</v>
      </c>
      <c r="M14" s="33">
        <v>412.59622094000008</v>
      </c>
      <c r="N14" s="33">
        <v>391.44715581000003</v>
      </c>
      <c r="O14" s="33">
        <v>400.72914968000003</v>
      </c>
      <c r="P14" s="33">
        <v>356.85077061000004</v>
      </c>
    </row>
    <row r="15" spans="2:16" x14ac:dyDescent="0.25">
      <c r="C15" s="7" t="s">
        <v>196</v>
      </c>
      <c r="D15" s="33">
        <v>131.30226605000001</v>
      </c>
      <c r="E15" s="33">
        <v>145.01109717999998</v>
      </c>
      <c r="F15" s="33">
        <v>124.37155011</v>
      </c>
      <c r="G15" s="33">
        <v>118.81365561</v>
      </c>
      <c r="H15" s="33">
        <v>95.310384299999996</v>
      </c>
      <c r="I15" s="33">
        <v>100.59241287</v>
      </c>
      <c r="J15" s="33">
        <v>107.53559355</v>
      </c>
      <c r="K15" s="33">
        <v>108.6000722</v>
      </c>
      <c r="L15" s="33">
        <v>96.622817280000007</v>
      </c>
      <c r="M15" s="33">
        <v>94.413772440000017</v>
      </c>
      <c r="N15" s="33">
        <v>95.988668060000009</v>
      </c>
      <c r="O15" s="33">
        <v>86.657557030000007</v>
      </c>
      <c r="P15" s="33">
        <v>83.06297447</v>
      </c>
    </row>
    <row r="16" spans="2:16" x14ac:dyDescent="0.25">
      <c r="C16" s="7" t="s">
        <v>197</v>
      </c>
      <c r="D16" s="33">
        <v>164.70311619</v>
      </c>
      <c r="E16" s="33">
        <v>163.25155719999998</v>
      </c>
      <c r="F16" s="33">
        <v>162.95766316000001</v>
      </c>
      <c r="G16" s="33">
        <v>167.78106781</v>
      </c>
      <c r="H16" s="33">
        <v>174.94255673000001</v>
      </c>
      <c r="I16" s="33">
        <v>173.26828817000001</v>
      </c>
      <c r="J16" s="33">
        <v>176.54063692000003</v>
      </c>
      <c r="K16" s="33">
        <v>180.85348547000004</v>
      </c>
      <c r="L16" s="33">
        <v>165.84792622999998</v>
      </c>
      <c r="M16" s="33">
        <v>159.07020729999999</v>
      </c>
      <c r="N16" s="33">
        <v>153.67660654000002</v>
      </c>
      <c r="O16" s="33">
        <v>148.88338121999999</v>
      </c>
      <c r="P16" s="33">
        <v>134.31013981000001</v>
      </c>
    </row>
    <row r="17" spans="3:16" x14ac:dyDescent="0.25">
      <c r="C17" s="7" t="s">
        <v>198</v>
      </c>
      <c r="D17" s="33">
        <v>6187.2981614799992</v>
      </c>
      <c r="E17" s="33">
        <v>6190.3310251000012</v>
      </c>
      <c r="F17" s="33">
        <v>2013.1651398399999</v>
      </c>
      <c r="G17" s="33">
        <v>7120.7825690299996</v>
      </c>
      <c r="H17" s="33">
        <v>7091.9906150899997</v>
      </c>
      <c r="I17" s="33">
        <v>6914.8893396899994</v>
      </c>
      <c r="J17" s="33">
        <v>7069.99691575</v>
      </c>
      <c r="K17" s="33">
        <v>6969.4386584099993</v>
      </c>
      <c r="L17" s="33">
        <v>6879.1244379199998</v>
      </c>
      <c r="M17" s="33">
        <v>6699.0748683900001</v>
      </c>
      <c r="N17" s="33">
        <v>6551.4972884700001</v>
      </c>
      <c r="O17" s="33">
        <v>6602.2521782100002</v>
      </c>
      <c r="P17" s="33">
        <v>6729.01285044</v>
      </c>
    </row>
    <row r="18" spans="3:16" x14ac:dyDescent="0.25">
      <c r="C18" s="7" t="s">
        <v>199</v>
      </c>
      <c r="D18" s="33">
        <v>2297.8361004599997</v>
      </c>
      <c r="E18" s="33">
        <v>2249.7533418000003</v>
      </c>
      <c r="F18" s="33">
        <v>6215.3905720600005</v>
      </c>
      <c r="G18" s="33">
        <v>939.78878373999999</v>
      </c>
      <c r="H18" s="33">
        <v>973.12170248000007</v>
      </c>
      <c r="I18" s="33">
        <v>987.37571765000007</v>
      </c>
      <c r="J18" s="33">
        <v>1003.7686312999999</v>
      </c>
      <c r="K18" s="33">
        <v>942.66377299999988</v>
      </c>
      <c r="L18" s="33">
        <v>881.67504200999986</v>
      </c>
      <c r="M18" s="33">
        <v>859.27131547999988</v>
      </c>
      <c r="N18" s="33">
        <v>914.96629879000011</v>
      </c>
      <c r="O18" s="33">
        <v>932.14614516000006</v>
      </c>
      <c r="P18" s="33">
        <v>900.86845260999996</v>
      </c>
    </row>
    <row r="19" spans="3:16" x14ac:dyDescent="0.25">
      <c r="C19" s="7" t="s">
        <v>200</v>
      </c>
      <c r="D19" s="33">
        <v>165.58213044000132</v>
      </c>
      <c r="E19" s="33">
        <v>158.27860578000323</v>
      </c>
      <c r="F19" s="33">
        <v>153.1581965400041</v>
      </c>
      <c r="G19" s="33">
        <v>358.42603833999675</v>
      </c>
      <c r="H19" s="33">
        <v>334.37343307999998</v>
      </c>
      <c r="I19" s="33">
        <v>372.94505450999998</v>
      </c>
      <c r="J19" s="33">
        <v>362.20457120000003</v>
      </c>
      <c r="K19" s="33">
        <v>393.78232258999998</v>
      </c>
      <c r="L19" s="33">
        <v>397.51028423999998</v>
      </c>
      <c r="M19" s="33">
        <v>391.08008465999995</v>
      </c>
      <c r="N19" s="33">
        <v>402.90934334000002</v>
      </c>
      <c r="O19" s="33">
        <v>366.17901937999994</v>
      </c>
      <c r="P19" s="33">
        <v>362.25835397000003</v>
      </c>
    </row>
    <row r="20" spans="3:16" x14ac:dyDescent="0.25">
      <c r="C20" s="7" t="s">
        <v>201</v>
      </c>
      <c r="D20" s="33">
        <v>121.03915761999998</v>
      </c>
      <c r="E20" s="33">
        <v>118.49174912000001</v>
      </c>
      <c r="F20" s="33">
        <v>119.0912048</v>
      </c>
      <c r="G20" s="33">
        <v>115.57665113000002</v>
      </c>
      <c r="H20" s="33">
        <v>131.77511444999999</v>
      </c>
      <c r="I20" s="33">
        <v>120.81846367</v>
      </c>
      <c r="J20" s="33">
        <v>132.20749108000001</v>
      </c>
      <c r="K20" s="33">
        <v>144.14034641999999</v>
      </c>
      <c r="L20" s="33">
        <v>135.37598169999998</v>
      </c>
      <c r="M20" s="33">
        <v>114.55260043999999</v>
      </c>
      <c r="N20" s="33">
        <v>113.18047351</v>
      </c>
      <c r="O20" s="33">
        <v>85.53171184</v>
      </c>
      <c r="P20" s="33">
        <v>86.355980479999999</v>
      </c>
    </row>
    <row r="21" spans="3:16" x14ac:dyDescent="0.25">
      <c r="C21" s="27" t="s">
        <v>303</v>
      </c>
      <c r="D21" s="34">
        <v>27018.086775820007</v>
      </c>
      <c r="E21" s="34">
        <v>26863.655036150001</v>
      </c>
      <c r="F21" s="34">
        <v>26248.834926629999</v>
      </c>
      <c r="G21" s="34">
        <v>26201.259767059997</v>
      </c>
      <c r="H21" s="34">
        <v>25939.178014309997</v>
      </c>
      <c r="I21" s="34">
        <v>25645.847947689996</v>
      </c>
      <c r="J21" s="34">
        <v>25912.698074420001</v>
      </c>
      <c r="K21" s="34">
        <v>25796.377157820003</v>
      </c>
      <c r="L21" s="34">
        <v>25286.665515269997</v>
      </c>
      <c r="M21" s="34">
        <v>25054.706600009999</v>
      </c>
      <c r="N21" s="34">
        <v>24941.52490768001</v>
      </c>
      <c r="O21" s="34">
        <v>25026.960116440005</v>
      </c>
      <c r="P21" s="34">
        <v>24750.741046549996</v>
      </c>
    </row>
    <row r="22" spans="3:16" x14ac:dyDescent="0.25">
      <c r="C22" s="26" t="s">
        <v>202</v>
      </c>
      <c r="D22" s="33">
        <v>-104.10017279280001</v>
      </c>
      <c r="E22" s="33">
        <v>-126.41401482652002</v>
      </c>
      <c r="F22" s="33">
        <v>-130.31450565069005</v>
      </c>
      <c r="G22" s="33">
        <v>-128.78641481930003</v>
      </c>
      <c r="H22" s="33">
        <v>-124.006</v>
      </c>
      <c r="I22" s="33">
        <v>-119.658</v>
      </c>
      <c r="J22" s="33">
        <v>-101.902</v>
      </c>
      <c r="K22" s="33">
        <v>-92.789000000000001</v>
      </c>
      <c r="L22" s="33">
        <v>-92.926000000000002</v>
      </c>
      <c r="M22" s="33">
        <v>-94.328000000000003</v>
      </c>
      <c r="N22" s="33">
        <v>-83.222999999999999</v>
      </c>
      <c r="O22" s="33">
        <v>-75.372</v>
      </c>
      <c r="P22" s="33">
        <v>-82.346999999999994</v>
      </c>
    </row>
    <row r="23" spans="3:16" x14ac:dyDescent="0.25">
      <c r="C23" s="26" t="s">
        <v>203</v>
      </c>
      <c r="D23" s="33">
        <v>-18.202441189059989</v>
      </c>
      <c r="E23" s="33">
        <v>-17.839966454429984</v>
      </c>
      <c r="F23" s="33">
        <v>-19.501119641729993</v>
      </c>
      <c r="G23" s="33">
        <v>-19.216575337230001</v>
      </c>
      <c r="H23" s="33">
        <v>-25.324999999999999</v>
      </c>
      <c r="I23" s="33">
        <v>-25.420999999999999</v>
      </c>
      <c r="J23" s="33">
        <v>-23.908000000000001</v>
      </c>
      <c r="K23" s="33">
        <v>-22.673999999999999</v>
      </c>
      <c r="L23" s="33">
        <v>-21.847999999999999</v>
      </c>
      <c r="M23" s="33">
        <v>-18.916999999999998</v>
      </c>
      <c r="N23" s="33">
        <v>-14.117000000000001</v>
      </c>
      <c r="O23" s="33">
        <v>-18.895000000000003</v>
      </c>
      <c r="P23" s="33">
        <v>-17.141999999999999</v>
      </c>
    </row>
    <row r="24" spans="3:16" x14ac:dyDescent="0.25">
      <c r="C24" s="26" t="s">
        <v>204</v>
      </c>
      <c r="D24" s="33">
        <v>-58.532360848138829</v>
      </c>
      <c r="E24" s="33">
        <v>-30.25325458905175</v>
      </c>
      <c r="F24" s="33">
        <v>-69.144348037581921</v>
      </c>
      <c r="G24" s="33">
        <v>-46.655279983470209</v>
      </c>
      <c r="H24" s="33">
        <v>-58.210999999999331</v>
      </c>
      <c r="I24" s="33">
        <v>-49.415999999999258</v>
      </c>
      <c r="J24" s="33">
        <v>-61.505999999999403</v>
      </c>
      <c r="K24" s="33">
        <v>-69.091000000000008</v>
      </c>
      <c r="L24" s="33">
        <v>-65.863</v>
      </c>
      <c r="M24" s="33">
        <v>1.8939999999999999</v>
      </c>
      <c r="N24" s="33">
        <v>2.246</v>
      </c>
      <c r="O24" s="33">
        <v>2.2469999999999999</v>
      </c>
      <c r="P24" s="33">
        <v>4.9630000000000001</v>
      </c>
    </row>
    <row r="25" spans="3:16" x14ac:dyDescent="0.25">
      <c r="C25" s="27" t="s">
        <v>205</v>
      </c>
      <c r="D25" s="34">
        <v>26837.251800990009</v>
      </c>
      <c r="E25" s="34">
        <v>26689.14780028</v>
      </c>
      <c r="F25" s="34">
        <v>26029.374953300001</v>
      </c>
      <c r="G25" s="34">
        <v>26006.601496919997</v>
      </c>
      <c r="H25" s="34">
        <v>25731.636014309996</v>
      </c>
      <c r="I25" s="34">
        <v>25451.35294769</v>
      </c>
      <c r="J25" s="34">
        <v>25725.382074420006</v>
      </c>
      <c r="K25" s="34">
        <v>25611.823157820003</v>
      </c>
      <c r="L25" s="34">
        <v>25106.028515269994</v>
      </c>
      <c r="M25" s="34">
        <v>24943.355600009996</v>
      </c>
      <c r="N25" s="34">
        <v>24846.430907680009</v>
      </c>
      <c r="O25" s="34">
        <v>24934.940116440004</v>
      </c>
      <c r="P25" s="34">
        <v>24656.215046549994</v>
      </c>
    </row>
    <row r="26" spans="3:16" x14ac:dyDescent="0.25">
      <c r="C26" s="7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3:16" x14ac:dyDescent="0.25">
      <c r="C27" s="27" t="s">
        <v>206</v>
      </c>
      <c r="D27" s="34">
        <v>27018.086775820007</v>
      </c>
      <c r="E27" s="34">
        <v>26863.655036150001</v>
      </c>
      <c r="F27" s="34">
        <v>26248.334926630003</v>
      </c>
      <c r="G27" s="34">
        <v>26201.259767059997</v>
      </c>
      <c r="H27" s="34">
        <v>25939.178014309997</v>
      </c>
      <c r="I27" s="34">
        <v>25645.847947689996</v>
      </c>
      <c r="J27" s="34">
        <v>25912.698074420001</v>
      </c>
      <c r="K27" s="34">
        <v>25796.377157820003</v>
      </c>
      <c r="L27" s="34">
        <v>25286.665515269997</v>
      </c>
      <c r="M27" s="34">
        <v>25054.706600009999</v>
      </c>
      <c r="N27" s="34">
        <v>24941.52490768001</v>
      </c>
      <c r="O27" s="34">
        <v>25026.960116440005</v>
      </c>
      <c r="P27" s="34">
        <v>24750.741046549996</v>
      </c>
    </row>
    <row r="28" spans="3:16" x14ac:dyDescent="0.25">
      <c r="C28" s="7" t="s">
        <v>207</v>
      </c>
      <c r="D28" s="33">
        <v>832.77647396999998</v>
      </c>
      <c r="E28" s="33">
        <v>840.15592197000001</v>
      </c>
      <c r="F28" s="33">
        <v>850.8949384199999</v>
      </c>
      <c r="G28" s="33">
        <v>858.62530742000001</v>
      </c>
      <c r="H28" s="33">
        <v>915.68899999999996</v>
      </c>
      <c r="I28" s="33">
        <v>923.05</v>
      </c>
      <c r="J28" s="33">
        <v>711.40300000000002</v>
      </c>
      <c r="K28" s="33">
        <v>719.76900000000001</v>
      </c>
      <c r="L28" s="33">
        <v>727.53800000000001</v>
      </c>
      <c r="M28" s="33">
        <v>734.72145799999998</v>
      </c>
      <c r="N28" s="33">
        <v>744.31502999999998</v>
      </c>
      <c r="O28" s="33">
        <v>751.49800000000005</v>
      </c>
      <c r="P28" s="33">
        <v>681.90200000000004</v>
      </c>
    </row>
    <row r="29" spans="3:16" x14ac:dyDescent="0.25">
      <c r="C29" s="7" t="s">
        <v>208</v>
      </c>
      <c r="D29" s="33">
        <v>12751.160509950001</v>
      </c>
      <c r="E29" s="33">
        <v>12622.694447280001</v>
      </c>
      <c r="F29" s="33">
        <v>12677.888103990001</v>
      </c>
      <c r="G29" s="33">
        <v>12649.56568632</v>
      </c>
      <c r="H29" s="33">
        <v>12593.829</v>
      </c>
      <c r="I29" s="33">
        <v>12545.23</v>
      </c>
      <c r="J29" s="33">
        <v>12512.723</v>
      </c>
      <c r="K29" s="33">
        <v>12316.924999999999</v>
      </c>
      <c r="L29" s="33">
        <v>12353.228999999999</v>
      </c>
      <c r="M29" s="33">
        <v>12159.954051999999</v>
      </c>
      <c r="N29" s="33">
        <v>12150.236891</v>
      </c>
      <c r="O29" s="33">
        <v>12009.236999999999</v>
      </c>
      <c r="P29" s="33">
        <v>11867.165999999999</v>
      </c>
    </row>
    <row r="30" spans="3:16" x14ac:dyDescent="0.25">
      <c r="C30" s="27" t="s">
        <v>209</v>
      </c>
      <c r="D30" s="34">
        <v>40602.023759740012</v>
      </c>
      <c r="E30" s="34">
        <v>40326.505405399999</v>
      </c>
      <c r="F30" s="34">
        <v>39777.117969040002</v>
      </c>
      <c r="G30" s="34">
        <v>39709.450760799999</v>
      </c>
      <c r="H30" s="34">
        <v>39448.696014309993</v>
      </c>
      <c r="I30" s="34">
        <v>39114.127947689994</v>
      </c>
      <c r="J30" s="34">
        <v>39136.824074420001</v>
      </c>
      <c r="K30" s="34">
        <v>38833.071157819999</v>
      </c>
      <c r="L30" s="34">
        <v>38367.432515269997</v>
      </c>
      <c r="M30" s="34">
        <v>37949.382110009996</v>
      </c>
      <c r="N30" s="34">
        <v>37836.076828680016</v>
      </c>
      <c r="O30" s="34">
        <v>37787.695116440002</v>
      </c>
      <c r="P30" s="34">
        <v>37299.809046549992</v>
      </c>
    </row>
  </sheetData>
  <hyperlinks>
    <hyperlink ref="C2" location="Forside!A1" display="Tilbake til forsiden" xr:uid="{2B64D3C8-A73A-45BF-B5EB-86D67C0FF0CB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D36D-AD1C-470F-A5CB-E2EA757E613B}">
  <sheetPr codeName="Sheet12"/>
  <dimension ref="B2:L21"/>
  <sheetViews>
    <sheetView showGridLines="0" workbookViewId="0">
      <pane xSplit="3" ySplit="8" topLeftCell="D9" activePane="bottomRight" state="frozen"/>
      <selection activeCell="K50" sqref="K50"/>
      <selection pane="topRight" activeCell="K50" sqref="K50"/>
      <selection pane="bottomLeft" activeCell="K50" sqref="K50"/>
      <selection pane="bottomRight" activeCell="C2" sqref="C2"/>
    </sheetView>
  </sheetViews>
  <sheetFormatPr defaultRowHeight="15" x14ac:dyDescent="0.25"/>
  <cols>
    <col min="2" max="2" width="5" bestFit="1" customWidth="1"/>
    <col min="3" max="3" width="48.140625" bestFit="1" customWidth="1"/>
    <col min="4" max="6" width="10.42578125" bestFit="1" customWidth="1"/>
    <col min="7" max="8" width="10.28515625" bestFit="1" customWidth="1"/>
    <col min="9" max="9" width="10.7109375" bestFit="1" customWidth="1"/>
    <col min="10" max="12" width="9.42578125" bestFit="1" customWidth="1"/>
  </cols>
  <sheetData>
    <row r="2" spans="2:12" x14ac:dyDescent="0.25">
      <c r="C2" s="174" t="s">
        <v>349</v>
      </c>
    </row>
    <row r="6" spans="2:12" s="1" customFormat="1" ht="23.25" x14ac:dyDescent="0.35">
      <c r="B6" s="6" t="s">
        <v>188</v>
      </c>
      <c r="C6" s="3" t="s">
        <v>251</v>
      </c>
    </row>
    <row r="7" spans="2:12" s="1" customFormat="1" x14ac:dyDescent="0.25"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s="1" customFormat="1" x14ac:dyDescent="0.25">
      <c r="C8" s="9"/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</row>
    <row r="9" spans="2:12" x14ac:dyDescent="0.25">
      <c r="C9" s="54" t="s">
        <v>252</v>
      </c>
      <c r="D9" s="58"/>
      <c r="E9" s="58"/>
      <c r="F9" s="58"/>
      <c r="G9" s="58"/>
      <c r="H9" s="58"/>
      <c r="I9" s="58"/>
      <c r="J9" s="58"/>
      <c r="K9" s="58"/>
      <c r="L9" s="58"/>
    </row>
    <row r="10" spans="2:12" x14ac:dyDescent="0.25">
      <c r="C10" s="4" t="s">
        <v>253</v>
      </c>
      <c r="D10" s="33">
        <v>24090.201898549982</v>
      </c>
      <c r="E10" s="33">
        <v>23928.824690990004</v>
      </c>
      <c r="F10" s="33">
        <v>23498.615344310001</v>
      </c>
      <c r="G10" s="33">
        <v>23385.779895659998</v>
      </c>
      <c r="H10" s="33">
        <v>23099.134181429996</v>
      </c>
      <c r="I10" s="33">
        <v>22798.19570443</v>
      </c>
      <c r="J10" s="33">
        <v>22773.305074420001</v>
      </c>
      <c r="K10" s="33">
        <v>23217.840722689998</v>
      </c>
      <c r="L10" s="33">
        <v>22736.531048320001</v>
      </c>
    </row>
    <row r="11" spans="2:12" x14ac:dyDescent="0.25">
      <c r="C11" s="4" t="s">
        <v>254</v>
      </c>
      <c r="D11" s="33">
        <v>2721.6911735600015</v>
      </c>
      <c r="E11" s="33">
        <v>2708.4655291099994</v>
      </c>
      <c r="F11" s="33">
        <v>2556.7205166899998</v>
      </c>
      <c r="G11" s="33">
        <v>2614.5658485200001</v>
      </c>
      <c r="H11" s="33">
        <v>2616.1227995700001</v>
      </c>
      <c r="I11" s="33">
        <v>2562.0594682399983</v>
      </c>
      <c r="J11" s="33">
        <v>2909.14</v>
      </c>
      <c r="K11" s="33">
        <v>2405.0714422800002</v>
      </c>
      <c r="L11" s="33">
        <v>2422.7186924299999</v>
      </c>
    </row>
    <row r="12" spans="2:12" x14ac:dyDescent="0.25">
      <c r="C12" s="4" t="s">
        <v>255</v>
      </c>
      <c r="D12" s="33">
        <v>205.80535356999997</v>
      </c>
      <c r="E12" s="33">
        <v>226.54029794000002</v>
      </c>
      <c r="F12" s="33">
        <v>193.45307518000004</v>
      </c>
      <c r="G12" s="33">
        <v>200.91402288000003</v>
      </c>
      <c r="H12" s="33">
        <v>223.92103331000001</v>
      </c>
      <c r="I12" s="33">
        <v>285.26232642000002</v>
      </c>
      <c r="J12" s="33">
        <v>229.15899999999999</v>
      </c>
      <c r="K12" s="33">
        <v>174.32976017999999</v>
      </c>
      <c r="L12" s="33">
        <v>128.02716771999999</v>
      </c>
    </row>
    <row r="13" spans="2:12" x14ac:dyDescent="0.25">
      <c r="C13" s="31" t="s">
        <v>206</v>
      </c>
      <c r="D13" s="34">
        <v>27017.698425679981</v>
      </c>
      <c r="E13" s="34">
        <v>26863.830518040002</v>
      </c>
      <c r="F13" s="34">
        <v>26248.788936180001</v>
      </c>
      <c r="G13" s="34">
        <v>26201.259767059997</v>
      </c>
      <c r="H13" s="34">
        <v>25939.178014309997</v>
      </c>
      <c r="I13" s="34">
        <v>25646</v>
      </c>
      <c r="J13" s="34">
        <v>25910.897074420001</v>
      </c>
      <c r="K13" s="34">
        <v>25796.534925150001</v>
      </c>
      <c r="L13" s="34">
        <v>25286.569908470003</v>
      </c>
    </row>
    <row r="14" spans="2:12" x14ac:dyDescent="0.25">
      <c r="C14" s="29" t="s">
        <v>256</v>
      </c>
      <c r="D14" s="33">
        <v>18.140632620000002</v>
      </c>
      <c r="E14" s="33">
        <v>32.453948842560045</v>
      </c>
      <c r="F14" s="33">
        <v>46.256655042100022</v>
      </c>
      <c r="G14" s="33">
        <v>46.237343285769995</v>
      </c>
      <c r="H14" s="33">
        <v>50.899628666919995</v>
      </c>
      <c r="I14" s="33">
        <v>44.450211706919994</v>
      </c>
      <c r="J14" s="33">
        <v>39.526684299349945</v>
      </c>
      <c r="K14" s="33">
        <v>40.354039332829963</v>
      </c>
      <c r="L14" s="33">
        <v>45.830797133839951</v>
      </c>
    </row>
    <row r="15" spans="2:12" x14ac:dyDescent="0.25">
      <c r="C15" s="29" t="s">
        <v>257</v>
      </c>
      <c r="D15" s="33">
        <v>53.80468965</v>
      </c>
      <c r="E15" s="33">
        <v>63.768674521020039</v>
      </c>
      <c r="F15" s="33">
        <v>61.773128982840028</v>
      </c>
      <c r="G15" s="33">
        <v>61.387555764040016</v>
      </c>
      <c r="H15" s="33">
        <v>59.551358673409993</v>
      </c>
      <c r="I15" s="33">
        <v>59.537792631469998</v>
      </c>
      <c r="J15" s="33">
        <v>48.321491238069939</v>
      </c>
      <c r="K15" s="33">
        <v>40.538739873000011</v>
      </c>
      <c r="L15" s="33">
        <v>43.449978096350002</v>
      </c>
    </row>
    <row r="16" spans="2:12" x14ac:dyDescent="0.25">
      <c r="C16" s="29" t="s">
        <v>258</v>
      </c>
      <c r="D16" s="33">
        <v>50.636074749999999</v>
      </c>
      <c r="E16" s="33">
        <v>48.062126984830002</v>
      </c>
      <c r="F16" s="33">
        <v>43.548242861390008</v>
      </c>
      <c r="G16" s="33">
        <v>41.050817728080006</v>
      </c>
      <c r="H16" s="33">
        <v>44.577423332999992</v>
      </c>
      <c r="I16" s="33">
        <v>45.350804499810003</v>
      </c>
      <c r="J16" s="33">
        <v>42.788528044240003</v>
      </c>
      <c r="K16" s="33">
        <v>39.433392980480001</v>
      </c>
      <c r="L16" s="33">
        <v>30.050485279929998</v>
      </c>
    </row>
    <row r="17" spans="3:12" x14ac:dyDescent="0.25">
      <c r="C17" s="30" t="s">
        <v>259</v>
      </c>
      <c r="D17" s="34">
        <v>122.58139702</v>
      </c>
      <c r="E17" s="34">
        <v>144.28475034841009</v>
      </c>
      <c r="F17" s="34">
        <v>151.57802688633009</v>
      </c>
      <c r="G17" s="34">
        <v>149.67571677788996</v>
      </c>
      <c r="H17" s="34">
        <v>155.02841067332997</v>
      </c>
      <c r="I17" s="34">
        <v>149.33880883820001</v>
      </c>
      <c r="J17" s="34">
        <v>130.63670358165987</v>
      </c>
      <c r="K17" s="34">
        <v>120.32617218630998</v>
      </c>
      <c r="L17" s="34">
        <v>119.33126051011996</v>
      </c>
    </row>
    <row r="18" spans="3:12" x14ac:dyDescent="0.25">
      <c r="C18" s="29" t="s">
        <v>260</v>
      </c>
      <c r="D18" s="45">
        <v>7.5302949707083643E-4</v>
      </c>
      <c r="E18" s="45">
        <v>1.3562700743417638E-3</v>
      </c>
      <c r="F18" s="45">
        <v>1.9684842857475302E-3</v>
      </c>
      <c r="G18" s="45">
        <v>1.9771563527950101E-3</v>
      </c>
      <c r="H18" s="45">
        <v>2.2035297196480877E-3</v>
      </c>
      <c r="I18" s="45">
        <v>1.9497249818889271E-3</v>
      </c>
      <c r="J18" s="45">
        <v>1.7356586657133089E-3</v>
      </c>
      <c r="K18" s="45">
        <v>1.7380616834619487E-3</v>
      </c>
      <c r="L18" s="45">
        <v>2.0157339321658033E-3</v>
      </c>
    </row>
    <row r="19" spans="3:12" x14ac:dyDescent="0.25">
      <c r="C19" s="29" t="s">
        <v>261</v>
      </c>
      <c r="D19" s="45">
        <v>1.976884452309954E-2</v>
      </c>
      <c r="E19" s="45">
        <v>2.3544207535834652E-2</v>
      </c>
      <c r="F19" s="45">
        <v>2.4161080016212803E-2</v>
      </c>
      <c r="G19" s="45">
        <v>2.3479062804552819E-2</v>
      </c>
      <c r="H19" s="45">
        <v>2.2763212293856454E-2</v>
      </c>
      <c r="I19" s="45">
        <v>2.3238255539934586E-2</v>
      </c>
      <c r="J19" s="45">
        <v>1.661023231541622E-2</v>
      </c>
      <c r="K19" s="45">
        <v>1.6855524189572271E-2</v>
      </c>
      <c r="L19" s="45">
        <v>1.7934388433999096E-2</v>
      </c>
    </row>
    <row r="20" spans="3:12" x14ac:dyDescent="0.25">
      <c r="C20" s="29" t="s">
        <v>262</v>
      </c>
      <c r="D20" s="45">
        <v>0.24603866649551126</v>
      </c>
      <c r="E20" s="45">
        <v>0.21215707501876518</v>
      </c>
      <c r="F20" s="45">
        <v>0.22511010910976825</v>
      </c>
      <c r="G20" s="45">
        <v>0.20432032139736925</v>
      </c>
      <c r="H20" s="45">
        <v>0.19907653458925523</v>
      </c>
      <c r="I20" s="45">
        <v>0.15897929834954333</v>
      </c>
      <c r="J20" s="45">
        <v>0.18671982354714414</v>
      </c>
      <c r="K20" s="45">
        <v>0.22620000704276769</v>
      </c>
      <c r="L20" s="45">
        <v>0.23471959752832686</v>
      </c>
    </row>
    <row r="21" spans="3:12" x14ac:dyDescent="0.25">
      <c r="C21" s="31" t="s">
        <v>263</v>
      </c>
      <c r="D21" s="48">
        <v>4.537077699538164E-3</v>
      </c>
      <c r="E21" s="48">
        <v>5.370967116976033E-3</v>
      </c>
      <c r="F21" s="48">
        <v>5.7746674429387723E-3</v>
      </c>
      <c r="G21" s="48">
        <v>5.7125389431107055E-3</v>
      </c>
      <c r="H21" s="48">
        <v>5.9766123116085125E-3</v>
      </c>
      <c r="I21" s="48">
        <v>5.8230838664197152E-3</v>
      </c>
      <c r="J21" s="48">
        <v>5.0417669139918844E-3</v>
      </c>
      <c r="K21" s="48">
        <v>4.664431581041511E-3</v>
      </c>
      <c r="L21" s="48">
        <v>4.7191556997277315E-3</v>
      </c>
    </row>
  </sheetData>
  <hyperlinks>
    <hyperlink ref="C2" location="Forside!A1" display="Tilbake til forsiden" xr:uid="{493B289F-592E-410A-BD99-80068AB19343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56FF-D9B9-4CE2-B04B-A8D5F5184F8E}">
  <sheetPr codeName="Sheet13"/>
  <dimension ref="B2:P21"/>
  <sheetViews>
    <sheetView showGridLines="0" workbookViewId="0">
      <pane xSplit="3" ySplit="8" topLeftCell="D9" activePane="bottomRight" state="frozen"/>
      <selection activeCell="K50" sqref="K50"/>
      <selection pane="topRight" activeCell="K50" sqref="K50"/>
      <selection pane="bottomLeft" activeCell="K50" sqref="K50"/>
      <selection pane="bottomRight" activeCell="C2" sqref="C2"/>
    </sheetView>
  </sheetViews>
  <sheetFormatPr defaultRowHeight="15" x14ac:dyDescent="0.25"/>
  <cols>
    <col min="2" max="2" width="4.7109375" bestFit="1" customWidth="1"/>
    <col min="3" max="3" width="42.7109375" bestFit="1" customWidth="1"/>
    <col min="4" max="16" width="12.28515625" customWidth="1"/>
  </cols>
  <sheetData>
    <row r="2" spans="2:16" x14ac:dyDescent="0.25">
      <c r="C2" s="174" t="s">
        <v>349</v>
      </c>
    </row>
    <row r="6" spans="2:16" s="1" customFormat="1" ht="23.25" x14ac:dyDescent="0.35">
      <c r="B6" s="6" t="s">
        <v>210</v>
      </c>
      <c r="C6" s="3" t="s">
        <v>211</v>
      </c>
    </row>
    <row r="7" spans="2:16" s="1" customFormat="1" x14ac:dyDescent="0.25"/>
    <row r="8" spans="2:16" s="1" customFormat="1" x14ac:dyDescent="0.25">
      <c r="C8" s="9"/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  <c r="M8" s="43" t="s">
        <v>24</v>
      </c>
      <c r="N8" s="43" t="s">
        <v>25</v>
      </c>
      <c r="O8" s="43" t="s">
        <v>26</v>
      </c>
      <c r="P8" s="43" t="s">
        <v>27</v>
      </c>
    </row>
    <row r="9" spans="2:16" x14ac:dyDescent="0.25">
      <c r="C9" s="7" t="s">
        <v>190</v>
      </c>
      <c r="D9" s="33">
        <v>14697.38063602</v>
      </c>
      <c r="E9" s="33">
        <v>14604.184185569999</v>
      </c>
      <c r="F9" s="33">
        <v>14260.7801912</v>
      </c>
      <c r="G9" s="33">
        <v>14590.429354329999</v>
      </c>
      <c r="H9" s="33">
        <v>13996.060192880001</v>
      </c>
      <c r="I9" s="33">
        <v>13754.658261440001</v>
      </c>
      <c r="J9" s="33">
        <v>13319.40252865</v>
      </c>
      <c r="K9" s="33">
        <v>13595.243358989999</v>
      </c>
      <c r="L9" s="33">
        <v>12921.30009117</v>
      </c>
      <c r="M9" s="33">
        <v>12481.569129729998</v>
      </c>
      <c r="N9" s="33">
        <v>12264.905103019999</v>
      </c>
      <c r="O9" s="33">
        <v>12552.501808779998</v>
      </c>
      <c r="P9" s="33">
        <v>12171.524919269999</v>
      </c>
    </row>
    <row r="10" spans="2:16" x14ac:dyDescent="0.25">
      <c r="C10" s="7" t="s">
        <v>191</v>
      </c>
      <c r="D10" s="33">
        <v>838.17876561000003</v>
      </c>
      <c r="E10" s="33">
        <v>728.90054384999996</v>
      </c>
      <c r="F10" s="33">
        <v>621.67795403000002</v>
      </c>
      <c r="G10" s="33">
        <v>717.63676766999993</v>
      </c>
      <c r="H10" s="33">
        <v>577.08202252000012</v>
      </c>
      <c r="I10" s="33">
        <v>609.24193681000008</v>
      </c>
      <c r="J10" s="33">
        <v>558.42536461999998</v>
      </c>
      <c r="K10" s="33">
        <v>742.05282006999994</v>
      </c>
      <c r="L10" s="33">
        <v>703.01178094000011</v>
      </c>
      <c r="M10" s="33">
        <v>621.93373845999997</v>
      </c>
      <c r="N10" s="33">
        <v>651.32469815000002</v>
      </c>
      <c r="O10" s="33">
        <v>821.91736671000001</v>
      </c>
      <c r="P10" s="33">
        <v>776.51643686</v>
      </c>
    </row>
    <row r="11" spans="2:16" x14ac:dyDescent="0.25">
      <c r="C11" s="7" t="s">
        <v>192</v>
      </c>
      <c r="D11" s="33">
        <v>642.13822584000002</v>
      </c>
      <c r="E11" s="33">
        <v>565.62653404000002</v>
      </c>
      <c r="F11" s="33">
        <v>553.20406870000011</v>
      </c>
      <c r="G11" s="33">
        <v>520.15289846999997</v>
      </c>
      <c r="H11" s="33">
        <v>577.88560489000008</v>
      </c>
      <c r="I11" s="33">
        <v>473.49124583000003</v>
      </c>
      <c r="J11" s="33">
        <v>480.56724130000003</v>
      </c>
      <c r="K11" s="33">
        <v>493.00461637000001</v>
      </c>
      <c r="L11" s="33">
        <v>505.06427249000001</v>
      </c>
      <c r="M11" s="33">
        <v>415.50756008000002</v>
      </c>
      <c r="N11" s="33">
        <v>432.79287235999999</v>
      </c>
      <c r="O11" s="33">
        <v>445.51520966000004</v>
      </c>
      <c r="P11" s="33">
        <v>488.16729353999995</v>
      </c>
    </row>
    <row r="12" spans="2:16" x14ac:dyDescent="0.25">
      <c r="C12" s="7" t="s">
        <v>193</v>
      </c>
      <c r="D12" s="33">
        <v>267.08732343999998</v>
      </c>
      <c r="E12" s="33">
        <v>330.40556996999999</v>
      </c>
      <c r="F12" s="33">
        <v>283.09767192999999</v>
      </c>
      <c r="G12" s="33">
        <v>283.73621361999994</v>
      </c>
      <c r="H12" s="33">
        <v>293.75309109999995</v>
      </c>
      <c r="I12" s="33">
        <v>288.58173571999998</v>
      </c>
      <c r="J12" s="33">
        <v>253.27956110000002</v>
      </c>
      <c r="K12" s="33">
        <v>219.56553705000002</v>
      </c>
      <c r="L12" s="33">
        <v>230.43901251</v>
      </c>
      <c r="M12" s="33">
        <v>243.92683329999997</v>
      </c>
      <c r="N12" s="33">
        <v>147.32654563999998</v>
      </c>
      <c r="O12" s="33">
        <v>157.10813612999999</v>
      </c>
      <c r="P12" s="33">
        <v>187.40968491000001</v>
      </c>
    </row>
    <row r="13" spans="2:16" x14ac:dyDescent="0.25">
      <c r="C13" s="7" t="s">
        <v>194</v>
      </c>
      <c r="D13" s="33">
        <v>1042.5459083200001</v>
      </c>
      <c r="E13" s="33">
        <v>1119.7848885199999</v>
      </c>
      <c r="F13" s="33">
        <v>961.48481516000004</v>
      </c>
      <c r="G13" s="33">
        <v>938.45228686999997</v>
      </c>
      <c r="H13" s="33">
        <v>932.87851831000012</v>
      </c>
      <c r="I13" s="33">
        <v>937.69041650999998</v>
      </c>
      <c r="J13" s="33">
        <v>885.67896873999996</v>
      </c>
      <c r="K13" s="33">
        <v>839.51581281000006</v>
      </c>
      <c r="L13" s="33">
        <v>798.39886855000009</v>
      </c>
      <c r="M13" s="33">
        <v>907.5960130499999</v>
      </c>
      <c r="N13" s="33">
        <v>952.16272114999981</v>
      </c>
      <c r="O13" s="33">
        <v>906.86249274999989</v>
      </c>
      <c r="P13" s="33">
        <v>900.17926975</v>
      </c>
    </row>
    <row r="14" spans="2:16" x14ac:dyDescent="0.25">
      <c r="C14" s="7" t="s">
        <v>195</v>
      </c>
      <c r="D14" s="33">
        <v>395.38349274000001</v>
      </c>
      <c r="E14" s="33">
        <v>426.07821574000002</v>
      </c>
      <c r="F14" s="33">
        <v>429.49363831000005</v>
      </c>
      <c r="G14" s="33">
        <v>485.78403253999994</v>
      </c>
      <c r="H14" s="33">
        <v>437.79574851000007</v>
      </c>
      <c r="I14" s="33">
        <v>434.53317242999992</v>
      </c>
      <c r="J14" s="33">
        <v>450.77170282999998</v>
      </c>
      <c r="K14" s="33">
        <v>453.22369497000005</v>
      </c>
      <c r="L14" s="33">
        <v>425.34177457999999</v>
      </c>
      <c r="M14" s="33">
        <v>435.35704523999993</v>
      </c>
      <c r="N14" s="33">
        <v>394.53938244</v>
      </c>
      <c r="O14" s="33">
        <v>415.68848145999999</v>
      </c>
      <c r="P14" s="33">
        <v>477.48586161000003</v>
      </c>
    </row>
    <row r="15" spans="2:16" x14ac:dyDescent="0.25">
      <c r="C15" s="7" t="s">
        <v>196</v>
      </c>
      <c r="D15" s="33">
        <v>149.81502702999998</v>
      </c>
      <c r="E15" s="33">
        <v>153.66098446999999</v>
      </c>
      <c r="F15" s="33">
        <v>145.53707986999999</v>
      </c>
      <c r="G15" s="33">
        <v>148.53090154999998</v>
      </c>
      <c r="H15" s="33">
        <v>160.26759235</v>
      </c>
      <c r="I15" s="33">
        <v>161.18923583</v>
      </c>
      <c r="J15" s="33">
        <v>164.48161834999999</v>
      </c>
      <c r="K15" s="33">
        <v>152.91327308000001</v>
      </c>
      <c r="L15" s="33">
        <v>157.79631093999998</v>
      </c>
      <c r="M15" s="33">
        <v>160.12731803</v>
      </c>
      <c r="N15" s="33">
        <v>144.79562058000002</v>
      </c>
      <c r="O15" s="33">
        <v>142.00755929000002</v>
      </c>
      <c r="P15" s="33">
        <v>163.99861446</v>
      </c>
    </row>
    <row r="16" spans="2:16" x14ac:dyDescent="0.25">
      <c r="C16" s="7" t="s">
        <v>197</v>
      </c>
      <c r="D16" s="33">
        <v>141.29861227999999</v>
      </c>
      <c r="E16" s="33">
        <v>166.59448670999998</v>
      </c>
      <c r="F16" s="33">
        <v>160.35165227000002</v>
      </c>
      <c r="G16" s="33">
        <v>146.67376961999997</v>
      </c>
      <c r="H16" s="33">
        <v>131.20120631</v>
      </c>
      <c r="I16" s="33">
        <v>139.18143139000003</v>
      </c>
      <c r="J16" s="33">
        <v>138.39390875000001</v>
      </c>
      <c r="K16" s="33">
        <v>118.42739482</v>
      </c>
      <c r="L16" s="33">
        <v>106.37293081999999</v>
      </c>
      <c r="M16" s="33">
        <v>131.14132452999999</v>
      </c>
      <c r="N16" s="33">
        <v>119.62500142</v>
      </c>
      <c r="O16" s="33">
        <v>91.463192370000002</v>
      </c>
      <c r="P16" s="33">
        <v>74.180031350000007</v>
      </c>
    </row>
    <row r="17" spans="3:16" x14ac:dyDescent="0.25">
      <c r="C17" s="7" t="s">
        <v>198</v>
      </c>
      <c r="D17" s="33">
        <v>1257.6525754299998</v>
      </c>
      <c r="E17" s="33">
        <v>1289.9871256400002</v>
      </c>
      <c r="F17" s="33">
        <v>1354.58945279</v>
      </c>
      <c r="G17" s="33">
        <v>1384.8183337899998</v>
      </c>
      <c r="H17" s="33">
        <v>1315.2451635500001</v>
      </c>
      <c r="I17" s="33">
        <v>1305.02102711</v>
      </c>
      <c r="J17" s="33">
        <v>1359.8904888099999</v>
      </c>
      <c r="K17" s="33">
        <v>1414.4689776599998</v>
      </c>
      <c r="L17" s="33">
        <v>1325.8387742599998</v>
      </c>
      <c r="M17" s="33">
        <v>1390.3404280799998</v>
      </c>
      <c r="N17" s="33">
        <v>1405.0983430599999</v>
      </c>
      <c r="O17" s="33">
        <v>1286.9227126200001</v>
      </c>
      <c r="P17" s="33">
        <v>1312.4233240300002</v>
      </c>
    </row>
    <row r="18" spans="3:16" x14ac:dyDescent="0.25">
      <c r="C18" s="7" t="s">
        <v>199</v>
      </c>
      <c r="D18" s="33">
        <v>2631.4127579400001</v>
      </c>
      <c r="E18" s="33">
        <v>2654.4694523600001</v>
      </c>
      <c r="F18" s="33">
        <v>2718.79741298</v>
      </c>
      <c r="G18" s="33">
        <v>2006.8356007099999</v>
      </c>
      <c r="H18" s="33">
        <v>2093.8152135800001</v>
      </c>
      <c r="I18" s="33">
        <v>2103.8258323300001</v>
      </c>
      <c r="J18" s="33">
        <v>2111.6778669300002</v>
      </c>
      <c r="K18" s="33">
        <v>1931.14688821</v>
      </c>
      <c r="L18" s="33">
        <v>2010.7497258199999</v>
      </c>
      <c r="M18" s="33">
        <v>1817.7647185800001</v>
      </c>
      <c r="N18" s="33">
        <v>2150.2105909700003</v>
      </c>
      <c r="O18" s="33">
        <v>2188.24257696</v>
      </c>
      <c r="P18" s="33">
        <v>1997.0331510799999</v>
      </c>
    </row>
    <row r="19" spans="3:16" x14ac:dyDescent="0.25">
      <c r="C19" s="7" t="s">
        <v>200</v>
      </c>
      <c r="D19" s="33">
        <v>423.4045077000028</v>
      </c>
      <c r="E19" s="33">
        <v>409.64170614999824</v>
      </c>
      <c r="F19" s="33">
        <v>384.19598505000152</v>
      </c>
      <c r="G19" s="33">
        <v>851.25285547000476</v>
      </c>
      <c r="H19" s="33">
        <v>808.10654735000003</v>
      </c>
      <c r="I19" s="33">
        <v>772.17808550999996</v>
      </c>
      <c r="J19" s="33">
        <v>734.89661565999995</v>
      </c>
      <c r="K19" s="33">
        <v>795.38128733000008</v>
      </c>
      <c r="L19" s="33">
        <v>755.80603479000013</v>
      </c>
      <c r="M19" s="33">
        <v>720.72216977000005</v>
      </c>
      <c r="N19" s="33">
        <v>715.73978464999993</v>
      </c>
      <c r="O19" s="33">
        <v>745.41976958999999</v>
      </c>
      <c r="P19" s="33">
        <v>763.92451420999998</v>
      </c>
    </row>
    <row r="20" spans="3:16" x14ac:dyDescent="0.25">
      <c r="C20" s="7" t="s">
        <v>201</v>
      </c>
      <c r="D20" s="33">
        <v>163.83323639</v>
      </c>
      <c r="E20" s="33">
        <v>39.298004090000006</v>
      </c>
      <c r="F20" s="33">
        <v>486.00326487000001</v>
      </c>
      <c r="G20" s="33">
        <v>333.81689550999999</v>
      </c>
      <c r="H20" s="33">
        <v>179.70683753</v>
      </c>
      <c r="I20" s="33">
        <v>47.998156170000001</v>
      </c>
      <c r="J20" s="33">
        <v>451.41348452999995</v>
      </c>
      <c r="K20" s="33">
        <v>298.90136682999997</v>
      </c>
      <c r="L20" s="33">
        <v>156.20132894</v>
      </c>
      <c r="M20" s="33">
        <v>23.693635739999998</v>
      </c>
      <c r="N20" s="33">
        <v>309.49434231999999</v>
      </c>
      <c r="O20" s="33">
        <v>195.32392256</v>
      </c>
      <c r="P20" s="33">
        <v>97.830313919999995</v>
      </c>
    </row>
    <row r="21" spans="3:16" x14ac:dyDescent="0.25">
      <c r="C21" s="27" t="s">
        <v>212</v>
      </c>
      <c r="D21" s="41">
        <v>22650.13106874</v>
      </c>
      <c r="E21" s="41">
        <v>22488.631697110002</v>
      </c>
      <c r="F21" s="41">
        <v>22359.21318716</v>
      </c>
      <c r="G21" s="41">
        <v>22408.119910150002</v>
      </c>
      <c r="H21" s="41">
        <v>21503.797738880003</v>
      </c>
      <c r="I21" s="41">
        <v>21027.590537080003</v>
      </c>
      <c r="J21" s="41">
        <v>20908.879350269999</v>
      </c>
      <c r="K21" s="41">
        <v>21053.84502819</v>
      </c>
      <c r="L21" s="41">
        <v>20096.320905809996</v>
      </c>
      <c r="M21" s="41">
        <v>19349.679914589997</v>
      </c>
      <c r="N21" s="41">
        <v>19688.015005759993</v>
      </c>
      <c r="O21" s="41">
        <v>19948.973228879997</v>
      </c>
      <c r="P21" s="41">
        <v>19410.673414990004</v>
      </c>
    </row>
  </sheetData>
  <hyperlinks>
    <hyperlink ref="C2" location="Forside!A1" display="Tilbake til forsiden" xr:uid="{C5EC4B65-E6B5-4560-BD50-788F9C0DF02F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CA3A-6ACB-4824-B62A-494DA6CFEBD0}">
  <sheetPr codeName="Sheet14"/>
  <dimension ref="A2:P16"/>
  <sheetViews>
    <sheetView showGridLines="0" workbookViewId="0">
      <pane xSplit="3" ySplit="8" topLeftCell="D9" activePane="bottomRight" state="frozen"/>
      <selection activeCell="K50" sqref="K50"/>
      <selection pane="topRight" activeCell="K50" sqref="K50"/>
      <selection pane="bottomLeft" activeCell="K50" sqref="K50"/>
      <selection pane="bottomRight" activeCell="C2" sqref="C2"/>
    </sheetView>
  </sheetViews>
  <sheetFormatPr defaultRowHeight="12.75" x14ac:dyDescent="0.2"/>
  <cols>
    <col min="1" max="1" width="9.140625" style="4"/>
    <col min="2" max="2" width="5.28515625" style="4" customWidth="1"/>
    <col min="3" max="3" width="76.140625" style="4" bestFit="1" customWidth="1"/>
    <col min="4" max="16" width="10.140625" style="4" customWidth="1"/>
    <col min="17" max="16384" width="9.140625" style="4"/>
  </cols>
  <sheetData>
    <row r="2" spans="1:16" ht="15" x14ac:dyDescent="0.25">
      <c r="C2" s="174" t="s">
        <v>349</v>
      </c>
    </row>
    <row r="6" spans="1:16" ht="23.25" x14ac:dyDescent="0.35">
      <c r="A6" s="3"/>
      <c r="B6" s="6" t="s">
        <v>210</v>
      </c>
      <c r="C6" s="3" t="s">
        <v>355</v>
      </c>
    </row>
    <row r="8" spans="1:16" s="57" customFormat="1" x14ac:dyDescent="0.2">
      <c r="C8" s="59"/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  <c r="M8" s="43" t="s">
        <v>24</v>
      </c>
      <c r="N8" s="43" t="s">
        <v>25</v>
      </c>
      <c r="O8" s="43" t="s">
        <v>26</v>
      </c>
      <c r="P8" s="43" t="s">
        <v>27</v>
      </c>
    </row>
    <row r="10" spans="1:16" x14ac:dyDescent="0.2">
      <c r="C10" s="9" t="s">
        <v>359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">
      <c r="C11" s="4" t="s">
        <v>360</v>
      </c>
      <c r="D11" s="47">
        <v>9.2861607760072948E-3</v>
      </c>
      <c r="E11" s="47">
        <v>1.1102503211689575E-2</v>
      </c>
      <c r="F11" s="47">
        <v>1.2378435275601479E-2</v>
      </c>
      <c r="G11" s="47">
        <v>1.1129775856889332E-2</v>
      </c>
      <c r="H11" s="47">
        <v>1.1412976346045843E-2</v>
      </c>
      <c r="I11" s="47">
        <v>1.023658579104491E-2</v>
      </c>
      <c r="J11" s="47">
        <v>9.6296046499805069E-3</v>
      </c>
      <c r="K11" s="47">
        <v>1.0076505256726882E-2</v>
      </c>
      <c r="L11" s="47">
        <v>8.9901995909287824E-3</v>
      </c>
      <c r="M11" s="47">
        <v>6.7737557463919129E-3</v>
      </c>
      <c r="N11" s="47">
        <v>3.0989048633963262E-3</v>
      </c>
      <c r="O11" s="47">
        <v>5.0366817532738542E-3</v>
      </c>
      <c r="P11" s="47">
        <v>8.4752234989237396E-3</v>
      </c>
    </row>
    <row r="12" spans="1:16" x14ac:dyDescent="0.2">
      <c r="C12" s="4" t="s">
        <v>361</v>
      </c>
      <c r="D12" s="47">
        <v>2.1999355102321878E-2</v>
      </c>
      <c r="E12" s="47">
        <v>2.1779010233120899E-2</v>
      </c>
      <c r="F12" s="47">
        <v>2.2966903190245774E-2</v>
      </c>
      <c r="G12" s="47">
        <v>2.2150558755449419E-2</v>
      </c>
      <c r="H12" s="47">
        <v>2.2567078392742704E-2</v>
      </c>
      <c r="I12" s="47">
        <v>2.2656662010756959E-2</v>
      </c>
      <c r="J12" s="47">
        <v>2.2822651064624278E-2</v>
      </c>
      <c r="K12" s="47">
        <v>2.2611423167755947E-2</v>
      </c>
      <c r="L12" s="47">
        <v>2.1986635845431604E-2</v>
      </c>
      <c r="M12" s="47">
        <v>2.1196920972474075E-2</v>
      </c>
      <c r="N12" s="47">
        <v>1.9136056316760158E-2</v>
      </c>
      <c r="O12" s="47">
        <v>2.0096594762586656E-2</v>
      </c>
      <c r="P12" s="47">
        <v>2.2290276897093807E-2</v>
      </c>
    </row>
    <row r="14" spans="1:16" x14ac:dyDescent="0.2">
      <c r="C14" s="9" t="s">
        <v>356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C15" s="4" t="s">
        <v>357</v>
      </c>
      <c r="D15" s="47">
        <v>1.0443141372286302E-2</v>
      </c>
      <c r="E15" s="47">
        <v>1.0328281296135236E-2</v>
      </c>
      <c r="F15" s="47">
        <v>9.0105050988810095E-3</v>
      </c>
      <c r="G15" s="47">
        <v>1.0190006821318986E-2</v>
      </c>
      <c r="H15" s="47">
        <v>1.0176705168823047E-2</v>
      </c>
      <c r="I15" s="47">
        <v>1.2825902484935106E-2</v>
      </c>
      <c r="J15" s="47">
        <v>1.3522092877373632E-2</v>
      </c>
      <c r="K15" s="47">
        <v>1.3224412478685513E-2</v>
      </c>
      <c r="L15" s="47">
        <v>1.4774624217191383E-2</v>
      </c>
      <c r="M15" s="47">
        <v>1.8601348062165849E-2</v>
      </c>
      <c r="N15" s="47">
        <v>2.106464794030961E-2</v>
      </c>
      <c r="O15" s="47">
        <v>1.616177978076546E-2</v>
      </c>
      <c r="P15" s="47">
        <v>1.1513590124793315E-2</v>
      </c>
    </row>
    <row r="16" spans="1:16" x14ac:dyDescent="0.2">
      <c r="C16" s="4" t="s">
        <v>358</v>
      </c>
      <c r="D16" s="47">
        <v>1.2493687533808064E-2</v>
      </c>
      <c r="E16" s="47">
        <v>1.4492436982861706E-2</v>
      </c>
      <c r="F16" s="47">
        <v>1.3300638895596885E-2</v>
      </c>
      <c r="G16" s="47">
        <v>1.4326233007238127E-2</v>
      </c>
      <c r="H16" s="47">
        <v>1.4272779309287751E-2</v>
      </c>
      <c r="I16" s="47">
        <v>1.615748736165112E-2</v>
      </c>
      <c r="J16" s="47">
        <v>1.5768387528749803E-2</v>
      </c>
      <c r="K16" s="47">
        <v>1.5078126068532594E-2</v>
      </c>
      <c r="L16" s="47">
        <v>1.5551828159952083E-2</v>
      </c>
      <c r="M16" s="47">
        <v>1.7855256364779918E-2</v>
      </c>
      <c r="N16" s="47">
        <v>1.785974997642897E-2</v>
      </c>
      <c r="O16" s="47">
        <v>1.4729058014594426E-2</v>
      </c>
      <c r="P16" s="47">
        <v>1.2092346303716191E-2</v>
      </c>
    </row>
  </sheetData>
  <hyperlinks>
    <hyperlink ref="C2" location="Forside!A1" display="Tilbake til forsiden" xr:uid="{E6C9F5D9-8C1B-4E5C-8729-00FC50317280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6BFC-4B18-4601-8DDF-B2FD21922A44}">
  <sheetPr codeName="Sheet15"/>
  <dimension ref="B2:P12"/>
  <sheetViews>
    <sheetView showGridLines="0" workbookViewId="0">
      <pane xSplit="3" ySplit="8" topLeftCell="D9" activePane="bottomRight" state="frozen"/>
      <selection activeCell="G34" sqref="G34"/>
      <selection pane="topRight" activeCell="G34" sqref="G34"/>
      <selection pane="bottomLeft" activeCell="G34" sqref="G34"/>
      <selection pane="bottomRight" activeCell="C2" sqref="C2"/>
    </sheetView>
  </sheetViews>
  <sheetFormatPr defaultRowHeight="15" x14ac:dyDescent="0.25"/>
  <cols>
    <col min="1" max="1" width="9.140625" style="1"/>
    <col min="2" max="2" width="5.7109375" style="1" customWidth="1"/>
    <col min="3" max="3" width="44.85546875" style="1" bestFit="1" customWidth="1"/>
    <col min="4" max="16384" width="9.140625" style="1"/>
  </cols>
  <sheetData>
    <row r="2" spans="2:16" x14ac:dyDescent="0.25">
      <c r="C2" s="174" t="s">
        <v>349</v>
      </c>
    </row>
    <row r="6" spans="2:16" ht="23.25" x14ac:dyDescent="0.35">
      <c r="B6" s="6" t="s">
        <v>268</v>
      </c>
      <c r="C6" s="3" t="s">
        <v>278</v>
      </c>
    </row>
    <row r="8" spans="2:16" x14ac:dyDescent="0.25">
      <c r="C8" s="9"/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  <c r="M8" s="43" t="s">
        <v>24</v>
      </c>
      <c r="N8" s="43" t="s">
        <v>25</v>
      </c>
      <c r="O8" s="43" t="s">
        <v>26</v>
      </c>
      <c r="P8" s="43" t="s">
        <v>27</v>
      </c>
    </row>
    <row r="9" spans="2:16" x14ac:dyDescent="0.25">
      <c r="C9" s="4" t="s">
        <v>265</v>
      </c>
      <c r="D9" s="46">
        <v>178.5</v>
      </c>
      <c r="E9" s="46">
        <v>177.5</v>
      </c>
      <c r="F9" s="46">
        <v>173.35</v>
      </c>
      <c r="G9" s="46">
        <v>172.85</v>
      </c>
      <c r="H9" s="46">
        <v>177.7</v>
      </c>
      <c r="I9" s="46">
        <v>176</v>
      </c>
      <c r="J9" s="46">
        <v>172.3</v>
      </c>
      <c r="K9" s="46">
        <v>168.59</v>
      </c>
      <c r="L9" s="46">
        <v>166.24</v>
      </c>
      <c r="M9" s="46">
        <v>152.68</v>
      </c>
      <c r="N9" s="46">
        <v>154.68</v>
      </c>
      <c r="O9" s="46">
        <f>140.39+12</f>
        <v>152.38999999999999</v>
      </c>
      <c r="P9" s="46">
        <v>146.93</v>
      </c>
    </row>
    <row r="10" spans="2:16" x14ac:dyDescent="0.25">
      <c r="C10" s="4" t="s">
        <v>267</v>
      </c>
      <c r="D10" s="46">
        <v>64</v>
      </c>
      <c r="E10" s="46">
        <v>63.89</v>
      </c>
      <c r="F10" s="46">
        <v>66.8</v>
      </c>
      <c r="G10" s="46">
        <v>75</v>
      </c>
      <c r="H10" s="46">
        <v>75</v>
      </c>
      <c r="I10" s="46">
        <v>70</v>
      </c>
      <c r="J10" s="46">
        <v>70</v>
      </c>
      <c r="K10" s="46">
        <v>70</v>
      </c>
      <c r="L10" s="46">
        <v>70</v>
      </c>
      <c r="M10" s="46">
        <v>75</v>
      </c>
      <c r="N10" s="46">
        <v>75</v>
      </c>
      <c r="O10" s="46">
        <v>75</v>
      </c>
      <c r="P10" s="46">
        <v>75</v>
      </c>
    </row>
    <row r="11" spans="2:16" x14ac:dyDescent="0.25">
      <c r="C11" s="4" t="s">
        <v>266</v>
      </c>
      <c r="D11" s="46">
        <v>23.9</v>
      </c>
      <c r="E11" s="46">
        <v>24.9</v>
      </c>
      <c r="F11" s="46">
        <v>24.9</v>
      </c>
      <c r="G11" s="46">
        <v>24.9</v>
      </c>
      <c r="H11" s="46">
        <v>24.9</v>
      </c>
      <c r="I11" s="46">
        <v>24.1</v>
      </c>
      <c r="J11" s="46">
        <v>24.1</v>
      </c>
      <c r="K11" s="46">
        <v>24.1</v>
      </c>
      <c r="L11" s="46">
        <v>24.1</v>
      </c>
      <c r="M11" s="46">
        <v>25.5</v>
      </c>
      <c r="N11" s="46">
        <v>25.5</v>
      </c>
      <c r="O11" s="46">
        <v>26.5</v>
      </c>
      <c r="P11" s="46">
        <v>26.5</v>
      </c>
    </row>
    <row r="12" spans="2:16" x14ac:dyDescent="0.25">
      <c r="N12" s="55"/>
    </row>
  </sheetData>
  <hyperlinks>
    <hyperlink ref="C2" location="Forside!A1" display="Tilbake til forsiden" xr:uid="{1CC965AC-6B44-4026-BE40-E3A7589A5F3E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89E9-F067-43E1-A318-30AC67AD4F49}">
  <sheetPr codeName="Sheet2"/>
  <dimension ref="B2:O46"/>
  <sheetViews>
    <sheetView showGridLines="0" zoomScale="80" zoomScaleNormal="80" workbookViewId="0">
      <selection activeCell="E17" sqref="E17"/>
    </sheetView>
  </sheetViews>
  <sheetFormatPr defaultRowHeight="15" x14ac:dyDescent="0.25"/>
  <cols>
    <col min="1" max="1" width="9.140625" style="1"/>
    <col min="2" max="2" width="5.85546875" style="1" customWidth="1"/>
    <col min="3" max="3" width="58.5703125" style="1" customWidth="1"/>
    <col min="4" max="4" width="57.7109375" style="1" customWidth="1"/>
    <col min="5" max="5" width="150.5703125" style="1" customWidth="1"/>
    <col min="6" max="6" width="47.140625" style="1" customWidth="1"/>
    <col min="7" max="7" width="50.85546875" style="1" customWidth="1"/>
    <col min="8" max="16384" width="9.140625" style="1"/>
  </cols>
  <sheetData>
    <row r="2" spans="2:15" x14ac:dyDescent="0.25">
      <c r="C2" s="174" t="s">
        <v>349</v>
      </c>
      <c r="F2" s="28"/>
      <c r="G2" s="28"/>
    </row>
    <row r="3" spans="2:15" x14ac:dyDescent="0.25">
      <c r="F3" s="28"/>
      <c r="G3" s="28"/>
    </row>
    <row r="4" spans="2:15" x14ac:dyDescent="0.25">
      <c r="F4" s="28"/>
      <c r="G4" s="28"/>
    </row>
    <row r="5" spans="2:15" ht="20.25" x14ac:dyDescent="0.3">
      <c r="B5" s="2"/>
      <c r="F5" s="28"/>
      <c r="G5" s="28"/>
    </row>
    <row r="6" spans="2:15" ht="23.25" x14ac:dyDescent="0.35">
      <c r="B6" s="6" t="s">
        <v>222</v>
      </c>
      <c r="C6" s="3" t="s">
        <v>184</v>
      </c>
      <c r="F6" s="28"/>
      <c r="G6" s="28"/>
    </row>
    <row r="7" spans="2:15" x14ac:dyDescent="0.25">
      <c r="F7" s="28"/>
      <c r="G7" s="28"/>
    </row>
    <row r="8" spans="2:15" x14ac:dyDescent="0.25">
      <c r="C8" s="4"/>
      <c r="D8" s="4"/>
      <c r="E8" s="4"/>
      <c r="F8" s="60"/>
      <c r="G8" s="60"/>
      <c r="H8" s="4"/>
      <c r="I8" s="4"/>
      <c r="J8" s="4"/>
      <c r="K8" s="4"/>
      <c r="L8" s="4"/>
      <c r="M8" s="4"/>
      <c r="N8" s="4"/>
      <c r="O8" s="4"/>
    </row>
    <row r="9" spans="2:15" ht="78.75" customHeight="1" x14ac:dyDescent="0.25">
      <c r="C9" s="189" t="s">
        <v>350</v>
      </c>
      <c r="D9" s="189"/>
      <c r="E9" s="189"/>
      <c r="F9" s="72"/>
      <c r="G9" s="190"/>
      <c r="H9" s="190"/>
      <c r="I9" s="190"/>
      <c r="J9" s="4"/>
      <c r="K9" s="4"/>
      <c r="L9" s="4"/>
      <c r="M9" s="4"/>
      <c r="N9" s="4"/>
      <c r="O9" s="4"/>
    </row>
    <row r="10" spans="2:15" x14ac:dyDescent="0.25">
      <c r="C10" s="4"/>
      <c r="D10" s="4"/>
      <c r="E10" s="4"/>
      <c r="F10" s="60"/>
      <c r="G10" s="60"/>
      <c r="H10" s="4"/>
      <c r="I10" s="4"/>
      <c r="J10" s="4"/>
      <c r="K10" s="4"/>
      <c r="L10" s="4"/>
      <c r="M10" s="4"/>
      <c r="N10" s="4"/>
      <c r="O10" s="4"/>
    </row>
    <row r="11" spans="2:15" s="4" customFormat="1" ht="12.75" x14ac:dyDescent="0.2">
      <c r="C11" s="59" t="s">
        <v>221</v>
      </c>
      <c r="D11" s="59" t="s">
        <v>281</v>
      </c>
      <c r="E11" s="59" t="s">
        <v>282</v>
      </c>
      <c r="F11" s="57"/>
      <c r="G11" s="57"/>
      <c r="H11" s="57"/>
      <c r="I11" s="57"/>
      <c r="J11" s="57"/>
      <c r="K11" s="57"/>
      <c r="L11" s="57"/>
      <c r="M11" s="57"/>
    </row>
    <row r="12" spans="2:15" s="4" customFormat="1" ht="12.75" x14ac:dyDescent="0.2">
      <c r="C12" s="60"/>
      <c r="D12" s="60"/>
      <c r="E12" s="60"/>
      <c r="F12" s="57"/>
      <c r="G12" s="57"/>
      <c r="H12" s="57"/>
      <c r="I12" s="57"/>
      <c r="J12" s="57"/>
      <c r="K12" s="57"/>
      <c r="L12" s="57"/>
      <c r="M12" s="57"/>
    </row>
    <row r="13" spans="2:15" s="4" customFormat="1" ht="12.75" x14ac:dyDescent="0.2">
      <c r="C13" s="59" t="s">
        <v>29</v>
      </c>
      <c r="D13" s="59"/>
      <c r="E13" s="59"/>
      <c r="F13" s="57"/>
      <c r="G13" s="57"/>
      <c r="H13" s="57"/>
      <c r="I13" s="57"/>
      <c r="J13" s="57"/>
      <c r="K13" s="57"/>
      <c r="L13" s="57"/>
      <c r="M13" s="57"/>
    </row>
    <row r="14" spans="2:15" s="4" customFormat="1" ht="74.25" customHeight="1" x14ac:dyDescent="0.2">
      <c r="C14" s="67" t="s">
        <v>285</v>
      </c>
      <c r="D14" s="66"/>
      <c r="E14" s="66"/>
      <c r="F14" s="75"/>
    </row>
    <row r="15" spans="2:15" s="4" customFormat="1" ht="74.25" customHeight="1" x14ac:dyDescent="0.2">
      <c r="C15" s="68" t="s">
        <v>286</v>
      </c>
    </row>
    <row r="16" spans="2:15" s="4" customFormat="1" ht="74.25" customHeight="1" x14ac:dyDescent="0.2">
      <c r="C16" s="69" t="s">
        <v>283</v>
      </c>
      <c r="D16" s="74"/>
      <c r="E16" s="66"/>
    </row>
    <row r="17" spans="3:5" s="4" customFormat="1" ht="74.25" customHeight="1" x14ac:dyDescent="0.2">
      <c r="C17" s="70" t="s">
        <v>284</v>
      </c>
      <c r="D17" s="71"/>
      <c r="E17" s="71"/>
    </row>
    <row r="18" spans="3:5" s="4" customFormat="1" ht="74.25" customHeight="1" x14ac:dyDescent="0.2">
      <c r="C18" s="69" t="s">
        <v>33</v>
      </c>
      <c r="D18" s="66"/>
      <c r="E18" s="66"/>
    </row>
    <row r="19" spans="3:5" s="4" customFormat="1" ht="74.25" customHeight="1" x14ac:dyDescent="0.2">
      <c r="C19" s="65" t="s">
        <v>34</v>
      </c>
    </row>
    <row r="20" spans="3:5" s="4" customFormat="1" ht="12.75" x14ac:dyDescent="0.2">
      <c r="C20" s="73" t="s">
        <v>35</v>
      </c>
      <c r="D20" s="9"/>
      <c r="E20" s="9"/>
    </row>
    <row r="21" spans="3:5" s="4" customFormat="1" ht="74.25" customHeight="1" x14ac:dyDescent="0.2">
      <c r="C21" s="69" t="s">
        <v>39</v>
      </c>
      <c r="D21" s="66"/>
      <c r="E21" s="66"/>
    </row>
    <row r="22" spans="3:5" s="4" customFormat="1" ht="74.25" customHeight="1" x14ac:dyDescent="0.2">
      <c r="C22" s="138" t="s">
        <v>40</v>
      </c>
      <c r="D22" s="71"/>
      <c r="E22" s="71"/>
    </row>
    <row r="23" spans="3:5" s="4" customFormat="1" ht="74.25" customHeight="1" x14ac:dyDescent="0.2">
      <c r="C23" s="69" t="s">
        <v>41</v>
      </c>
      <c r="D23" s="66"/>
      <c r="E23" s="66"/>
    </row>
    <row r="24" spans="3:5" s="4" customFormat="1" ht="74.25" customHeight="1" x14ac:dyDescent="0.2">
      <c r="C24" s="138" t="s">
        <v>318</v>
      </c>
      <c r="D24" s="71"/>
      <c r="E24" s="71"/>
    </row>
    <row r="25" spans="3:5" s="4" customFormat="1" ht="74.25" customHeight="1" x14ac:dyDescent="0.2">
      <c r="C25" s="69" t="s">
        <v>43</v>
      </c>
      <c r="D25" s="66"/>
      <c r="E25" s="66"/>
    </row>
    <row r="26" spans="3:5" s="4" customFormat="1" ht="74.25" customHeight="1" x14ac:dyDescent="0.2">
      <c r="C26" s="138" t="s">
        <v>44</v>
      </c>
      <c r="D26" s="71"/>
      <c r="E26" s="71"/>
    </row>
    <row r="27" spans="3:5" s="4" customFormat="1" ht="74.25" customHeight="1" x14ac:dyDescent="0.2">
      <c r="C27" s="69" t="s">
        <v>46</v>
      </c>
      <c r="D27" s="66"/>
      <c r="E27" s="66"/>
    </row>
    <row r="28" spans="3:5" s="4" customFormat="1" ht="74.25" customHeight="1" x14ac:dyDescent="0.2">
      <c r="C28" s="138" t="s">
        <v>287</v>
      </c>
      <c r="D28" s="71"/>
      <c r="E28" s="71"/>
    </row>
    <row r="29" spans="3:5" s="4" customFormat="1" ht="12.75" x14ac:dyDescent="0.2">
      <c r="C29" s="73" t="s">
        <v>47</v>
      </c>
      <c r="D29" s="9"/>
      <c r="E29" s="9"/>
    </row>
    <row r="30" spans="3:5" s="4" customFormat="1" ht="74.25" customHeight="1" x14ac:dyDescent="0.2">
      <c r="C30" s="69" t="s">
        <v>48</v>
      </c>
      <c r="D30" s="66"/>
      <c r="E30" s="66"/>
    </row>
    <row r="31" spans="3:5" s="4" customFormat="1" ht="74.25" customHeight="1" x14ac:dyDescent="0.2">
      <c r="C31" s="138" t="s">
        <v>49</v>
      </c>
      <c r="D31" s="71"/>
      <c r="E31" s="71"/>
    </row>
    <row r="32" spans="3:5" s="4" customFormat="1" ht="74.25" customHeight="1" x14ac:dyDescent="0.2">
      <c r="C32" s="69" t="s">
        <v>50</v>
      </c>
      <c r="D32" s="66"/>
      <c r="E32" s="66"/>
    </row>
    <row r="33" spans="3:5" s="4" customFormat="1" ht="12.75" x14ac:dyDescent="0.2">
      <c r="C33" s="73" t="s">
        <v>65</v>
      </c>
      <c r="D33" s="9"/>
      <c r="E33" s="9"/>
    </row>
    <row r="34" spans="3:5" s="4" customFormat="1" ht="74.25" customHeight="1" x14ac:dyDescent="0.2">
      <c r="C34" s="65" t="s">
        <v>66</v>
      </c>
    </row>
    <row r="35" spans="3:5" s="4" customFormat="1" ht="74.25" customHeight="1" x14ac:dyDescent="0.2">
      <c r="C35" s="69" t="s">
        <v>69</v>
      </c>
      <c r="D35" s="66"/>
      <c r="E35" s="66"/>
    </row>
    <row r="36" spans="3:5" s="4" customFormat="1" ht="74.25" customHeight="1" x14ac:dyDescent="0.2">
      <c r="C36" s="138" t="s">
        <v>70</v>
      </c>
      <c r="D36" s="71"/>
      <c r="E36" s="71"/>
    </row>
    <row r="37" spans="3:5" s="4" customFormat="1" ht="74.25" customHeight="1" x14ac:dyDescent="0.2">
      <c r="C37" s="69" t="s">
        <v>71</v>
      </c>
      <c r="D37" s="66"/>
      <c r="E37" s="66"/>
    </row>
    <row r="38" spans="3:5" s="4" customFormat="1" ht="74.25" customHeight="1" x14ac:dyDescent="0.2">
      <c r="C38" s="138" t="s">
        <v>72</v>
      </c>
      <c r="D38" s="71"/>
      <c r="E38" s="71"/>
    </row>
    <row r="39" spans="3:5" s="4" customFormat="1" ht="74.25" customHeight="1" x14ac:dyDescent="0.2">
      <c r="C39" s="69" t="s">
        <v>73</v>
      </c>
      <c r="D39" s="66"/>
      <c r="E39" s="66"/>
    </row>
    <row r="40" spans="3:5" s="4" customFormat="1" ht="12.75" x14ac:dyDescent="0.2"/>
    <row r="41" spans="3:5" s="4" customFormat="1" ht="12.75" x14ac:dyDescent="0.2"/>
    <row r="42" spans="3:5" s="4" customFormat="1" ht="12.75" x14ac:dyDescent="0.2"/>
    <row r="43" spans="3:5" s="4" customFormat="1" ht="12.75" x14ac:dyDescent="0.2"/>
    <row r="44" spans="3:5" s="4" customFormat="1" ht="12.75" x14ac:dyDescent="0.2"/>
    <row r="45" spans="3:5" s="4" customFormat="1" ht="12.75" x14ac:dyDescent="0.2"/>
    <row r="46" spans="3:5" s="4" customFormat="1" ht="12.75" x14ac:dyDescent="0.2"/>
  </sheetData>
  <mergeCells count="2">
    <mergeCell ref="C9:E9"/>
    <mergeCell ref="G9:I9"/>
  </mergeCells>
  <hyperlinks>
    <hyperlink ref="C2" location="Forside!A1" display="Tilbake til forsiden" xr:uid="{7DF5CBAD-57FF-4D5C-A82F-9A066EA933EC}"/>
  </hyperlinks>
  <pageMargins left="0.7" right="0.7" top="0.75" bottom="0.75" header="0.3" footer="0.3"/>
  <headerFooter>
    <oddHeader>&amp;R&amp;"Aptos"&amp;12&amp;KFF0000 Fortrolig&amp;1#_x000D_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6558-5474-4229-A626-CD7D87C35D7A}">
  <sheetPr codeName="Sheet3"/>
  <dimension ref="A2:U258"/>
  <sheetViews>
    <sheetView showGridLines="0" tabSelected="1" zoomScale="90" zoomScaleNormal="90" workbookViewId="0">
      <pane xSplit="3" ySplit="10" topLeftCell="D11" activePane="bottomRight" state="frozen"/>
      <selection activeCell="K50" sqref="K50"/>
      <selection pane="topRight" activeCell="K50" sqref="K50"/>
      <selection pane="bottomLeft" activeCell="K50" sqref="K50"/>
      <selection pane="bottomRight" activeCell="D13" sqref="D13"/>
    </sheetView>
  </sheetViews>
  <sheetFormatPr defaultRowHeight="12.75" x14ac:dyDescent="0.2"/>
  <cols>
    <col min="1" max="1" width="9.140625" style="4"/>
    <col min="2" max="2" width="6.7109375" style="4" customWidth="1"/>
    <col min="3" max="3" width="72.140625" style="4" bestFit="1" customWidth="1"/>
    <col min="4" max="6" width="11.5703125" style="4" customWidth="1"/>
    <col min="7" max="8" width="11.5703125" style="60" customWidth="1"/>
    <col min="9" max="16" width="11.5703125" style="4" customWidth="1"/>
    <col min="17" max="16384" width="9.140625" style="4"/>
  </cols>
  <sheetData>
    <row r="2" spans="2:21" ht="15" x14ac:dyDescent="0.25">
      <c r="C2" s="174" t="s">
        <v>349</v>
      </c>
    </row>
    <row r="4" spans="2:21" ht="15" x14ac:dyDescent="0.25">
      <c r="C4" s="174" t="s">
        <v>353</v>
      </c>
    </row>
    <row r="7" spans="2:21" ht="23.25" x14ac:dyDescent="0.35">
      <c r="B7" s="6" t="s">
        <v>224</v>
      </c>
      <c r="C7" s="3" t="s">
        <v>184</v>
      </c>
    </row>
    <row r="10" spans="2:21" x14ac:dyDescent="0.2">
      <c r="C10" s="25"/>
      <c r="D10" s="86" t="s">
        <v>351</v>
      </c>
      <c r="E10" s="86" t="s">
        <v>16</v>
      </c>
      <c r="F10" s="86" t="s">
        <v>17</v>
      </c>
      <c r="G10" s="86" t="s">
        <v>18</v>
      </c>
      <c r="H10" s="86" t="s">
        <v>19</v>
      </c>
      <c r="I10" s="86" t="s">
        <v>20</v>
      </c>
      <c r="J10" s="86" t="s">
        <v>21</v>
      </c>
      <c r="K10" s="86" t="s">
        <v>22</v>
      </c>
      <c r="L10" s="86" t="s">
        <v>23</v>
      </c>
      <c r="M10" s="86" t="s">
        <v>24</v>
      </c>
      <c r="N10" s="86" t="s">
        <v>25</v>
      </c>
      <c r="O10" s="86" t="s">
        <v>26</v>
      </c>
      <c r="P10" s="86" t="s">
        <v>27</v>
      </c>
    </row>
    <row r="11" spans="2:21" x14ac:dyDescent="0.2">
      <c r="C11" s="6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2:21" x14ac:dyDescent="0.2">
      <c r="C12" s="66" t="s">
        <v>15</v>
      </c>
      <c r="D12" s="77">
        <f>INDEX('2 Resultatregnskap'!$C$9:$P$32,MATCH('1.2 APM'!$C$12,'2 Resultatregnskap'!$C$9:$C$32,0),MATCH('1.2 APM'!D$10,'2 Resultatregnskap'!$C$9:$P$9,0))</f>
        <v>164.89901425580018</v>
      </c>
      <c r="E12" s="77">
        <f>INDEX('2 Resultatregnskap'!$C$9:$P$32,MATCH('1.2 APM'!$C$12,'2 Resultatregnskap'!$C$9:$C$32,0),MATCH('1.2 APM'!E$10,'2 Resultatregnskap'!$C$9:$P$9,0))</f>
        <v>183.70665297000033</v>
      </c>
      <c r="F12" s="77">
        <f>INDEX('2 Resultatregnskap'!$C$9:$P$32,MATCH('1.2 APM'!$C$12,'2 Resultatregnskap'!$C$9:$C$32,0),MATCH('1.2 APM'!F$10,'2 Resultatregnskap'!$C$9:$P$9,0))</f>
        <v>160.56176638000059</v>
      </c>
      <c r="G12" s="77">
        <f>INDEX('2 Resultatregnskap'!$C$9:$P$32,MATCH('1.2 APM'!$C$12,'2 Resultatregnskap'!$C$9:$C$32,0),MATCH('1.2 APM'!G$10,'2 Resultatregnskap'!$C$9:$P$9,0))</f>
        <v>243.71063941004317</v>
      </c>
      <c r="H12" s="77">
        <f>INDEX('2 Resultatregnskap'!$C$9:$P$32,MATCH('1.2 APM'!$C$12,'2 Resultatregnskap'!$C$9:$C$32,0),MATCH('1.2 APM'!H$10,'2 Resultatregnskap'!$C$9:$P$9,0))</f>
        <v>147.51770610139798</v>
      </c>
      <c r="I12" s="77">
        <f>INDEX('2 Resultatregnskap'!$C$9:$P$32,MATCH('1.2 APM'!$C$12,'2 Resultatregnskap'!$C$9:$C$32,0),MATCH('1.2 APM'!I$10,'2 Resultatregnskap'!$C$9:$P$9,0))</f>
        <v>168.73502997000003</v>
      </c>
      <c r="J12" s="77">
        <f>INDEX('2 Resultatregnskap'!$C$9:$P$32,MATCH('1.2 APM'!$C$12,'2 Resultatregnskap'!$C$9:$C$32,0),MATCH('1.2 APM'!J$10,'2 Resultatregnskap'!$C$9:$P$9,0))</f>
        <v>248.74061852687953</v>
      </c>
      <c r="K12" s="77">
        <f>INDEX('2 Resultatregnskap'!$C$9:$P$32,MATCH('1.2 APM'!$C$12,'2 Resultatregnskap'!$C$9:$C$32,0),MATCH('1.2 APM'!K$10,'2 Resultatregnskap'!$C$9:$P$9,0))</f>
        <v>141.32448284700024</v>
      </c>
      <c r="L12" s="77">
        <f>INDEX('2 Resultatregnskap'!$C$9:$P$32,MATCH('1.2 APM'!$C$12,'2 Resultatregnskap'!$C$9:$C$32,0),MATCH('1.2 APM'!L$10,'2 Resultatregnskap'!$C$9:$P$9,0))</f>
        <v>144.83897256000006</v>
      </c>
      <c r="M12" s="77">
        <f>INDEX('2 Resultatregnskap'!$C$9:$P$32,MATCH('1.2 APM'!$C$12,'2 Resultatregnskap'!$C$9:$C$32,0),MATCH('1.2 APM'!M$10,'2 Resultatregnskap'!$C$9:$P$9,0))</f>
        <v>98.718334548250766</v>
      </c>
      <c r="N12" s="77">
        <f>INDEX('2 Resultatregnskap'!$C$9:$P$32,MATCH('1.2 APM'!$C$12,'2 Resultatregnskap'!$C$9:$C$32,0),MATCH('1.2 APM'!N$10,'2 Resultatregnskap'!$C$9:$P$9,0))</f>
        <v>136.24113073549969</v>
      </c>
      <c r="O12" s="77">
        <f>INDEX('2 Resultatregnskap'!$C$9:$P$32,MATCH('1.2 APM'!$C$12,'2 Resultatregnskap'!$C$9:$C$32,0),MATCH('1.2 APM'!O$10,'2 Resultatregnskap'!$C$9:$P$9,0))</f>
        <v>106.57708338850014</v>
      </c>
      <c r="P12" s="77">
        <f>INDEX('2 Resultatregnskap'!$C$9:$P$32,MATCH('1.2 APM'!$C$12,'2 Resultatregnskap'!$C$9:$C$32,0),MATCH('1.2 APM'!P$10,'2 Resultatregnskap'!$C$9:$P$9,0))</f>
        <v>119.7391834499999</v>
      </c>
      <c r="S12" s="187"/>
      <c r="T12" s="187"/>
    </row>
    <row r="13" spans="2:21" x14ac:dyDescent="0.2">
      <c r="B13" s="90"/>
      <c r="C13" s="78" t="s">
        <v>288</v>
      </c>
      <c r="D13" s="77">
        <v>7.069</v>
      </c>
      <c r="E13" s="77">
        <v>7.069</v>
      </c>
      <c r="F13" s="77">
        <v>7.069</v>
      </c>
      <c r="G13" s="77">
        <v>6.67</v>
      </c>
      <c r="H13" s="144">
        <v>6.6378750000000029</v>
      </c>
      <c r="I13" s="77">
        <v>4.1909999999999998</v>
      </c>
      <c r="J13" s="77">
        <v>4.1909999999999998</v>
      </c>
      <c r="K13" s="77">
        <v>4.0999999999999996</v>
      </c>
      <c r="L13" s="144">
        <v>4.3388890000000035</v>
      </c>
      <c r="M13" s="77">
        <v>0</v>
      </c>
      <c r="N13" s="77">
        <v>0</v>
      </c>
      <c r="O13" s="77">
        <v>0</v>
      </c>
      <c r="P13" s="77">
        <v>0</v>
      </c>
      <c r="S13" s="187"/>
      <c r="T13" s="187"/>
    </row>
    <row r="14" spans="2:21" x14ac:dyDescent="0.2">
      <c r="B14" s="90"/>
      <c r="C14" s="66" t="s">
        <v>362</v>
      </c>
      <c r="D14" s="79">
        <f>D12-D13</f>
        <v>157.83001425580019</v>
      </c>
      <c r="E14" s="79">
        <f>E12-E13</f>
        <v>176.63765297000035</v>
      </c>
      <c r="F14" s="79">
        <f t="shared" ref="F14:P14" si="0">F12-F13</f>
        <v>153.4927663800006</v>
      </c>
      <c r="G14" s="79">
        <f t="shared" si="0"/>
        <v>237.04063941004318</v>
      </c>
      <c r="H14" s="79">
        <f t="shared" si="0"/>
        <v>140.87983110139797</v>
      </c>
      <c r="I14" s="79">
        <f t="shared" si="0"/>
        <v>164.54402997000003</v>
      </c>
      <c r="J14" s="79">
        <f t="shared" si="0"/>
        <v>244.54961852687953</v>
      </c>
      <c r="K14" s="79">
        <f t="shared" si="0"/>
        <v>137.22448284700025</v>
      </c>
      <c r="L14" s="79">
        <f t="shared" si="0"/>
        <v>140.50008356000006</v>
      </c>
      <c r="M14" s="79">
        <f t="shared" si="0"/>
        <v>98.718334548250766</v>
      </c>
      <c r="N14" s="79">
        <f t="shared" si="0"/>
        <v>136.24113073549969</v>
      </c>
      <c r="O14" s="79">
        <f t="shared" si="0"/>
        <v>106.57708338850014</v>
      </c>
      <c r="P14" s="79">
        <f t="shared" si="0"/>
        <v>119.7391834499999</v>
      </c>
      <c r="S14" s="187"/>
      <c r="T14" s="187"/>
      <c r="U14" s="187"/>
    </row>
    <row r="15" spans="2:21" x14ac:dyDescent="0.2">
      <c r="C15" s="6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</row>
    <row r="16" spans="2:21" x14ac:dyDescent="0.2">
      <c r="C16" s="66" t="s">
        <v>289</v>
      </c>
      <c r="D16" s="77">
        <v>365</v>
      </c>
      <c r="E16" s="77">
        <v>365</v>
      </c>
      <c r="F16" s="77">
        <v>365</v>
      </c>
      <c r="G16" s="77">
        <v>365</v>
      </c>
      <c r="H16" s="77">
        <v>365</v>
      </c>
      <c r="I16" s="77">
        <v>365</v>
      </c>
      <c r="J16" s="77">
        <v>365</v>
      </c>
      <c r="K16" s="77">
        <v>365</v>
      </c>
      <c r="L16" s="77">
        <v>365</v>
      </c>
      <c r="M16" s="77">
        <v>365</v>
      </c>
      <c r="N16" s="77">
        <v>365</v>
      </c>
      <c r="O16" s="77">
        <v>365</v>
      </c>
      <c r="P16" s="77">
        <v>365</v>
      </c>
      <c r="S16" s="187"/>
      <c r="T16" s="187"/>
      <c r="U16" s="187"/>
    </row>
    <row r="17" spans="2:21" x14ac:dyDescent="0.2">
      <c r="C17" s="66" t="s">
        <v>292</v>
      </c>
      <c r="D17" s="77">
        <f>31+28+31</f>
        <v>90</v>
      </c>
      <c r="E17" s="77">
        <f>31+30+31</f>
        <v>92</v>
      </c>
      <c r="F17" s="77">
        <f>31+30+31</f>
        <v>92</v>
      </c>
      <c r="G17" s="77">
        <f>30+31+30</f>
        <v>91</v>
      </c>
      <c r="H17" s="77">
        <f>31+28+31</f>
        <v>90</v>
      </c>
      <c r="I17" s="77">
        <f>31+30+31</f>
        <v>92</v>
      </c>
      <c r="J17" s="77">
        <f>31+30+31</f>
        <v>92</v>
      </c>
      <c r="K17" s="77">
        <f>30+31+30</f>
        <v>91</v>
      </c>
      <c r="L17" s="77">
        <f>31+28+31</f>
        <v>90</v>
      </c>
      <c r="M17" s="77">
        <f>31+30+31</f>
        <v>92</v>
      </c>
      <c r="N17" s="77">
        <f>31+30+31</f>
        <v>92</v>
      </c>
      <c r="O17" s="77">
        <f>30+31+30</f>
        <v>91</v>
      </c>
      <c r="P17" s="77">
        <f>31+28+31</f>
        <v>90</v>
      </c>
    </row>
    <row r="18" spans="2:21" x14ac:dyDescent="0.2">
      <c r="C18" s="80" t="s">
        <v>293</v>
      </c>
      <c r="D18" s="88">
        <f>D16/D17</f>
        <v>4.0555555555555554</v>
      </c>
      <c r="E18" s="88">
        <f>E16/E17</f>
        <v>3.9673913043478262</v>
      </c>
      <c r="F18" s="88">
        <f t="shared" ref="F18:P18" si="1">F16/F17</f>
        <v>3.9673913043478262</v>
      </c>
      <c r="G18" s="88">
        <f t="shared" si="1"/>
        <v>4.0109890109890109</v>
      </c>
      <c r="H18" s="88">
        <f t="shared" si="1"/>
        <v>4.0555555555555554</v>
      </c>
      <c r="I18" s="88">
        <f t="shared" si="1"/>
        <v>3.9673913043478262</v>
      </c>
      <c r="J18" s="88">
        <f t="shared" si="1"/>
        <v>3.9673913043478262</v>
      </c>
      <c r="K18" s="88">
        <f t="shared" si="1"/>
        <v>4.0109890109890109</v>
      </c>
      <c r="L18" s="88">
        <f t="shared" si="1"/>
        <v>4.0555555555555554</v>
      </c>
      <c r="M18" s="88">
        <f t="shared" si="1"/>
        <v>3.9673913043478262</v>
      </c>
      <c r="N18" s="88">
        <f t="shared" si="1"/>
        <v>3.9673913043478262</v>
      </c>
      <c r="O18" s="88">
        <f t="shared" si="1"/>
        <v>4.0109890109890109</v>
      </c>
      <c r="P18" s="88">
        <f t="shared" si="1"/>
        <v>4.0555555555555554</v>
      </c>
      <c r="S18" s="188"/>
      <c r="T18" s="188"/>
      <c r="U18" s="188"/>
    </row>
    <row r="19" spans="2:21" x14ac:dyDescent="0.2">
      <c r="C19" s="6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</row>
    <row r="20" spans="2:21" x14ac:dyDescent="0.2">
      <c r="C20" s="81" t="s">
        <v>363</v>
      </c>
      <c r="D20" s="82">
        <f>D14*D18</f>
        <v>640.08839114852299</v>
      </c>
      <c r="E20" s="82">
        <f>E14*E18</f>
        <v>700.79068841358833</v>
      </c>
      <c r="F20" s="82">
        <f t="shared" ref="F20:P20" si="2">F14*F18</f>
        <v>608.9658666163067</v>
      </c>
      <c r="G20" s="82">
        <f t="shared" si="2"/>
        <v>950.76739983149184</v>
      </c>
      <c r="H20" s="82">
        <f t="shared" si="2"/>
        <v>571.34598168900288</v>
      </c>
      <c r="I20" s="82">
        <f t="shared" si="2"/>
        <v>652.81055368532623</v>
      </c>
      <c r="J20" s="82">
        <f t="shared" si="2"/>
        <v>970.22403002511987</v>
      </c>
      <c r="K20" s="82">
        <f t="shared" si="2"/>
        <v>550.40589273796797</v>
      </c>
      <c r="L20" s="82">
        <f t="shared" si="2"/>
        <v>569.80589443777797</v>
      </c>
      <c r="M20" s="82">
        <f t="shared" si="2"/>
        <v>391.65426206642968</v>
      </c>
      <c r="N20" s="82">
        <f t="shared" si="2"/>
        <v>540.52187737453687</v>
      </c>
      <c r="O20" s="82">
        <f t="shared" si="2"/>
        <v>427.47951029453355</v>
      </c>
      <c r="P20" s="82">
        <f t="shared" si="2"/>
        <v>485.60891065833289</v>
      </c>
    </row>
    <row r="21" spans="2:21" x14ac:dyDescent="0.2">
      <c r="C21" s="66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</row>
    <row r="22" spans="2:21" x14ac:dyDescent="0.2">
      <c r="C22" s="66" t="s">
        <v>294</v>
      </c>
      <c r="D22" s="77">
        <f>INDEX('4 Balanse'!$C$8:$P$43,MATCH("Sum egenkapital",'4 Balanse'!$C$8:$C$43,0),MATCH('1.2 APM'!D$10,'4 Balanse'!$C$8:$P$8,0))</f>
        <v>4995.9892623274482</v>
      </c>
      <c r="E22" s="77">
        <f>INDEX('4 Balanse'!$C$8:$P$43,MATCH("Sum egenkapital",'4 Balanse'!$C$8:$C$43,0),MATCH('1.2 APM'!E$10,'4 Balanse'!$C$8:$P$8,0))</f>
        <v>5533.642120761051</v>
      </c>
      <c r="F22" s="77">
        <f>INDEX('4 Balanse'!$C$8:$P$43,MATCH("Sum egenkapital",'4 Balanse'!$C$8:$C$43,0),MATCH('1.2 APM'!F$10,'4 Balanse'!$C$8:$P$8,0))</f>
        <v>5358.6352423022399</v>
      </c>
      <c r="G22" s="77">
        <f>INDEX('4 Balanse'!$C$8:$P$43,MATCH("Sum egenkapital",'4 Balanse'!$C$8:$C$43,0),MATCH('1.2 APM'!G$10,'4 Balanse'!$C$8:$P$8,0))</f>
        <v>5194.4118502366027</v>
      </c>
      <c r="H22" s="77">
        <f>INDEX('4 Balanse'!$C$8:$P$43,MATCH("Sum egenkapital",'4 Balanse'!$C$8:$C$43,0),MATCH('1.2 APM'!H$10,'4 Balanse'!$C$8:$P$8,0))</f>
        <v>4947.8592700823801</v>
      </c>
      <c r="I22" s="77">
        <f>INDEX('4 Balanse'!$C$8:$P$43,MATCH("Sum egenkapital",'4 Balanse'!$C$8:$C$43,0),MATCH('1.2 APM'!I$10,'4 Balanse'!$C$8:$P$8,0))</f>
        <v>5281.2030221542509</v>
      </c>
      <c r="J22" s="77">
        <f>INDEX('4 Balanse'!$C$8:$P$43,MATCH("Sum egenkapital",'4 Balanse'!$C$8:$C$43,0),MATCH('1.2 APM'!J$10,'4 Balanse'!$C$8:$P$8,0))</f>
        <v>4965.8482909061549</v>
      </c>
      <c r="K22" s="77">
        <f>INDEX('4 Balanse'!$C$8:$P$43,MATCH("Sum egenkapital",'4 Balanse'!$C$8:$C$43,0),MATCH('1.2 APM'!K$10,'4 Balanse'!$C$8:$P$8,0))</f>
        <v>4717.1245347057202</v>
      </c>
      <c r="L22" s="77">
        <f>INDEX('4 Balanse'!$C$8:$P$43,MATCH("Sum egenkapital",'4 Balanse'!$C$8:$C$43,0),MATCH('1.2 APM'!L$10,'4 Balanse'!$C$8:$P$8,0))</f>
        <v>4573.7391090231549</v>
      </c>
      <c r="M22" s="77">
        <f>INDEX('4 Balanse'!$C$8:$P$43,MATCH("Sum egenkapital",'4 Balanse'!$C$8:$C$43,0),MATCH('1.2 APM'!M$10,'4 Balanse'!$C$8:$P$8,0))</f>
        <v>4753.7578282901541</v>
      </c>
      <c r="N22" s="77">
        <f>INDEX('4 Balanse'!$C$8:$P$43,MATCH("Sum egenkapital",'4 Balanse'!$C$8:$C$43,0),MATCH('1.2 APM'!N$10,'4 Balanse'!$C$8:$P$8,0))</f>
        <v>4448.2705871300795</v>
      </c>
      <c r="O22" s="77">
        <f>INDEX('4 Balanse'!$C$8:$P$43,MATCH("Sum egenkapital",'4 Balanse'!$C$8:$C$43,0),MATCH('1.2 APM'!O$10,'4 Balanse'!$C$8:$P$8,0))</f>
        <v>4311.8027876147971</v>
      </c>
      <c r="P22" s="77">
        <f>INDEX('4 Balanse'!$C$8:$P$43,MATCH("Sum egenkapital",'4 Balanse'!$C$8:$C$43,0),MATCH('1.2 APM'!P$10,'4 Balanse'!$C$8:$P$8,0))</f>
        <v>4210.6610252546607</v>
      </c>
      <c r="S22" s="187"/>
    </row>
    <row r="23" spans="2:21" x14ac:dyDescent="0.2">
      <c r="C23" s="83" t="s">
        <v>295</v>
      </c>
      <c r="D23" s="77">
        <f>INDEX('4 Balanse'!$C$8:$P$43,MATCH("Hybridkapital",'4 Balanse'!$C$8:$C$43,0),MATCH('1.2 APM'!D$10,'4 Balanse'!$C$8:$P$8,0))</f>
        <v>343.39077777999995</v>
      </c>
      <c r="E23" s="77">
        <f>INDEX('4 Balanse'!$C$8:$P$43,MATCH("Hybridkapital",'4 Balanse'!$C$8:$C$43,0),MATCH('1.2 APM'!E$10,'4 Balanse'!$C$8:$P$8,0))</f>
        <v>350</v>
      </c>
      <c r="F23" s="77">
        <f>INDEX('4 Balanse'!$C$8:$P$43,MATCH("Hybridkapital",'4 Balanse'!$C$8:$C$43,0),MATCH('1.2 APM'!F$10,'4 Balanse'!$C$8:$P$8,0))</f>
        <v>329.22818067000003</v>
      </c>
      <c r="G23" s="77">
        <f>INDEX('4 Balanse'!$C$8:$P$43,MATCH("Hybridkapital",'4 Balanse'!$C$8:$C$43,0),MATCH('1.2 APM'!G$10,'4 Balanse'!$C$8:$P$8,0))</f>
        <v>336.29813900000005</v>
      </c>
      <c r="H23" s="77">
        <f>INDEX('4 Balanse'!$C$8:$P$43,MATCH("Hybridkapital",'4 Balanse'!$C$8:$C$43,0),MATCH('1.2 APM'!H$10,'4 Balanse'!$C$8:$P$8,0))</f>
        <v>342.97038900000001</v>
      </c>
      <c r="I23" s="77">
        <f>INDEX('4 Balanse'!$C$8:$P$43,MATCH("Hybridkapital",'4 Balanse'!$C$8:$C$43,0),MATCH('1.2 APM'!I$10,'4 Balanse'!$C$8:$P$8,0))</f>
        <v>350.00000011000003</v>
      </c>
      <c r="J23" s="77">
        <f>INDEX('4 Balanse'!$C$8:$P$43,MATCH("Hybridkapital",'4 Balanse'!$C$8:$C$43,0),MATCH('1.2 APM'!J$10,'4 Balanse'!$C$8:$P$8,0))</f>
        <v>187.477</v>
      </c>
      <c r="K23" s="77">
        <f>INDEX('4 Balanse'!$C$8:$P$43,MATCH("Hybridkapital",'4 Balanse'!$C$8:$C$43,0),MATCH('1.2 APM'!K$10,'4 Balanse'!$C$8:$P$8,0))</f>
        <v>191.66811111000004</v>
      </c>
      <c r="L23" s="77">
        <f>INDEX('4 Balanse'!$C$8:$P$43,MATCH("Hybridkapital",'4 Balanse'!$C$8:$C$43,0),MATCH('1.2 APM'!L$10,'4 Balanse'!$C$8:$P$8,0))</f>
        <v>195.77311111000003</v>
      </c>
      <c r="M23" s="77">
        <f>INDEX('4 Balanse'!$C$8:$P$43,MATCH("Hybridkapital",'4 Balanse'!$C$8:$C$43,0),MATCH('1.2 APM'!M$10,'4 Balanse'!$C$8:$P$8,0))</f>
        <v>200</v>
      </c>
      <c r="N23" s="77">
        <f>INDEX('4 Balanse'!$C$8:$P$43,MATCH("Hybridkapital",'4 Balanse'!$C$8:$C$43,0),MATCH('1.2 APM'!N$10,'4 Balanse'!$C$8:$P$8,0))</f>
        <v>0</v>
      </c>
      <c r="O23" s="77">
        <f>INDEX('4 Balanse'!$C$8:$P$43,MATCH("Hybridkapital",'4 Balanse'!$C$8:$C$43,0),MATCH('1.2 APM'!O$10,'4 Balanse'!$C$8:$P$8,0))</f>
        <v>0</v>
      </c>
      <c r="P23" s="77">
        <f>INDEX('4 Balanse'!$C$8:$P$43,MATCH("Hybridkapital",'4 Balanse'!$C$8:$C$43,0),MATCH('1.2 APM'!P$10,'4 Balanse'!$C$8:$P$8,0))</f>
        <v>0</v>
      </c>
      <c r="S23" s="187"/>
    </row>
    <row r="24" spans="2:21" x14ac:dyDescent="0.2">
      <c r="C24" s="84" t="s">
        <v>296</v>
      </c>
      <c r="D24" s="79">
        <f>D22-D23</f>
        <v>4652.5984845474486</v>
      </c>
      <c r="E24" s="79">
        <f>E22-E23</f>
        <v>5183.642120761051</v>
      </c>
      <c r="F24" s="79">
        <f t="shared" ref="F24:P24" si="3">F22-F23</f>
        <v>5029.4070616322397</v>
      </c>
      <c r="G24" s="79">
        <f t="shared" si="3"/>
        <v>4858.1137112366023</v>
      </c>
      <c r="H24" s="79">
        <f t="shared" si="3"/>
        <v>4604.8888810823801</v>
      </c>
      <c r="I24" s="79">
        <f t="shared" si="3"/>
        <v>4931.2030220442512</v>
      </c>
      <c r="J24" s="79">
        <f t="shared" si="3"/>
        <v>4778.3712909061551</v>
      </c>
      <c r="K24" s="79">
        <f t="shared" si="3"/>
        <v>4525.4564235957205</v>
      </c>
      <c r="L24" s="79">
        <f t="shared" si="3"/>
        <v>4377.9659979131548</v>
      </c>
      <c r="M24" s="79">
        <f t="shared" si="3"/>
        <v>4553.7578282901541</v>
      </c>
      <c r="N24" s="79">
        <f t="shared" si="3"/>
        <v>4448.2705871300795</v>
      </c>
      <c r="O24" s="79">
        <f t="shared" si="3"/>
        <v>4311.8027876147971</v>
      </c>
      <c r="P24" s="79">
        <f t="shared" si="3"/>
        <v>4210.6610252546607</v>
      </c>
      <c r="S24" s="187"/>
    </row>
    <row r="25" spans="2:21" x14ac:dyDescent="0.2">
      <c r="C25" s="83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</row>
    <row r="26" spans="2:21" x14ac:dyDescent="0.2">
      <c r="C26" s="87" t="s">
        <v>297</v>
      </c>
      <c r="D26" s="82">
        <f>(D24+E24)/2</f>
        <v>4918.1203026542498</v>
      </c>
      <c r="E26" s="82">
        <f>(E24+F24)/2</f>
        <v>5106.5245911966449</v>
      </c>
      <c r="F26" s="82">
        <f t="shared" ref="F26:N26" si="4">(F24+G24)/2</f>
        <v>4943.760386434421</v>
      </c>
      <c r="G26" s="82">
        <f t="shared" si="4"/>
        <v>4731.5012961594912</v>
      </c>
      <c r="H26" s="82">
        <f t="shared" si="4"/>
        <v>4768.0459515633156</v>
      </c>
      <c r="I26" s="82">
        <f t="shared" si="4"/>
        <v>4854.7871564752031</v>
      </c>
      <c r="J26" s="82">
        <f t="shared" si="4"/>
        <v>4651.9138572509382</v>
      </c>
      <c r="K26" s="82">
        <f t="shared" si="4"/>
        <v>4451.7112107544381</v>
      </c>
      <c r="L26" s="82">
        <f t="shared" si="4"/>
        <v>4465.8619131016549</v>
      </c>
      <c r="M26" s="82">
        <f t="shared" si="4"/>
        <v>4501.0142077101173</v>
      </c>
      <c r="N26" s="82">
        <f t="shared" si="4"/>
        <v>4380.0366873724379</v>
      </c>
      <c r="O26" s="82">
        <f>(O24+P24)/2</f>
        <v>4261.2319064347284</v>
      </c>
      <c r="P26" s="82">
        <f>(P24+4202.81735707)/2</f>
        <v>4206.7391911623308</v>
      </c>
    </row>
    <row r="27" spans="2:21" x14ac:dyDescent="0.2">
      <c r="C27" s="83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</row>
    <row r="28" spans="2:21" x14ac:dyDescent="0.2">
      <c r="B28" s="116"/>
      <c r="C28" s="107" t="s">
        <v>285</v>
      </c>
      <c r="D28" s="111">
        <f>D20/D26</f>
        <v>0.13014899021544371</v>
      </c>
      <c r="E28" s="111">
        <f>E20/E26</f>
        <v>0.13723437063667748</v>
      </c>
      <c r="F28" s="111">
        <f t="shared" ref="F28:P28" si="5">F20/F26</f>
        <v>0.12317867756845513</v>
      </c>
      <c r="G28" s="111">
        <f t="shared" si="5"/>
        <v>0.20094412752316471</v>
      </c>
      <c r="H28" s="111">
        <f t="shared" si="5"/>
        <v>0.11982811984051323</v>
      </c>
      <c r="I28" s="111">
        <f t="shared" si="5"/>
        <v>0.13446738912428377</v>
      </c>
      <c r="J28" s="111">
        <f t="shared" si="5"/>
        <v>0.20856448760607027</v>
      </c>
      <c r="K28" s="111">
        <f t="shared" si="5"/>
        <v>0.12363917304615316</v>
      </c>
      <c r="L28" s="111">
        <f t="shared" si="5"/>
        <v>0.12759147182005753</v>
      </c>
      <c r="M28" s="111">
        <f t="shared" si="5"/>
        <v>8.701466913735495E-2</v>
      </c>
      <c r="N28" s="111">
        <f t="shared" si="5"/>
        <v>0.12340578765763563</v>
      </c>
      <c r="O28" s="111">
        <f t="shared" si="5"/>
        <v>0.10031829285071592</v>
      </c>
      <c r="P28" s="111">
        <f t="shared" si="5"/>
        <v>0.11543594422932554</v>
      </c>
    </row>
    <row r="29" spans="2:21" x14ac:dyDescent="0.2">
      <c r="C29" s="91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</row>
    <row r="30" spans="2:21" x14ac:dyDescent="0.2">
      <c r="C30" s="91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</row>
    <row r="31" spans="2:21" x14ac:dyDescent="0.2">
      <c r="C31" s="7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</row>
    <row r="32" spans="2:21" x14ac:dyDescent="0.2">
      <c r="C32" s="7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</row>
    <row r="33" spans="3:16" x14ac:dyDescent="0.2">
      <c r="C33" s="71" t="s">
        <v>276</v>
      </c>
      <c r="D33" s="93">
        <f>INDEX('2 Resultatregnskap'!$C$9:$P$32,MATCH($C$33,'2 Resultatregnskap'!$C$9:$C$32,0),MATCH('1.2 APM'!D$10,'2 Resultatregnskap'!$C$9:$P$9,0))</f>
        <v>164.07371309895515</v>
      </c>
      <c r="E33" s="93">
        <f>INDEX('2 Resultatregnskap'!$C$9:$P$32,MATCH($C$33,'2 Resultatregnskap'!$C$9:$C$32,0),MATCH('1.2 APM'!E$10,'2 Resultatregnskap'!$C$9:$P$9,0))</f>
        <v>194.88052609881032</v>
      </c>
      <c r="F33" s="93">
        <f>INDEX('2 Resultatregnskap'!$C$9:$P$32,MATCH($C$33,'2 Resultatregnskap'!$C$9:$C$32,0),MATCH('1.2 APM'!F$10,'2 Resultatregnskap'!$C$9:$P$9,0))</f>
        <v>160.92279117563859</v>
      </c>
      <c r="G33" s="93">
        <f>INDEX('2 Resultatregnskap'!$C$9:$P$32,MATCH($C$33,'2 Resultatregnskap'!$C$9:$C$32,0),MATCH('1.2 APM'!G$10,'2 Resultatregnskap'!$C$9:$P$9,0))</f>
        <v>244.45085113742167</v>
      </c>
      <c r="H33" s="93">
        <f>INDEX('2 Resultatregnskap'!$C$9:$P$32,MATCH($C$33,'2 Resultatregnskap'!$C$9:$C$32,0),MATCH('1.2 APM'!H$10,'2 Resultatregnskap'!$C$9:$P$9,0))</f>
        <v>147.87981388587897</v>
      </c>
      <c r="I33" s="93">
        <f>INDEX('2 Resultatregnskap'!$C$9:$P$32,MATCH($C$33,'2 Resultatregnskap'!$C$9:$C$32,0),MATCH('1.2 APM'!I$10,'2 Resultatregnskap'!$C$9:$P$9,0))</f>
        <v>189.73502997000003</v>
      </c>
      <c r="J33" s="93">
        <f>INDEX('2 Resultatregnskap'!$C$9:$P$32,MATCH($C$33,'2 Resultatregnskap'!$C$9:$C$32,0),MATCH('1.2 APM'!J$10,'2 Resultatregnskap'!$C$9:$P$9,0))</f>
        <v>247.32209622031453</v>
      </c>
      <c r="K33" s="93">
        <f>INDEX('2 Resultatregnskap'!$C$9:$P$32,MATCH($C$33,'2 Resultatregnskap'!$C$9:$C$32,0),MATCH('1.2 APM'!K$10,'2 Resultatregnskap'!$C$9:$P$9,0))</f>
        <v>142.43412581656523</v>
      </c>
      <c r="L33" s="93">
        <f>INDEX('2 Resultatregnskap'!$C$9:$P$32,MATCH($C$33,'2 Resultatregnskap'!$C$9:$C$32,0),MATCH('1.2 APM'!L$10,'2 Resultatregnskap'!$C$9:$P$9,0))</f>
        <v>144.83891880300007</v>
      </c>
      <c r="M33" s="93">
        <f>INDEX('2 Resultatregnskap'!$C$9:$P$32,MATCH($C$33,'2 Resultatregnskap'!$C$9:$C$32,0),MATCH('1.2 APM'!M$10,'2 Resultatregnskap'!$C$9:$P$9,0))</f>
        <v>109.22888909082451</v>
      </c>
      <c r="N33" s="93">
        <f>INDEX('2 Resultatregnskap'!$C$9:$P$32,MATCH($C$33,'2 Resultatregnskap'!$C$9:$C$32,0),MATCH('1.2 APM'!N$10,'2 Resultatregnskap'!$C$9:$P$9,0))</f>
        <v>136.44455249678219</v>
      </c>
      <c r="O33" s="93">
        <f>INDEX('2 Resultatregnskap'!$C$9:$P$32,MATCH($C$33,'2 Resultatregnskap'!$C$9:$C$32,0),MATCH('1.2 APM'!O$10,'2 Resultatregnskap'!$C$9:$P$9,0))</f>
        <v>104.56517007463765</v>
      </c>
      <c r="P33" s="93">
        <f>INDEX('2 Resultatregnskap'!$C$9:$P$32,MATCH($C$33,'2 Resultatregnskap'!$C$9:$C$32,0),MATCH('1.2 APM'!P$10,'2 Resultatregnskap'!$C$9:$P$9,0))</f>
        <v>119.9381085246599</v>
      </c>
    </row>
    <row r="34" spans="3:16" x14ac:dyDescent="0.2">
      <c r="C34" s="94" t="s">
        <v>288</v>
      </c>
      <c r="D34" s="93">
        <v>7.069</v>
      </c>
      <c r="E34" s="93">
        <v>7.069</v>
      </c>
      <c r="F34" s="93">
        <v>7.069</v>
      </c>
      <c r="G34" s="93">
        <v>6.67</v>
      </c>
      <c r="H34" s="145">
        <v>6.6378750000000029</v>
      </c>
      <c r="I34" s="93">
        <v>4.1909999999999998</v>
      </c>
      <c r="J34" s="93">
        <v>4.1909999999999998</v>
      </c>
      <c r="K34" s="93">
        <v>4.0999999999999996</v>
      </c>
      <c r="L34" s="145">
        <v>4.3388890000000035</v>
      </c>
      <c r="M34" s="93">
        <v>0</v>
      </c>
      <c r="N34" s="93">
        <v>0</v>
      </c>
      <c r="O34" s="93">
        <v>0</v>
      </c>
      <c r="P34" s="93">
        <v>0</v>
      </c>
    </row>
    <row r="35" spans="3:16" x14ac:dyDescent="0.2">
      <c r="C35" s="71" t="s">
        <v>291</v>
      </c>
      <c r="D35" s="95">
        <f>D33-D34</f>
        <v>157.00471309895516</v>
      </c>
      <c r="E35" s="95">
        <f>E33-E34</f>
        <v>187.81152609881033</v>
      </c>
      <c r="F35" s="95">
        <f t="shared" ref="F35" si="6">F33-F34</f>
        <v>153.85379117563861</v>
      </c>
      <c r="G35" s="95">
        <f t="shared" ref="G35" si="7">G33-G34</f>
        <v>237.78085113742168</v>
      </c>
      <c r="H35" s="95">
        <f t="shared" ref="H35" si="8">H33-H34</f>
        <v>141.24193888587897</v>
      </c>
      <c r="I35" s="95">
        <f t="shared" ref="I35" si="9">I33-I34</f>
        <v>185.54402997000003</v>
      </c>
      <c r="J35" s="95">
        <f t="shared" ref="J35" si="10">J33-J34</f>
        <v>243.13109622031453</v>
      </c>
      <c r="K35" s="95">
        <f t="shared" ref="K35" si="11">K33-K34</f>
        <v>138.33412581656523</v>
      </c>
      <c r="L35" s="95">
        <f t="shared" ref="L35" si="12">L33-L34</f>
        <v>140.50002980300007</v>
      </c>
      <c r="M35" s="95">
        <f t="shared" ref="M35" si="13">M33-M34</f>
        <v>109.22888909082451</v>
      </c>
      <c r="N35" s="95">
        <f t="shared" ref="N35" si="14">N33-N34</f>
        <v>136.44455249678219</v>
      </c>
      <c r="O35" s="95">
        <f t="shared" ref="O35" si="15">O33-O34</f>
        <v>104.56517007463765</v>
      </c>
      <c r="P35" s="95">
        <f t="shared" ref="P35" si="16">P33-P34</f>
        <v>119.9381085246599</v>
      </c>
    </row>
    <row r="36" spans="3:16" x14ac:dyDescent="0.2">
      <c r="C36" s="71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</row>
    <row r="37" spans="3:16" x14ac:dyDescent="0.2">
      <c r="C37" s="96" t="s">
        <v>290</v>
      </c>
      <c r="D37" s="97">
        <f t="shared" ref="D37:P37" si="17">D35*D243</f>
        <v>636.74133645687368</v>
      </c>
      <c r="E37" s="97">
        <f t="shared" si="17"/>
        <v>745.12181550071489</v>
      </c>
      <c r="F37" s="97">
        <f t="shared" si="17"/>
        <v>610.39819325117492</v>
      </c>
      <c r="G37" s="97">
        <f t="shared" si="17"/>
        <v>953.73638093581224</v>
      </c>
      <c r="H37" s="97">
        <f t="shared" si="17"/>
        <v>572.81452992606467</v>
      </c>
      <c r="I37" s="97">
        <f t="shared" si="17"/>
        <v>736.1257710766306</v>
      </c>
      <c r="J37" s="97">
        <f t="shared" si="17"/>
        <v>964.5961969610305</v>
      </c>
      <c r="K37" s="97">
        <f t="shared" si="17"/>
        <v>554.85665849501436</v>
      </c>
      <c r="L37" s="97">
        <f t="shared" si="17"/>
        <v>569.8056764232781</v>
      </c>
      <c r="M37" s="97">
        <f t="shared" si="17"/>
        <v>433.3537447625103</v>
      </c>
      <c r="N37" s="97">
        <f t="shared" si="17"/>
        <v>541.32893110136411</v>
      </c>
      <c r="O37" s="97">
        <f t="shared" si="17"/>
        <v>419.4097481015686</v>
      </c>
      <c r="P37" s="97">
        <f t="shared" si="17"/>
        <v>486.41566235000954</v>
      </c>
    </row>
    <row r="38" spans="3:16" x14ac:dyDescent="0.2">
      <c r="C38" s="71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</row>
    <row r="39" spans="3:16" x14ac:dyDescent="0.2">
      <c r="C39" s="71" t="s">
        <v>294</v>
      </c>
      <c r="D39" s="93">
        <f>INDEX('4 Balanse'!$C$8:$P$43,MATCH("Sum egenkapital",'4 Balanse'!$C$8:$C$43,0),MATCH('1.2 APM'!D$10,'4 Balanse'!$C$8:$P$8,0))</f>
        <v>4995.9892623274482</v>
      </c>
      <c r="E39" s="93">
        <f>INDEX('4 Balanse'!$C$8:$P$43,MATCH("Sum egenkapital",'4 Balanse'!$C$8:$C$43,0),MATCH('1.2 APM'!E$10,'4 Balanse'!$C$8:$P$8,0))</f>
        <v>5533.642120761051</v>
      </c>
      <c r="F39" s="93">
        <f>INDEX('4 Balanse'!$C$8:$P$43,MATCH("Sum egenkapital",'4 Balanse'!$C$8:$C$43,0),MATCH('1.2 APM'!F$10,'4 Balanse'!$C$8:$P$8,0))</f>
        <v>5358.6352423022399</v>
      </c>
      <c r="G39" s="93">
        <f>INDEX('4 Balanse'!$C$8:$P$43,MATCH("Sum egenkapital",'4 Balanse'!$C$8:$C$43,0),MATCH('1.2 APM'!G$10,'4 Balanse'!$C$8:$P$8,0))</f>
        <v>5194.4118502366027</v>
      </c>
      <c r="H39" s="93">
        <f>INDEX('4 Balanse'!$C$8:$P$43,MATCH("Sum egenkapital",'4 Balanse'!$C$8:$C$43,0),MATCH('1.2 APM'!H$10,'4 Balanse'!$C$8:$P$8,0))</f>
        <v>4947.8592700823801</v>
      </c>
      <c r="I39" s="93">
        <f>INDEX('4 Balanse'!$C$8:$P$43,MATCH("Sum egenkapital",'4 Balanse'!$C$8:$C$43,0),MATCH('1.2 APM'!I$10,'4 Balanse'!$C$8:$P$8,0))</f>
        <v>5281.2030221542509</v>
      </c>
      <c r="J39" s="93">
        <f>INDEX('4 Balanse'!$C$8:$P$43,MATCH("Sum egenkapital",'4 Balanse'!$C$8:$C$43,0),MATCH('1.2 APM'!J$10,'4 Balanse'!$C$8:$P$8,0))</f>
        <v>4965.8482909061549</v>
      </c>
      <c r="K39" s="93">
        <f>INDEX('4 Balanse'!$C$8:$P$43,MATCH("Sum egenkapital",'4 Balanse'!$C$8:$C$43,0),MATCH('1.2 APM'!K$10,'4 Balanse'!$C$8:$P$8,0))</f>
        <v>4717.1245347057202</v>
      </c>
      <c r="L39" s="93">
        <f>INDEX('4 Balanse'!$C$8:$P$43,MATCH("Sum egenkapital",'4 Balanse'!$C$8:$C$43,0),MATCH('1.2 APM'!L$10,'4 Balanse'!$C$8:$P$8,0))</f>
        <v>4573.7391090231549</v>
      </c>
      <c r="M39" s="93">
        <f>INDEX('4 Balanse'!$C$8:$P$43,MATCH("Sum egenkapital",'4 Balanse'!$C$8:$C$43,0),MATCH('1.2 APM'!M$10,'4 Balanse'!$C$8:$P$8,0))</f>
        <v>4753.7578282901541</v>
      </c>
      <c r="N39" s="93">
        <f>INDEX('4 Balanse'!$C$8:$P$43,MATCH("Sum egenkapital",'4 Balanse'!$C$8:$C$43,0),MATCH('1.2 APM'!N$10,'4 Balanse'!$C$8:$P$8,0))</f>
        <v>4448.2705871300795</v>
      </c>
      <c r="O39" s="93">
        <f>INDEX('4 Balanse'!$C$8:$P$43,MATCH("Sum egenkapital",'4 Balanse'!$C$8:$C$43,0),MATCH('1.2 APM'!O$10,'4 Balanse'!$C$8:$P$8,0))</f>
        <v>4311.8027876147971</v>
      </c>
      <c r="P39" s="93">
        <f>INDEX('4 Balanse'!$C$8:$P$43,MATCH("Sum egenkapital",'4 Balanse'!$C$8:$C$43,0),MATCH('1.2 APM'!P$10,'4 Balanse'!$C$8:$P$8,0))</f>
        <v>4210.6610252546607</v>
      </c>
    </row>
    <row r="40" spans="3:16" x14ac:dyDescent="0.2">
      <c r="C40" s="98" t="s">
        <v>295</v>
      </c>
      <c r="D40" s="93">
        <f>INDEX('4 Balanse'!$C$8:$P$43,MATCH("Hybridkapital",'4 Balanse'!$C$8:$C$43,0),MATCH('1.2 APM'!D$10,'4 Balanse'!$C$8:$P$8,0))</f>
        <v>343.39077777999995</v>
      </c>
      <c r="E40" s="93">
        <f>INDEX('4 Balanse'!$C$8:$P$43,MATCH("Hybridkapital",'4 Balanse'!$C$8:$C$43,0),MATCH('1.2 APM'!E$10,'4 Balanse'!$C$8:$P$8,0))</f>
        <v>350</v>
      </c>
      <c r="F40" s="93">
        <f>INDEX('4 Balanse'!$C$8:$P$43,MATCH("Hybridkapital",'4 Balanse'!$C$8:$C$43,0),MATCH('1.2 APM'!F$10,'4 Balanse'!$C$8:$P$8,0))</f>
        <v>329.22818067000003</v>
      </c>
      <c r="G40" s="93">
        <f>INDEX('4 Balanse'!$C$8:$P$43,MATCH("Hybridkapital",'4 Balanse'!$C$8:$C$43,0),MATCH('1.2 APM'!G$10,'4 Balanse'!$C$8:$P$8,0))</f>
        <v>336.29813900000005</v>
      </c>
      <c r="H40" s="93">
        <f>INDEX('4 Balanse'!$C$8:$P$43,MATCH("Hybridkapital",'4 Balanse'!$C$8:$C$43,0),MATCH('1.2 APM'!H$10,'4 Balanse'!$C$8:$P$8,0))</f>
        <v>342.97038900000001</v>
      </c>
      <c r="I40" s="93">
        <f>INDEX('4 Balanse'!$C$8:$P$43,MATCH("Hybridkapital",'4 Balanse'!$C$8:$C$43,0),MATCH('1.2 APM'!I$10,'4 Balanse'!$C$8:$P$8,0))</f>
        <v>350.00000011000003</v>
      </c>
      <c r="J40" s="93">
        <f>INDEX('4 Balanse'!$C$8:$P$43,MATCH("Hybridkapital",'4 Balanse'!$C$8:$C$43,0),MATCH('1.2 APM'!J$10,'4 Balanse'!$C$8:$P$8,0))</f>
        <v>187.477</v>
      </c>
      <c r="K40" s="93">
        <f>INDEX('4 Balanse'!$C$8:$P$43,MATCH("Hybridkapital",'4 Balanse'!$C$8:$C$43,0),MATCH('1.2 APM'!K$10,'4 Balanse'!$C$8:$P$8,0))</f>
        <v>191.66811111000004</v>
      </c>
      <c r="L40" s="93">
        <f>INDEX('4 Balanse'!$C$8:$P$43,MATCH("Hybridkapital",'4 Balanse'!$C$8:$C$43,0),MATCH('1.2 APM'!L$10,'4 Balanse'!$C$8:$P$8,0))</f>
        <v>195.77311111000003</v>
      </c>
      <c r="M40" s="93">
        <f>INDEX('4 Balanse'!$C$8:$P$43,MATCH("Hybridkapital",'4 Balanse'!$C$8:$C$43,0),MATCH('1.2 APM'!M$10,'4 Balanse'!$C$8:$P$8,0))</f>
        <v>200</v>
      </c>
      <c r="N40" s="93">
        <f>INDEX('4 Balanse'!$C$8:$P$43,MATCH("Hybridkapital",'4 Balanse'!$C$8:$C$43,0),MATCH('1.2 APM'!N$10,'4 Balanse'!$C$8:$P$8,0))</f>
        <v>0</v>
      </c>
      <c r="O40" s="93">
        <f>INDEX('4 Balanse'!$C$8:$P$43,MATCH("Hybridkapital",'4 Balanse'!$C$8:$C$43,0),MATCH('1.2 APM'!O$10,'4 Balanse'!$C$8:$P$8,0))</f>
        <v>0</v>
      </c>
      <c r="P40" s="93">
        <f>INDEX('4 Balanse'!$C$8:$P$43,MATCH("Hybridkapital",'4 Balanse'!$C$8:$C$43,0),MATCH('1.2 APM'!P$10,'4 Balanse'!$C$8:$P$8,0))</f>
        <v>0</v>
      </c>
    </row>
    <row r="41" spans="3:16" x14ac:dyDescent="0.2">
      <c r="C41" s="99" t="s">
        <v>296</v>
      </c>
      <c r="D41" s="95">
        <f>D39-D40</f>
        <v>4652.5984845474486</v>
      </c>
      <c r="E41" s="95">
        <f>E39-E40</f>
        <v>5183.642120761051</v>
      </c>
      <c r="F41" s="95">
        <f t="shared" ref="F41:P41" si="18">F39-F40</f>
        <v>5029.4070616322397</v>
      </c>
      <c r="G41" s="95">
        <f t="shared" si="18"/>
        <v>4858.1137112366023</v>
      </c>
      <c r="H41" s="95">
        <f t="shared" si="18"/>
        <v>4604.8888810823801</v>
      </c>
      <c r="I41" s="95">
        <f t="shared" si="18"/>
        <v>4931.2030220442512</v>
      </c>
      <c r="J41" s="95">
        <f t="shared" si="18"/>
        <v>4778.3712909061551</v>
      </c>
      <c r="K41" s="95">
        <f t="shared" si="18"/>
        <v>4525.4564235957205</v>
      </c>
      <c r="L41" s="95">
        <f t="shared" si="18"/>
        <v>4377.9659979131548</v>
      </c>
      <c r="M41" s="95">
        <f t="shared" si="18"/>
        <v>4553.7578282901541</v>
      </c>
      <c r="N41" s="95">
        <f t="shared" si="18"/>
        <v>4448.2705871300795</v>
      </c>
      <c r="O41" s="95">
        <f t="shared" si="18"/>
        <v>4311.8027876147971</v>
      </c>
      <c r="P41" s="95">
        <f t="shared" si="18"/>
        <v>4210.6610252546607</v>
      </c>
    </row>
    <row r="42" spans="3:16" x14ac:dyDescent="0.2">
      <c r="C42" s="98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3:16" x14ac:dyDescent="0.2">
      <c r="C43" s="101" t="s">
        <v>297</v>
      </c>
      <c r="D43" s="97">
        <f>(D41+E41)/2</f>
        <v>4918.1203026542498</v>
      </c>
      <c r="E43" s="97">
        <f>(E41+F41)/2</f>
        <v>5106.5245911966449</v>
      </c>
      <c r="F43" s="97">
        <f t="shared" ref="F43:N43" si="19">(F41+G41)/2</f>
        <v>4943.760386434421</v>
      </c>
      <c r="G43" s="97">
        <f t="shared" si="19"/>
        <v>4731.5012961594912</v>
      </c>
      <c r="H43" s="97">
        <f t="shared" si="19"/>
        <v>4768.0459515633156</v>
      </c>
      <c r="I43" s="97">
        <f t="shared" si="19"/>
        <v>4854.7871564752031</v>
      </c>
      <c r="J43" s="97">
        <f t="shared" si="19"/>
        <v>4651.9138572509382</v>
      </c>
      <c r="K43" s="97">
        <f t="shared" si="19"/>
        <v>4451.7112107544381</v>
      </c>
      <c r="L43" s="97">
        <f t="shared" si="19"/>
        <v>4465.8619131016549</v>
      </c>
      <c r="M43" s="97">
        <f t="shared" si="19"/>
        <v>4501.0142077101173</v>
      </c>
      <c r="N43" s="97">
        <f t="shared" si="19"/>
        <v>4380.0366873724379</v>
      </c>
      <c r="O43" s="97">
        <f>(O41+P41)/2</f>
        <v>4261.2319064347284</v>
      </c>
      <c r="P43" s="97">
        <f>(P41+4202.81735707)/2</f>
        <v>4206.7391911623308</v>
      </c>
    </row>
    <row r="44" spans="3:16" x14ac:dyDescent="0.2">
      <c r="C44" s="98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</row>
    <row r="45" spans="3:16" x14ac:dyDescent="0.2">
      <c r="C45" s="109" t="s">
        <v>286</v>
      </c>
      <c r="D45" s="110">
        <f>D37/D43</f>
        <v>0.12946843453854354</v>
      </c>
      <c r="E45" s="110">
        <f>E37/E43</f>
        <v>0.14591564227170511</v>
      </c>
      <c r="F45" s="110">
        <f t="shared" ref="F45:P45" si="20">F37/F43</f>
        <v>0.12346840168995554</v>
      </c>
      <c r="G45" s="110">
        <f t="shared" si="20"/>
        <v>0.20157161992324715</v>
      </c>
      <c r="H45" s="110">
        <f t="shared" si="20"/>
        <v>0.12013611776083115</v>
      </c>
      <c r="I45" s="110">
        <f t="shared" si="20"/>
        <v>0.15162884537477672</v>
      </c>
      <c r="J45" s="110">
        <f t="shared" si="20"/>
        <v>0.20735469885314287</v>
      </c>
      <c r="K45" s="110">
        <f t="shared" si="20"/>
        <v>0.12463896066631465</v>
      </c>
      <c r="L45" s="110">
        <f t="shared" si="20"/>
        <v>0.12759142300204565</v>
      </c>
      <c r="M45" s="110">
        <f t="shared" si="20"/>
        <v>9.6279132827482947E-2</v>
      </c>
      <c r="N45" s="110">
        <f t="shared" si="20"/>
        <v>0.12359004495601716</v>
      </c>
      <c r="O45" s="110">
        <f t="shared" si="20"/>
        <v>9.8424530114926037E-2</v>
      </c>
      <c r="P45" s="110">
        <f t="shared" si="20"/>
        <v>0.11562772024752309</v>
      </c>
    </row>
    <row r="46" spans="3:16" x14ac:dyDescent="0.2">
      <c r="C46" s="133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</row>
    <row r="47" spans="3:16" x14ac:dyDescent="0.2">
      <c r="C47" s="71"/>
      <c r="D47" s="71"/>
      <c r="E47" s="71"/>
      <c r="F47" s="71"/>
      <c r="G47" s="103"/>
      <c r="H47" s="103"/>
      <c r="I47" s="71"/>
      <c r="J47" s="71"/>
      <c r="K47" s="71"/>
      <c r="L47" s="71"/>
      <c r="M47" s="71"/>
      <c r="N47" s="71"/>
      <c r="O47" s="71"/>
      <c r="P47" s="71"/>
    </row>
    <row r="48" spans="3:16" x14ac:dyDescent="0.2">
      <c r="C48" s="66"/>
      <c r="D48" s="66"/>
      <c r="E48" s="66"/>
      <c r="F48" s="66"/>
      <c r="G48" s="104"/>
      <c r="H48" s="104"/>
      <c r="I48" s="66"/>
      <c r="J48" s="66"/>
      <c r="K48" s="66"/>
      <c r="L48" s="66"/>
      <c r="M48" s="66"/>
      <c r="N48" s="66"/>
      <c r="O48" s="66"/>
      <c r="P48" s="66"/>
    </row>
    <row r="49" spans="1:16" s="116" customFormat="1" x14ac:dyDescent="0.2">
      <c r="C49" s="117"/>
      <c r="D49" s="117"/>
      <c r="E49" s="117"/>
      <c r="F49" s="117"/>
      <c r="G49" s="118"/>
      <c r="H49" s="118"/>
      <c r="I49" s="117"/>
      <c r="J49" s="117"/>
      <c r="K49" s="117"/>
      <c r="L49" s="117"/>
      <c r="M49" s="117"/>
      <c r="N49" s="117"/>
      <c r="O49" s="117"/>
      <c r="P49" s="117"/>
    </row>
    <row r="50" spans="1:16" s="116" customFormat="1" x14ac:dyDescent="0.2">
      <c r="C50" s="117" t="s">
        <v>10</v>
      </c>
      <c r="D50" s="119">
        <f>INDEX('2 Resultatregnskap'!$C$36:$P$59,MATCH("Sum driftskostnader",'2 Resultatregnskap'!$C$36:$C$59,0),MATCH('1.2 APM'!D$10,'2 Resultatregnskap'!$C$36:$P$36,0))</f>
        <v>105.15123066000001</v>
      </c>
      <c r="E50" s="119">
        <f>INDEX('2 Resultatregnskap'!$C$36:$P$59,MATCH("Sum driftskostnader",'2 Resultatregnskap'!$C$36:$C$59,0),MATCH('1.2 APM'!E$10,'2 Resultatregnskap'!$C$36:$P$36,0))</f>
        <v>134.39324133999997</v>
      </c>
      <c r="F50" s="119">
        <f>INDEX('2 Resultatregnskap'!$C$36:$P$59,MATCH("Sum driftskostnader",'2 Resultatregnskap'!$C$36:$C$59,0),MATCH('1.2 APM'!F$10,'2 Resultatregnskap'!$C$36:$P$36,0))</f>
        <v>96.207290650000004</v>
      </c>
      <c r="G50" s="119">
        <f>INDEX('2 Resultatregnskap'!$C$36:$P$59,MATCH("Sum driftskostnader",'2 Resultatregnskap'!$C$36:$C$59,0),MATCH('1.2 APM'!G$10,'2 Resultatregnskap'!$C$36:$P$36,0))</f>
        <v>105.75960527999999</v>
      </c>
      <c r="H50" s="119">
        <f>INDEX('2 Resultatregnskap'!$C$36:$P$59,MATCH("Sum driftskostnader",'2 Resultatregnskap'!$C$36:$C$59,0),MATCH('1.2 APM'!H$10,'2 Resultatregnskap'!$C$36:$P$36,0))</f>
        <v>133.29227917999998</v>
      </c>
      <c r="I50" s="119">
        <f>INDEX('2 Resultatregnskap'!$C$36:$P$59,MATCH("Sum driftskostnader",'2 Resultatregnskap'!$C$36:$C$59,0),MATCH('1.2 APM'!I$10,'2 Resultatregnskap'!$C$36:$P$36,0))</f>
        <v>61.43758012</v>
      </c>
      <c r="J50" s="119">
        <f>INDEX('2 Resultatregnskap'!$C$36:$P$59,MATCH("Sum driftskostnader",'2 Resultatregnskap'!$C$36:$C$59,0),MATCH('1.2 APM'!J$10,'2 Resultatregnskap'!$C$36:$P$36,0))</f>
        <v>89.180340760000007</v>
      </c>
      <c r="K50" s="119">
        <f>INDEX('2 Resultatregnskap'!$C$36:$P$59,MATCH("Sum driftskostnader",'2 Resultatregnskap'!$C$36:$C$59,0),MATCH('1.2 APM'!K$10,'2 Resultatregnskap'!$C$36:$P$36,0))</f>
        <v>93.628644269999995</v>
      </c>
      <c r="L50" s="119">
        <f>INDEX('2 Resultatregnskap'!$C$36:$P$59,MATCH("Sum driftskostnader",'2 Resultatregnskap'!$C$36:$C$59,0),MATCH('1.2 APM'!L$10,'2 Resultatregnskap'!$C$36:$P$36,0))</f>
        <v>90.778618389999991</v>
      </c>
      <c r="M50" s="119">
        <f>INDEX('2 Resultatregnskap'!$C$36:$P$59,MATCH("Sum driftskostnader",'2 Resultatregnskap'!$C$36:$C$59,0),MATCH('1.2 APM'!M$10,'2 Resultatregnskap'!$C$36:$P$36,0))</f>
        <v>85.408118930000001</v>
      </c>
      <c r="N50" s="119">
        <f>INDEX('2 Resultatregnskap'!$C$36:$P$59,MATCH("Sum driftskostnader",'2 Resultatregnskap'!$C$36:$C$59,0),MATCH('1.2 APM'!N$10,'2 Resultatregnskap'!$C$36:$P$36,0))</f>
        <v>80.529679409999972</v>
      </c>
      <c r="O50" s="119">
        <f>INDEX('2 Resultatregnskap'!$C$36:$P$59,MATCH("Sum driftskostnader",'2 Resultatregnskap'!$C$36:$C$59,0),MATCH('1.2 APM'!O$10,'2 Resultatregnskap'!$C$36:$P$36,0))</f>
        <v>81.022794470000008</v>
      </c>
      <c r="P50" s="119">
        <f>INDEX('2 Resultatregnskap'!$C$36:$P$59,MATCH("Sum driftskostnader",'2 Resultatregnskap'!$C$36:$C$59,0),MATCH('1.2 APM'!P$10,'2 Resultatregnskap'!$C$36:$P$36,0))</f>
        <v>79.617950310000012</v>
      </c>
    </row>
    <row r="51" spans="1:16" s="116" customFormat="1" x14ac:dyDescent="0.2">
      <c r="C51" s="117" t="s">
        <v>7</v>
      </c>
      <c r="D51" s="119">
        <f>INDEX('2 Resultatregnskap'!$C$36:$P$59,MATCH("Sum inntekter",'2 Resultatregnskap'!$C$36:$C$59,0),MATCH('1.2 APM'!D$10,'2 Resultatregnskap'!$C$36:$P$36,0))</f>
        <v>293.98852585000003</v>
      </c>
      <c r="E51" s="119">
        <f>INDEX('2 Resultatregnskap'!$C$36:$P$59,MATCH("Sum inntekter",'2 Resultatregnskap'!$C$36:$C$59,0),MATCH('1.2 APM'!E$10,'2 Resultatregnskap'!$C$36:$P$36,0))</f>
        <v>320.13805252999998</v>
      </c>
      <c r="F51" s="119">
        <f>INDEX('2 Resultatregnskap'!$C$36:$P$59,MATCH("Sum inntekter",'2 Resultatregnskap'!$C$36:$C$59,0),MATCH('1.2 APM'!F$10,'2 Resultatregnskap'!$C$36:$P$36,0))</f>
        <v>273.65044721000004</v>
      </c>
      <c r="G51" s="119">
        <f>INDEX('2 Resultatregnskap'!$C$36:$P$59,MATCH("Sum inntekter",'2 Resultatregnskap'!$C$36:$C$59,0),MATCH('1.2 APM'!G$10,'2 Resultatregnskap'!$C$36:$P$36,0))</f>
        <v>381.59723979</v>
      </c>
      <c r="H51" s="119">
        <f>INDEX('2 Resultatregnskap'!$C$36:$P$59,MATCH("Sum inntekter",'2 Resultatregnskap'!$C$36:$C$59,0),MATCH('1.2 APM'!H$10,'2 Resultatregnskap'!$C$36:$P$36,0))</f>
        <v>325.88881913</v>
      </c>
      <c r="I51" s="119">
        <f>INDEX('2 Resultatregnskap'!$C$36:$P$59,MATCH("Sum inntekter",'2 Resultatregnskap'!$C$36:$C$59,0),MATCH('1.2 APM'!I$10,'2 Resultatregnskap'!$C$36:$P$36,0))</f>
        <v>278.13278802999997</v>
      </c>
      <c r="J51" s="119">
        <f>INDEX('2 Resultatregnskap'!$C$36:$P$59,MATCH("Sum inntekter",'2 Resultatregnskap'!$C$36:$C$59,0),MATCH('1.2 APM'!J$10,'2 Resultatregnskap'!$C$36:$P$36,0))</f>
        <v>335.42529657</v>
      </c>
      <c r="K51" s="119">
        <f>INDEX('2 Resultatregnskap'!$C$36:$P$59,MATCH("Sum inntekter",'2 Resultatregnskap'!$C$36:$C$59,0),MATCH('1.2 APM'!K$10,'2 Resultatregnskap'!$C$36:$P$36,0))</f>
        <v>267.46758958999999</v>
      </c>
      <c r="L51" s="119">
        <f>INDEX('2 Resultatregnskap'!$C$36:$P$59,MATCH("Sum inntekter",'2 Resultatregnskap'!$C$36:$C$59,0),MATCH('1.2 APM'!L$10,'2 Resultatregnskap'!$C$36:$P$36,0))</f>
        <v>279.6326183599997</v>
      </c>
      <c r="M51" s="119">
        <f>INDEX('2 Resultatregnskap'!$C$36:$P$59,MATCH("Sum inntekter",'2 Resultatregnskap'!$C$36:$C$59,0),MATCH('1.2 APM'!M$10,'2 Resultatregnskap'!$C$36:$P$36,0))</f>
        <v>252.45471551000003</v>
      </c>
      <c r="N51" s="119">
        <f>INDEX('2 Resultatregnskap'!$C$36:$P$59,MATCH("Sum inntekter",'2 Resultatregnskap'!$C$36:$C$59,0),MATCH('1.2 APM'!N$10,'2 Resultatregnskap'!$C$36:$P$36,0))</f>
        <v>259.68041348000025</v>
      </c>
      <c r="O51" s="119">
        <f>INDEX('2 Resultatregnskap'!$C$36:$P$59,MATCH("Sum inntekter",'2 Resultatregnskap'!$C$36:$C$59,0),MATCH('1.2 APM'!O$10,'2 Resultatregnskap'!$C$36:$P$36,0))</f>
        <v>303.20840202999977</v>
      </c>
      <c r="P51" s="119">
        <f>INDEX('2 Resultatregnskap'!$C$36:$P$59,MATCH("Sum inntekter",'2 Resultatregnskap'!$C$36:$C$59,0),MATCH('1.2 APM'!P$10,'2 Resultatregnskap'!$C$36:$P$36,0))</f>
        <v>228.1032664999999</v>
      </c>
    </row>
    <row r="52" spans="1:16" s="116" customFormat="1" x14ac:dyDescent="0.2">
      <c r="C52" s="122" t="s">
        <v>30</v>
      </c>
      <c r="D52" s="186">
        <f>D50/D51</f>
        <v>0.35767120623493542</v>
      </c>
      <c r="E52" s="186">
        <f>E50/E51</f>
        <v>0.41979777248568739</v>
      </c>
      <c r="F52" s="186">
        <f t="shared" ref="F52:P52" si="21">F50/F51</f>
        <v>0.35157001068655402</v>
      </c>
      <c r="G52" s="186">
        <f t="shared" si="21"/>
        <v>0.27714981727383942</v>
      </c>
      <c r="H52" s="186">
        <f t="shared" si="21"/>
        <v>0.40901151360712529</v>
      </c>
      <c r="I52" s="186">
        <f t="shared" si="21"/>
        <v>0.22089297905205343</v>
      </c>
      <c r="J52" s="186">
        <f t="shared" si="21"/>
        <v>0.26587243619352047</v>
      </c>
      <c r="K52" s="186">
        <f t="shared" si="21"/>
        <v>0.35005603637256749</v>
      </c>
      <c r="L52" s="186">
        <f t="shared" si="21"/>
        <v>0.32463529799349583</v>
      </c>
      <c r="M52" s="186">
        <f t="shared" si="21"/>
        <v>0.33831065011981082</v>
      </c>
      <c r="N52" s="186">
        <f t="shared" si="21"/>
        <v>0.31011071775038629</v>
      </c>
      <c r="O52" s="186">
        <f t="shared" si="21"/>
        <v>0.26721817049774077</v>
      </c>
      <c r="P52" s="186">
        <f t="shared" si="21"/>
        <v>0.34904344655669384</v>
      </c>
    </row>
    <row r="53" spans="1:16" s="116" customFormat="1" x14ac:dyDescent="0.2">
      <c r="C53" s="117"/>
      <c r="D53" s="117"/>
      <c r="E53" s="117"/>
      <c r="F53" s="117"/>
      <c r="G53" s="118"/>
      <c r="H53" s="118"/>
      <c r="I53" s="117"/>
      <c r="J53" s="117"/>
      <c r="K53" s="117"/>
      <c r="L53" s="117"/>
      <c r="M53" s="117"/>
      <c r="N53" s="117"/>
      <c r="O53" s="117"/>
      <c r="P53" s="117"/>
    </row>
    <row r="54" spans="1:16" x14ac:dyDescent="0.2">
      <c r="C54" s="66"/>
      <c r="D54" s="66"/>
      <c r="E54" s="66"/>
      <c r="F54" s="66"/>
      <c r="G54" s="104"/>
      <c r="H54" s="104"/>
      <c r="I54" s="66"/>
      <c r="J54" s="66"/>
      <c r="K54" s="66"/>
      <c r="L54" s="66"/>
      <c r="M54" s="66"/>
      <c r="N54" s="66"/>
      <c r="O54" s="66"/>
      <c r="P54" s="66"/>
    </row>
    <row r="55" spans="1:16" x14ac:dyDescent="0.2">
      <c r="C55" s="71"/>
      <c r="D55" s="71"/>
      <c r="E55" s="71"/>
      <c r="F55" s="71"/>
      <c r="G55" s="103"/>
      <c r="H55" s="103"/>
      <c r="I55" s="71"/>
      <c r="J55" s="71"/>
      <c r="K55" s="71"/>
      <c r="L55" s="71"/>
      <c r="M55" s="71"/>
      <c r="N55" s="71"/>
      <c r="O55" s="71"/>
      <c r="P55" s="71"/>
    </row>
    <row r="56" spans="1:16" x14ac:dyDescent="0.2">
      <c r="C56" s="71"/>
      <c r="D56" s="71"/>
      <c r="E56" s="71"/>
      <c r="F56" s="71"/>
      <c r="G56" s="103"/>
      <c r="H56" s="103"/>
      <c r="I56" s="71"/>
      <c r="J56" s="71"/>
      <c r="K56" s="71"/>
      <c r="L56" s="71"/>
      <c r="M56" s="71"/>
      <c r="N56" s="71"/>
      <c r="O56" s="71"/>
      <c r="P56" s="71"/>
    </row>
    <row r="57" spans="1:16" s="142" customFormat="1" x14ac:dyDescent="0.2">
      <c r="B57" s="143"/>
      <c r="C57" s="123" t="s">
        <v>10</v>
      </c>
      <c r="D57" s="124">
        <f>INDEX('2 Resultatregnskap'!$C$36:$P$59,MATCH("Sum driftskostnader",'2 Resultatregnskap'!$C$36:$C$59,0),MATCH('1.2 APM'!D$10,'2 Resultatregnskap'!$C$36:$P$36,0))</f>
        <v>105.15123066000001</v>
      </c>
      <c r="E57" s="124">
        <f>INDEX('2 Resultatregnskap'!$C$36:$P$59,MATCH("Sum driftskostnader",'2 Resultatregnskap'!$C$36:$C$59,0),MATCH('1.2 APM'!E$10,'2 Resultatregnskap'!$C$36:$P$36,0))</f>
        <v>134.39324133999997</v>
      </c>
      <c r="F57" s="124">
        <f>INDEX('2 Resultatregnskap'!$C$36:$P$59,MATCH("Sum driftskostnader",'2 Resultatregnskap'!$C$36:$C$59,0),MATCH('1.2 APM'!F$10,'2 Resultatregnskap'!$C$36:$P$36,0))</f>
        <v>96.207290650000004</v>
      </c>
      <c r="G57" s="124">
        <f>INDEX('2 Resultatregnskap'!$C$36:$P$59,MATCH("Sum driftskostnader",'2 Resultatregnskap'!$C$36:$C$59,0),MATCH('1.2 APM'!G$10,'2 Resultatregnskap'!$C$36:$P$36,0))</f>
        <v>105.75960527999999</v>
      </c>
      <c r="H57" s="124">
        <f>INDEX('2 Resultatregnskap'!$C$36:$P$59,MATCH("Sum driftskostnader",'2 Resultatregnskap'!$C$36:$C$59,0),MATCH('1.2 APM'!H$10,'2 Resultatregnskap'!$C$36:$P$36,0))</f>
        <v>133.29227917999998</v>
      </c>
      <c r="I57" s="124">
        <f>INDEX('2 Resultatregnskap'!$C$36:$P$59,MATCH("Sum driftskostnader",'2 Resultatregnskap'!$C$36:$C$59,0),MATCH('1.2 APM'!I$10,'2 Resultatregnskap'!$C$36:$P$36,0))</f>
        <v>61.43758012</v>
      </c>
      <c r="J57" s="124">
        <f>INDEX('2 Resultatregnskap'!$C$36:$P$59,MATCH("Sum driftskostnader",'2 Resultatregnskap'!$C$36:$C$59,0),MATCH('1.2 APM'!J$10,'2 Resultatregnskap'!$C$36:$P$36,0))</f>
        <v>89.180340760000007</v>
      </c>
      <c r="K57" s="124">
        <f>INDEX('2 Resultatregnskap'!$C$36:$P$59,MATCH("Sum driftskostnader",'2 Resultatregnskap'!$C$36:$C$59,0),MATCH('1.2 APM'!K$10,'2 Resultatregnskap'!$C$36:$P$36,0))</f>
        <v>93.628644269999995</v>
      </c>
      <c r="L57" s="124">
        <f>INDEX('2 Resultatregnskap'!$C$36:$P$59,MATCH("Sum driftskostnader",'2 Resultatregnskap'!$C$36:$C$59,0),MATCH('1.2 APM'!L$10,'2 Resultatregnskap'!$C$36:$P$36,0))</f>
        <v>90.778618389999991</v>
      </c>
      <c r="M57" s="124">
        <f>INDEX('2 Resultatregnskap'!$C$36:$P$59,MATCH("Sum driftskostnader",'2 Resultatregnskap'!$C$36:$C$59,0),MATCH('1.2 APM'!M$10,'2 Resultatregnskap'!$C$36:$P$36,0))</f>
        <v>85.408118930000001</v>
      </c>
      <c r="N57" s="124">
        <f>INDEX('2 Resultatregnskap'!$C$36:$P$59,MATCH("Sum driftskostnader",'2 Resultatregnskap'!$C$36:$C$59,0),MATCH('1.2 APM'!N$10,'2 Resultatregnskap'!$C$36:$P$36,0))</f>
        <v>80.529679409999972</v>
      </c>
      <c r="O57" s="124">
        <f>INDEX('2 Resultatregnskap'!$C$36:$P$59,MATCH("Sum driftskostnader",'2 Resultatregnskap'!$C$36:$C$59,0),MATCH('1.2 APM'!O$10,'2 Resultatregnskap'!$C$36:$P$36,0))</f>
        <v>81.022794470000008</v>
      </c>
      <c r="P57" s="124">
        <f>INDEX('2 Resultatregnskap'!$C$36:$P$59,MATCH("Sum driftskostnader",'2 Resultatregnskap'!$C$36:$C$59,0),MATCH('1.2 APM'!P$10,'2 Resultatregnskap'!$C$36:$P$36,0))</f>
        <v>79.617950310000012</v>
      </c>
    </row>
    <row r="58" spans="1:16" s="142" customFormat="1" x14ac:dyDescent="0.2">
      <c r="C58" s="123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</row>
    <row r="59" spans="1:16" s="142" customFormat="1" x14ac:dyDescent="0.2">
      <c r="C59" s="123" t="s">
        <v>7</v>
      </c>
      <c r="D59" s="183">
        <f>INDEX('2 Resultatregnskap'!$C$36:$P$59,MATCH("Sum inntekter",'2 Resultatregnskap'!$C$36:$C$59,0),MATCH('1.2 APM'!D$10,'2 Resultatregnskap'!$C$36:$P$36,0))</f>
        <v>293.98852585000003</v>
      </c>
      <c r="E59" s="183">
        <f>INDEX('2 Resultatregnskap'!$C$36:$P$59,MATCH("Sum inntekter",'2 Resultatregnskap'!$C$36:$C$59,0),MATCH('1.2 APM'!E$10,'2 Resultatregnskap'!$C$36:$P$36,0))</f>
        <v>320.13805252999998</v>
      </c>
      <c r="F59" s="183">
        <f>INDEX('2 Resultatregnskap'!$C$36:$P$59,MATCH("Sum inntekter",'2 Resultatregnskap'!$C$36:$C$59,0),MATCH('1.2 APM'!F$10,'2 Resultatregnskap'!$C$36:$P$36,0))</f>
        <v>273.65044721000004</v>
      </c>
      <c r="G59" s="183">
        <f>INDEX('2 Resultatregnskap'!$C$36:$P$59,MATCH("Sum inntekter",'2 Resultatregnskap'!$C$36:$C$59,0),MATCH('1.2 APM'!G$10,'2 Resultatregnskap'!$C$36:$P$36,0))</f>
        <v>381.59723979</v>
      </c>
      <c r="H59" s="183">
        <f>INDEX('2 Resultatregnskap'!$C$36:$P$59,MATCH("Sum inntekter",'2 Resultatregnskap'!$C$36:$C$59,0),MATCH('1.2 APM'!H$10,'2 Resultatregnskap'!$C$36:$P$36,0))</f>
        <v>325.88881913</v>
      </c>
      <c r="I59" s="183">
        <f>INDEX('2 Resultatregnskap'!$C$36:$P$59,MATCH("Sum inntekter",'2 Resultatregnskap'!$C$36:$C$59,0),MATCH('1.2 APM'!I$10,'2 Resultatregnskap'!$C$36:$P$36,0))</f>
        <v>278.13278802999997</v>
      </c>
      <c r="J59" s="183">
        <f>INDEX('2 Resultatregnskap'!$C$36:$P$59,MATCH("Sum inntekter",'2 Resultatregnskap'!$C$36:$C$59,0),MATCH('1.2 APM'!J$10,'2 Resultatregnskap'!$C$36:$P$36,0))</f>
        <v>335.42529657</v>
      </c>
      <c r="K59" s="183">
        <f>INDEX('2 Resultatregnskap'!$C$36:$P$59,MATCH("Sum inntekter",'2 Resultatregnskap'!$C$36:$C$59,0),MATCH('1.2 APM'!K$10,'2 Resultatregnskap'!$C$36:$P$36,0))</f>
        <v>267.46758958999999</v>
      </c>
      <c r="L59" s="183">
        <f>INDEX('2 Resultatregnskap'!$C$36:$P$59,MATCH("Sum inntekter",'2 Resultatregnskap'!$C$36:$C$59,0),MATCH('1.2 APM'!L$10,'2 Resultatregnskap'!$C$36:$P$36,0))</f>
        <v>279.6326183599997</v>
      </c>
      <c r="M59" s="183">
        <f>INDEX('2 Resultatregnskap'!$C$36:$P$59,MATCH("Sum inntekter",'2 Resultatregnskap'!$C$36:$C$59,0),MATCH('1.2 APM'!M$10,'2 Resultatregnskap'!$C$36:$P$36,0))</f>
        <v>252.45471551000003</v>
      </c>
      <c r="N59" s="183">
        <f>INDEX('2 Resultatregnskap'!$C$36:$P$59,MATCH("Sum inntekter",'2 Resultatregnskap'!$C$36:$C$59,0),MATCH('1.2 APM'!N$10,'2 Resultatregnskap'!$C$36:$P$36,0))</f>
        <v>259.68041348000025</v>
      </c>
      <c r="O59" s="183">
        <f>INDEX('2 Resultatregnskap'!$C$36:$P$59,MATCH("Sum inntekter",'2 Resultatregnskap'!$C$36:$C$59,0),MATCH('1.2 APM'!O$10,'2 Resultatregnskap'!$C$36:$P$36,0))</f>
        <v>303.20840202999977</v>
      </c>
      <c r="P59" s="183">
        <f>INDEX('2 Resultatregnskap'!$C$36:$P$59,MATCH("Sum inntekter",'2 Resultatregnskap'!$C$36:$C$59,0),MATCH('1.2 APM'!P$10,'2 Resultatregnskap'!$C$36:$P$36,0))</f>
        <v>228.1032664999999</v>
      </c>
    </row>
    <row r="60" spans="1:16" s="142" customFormat="1" x14ac:dyDescent="0.2">
      <c r="B60" s="148"/>
      <c r="C60" s="164" t="s">
        <v>304</v>
      </c>
      <c r="D60" s="124">
        <f>INDEX('2 Resultatregnskap'!$C$36:$P$59,MATCH("Netto avkastning på finansielle investeringer",'2 Resultatregnskap'!$C$36:$C$59,0),MATCH('1.2 APM'!D$10,'2 Resultatregnskap'!$C$36:$P$36,0))</f>
        <v>38.199640170000002</v>
      </c>
      <c r="E60" s="124">
        <f>INDEX('2 Resultatregnskap'!$C$36:$P$59,MATCH("Netto avkastning på finansielle investeringer",'2 Resultatregnskap'!$C$36:$C$59,0),MATCH('1.2 APM'!E$10,'2 Resultatregnskap'!$C$36:$P$36,0))</f>
        <v>46.297359639999996</v>
      </c>
      <c r="F60" s="124">
        <f>INDEX('2 Resultatregnskap'!$C$36:$P$59,MATCH("Netto avkastning på finansielle investeringer",'2 Resultatregnskap'!$C$36:$C$59,0),MATCH('1.2 APM'!F$10,'2 Resultatregnskap'!$C$36:$P$36,0))</f>
        <v>8.9460027100000001</v>
      </c>
      <c r="G60" s="124">
        <f>INDEX('2 Resultatregnskap'!$C$36:$P$59,MATCH("Netto avkastning på finansielle investeringer",'2 Resultatregnskap'!$C$36:$C$59,0),MATCH('1.2 APM'!G$10,'2 Resultatregnskap'!$C$36:$P$36,0))</f>
        <v>112.60867471</v>
      </c>
      <c r="H60" s="124">
        <f>INDEX('2 Resultatregnskap'!$C$36:$P$59,MATCH("Netto avkastning på finansielle investeringer",'2 Resultatregnskap'!$C$36:$C$59,0),MATCH('1.2 APM'!H$10,'2 Resultatregnskap'!$C$36:$P$36,0))</f>
        <v>34.188566309999999</v>
      </c>
      <c r="I60" s="124">
        <f>INDEX('2 Resultatregnskap'!$C$36:$P$59,MATCH("Netto avkastning på finansielle investeringer",'2 Resultatregnskap'!$C$36:$C$59,0),MATCH('1.2 APM'!I$10,'2 Resultatregnskap'!$C$36:$P$36,0))</f>
        <v>10.159552539999998</v>
      </c>
      <c r="J60" s="124">
        <f>INDEX('2 Resultatregnskap'!$C$36:$P$59,MATCH("Netto avkastning på finansielle investeringer",'2 Resultatregnskap'!$C$36:$C$59,0),MATCH('1.2 APM'!J$10,'2 Resultatregnskap'!$C$36:$P$36,0))</f>
        <v>67.993509849999995</v>
      </c>
      <c r="K60" s="124">
        <f>INDEX('2 Resultatregnskap'!$C$36:$P$59,MATCH("Netto avkastning på finansielle investeringer",'2 Resultatregnskap'!$C$36:$C$59,0),MATCH('1.2 APM'!K$10,'2 Resultatregnskap'!$C$36:$P$36,0))</f>
        <v>11.21172065</v>
      </c>
      <c r="L60" s="124">
        <f>INDEX('2 Resultatregnskap'!$C$36:$P$59,MATCH("Netto avkastning på finansielle investeringer",'2 Resultatregnskap'!$C$36:$C$59,0),MATCH('1.2 APM'!L$10,'2 Resultatregnskap'!$C$36:$P$36,0))</f>
        <v>29.962225580000023</v>
      </c>
      <c r="M60" s="124">
        <f>INDEX('2 Resultatregnskap'!$C$36:$P$59,MATCH("Netto avkastning på finansielle investeringer",'2 Resultatregnskap'!$C$36:$C$59,0),MATCH('1.2 APM'!M$10,'2 Resultatregnskap'!$C$36:$P$36,0))</f>
        <v>-3.3220158700000288</v>
      </c>
      <c r="N60" s="124">
        <f>INDEX('2 Resultatregnskap'!$C$36:$P$59,MATCH("Netto avkastning på finansielle investeringer",'2 Resultatregnskap'!$C$36:$C$59,0),MATCH('1.2 APM'!N$10,'2 Resultatregnskap'!$C$36:$P$36,0))</f>
        <v>19.242002350000007</v>
      </c>
      <c r="O60" s="124">
        <f>INDEX('2 Resultatregnskap'!$C$36:$P$59,MATCH("Netto avkastning på finansielle investeringer",'2 Resultatregnskap'!$C$36:$C$59,0),MATCH('1.2 APM'!O$10,'2 Resultatregnskap'!$C$36:$P$36,0))</f>
        <v>78.522385799999981</v>
      </c>
      <c r="P60" s="124">
        <f>INDEX('2 Resultatregnskap'!$C$36:$P$59,MATCH("Netto avkastning på finansielle investeringer",'2 Resultatregnskap'!$C$36:$C$59,0),MATCH('1.2 APM'!P$10,'2 Resultatregnskap'!$C$36:$P$36,0))</f>
        <v>18.728736570000024</v>
      </c>
    </row>
    <row r="61" spans="1:16" s="142" customFormat="1" x14ac:dyDescent="0.2">
      <c r="B61" s="148"/>
      <c r="C61" s="185" t="s">
        <v>365</v>
      </c>
      <c r="D61" s="167">
        <f>D59-D60</f>
        <v>255.78888568000002</v>
      </c>
      <c r="E61" s="167">
        <f t="shared" ref="E61:P61" si="22">E59-E60</f>
        <v>273.84069289000001</v>
      </c>
      <c r="F61" s="167">
        <f t="shared" si="22"/>
        <v>264.70444450000002</v>
      </c>
      <c r="G61" s="167">
        <f t="shared" si="22"/>
        <v>268.98856508</v>
      </c>
      <c r="H61" s="167">
        <f t="shared" si="22"/>
        <v>291.70025282</v>
      </c>
      <c r="I61" s="167">
        <f t="shared" si="22"/>
        <v>267.97323548999998</v>
      </c>
      <c r="J61" s="167">
        <f t="shared" si="22"/>
        <v>267.43178671999999</v>
      </c>
      <c r="K61" s="167">
        <f t="shared" si="22"/>
        <v>256.25586893999997</v>
      </c>
      <c r="L61" s="167">
        <f t="shared" si="22"/>
        <v>249.67039277999967</v>
      </c>
      <c r="M61" s="167">
        <f t="shared" si="22"/>
        <v>255.77673138000006</v>
      </c>
      <c r="N61" s="167">
        <f t="shared" si="22"/>
        <v>240.43841113000025</v>
      </c>
      <c r="O61" s="167">
        <f t="shared" si="22"/>
        <v>224.68601622999978</v>
      </c>
      <c r="P61" s="167">
        <f t="shared" si="22"/>
        <v>209.37452992999988</v>
      </c>
    </row>
    <row r="62" spans="1:16" s="142" customFormat="1" x14ac:dyDescent="0.2">
      <c r="B62" s="148"/>
      <c r="C62" s="16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</row>
    <row r="63" spans="1:16" s="142" customFormat="1" x14ac:dyDescent="0.2">
      <c r="A63" s="116"/>
      <c r="C63" s="126" t="s">
        <v>299</v>
      </c>
      <c r="D63" s="155">
        <f>D57/D61</f>
        <v>0.41108600313286292</v>
      </c>
      <c r="E63" s="155">
        <f t="shared" ref="E63:P63" si="23">E57/E61</f>
        <v>0.4907716231713774</v>
      </c>
      <c r="F63" s="155">
        <f t="shared" si="23"/>
        <v>0.36345173890723997</v>
      </c>
      <c r="G63" s="155">
        <f t="shared" si="23"/>
        <v>0.39317509741927498</v>
      </c>
      <c r="H63" s="155">
        <f t="shared" si="23"/>
        <v>0.45694948115883494</v>
      </c>
      <c r="I63" s="155">
        <f t="shared" si="23"/>
        <v>0.2292675983392852</v>
      </c>
      <c r="J63" s="155">
        <f t="shared" si="23"/>
        <v>0.33346948713083036</v>
      </c>
      <c r="K63" s="155">
        <f t="shared" si="23"/>
        <v>0.36537170702584887</v>
      </c>
      <c r="L63" s="155">
        <f t="shared" si="23"/>
        <v>0.3635938461874042</v>
      </c>
      <c r="M63" s="155">
        <f t="shared" si="23"/>
        <v>0.33391668768771482</v>
      </c>
      <c r="N63" s="155">
        <f t="shared" si="23"/>
        <v>0.33492851259301987</v>
      </c>
      <c r="O63" s="155">
        <f t="shared" si="23"/>
        <v>0.36060452639411722</v>
      </c>
      <c r="P63" s="155">
        <f t="shared" si="23"/>
        <v>0.38026569103996871</v>
      </c>
    </row>
    <row r="64" spans="1:16" x14ac:dyDescent="0.2">
      <c r="C64" s="71"/>
      <c r="D64" s="71"/>
      <c r="E64" s="71"/>
      <c r="F64" s="71"/>
      <c r="G64" s="103"/>
      <c r="H64" s="103"/>
      <c r="I64" s="71"/>
      <c r="J64" s="71"/>
      <c r="K64" s="71"/>
      <c r="L64" s="71"/>
      <c r="M64" s="71"/>
      <c r="N64" s="71"/>
      <c r="O64" s="71"/>
      <c r="P64" s="71"/>
    </row>
    <row r="65" spans="3:16" x14ac:dyDescent="0.2">
      <c r="C65" s="71"/>
      <c r="D65" s="71"/>
      <c r="E65" s="71"/>
      <c r="F65" s="71"/>
      <c r="G65" s="103"/>
      <c r="H65" s="103"/>
      <c r="I65" s="71"/>
      <c r="J65" s="71"/>
      <c r="K65" s="71"/>
      <c r="L65" s="71"/>
      <c r="M65" s="71"/>
      <c r="N65" s="71"/>
      <c r="O65" s="71"/>
      <c r="P65" s="71"/>
    </row>
    <row r="66" spans="3:16" x14ac:dyDescent="0.2">
      <c r="C66" s="66"/>
      <c r="D66" s="66"/>
      <c r="E66" s="66"/>
      <c r="F66" s="66"/>
      <c r="G66" s="104"/>
      <c r="H66" s="104"/>
      <c r="I66" s="66"/>
      <c r="J66" s="66"/>
      <c r="K66" s="66"/>
      <c r="L66" s="66"/>
      <c r="M66" s="66"/>
      <c r="N66" s="66"/>
      <c r="O66" s="66"/>
      <c r="P66" s="66"/>
    </row>
    <row r="67" spans="3:16" x14ac:dyDescent="0.2">
      <c r="C67" s="66"/>
      <c r="D67" s="66"/>
      <c r="E67" s="66"/>
      <c r="F67" s="66"/>
      <c r="G67" s="104"/>
      <c r="H67" s="104"/>
      <c r="I67" s="66"/>
      <c r="J67" s="66"/>
      <c r="K67" s="66"/>
      <c r="L67" s="66"/>
      <c r="M67" s="66"/>
      <c r="N67" s="66"/>
      <c r="O67" s="66"/>
      <c r="P67" s="66"/>
    </row>
    <row r="68" spans="3:16" x14ac:dyDescent="0.2">
      <c r="C68" s="66" t="s">
        <v>10</v>
      </c>
      <c r="D68" s="105">
        <f>INDEX('2 Resultatregnskap'!$C$9:$P$32,MATCH('1.2 APM'!$C$68,'2 Resultatregnskap'!$C$9:$C$32,0),MATCH('1.2 APM'!D$10,'2 Resultatregnskap'!$C$9:$P$9,0))</f>
        <v>140.86520609999999</v>
      </c>
      <c r="E68" s="105">
        <f>INDEX('2 Resultatregnskap'!$C$9:$P$32,MATCH('1.2 APM'!$C$68,'2 Resultatregnskap'!$C$9:$C$32,0),MATCH('1.2 APM'!E$10,'2 Resultatregnskap'!$C$9:$P$9,0))</f>
        <v>134.39324213999993</v>
      </c>
      <c r="F68" s="105">
        <f>INDEX('2 Resultatregnskap'!$C$9:$P$32,MATCH('1.2 APM'!$C$68,'2 Resultatregnskap'!$C$9:$C$32,0),MATCH('1.2 APM'!F$10,'2 Resultatregnskap'!$C$9:$P$9,0))</f>
        <v>131.4107093800001</v>
      </c>
      <c r="G68" s="105">
        <f>INDEX('2 Resultatregnskap'!$C$9:$P$32,MATCH('1.2 APM'!$C$68,'2 Resultatregnskap'!$C$9:$C$32,0),MATCH('1.2 APM'!G$10,'2 Resultatregnskap'!$C$9:$P$9,0))</f>
        <v>145.79289252000001</v>
      </c>
      <c r="H68" s="105">
        <f>INDEX('2 Resultatregnskap'!$C$9:$P$32,MATCH('1.2 APM'!$C$68,'2 Resultatregnskap'!$C$9:$C$32,0),MATCH('1.2 APM'!H$10,'2 Resultatregnskap'!$C$9:$P$9,0))</f>
        <v>133.0564694</v>
      </c>
      <c r="I68" s="105">
        <f>INDEX('2 Resultatregnskap'!$C$9:$P$32,MATCH('1.2 APM'!$C$68,'2 Resultatregnskap'!$C$9:$C$32,0),MATCH('1.2 APM'!I$10,'2 Resultatregnskap'!$C$9:$P$9,0))</f>
        <v>99.909972219999872</v>
      </c>
      <c r="J68" s="105">
        <f>INDEX('2 Resultatregnskap'!$C$9:$P$32,MATCH('1.2 APM'!$C$68,'2 Resultatregnskap'!$C$9:$C$32,0),MATCH('1.2 APM'!J$10,'2 Resultatregnskap'!$C$9:$P$9,0))</f>
        <v>125.17333866000008</v>
      </c>
      <c r="K68" s="105">
        <f>INDEX('2 Resultatregnskap'!$C$9:$P$32,MATCH('1.2 APM'!$C$68,'2 Resultatregnskap'!$C$9:$C$32,0),MATCH('1.2 APM'!K$10,'2 Resultatregnskap'!$C$9:$P$9,0))</f>
        <v>127.87810326999995</v>
      </c>
      <c r="L68" s="105">
        <f>INDEX('2 Resultatregnskap'!$C$9:$P$32,MATCH('1.2 APM'!$C$68,'2 Resultatregnskap'!$C$9:$C$32,0),MATCH('1.2 APM'!L$10,'2 Resultatregnskap'!$C$9:$P$9,0))</f>
        <v>125.07154238999999</v>
      </c>
      <c r="M68" s="105">
        <f>INDEX('2 Resultatregnskap'!$C$9:$P$32,MATCH('1.2 APM'!$C$68,'2 Resultatregnskap'!$C$9:$C$32,0),MATCH('1.2 APM'!M$10,'2 Resultatregnskap'!$C$9:$P$9,0))</f>
        <v>120.34840692999984</v>
      </c>
      <c r="N68" s="105">
        <f>INDEX('2 Resultatregnskap'!$C$9:$P$32,MATCH('1.2 APM'!$C$68,'2 Resultatregnskap'!$C$9:$C$32,0),MATCH('1.2 APM'!N$10,'2 Resultatregnskap'!$C$9:$P$9,0))</f>
        <v>108.58932901000004</v>
      </c>
      <c r="O68" s="105">
        <f>INDEX('2 Resultatregnskap'!$C$9:$P$32,MATCH('1.2 APM'!$C$68,'2 Resultatregnskap'!$C$9:$C$32,0),MATCH('1.2 APM'!O$10,'2 Resultatregnskap'!$C$9:$P$9,0))</f>
        <v>113.02114786999999</v>
      </c>
      <c r="P68" s="105">
        <f>INDEX('2 Resultatregnskap'!$C$9:$P$32,MATCH('1.2 APM'!$C$68,'2 Resultatregnskap'!$C$9:$C$32,0),MATCH('1.2 APM'!P$10,'2 Resultatregnskap'!$C$9:$P$9,0))</f>
        <v>112.85234831000001</v>
      </c>
    </row>
    <row r="69" spans="3:16" x14ac:dyDescent="0.2">
      <c r="C69" s="66" t="s">
        <v>7</v>
      </c>
      <c r="D69" s="105">
        <f>INDEX('2 Resultatregnskap'!$C$9:$P$32,MATCH($C$69,'2 Resultatregnskap'!$C$9:$C$32,0),MATCH('1.2 APM'!D$10,'2 Resultatregnskap'!$C$9:$P$9,0))</f>
        <v>332.86466081000015</v>
      </c>
      <c r="E69" s="105">
        <f>INDEX('2 Resultatregnskap'!$C$9:$P$32,MATCH($C$69,'2 Resultatregnskap'!$C$9:$C$32,0),MATCH('1.2 APM'!E$10,'2 Resultatregnskap'!$C$9:$P$9,0))</f>
        <v>353.05195124000028</v>
      </c>
      <c r="F69" s="105">
        <f>INDEX('2 Resultatregnskap'!$C$9:$P$32,MATCH($C$69,'2 Resultatregnskap'!$C$9:$C$32,0),MATCH('1.2 APM'!F$10,'2 Resultatregnskap'!$C$9:$P$9,0))</f>
        <v>336.30576134000069</v>
      </c>
      <c r="G69" s="105">
        <f>INDEX('2 Resultatregnskap'!$C$9:$P$32,MATCH($C$69,'2 Resultatregnskap'!$C$9:$C$32,0),MATCH('1.2 APM'!G$10,'2 Resultatregnskap'!$C$9:$P$9,0))</f>
        <v>430.91983347004316</v>
      </c>
      <c r="H69" s="105">
        <f>INDEX('2 Resultatregnskap'!$C$9:$P$32,MATCH($C$69,'2 Resultatregnskap'!$C$9:$C$32,0),MATCH('1.2 APM'!H$10,'2 Resultatregnskap'!$C$9:$P$9,0))</f>
        <v>326.02921068139796</v>
      </c>
      <c r="I69" s="105">
        <f>INDEX('2 Resultatregnskap'!$C$9:$P$32,MATCH($C$69,'2 Resultatregnskap'!$C$9:$C$32,0),MATCH('1.2 APM'!I$10,'2 Resultatregnskap'!$C$9:$P$9,0))</f>
        <v>322.71653994999991</v>
      </c>
      <c r="J69" s="105">
        <f>INDEX('2 Resultatregnskap'!$C$9:$P$32,MATCH($C$69,'2 Resultatregnskap'!$C$9:$C$32,0),MATCH('1.2 APM'!J$10,'2 Resultatregnskap'!$C$9:$P$9,0))</f>
        <v>442.98371677687965</v>
      </c>
      <c r="K69" s="105">
        <f>INDEX('2 Resultatregnskap'!$C$9:$P$32,MATCH($C$69,'2 Resultatregnskap'!$C$9:$C$32,0),MATCH('1.2 APM'!K$10,'2 Resultatregnskap'!$C$9:$P$9,0))</f>
        <v>304.91914503700019</v>
      </c>
      <c r="L69" s="105">
        <f>INDEX('2 Resultatregnskap'!$C$9:$P$32,MATCH($C$69,'2 Resultatregnskap'!$C$9:$C$32,0),MATCH('1.2 APM'!L$10,'2 Resultatregnskap'!$C$9:$P$9,0))</f>
        <v>317.90692744000006</v>
      </c>
      <c r="M69" s="105">
        <f>INDEX('2 Resultatregnskap'!$C$9:$P$32,MATCH($C$69,'2 Resultatregnskap'!$C$9:$C$32,0),MATCH('1.2 APM'!M$10,'2 Resultatregnskap'!$C$9:$P$9,0))</f>
        <v>271.75761042825059</v>
      </c>
      <c r="N69" s="105">
        <f>INDEX('2 Resultatregnskap'!$C$9:$P$32,MATCH($C$69,'2 Resultatregnskap'!$C$9:$C$32,0),MATCH('1.2 APM'!N$10,'2 Resultatregnskap'!$C$9:$P$9,0))</f>
        <v>287.09109928549975</v>
      </c>
      <c r="O69" s="105">
        <f>INDEX('2 Resultatregnskap'!$C$9:$P$32,MATCH($C$69,'2 Resultatregnskap'!$C$9:$C$32,0),MATCH('1.2 APM'!O$10,'2 Resultatregnskap'!$C$9:$P$9,0))</f>
        <v>258.71008673850014</v>
      </c>
      <c r="P69" s="105">
        <f>INDEX('2 Resultatregnskap'!$C$9:$P$32,MATCH($C$69,'2 Resultatregnskap'!$C$9:$C$32,0),MATCH('1.2 APM'!P$10,'2 Resultatregnskap'!$C$9:$P$9,0))</f>
        <v>263.35107435999993</v>
      </c>
    </row>
    <row r="70" spans="3:16" x14ac:dyDescent="0.2">
      <c r="C70" s="107" t="s">
        <v>298</v>
      </c>
      <c r="D70" s="128">
        <f>D68/D69</f>
        <v>0.42319063176371896</v>
      </c>
      <c r="E70" s="128">
        <f>E68/E69</f>
        <v>0.38066137764705649</v>
      </c>
      <c r="F70" s="128">
        <f t="shared" ref="F70:P70" si="24">F68/F69</f>
        <v>0.3907477197428848</v>
      </c>
      <c r="G70" s="128">
        <f t="shared" si="24"/>
        <v>0.33832950167547882</v>
      </c>
      <c r="H70" s="128">
        <f t="shared" si="24"/>
        <v>0.40811211094218597</v>
      </c>
      <c r="I70" s="128">
        <f t="shared" si="24"/>
        <v>0.30959049150526785</v>
      </c>
      <c r="J70" s="128">
        <f t="shared" si="24"/>
        <v>0.28256871284288521</v>
      </c>
      <c r="K70" s="128">
        <f t="shared" si="24"/>
        <v>0.4193836476042942</v>
      </c>
      <c r="L70" s="128">
        <f t="shared" si="24"/>
        <v>0.3934218841884321</v>
      </c>
      <c r="M70" s="128">
        <f t="shared" si="24"/>
        <v>0.44285202074138125</v>
      </c>
      <c r="N70" s="128">
        <f t="shared" si="24"/>
        <v>0.37823997079760602</v>
      </c>
      <c r="O70" s="128">
        <f t="shared" si="24"/>
        <v>0.43686409484389332</v>
      </c>
      <c r="P70" s="128">
        <f t="shared" si="24"/>
        <v>0.42852435132173139</v>
      </c>
    </row>
    <row r="71" spans="3:16" x14ac:dyDescent="0.2">
      <c r="C71" s="66"/>
      <c r="D71" s="66"/>
      <c r="E71" s="66"/>
      <c r="F71" s="66"/>
      <c r="G71" s="104"/>
      <c r="H71" s="104"/>
      <c r="I71" s="66"/>
      <c r="J71" s="66"/>
      <c r="K71" s="66"/>
      <c r="L71" s="66"/>
      <c r="M71" s="66"/>
      <c r="N71" s="66"/>
      <c r="O71" s="66"/>
      <c r="P71" s="66"/>
    </row>
    <row r="72" spans="3:16" x14ac:dyDescent="0.2">
      <c r="C72" s="66"/>
      <c r="D72" s="66"/>
      <c r="E72" s="66"/>
      <c r="F72" s="66"/>
      <c r="G72" s="104"/>
      <c r="H72" s="104"/>
      <c r="I72" s="66"/>
      <c r="J72" s="66"/>
      <c r="K72" s="66"/>
      <c r="L72" s="66"/>
      <c r="M72" s="66"/>
      <c r="N72" s="66"/>
      <c r="O72" s="66"/>
      <c r="P72" s="66"/>
    </row>
    <row r="73" spans="3:16" x14ac:dyDescent="0.2">
      <c r="C73" s="71"/>
      <c r="D73" s="71"/>
      <c r="E73" s="71"/>
      <c r="F73" s="71"/>
      <c r="G73" s="103"/>
      <c r="H73" s="103"/>
      <c r="I73" s="71"/>
      <c r="J73" s="71"/>
      <c r="K73" s="71"/>
      <c r="L73" s="71"/>
      <c r="M73" s="71"/>
      <c r="N73" s="71"/>
      <c r="O73" s="71"/>
      <c r="P73" s="71"/>
    </row>
    <row r="74" spans="3:16" x14ac:dyDescent="0.2">
      <c r="C74" s="71"/>
      <c r="D74" s="71"/>
      <c r="E74" s="71"/>
      <c r="F74" s="71"/>
      <c r="G74" s="103"/>
      <c r="H74" s="103"/>
      <c r="I74" s="71"/>
      <c r="J74" s="71"/>
      <c r="K74" s="71"/>
      <c r="L74" s="71"/>
      <c r="M74" s="71"/>
      <c r="N74" s="71"/>
      <c r="O74" s="71"/>
      <c r="P74" s="71"/>
    </row>
    <row r="75" spans="3:16" x14ac:dyDescent="0.2">
      <c r="C75" s="71" t="s">
        <v>1</v>
      </c>
      <c r="D75" s="106">
        <f>INDEX('2 Resultatregnskap'!$C$9:$P$32,MATCH('1.2 APM'!$C$75,'2 Resultatregnskap'!$C$9:$C$32,0),MATCH('1.2 APM'!D$10,'2 Resultatregnskap'!$C$9:$P$9,0))</f>
        <v>195.60660946000013</v>
      </c>
      <c r="E75" s="106">
        <f>INDEX('2 Resultatregnskap'!$C$9:$P$32,MATCH('1.2 APM'!$C$75,'2 Resultatregnskap'!$C$9:$C$32,0),MATCH('1.2 APM'!E$10,'2 Resultatregnskap'!$C$9:$P$9,0))</f>
        <v>203.63495825000018</v>
      </c>
      <c r="F75" s="106">
        <f>INDEX('2 Resultatregnskap'!$C$9:$P$32,MATCH('1.2 APM'!$C$75,'2 Resultatregnskap'!$C$9:$C$32,0),MATCH('1.2 APM'!F$10,'2 Resultatregnskap'!$C$9:$P$9,0))</f>
        <v>202.83757847000072</v>
      </c>
      <c r="G75" s="106">
        <f>INDEX('2 Resultatregnskap'!$C$9:$P$32,MATCH('1.2 APM'!$C$75,'2 Resultatregnskap'!$C$9:$C$32,0),MATCH('1.2 APM'!G$10,'2 Resultatregnskap'!$C$9:$P$9,0))</f>
        <v>202.17803675999983</v>
      </c>
      <c r="H75" s="106">
        <f>INDEX('2 Resultatregnskap'!$C$9:$P$32,MATCH('1.2 APM'!$C$75,'2 Resultatregnskap'!$C$9:$C$32,0),MATCH('1.2 APM'!H$10,'2 Resultatregnskap'!$C$9:$P$9,0))</f>
        <v>198.38956453999992</v>
      </c>
      <c r="I75" s="106">
        <f>INDEX('2 Resultatregnskap'!$C$9:$P$32,MATCH('1.2 APM'!$C$75,'2 Resultatregnskap'!$C$9:$C$32,0),MATCH('1.2 APM'!I$10,'2 Resultatregnskap'!$C$9:$P$9,0))</f>
        <v>212.33120654999988</v>
      </c>
      <c r="J75" s="106">
        <f>INDEX('2 Resultatregnskap'!$C$9:$P$32,MATCH('1.2 APM'!$C$75,'2 Resultatregnskap'!$C$9:$C$32,0),MATCH('1.2 APM'!J$10,'2 Resultatregnskap'!$C$9:$P$9,0))</f>
        <v>210.82576978999933</v>
      </c>
      <c r="K75" s="106">
        <f>INDEX('2 Resultatregnskap'!$C$9:$P$32,MATCH('1.2 APM'!$C$75,'2 Resultatregnskap'!$C$9:$C$32,0),MATCH('1.2 APM'!K$10,'2 Resultatregnskap'!$C$9:$P$9,0))</f>
        <v>203.56568688000019</v>
      </c>
      <c r="L75" s="106">
        <f>INDEX('2 Resultatregnskap'!$C$9:$P$32,MATCH('1.2 APM'!$C$75,'2 Resultatregnskap'!$C$9:$C$32,0),MATCH('1.2 APM'!L$10,'2 Resultatregnskap'!$C$9:$P$9,0))</f>
        <v>198.70907142000007</v>
      </c>
      <c r="M75" s="106">
        <f>INDEX('2 Resultatregnskap'!$C$9:$P$32,MATCH('1.2 APM'!$C$75,'2 Resultatregnskap'!$C$9:$C$32,0),MATCH('1.2 APM'!M$10,'2 Resultatregnskap'!$C$9:$P$9,0))</f>
        <v>208.27341853000061</v>
      </c>
      <c r="N75" s="106">
        <f>INDEX('2 Resultatregnskap'!$C$9:$P$32,MATCH('1.2 APM'!$C$75,'2 Resultatregnskap'!$C$9:$C$32,0),MATCH('1.2 APM'!N$10,'2 Resultatregnskap'!$C$9:$P$9,0))</f>
        <v>192.91126545999975</v>
      </c>
      <c r="O75" s="106">
        <f>INDEX('2 Resultatregnskap'!$C$9:$P$32,MATCH('1.2 APM'!$C$75,'2 Resultatregnskap'!$C$9:$C$32,0),MATCH('1.2 APM'!O$10,'2 Resultatregnskap'!$C$9:$P$9,0))</f>
        <v>172.98902781000015</v>
      </c>
      <c r="P75" s="106">
        <f>INDEX('2 Resultatregnskap'!$C$9:$P$32,MATCH('1.2 APM'!$C$75,'2 Resultatregnskap'!$C$9:$C$32,0),MATCH('1.2 APM'!P$10,'2 Resultatregnskap'!$C$9:$P$9,0))</f>
        <v>161.31960522999992</v>
      </c>
    </row>
    <row r="76" spans="3:16" x14ac:dyDescent="0.2">
      <c r="C76" s="71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</row>
    <row r="77" spans="3:16" x14ac:dyDescent="0.2">
      <c r="C77" s="71" t="s">
        <v>300</v>
      </c>
      <c r="D77" s="106">
        <f>INDEX('4 Balanse'!$C$8:$P$43,MATCH("Eiendeler",'4 Balanse'!$C$8:$C$43,0),MATCH('1.2 APM'!D$10,'4 Balanse'!$C$8:$P$8,0))</f>
        <v>33246.408706617447</v>
      </c>
      <c r="E77" s="106">
        <f>INDEX('4 Balanse'!$C$8:$P$43,MATCH("Eiendeler",'4 Balanse'!$C$8:$C$43,0),MATCH('1.2 APM'!E$10,'4 Balanse'!$C$8:$P$8,0))</f>
        <v>32743.771091841052</v>
      </c>
      <c r="F77" s="106">
        <f>INDEX('4 Balanse'!$C$8:$P$43,MATCH("Eiendeler",'4 Balanse'!$C$8:$C$43,0),MATCH('1.2 APM'!F$10,'4 Balanse'!$C$8:$P$8,0))</f>
        <v>32393.693385752242</v>
      </c>
      <c r="G77" s="106">
        <f>INDEX('4 Balanse'!$C$8:$P$43,MATCH("Eiendeler",'4 Balanse'!$C$8:$C$43,0),MATCH('1.2 APM'!G$10,'4 Balanse'!$C$8:$P$8,0))</f>
        <v>32392.967435656599</v>
      </c>
      <c r="H77" s="106">
        <f>INDEX('4 Balanse'!$C$8:$P$43,MATCH("Eiendeler",'4 Balanse'!$C$8:$C$43,0),MATCH('1.2 APM'!H$10,'4 Balanse'!$C$8:$P$8,0))</f>
        <v>31728.913618822382</v>
      </c>
      <c r="I77" s="106">
        <f>INDEX('4 Balanse'!$C$8:$P$43,MATCH("Eiendeler",'4 Balanse'!$C$8:$C$43,0),MATCH('1.2 APM'!I$10,'4 Balanse'!$C$8:$P$8,0))</f>
        <v>31534.16343938424</v>
      </c>
      <c r="J77" s="106">
        <f>INDEX('4 Balanse'!$C$8:$P$43,MATCH("Eiendeler",'4 Balanse'!$C$8:$C$43,0),MATCH('1.2 APM'!J$10,'4 Balanse'!$C$8:$P$8,0))</f>
        <v>31471.732179066144</v>
      </c>
      <c r="K77" s="106">
        <f>INDEX('4 Balanse'!$C$8:$P$43,MATCH("Eiendeler",'4 Balanse'!$C$8:$C$43,0),MATCH('1.2 APM'!K$10,'4 Balanse'!$C$8:$P$8,0))</f>
        <v>31290.205618845703</v>
      </c>
      <c r="L77" s="106">
        <f>INDEX('4 Balanse'!$C$8:$P$43,MATCH("Eiendeler",'4 Balanse'!$C$8:$C$43,0),MATCH('1.2 APM'!L$10,'4 Balanse'!$C$8:$P$8,0))</f>
        <v>30678.082659533131</v>
      </c>
      <c r="M77" s="106">
        <f>INDEX('4 Balanse'!$C$8:$P$43,MATCH("Eiendeler",'4 Balanse'!$C$8:$C$43,0),MATCH('1.2 APM'!M$10,'4 Balanse'!$C$8:$P$8,0))</f>
        <v>30294.213986700142</v>
      </c>
      <c r="N77" s="106">
        <f>INDEX('4 Balanse'!$C$8:$P$43,MATCH("Eiendeler",'4 Balanse'!$C$8:$C$43,0),MATCH('1.2 APM'!N$10,'4 Balanse'!$C$8:$P$8,0))</f>
        <v>30538.883336750081</v>
      </c>
      <c r="O77" s="106">
        <f>INDEX('4 Balanse'!$C$8:$P$43,MATCH("Eiendeler",'4 Balanse'!$C$8:$C$43,0),MATCH('1.2 APM'!O$10,'4 Balanse'!$C$8:$P$8,0))</f>
        <v>30301.574453114798</v>
      </c>
      <c r="P77" s="106">
        <f>INDEX('4 Balanse'!$C$8:$P$43,MATCH("Eiendeler",'4 Balanse'!$C$8:$C$43,0),MATCH('1.2 APM'!P$10,'4 Balanse'!$C$8:$P$8,0))</f>
        <v>30094.857126964667</v>
      </c>
    </row>
    <row r="78" spans="3:16" x14ac:dyDescent="0.2">
      <c r="C78" s="71" t="s">
        <v>301</v>
      </c>
      <c r="D78" s="114">
        <f>(D77+E77)/2</f>
        <v>32995.08989922925</v>
      </c>
      <c r="E78" s="114">
        <f>(E77+F77)/2</f>
        <v>32568.732238796649</v>
      </c>
      <c r="F78" s="114">
        <f t="shared" ref="F78:O78" si="25">(F77+G77)/2</f>
        <v>32393.330410704421</v>
      </c>
      <c r="G78" s="114">
        <f t="shared" si="25"/>
        <v>32060.940527239491</v>
      </c>
      <c r="H78" s="114">
        <f t="shared" si="25"/>
        <v>31631.538529103309</v>
      </c>
      <c r="I78" s="114">
        <f t="shared" si="25"/>
        <v>31502.947809225192</v>
      </c>
      <c r="J78" s="114">
        <f t="shared" si="25"/>
        <v>31380.968898955922</v>
      </c>
      <c r="K78" s="114">
        <f t="shared" si="25"/>
        <v>30984.144139189419</v>
      </c>
      <c r="L78" s="114">
        <f t="shared" si="25"/>
        <v>30486.148323116635</v>
      </c>
      <c r="M78" s="114">
        <f t="shared" si="25"/>
        <v>30416.548661725112</v>
      </c>
      <c r="N78" s="114">
        <f t="shared" si="25"/>
        <v>30420.228894932439</v>
      </c>
      <c r="O78" s="114">
        <f t="shared" si="25"/>
        <v>30198.215790039732</v>
      </c>
      <c r="P78" s="114">
        <f>(P77+29609.6029442802)/2</f>
        <v>29852.230035622433</v>
      </c>
    </row>
    <row r="79" spans="3:16" x14ac:dyDescent="0.2">
      <c r="C79" s="71"/>
      <c r="D79" s="71"/>
      <c r="E79" s="71"/>
      <c r="F79" s="71"/>
      <c r="G79" s="103"/>
      <c r="H79" s="103"/>
      <c r="I79" s="71"/>
      <c r="J79" s="71"/>
      <c r="K79" s="71"/>
      <c r="L79" s="71"/>
      <c r="M79" s="71"/>
      <c r="N79" s="71"/>
      <c r="O79" s="71"/>
      <c r="P79" s="71"/>
    </row>
    <row r="80" spans="3:16" x14ac:dyDescent="0.2">
      <c r="C80" s="109" t="s">
        <v>33</v>
      </c>
      <c r="D80" s="115">
        <f>D75/D78</f>
        <v>5.9283550994225177E-3</v>
      </c>
      <c r="E80" s="115">
        <f>E75/E78</f>
        <v>6.2524680652882572E-3</v>
      </c>
      <c r="F80" s="115">
        <f t="shared" ref="F80:P80" si="26">F75/F78</f>
        <v>6.2617080707136168E-3</v>
      </c>
      <c r="G80" s="115">
        <f t="shared" si="26"/>
        <v>6.3060544524021723E-3</v>
      </c>
      <c r="H80" s="115">
        <f t="shared" si="26"/>
        <v>6.2718910860901419E-3</v>
      </c>
      <c r="I80" s="115">
        <f t="shared" si="26"/>
        <v>6.7400424822410326E-3</v>
      </c>
      <c r="J80" s="115">
        <f t="shared" si="26"/>
        <v>6.7182683386494716E-3</v>
      </c>
      <c r="K80" s="115">
        <f t="shared" si="26"/>
        <v>6.5699954778652703E-3</v>
      </c>
      <c r="L80" s="115">
        <f t="shared" si="26"/>
        <v>6.5180116987532191E-3</v>
      </c>
      <c r="M80" s="115">
        <f t="shared" si="26"/>
        <v>6.8473718319029073E-3</v>
      </c>
      <c r="N80" s="115">
        <f t="shared" si="26"/>
        <v>6.341545493503368E-3</v>
      </c>
      <c r="O80" s="115">
        <f t="shared" si="26"/>
        <v>5.7284519394373316E-3</v>
      </c>
      <c r="P80" s="115">
        <f t="shared" si="26"/>
        <v>5.4039381660096579E-3</v>
      </c>
    </row>
    <row r="81" spans="3:16" x14ac:dyDescent="0.2">
      <c r="C81" s="71"/>
      <c r="D81" s="71"/>
      <c r="E81" s="71"/>
      <c r="F81" s="71"/>
      <c r="G81" s="103"/>
      <c r="H81" s="103"/>
      <c r="I81" s="71"/>
      <c r="J81" s="71"/>
      <c r="K81" s="71"/>
      <c r="L81" s="71"/>
      <c r="M81" s="71"/>
      <c r="N81" s="71"/>
      <c r="O81" s="71"/>
      <c r="P81" s="71"/>
    </row>
    <row r="82" spans="3:16" x14ac:dyDescent="0.2">
      <c r="C82" s="71"/>
      <c r="D82" s="71"/>
      <c r="E82" s="71"/>
      <c r="F82" s="71"/>
      <c r="G82" s="103"/>
      <c r="H82" s="103"/>
      <c r="I82" s="71"/>
      <c r="J82" s="71"/>
      <c r="K82" s="71"/>
      <c r="L82" s="71"/>
      <c r="M82" s="71"/>
      <c r="N82" s="71"/>
      <c r="O82" s="71"/>
      <c r="P82" s="71"/>
    </row>
    <row r="83" spans="3:16" s="71" customFormat="1" x14ac:dyDescent="0.2">
      <c r="C83" s="66"/>
      <c r="D83" s="66"/>
      <c r="E83" s="66"/>
      <c r="F83" s="66"/>
      <c r="G83" s="104"/>
      <c r="H83" s="104"/>
      <c r="I83" s="66"/>
      <c r="J83" s="66"/>
      <c r="K83" s="66"/>
      <c r="L83" s="66"/>
      <c r="M83" s="66"/>
      <c r="N83" s="66"/>
      <c r="O83" s="66"/>
      <c r="P83" s="66"/>
    </row>
    <row r="84" spans="3:16" s="71" customFormat="1" x14ac:dyDescent="0.2">
      <c r="C84" s="66"/>
      <c r="D84" s="66"/>
      <c r="E84" s="66"/>
      <c r="F84" s="66"/>
      <c r="G84" s="104"/>
      <c r="H84" s="104"/>
      <c r="I84" s="66"/>
      <c r="J84" s="66"/>
      <c r="K84" s="66"/>
      <c r="L84" s="66"/>
      <c r="M84" s="66"/>
      <c r="N84" s="66"/>
      <c r="O84" s="66"/>
      <c r="P84" s="66"/>
    </row>
    <row r="85" spans="3:16" s="71" customFormat="1" x14ac:dyDescent="0.2">
      <c r="C85" s="66" t="s">
        <v>1</v>
      </c>
      <c r="D85" s="105">
        <f>INDEX('2 Resultatregnskap'!$C$9:$P$32,MATCH('1.2 APM'!$C$75,'2 Resultatregnskap'!$C$9:$C$32,0),MATCH('1.2 APM'!D$10,'2 Resultatregnskap'!$C$9:$P$9,0))</f>
        <v>195.60660946000013</v>
      </c>
      <c r="E85" s="105">
        <f>INDEX('2 Resultatregnskap'!$C$9:$P$32,MATCH('1.2 APM'!$C$75,'2 Resultatregnskap'!$C$9:$C$32,0),MATCH('1.2 APM'!E$10,'2 Resultatregnskap'!$C$9:$P$9,0))</f>
        <v>203.63495825000018</v>
      </c>
      <c r="F85" s="105">
        <f>INDEX('2 Resultatregnskap'!$C$9:$P$32,MATCH('1.2 APM'!$C$75,'2 Resultatregnskap'!$C$9:$C$32,0),MATCH('1.2 APM'!F$10,'2 Resultatregnskap'!$C$9:$P$9,0))</f>
        <v>202.83757847000072</v>
      </c>
      <c r="G85" s="105">
        <f>INDEX('2 Resultatregnskap'!$C$9:$P$32,MATCH('1.2 APM'!$C$75,'2 Resultatregnskap'!$C$9:$C$32,0),MATCH('1.2 APM'!G$10,'2 Resultatregnskap'!$C$9:$P$9,0))</f>
        <v>202.17803675999983</v>
      </c>
      <c r="H85" s="105">
        <f>INDEX('2 Resultatregnskap'!$C$9:$P$32,MATCH('1.2 APM'!$C$75,'2 Resultatregnskap'!$C$9:$C$32,0),MATCH('1.2 APM'!H$10,'2 Resultatregnskap'!$C$9:$P$9,0))</f>
        <v>198.38956453999992</v>
      </c>
      <c r="I85" s="105">
        <f>INDEX('2 Resultatregnskap'!$C$9:$P$32,MATCH('1.2 APM'!$C$75,'2 Resultatregnskap'!$C$9:$C$32,0),MATCH('1.2 APM'!I$10,'2 Resultatregnskap'!$C$9:$P$9,0))</f>
        <v>212.33120654999988</v>
      </c>
      <c r="J85" s="105">
        <f>INDEX('2 Resultatregnskap'!$C$9:$P$32,MATCH('1.2 APM'!$C$75,'2 Resultatregnskap'!$C$9:$C$32,0),MATCH('1.2 APM'!J$10,'2 Resultatregnskap'!$C$9:$P$9,0))</f>
        <v>210.82576978999933</v>
      </c>
      <c r="K85" s="105">
        <f>INDEX('2 Resultatregnskap'!$C$9:$P$32,MATCH('1.2 APM'!$C$75,'2 Resultatregnskap'!$C$9:$C$32,0),MATCH('1.2 APM'!K$10,'2 Resultatregnskap'!$C$9:$P$9,0))</f>
        <v>203.56568688000019</v>
      </c>
      <c r="L85" s="105">
        <f>INDEX('2 Resultatregnskap'!$C$9:$P$32,MATCH('1.2 APM'!$C$75,'2 Resultatregnskap'!$C$9:$C$32,0),MATCH('1.2 APM'!L$10,'2 Resultatregnskap'!$C$9:$P$9,0))</f>
        <v>198.70907142000007</v>
      </c>
      <c r="M85" s="105">
        <f>INDEX('2 Resultatregnskap'!$C$9:$P$32,MATCH('1.2 APM'!$C$75,'2 Resultatregnskap'!$C$9:$C$32,0),MATCH('1.2 APM'!M$10,'2 Resultatregnskap'!$C$9:$P$9,0))</f>
        <v>208.27341853000061</v>
      </c>
      <c r="N85" s="105">
        <f>INDEX('2 Resultatregnskap'!$C$9:$P$32,MATCH('1.2 APM'!$C$75,'2 Resultatregnskap'!$C$9:$C$32,0),MATCH('1.2 APM'!N$10,'2 Resultatregnskap'!$C$9:$P$9,0))</f>
        <v>192.91126545999975</v>
      </c>
      <c r="O85" s="105">
        <f>INDEX('2 Resultatregnskap'!$C$9:$P$32,MATCH('1.2 APM'!$C$75,'2 Resultatregnskap'!$C$9:$C$32,0),MATCH('1.2 APM'!O$10,'2 Resultatregnskap'!$C$9:$P$9,0))</f>
        <v>172.98902781000015</v>
      </c>
      <c r="P85" s="105">
        <f>INDEX('2 Resultatregnskap'!$C$9:$P$32,MATCH('1.2 APM'!$C$75,'2 Resultatregnskap'!$C$9:$C$32,0),MATCH('1.2 APM'!P$10,'2 Resultatregnskap'!$C$9:$P$9,0))</f>
        <v>161.31960522999992</v>
      </c>
    </row>
    <row r="86" spans="3:16" s="71" customFormat="1" x14ac:dyDescent="0.2">
      <c r="C86" s="83" t="s">
        <v>305</v>
      </c>
      <c r="D86" s="105">
        <v>18.031078990000001</v>
      </c>
      <c r="E86" s="105">
        <v>18.031078990000001</v>
      </c>
      <c r="F86" s="105">
        <v>19.8355134</v>
      </c>
      <c r="G86" s="105">
        <v>21.374488540000002</v>
      </c>
      <c r="H86" s="105">
        <v>18.619219059999999</v>
      </c>
      <c r="I86" s="105">
        <v>14.4421921</v>
      </c>
      <c r="J86" s="105">
        <v>14.806621489999999</v>
      </c>
      <c r="K86" s="105">
        <v>15.83684805</v>
      </c>
      <c r="L86" s="105">
        <v>13.925240499999999</v>
      </c>
      <c r="M86" s="105">
        <v>7.4901189500000003</v>
      </c>
      <c r="N86" s="105">
        <v>7.6849584999999996</v>
      </c>
      <c r="O86" s="105">
        <v>11.922817269999999</v>
      </c>
      <c r="P86" s="105">
        <v>12.321197059999999</v>
      </c>
    </row>
    <row r="87" spans="3:16" s="71" customFormat="1" x14ac:dyDescent="0.2">
      <c r="C87" s="80" t="s">
        <v>302</v>
      </c>
      <c r="D87" s="150">
        <f>D85+D86</f>
        <v>213.63768845000013</v>
      </c>
      <c r="E87" s="150">
        <f>E85+E86</f>
        <v>221.66603724000018</v>
      </c>
      <c r="F87" s="150">
        <f t="shared" ref="F87:P87" si="27">F85+F86</f>
        <v>222.67309187000072</v>
      </c>
      <c r="G87" s="150">
        <f t="shared" si="27"/>
        <v>223.55252529999984</v>
      </c>
      <c r="H87" s="150">
        <f t="shared" si="27"/>
        <v>217.00878359999993</v>
      </c>
      <c r="I87" s="150">
        <f t="shared" si="27"/>
        <v>226.77339864999988</v>
      </c>
      <c r="J87" s="150">
        <f t="shared" si="27"/>
        <v>225.63239127999933</v>
      </c>
      <c r="K87" s="150">
        <f t="shared" si="27"/>
        <v>219.40253493000017</v>
      </c>
      <c r="L87" s="150">
        <f t="shared" si="27"/>
        <v>212.63431192000007</v>
      </c>
      <c r="M87" s="150">
        <f t="shared" si="27"/>
        <v>215.76353748000062</v>
      </c>
      <c r="N87" s="150">
        <f t="shared" si="27"/>
        <v>200.59622395999975</v>
      </c>
      <c r="O87" s="150">
        <f t="shared" si="27"/>
        <v>184.91184508000015</v>
      </c>
      <c r="P87" s="150">
        <f t="shared" si="27"/>
        <v>173.64080228999993</v>
      </c>
    </row>
    <row r="88" spans="3:16" s="71" customFormat="1" x14ac:dyDescent="0.2">
      <c r="C88" s="66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</row>
    <row r="89" spans="3:16" s="71" customFormat="1" x14ac:dyDescent="0.2">
      <c r="C89" s="66" t="s">
        <v>300</v>
      </c>
      <c r="D89" s="105">
        <f>INDEX('4 Balanse'!$C$8:$P$43,MATCH("Eiendeler",'4 Balanse'!$C$8:$C$43,0),MATCH('1.2 APM'!D$10,'4 Balanse'!$C$8:$P$8,0))</f>
        <v>33246.408706617447</v>
      </c>
      <c r="E89" s="105">
        <f>INDEX('4 Balanse'!$C$8:$P$43,MATCH("Eiendeler",'4 Balanse'!$C$8:$C$43,0),MATCH('1.2 APM'!E$10,'4 Balanse'!$C$8:$P$8,0))</f>
        <v>32743.771091841052</v>
      </c>
      <c r="F89" s="105">
        <f>INDEX('4 Balanse'!$C$8:$P$43,MATCH("Eiendeler",'4 Balanse'!$C$8:$C$43,0),MATCH('1.2 APM'!F$10,'4 Balanse'!$C$8:$P$8,0))</f>
        <v>32393.693385752242</v>
      </c>
      <c r="G89" s="105">
        <f>INDEX('4 Balanse'!$C$8:$P$43,MATCH("Eiendeler",'4 Balanse'!$C$8:$C$43,0),MATCH('1.2 APM'!G$10,'4 Balanse'!$C$8:$P$8,0))</f>
        <v>32392.967435656599</v>
      </c>
      <c r="H89" s="105">
        <f>INDEX('4 Balanse'!$C$8:$P$43,MATCH("Eiendeler",'4 Balanse'!$C$8:$C$43,0),MATCH('1.2 APM'!H$10,'4 Balanse'!$C$8:$P$8,0))</f>
        <v>31728.913618822382</v>
      </c>
      <c r="I89" s="105">
        <f>INDEX('4 Balanse'!$C$8:$P$43,MATCH("Eiendeler",'4 Balanse'!$C$8:$C$43,0),MATCH('1.2 APM'!I$10,'4 Balanse'!$C$8:$P$8,0))</f>
        <v>31534.16343938424</v>
      </c>
      <c r="J89" s="105">
        <f>INDEX('4 Balanse'!$C$8:$P$43,MATCH("Eiendeler",'4 Balanse'!$C$8:$C$43,0),MATCH('1.2 APM'!J$10,'4 Balanse'!$C$8:$P$8,0))</f>
        <v>31471.732179066144</v>
      </c>
      <c r="K89" s="105">
        <f>INDEX('4 Balanse'!$C$8:$P$43,MATCH("Eiendeler",'4 Balanse'!$C$8:$C$43,0),MATCH('1.2 APM'!K$10,'4 Balanse'!$C$8:$P$8,0))</f>
        <v>31290.205618845703</v>
      </c>
      <c r="L89" s="105">
        <f>INDEX('4 Balanse'!$C$8:$P$43,MATCH("Eiendeler",'4 Balanse'!$C$8:$C$43,0),MATCH('1.2 APM'!L$10,'4 Balanse'!$C$8:$P$8,0))</f>
        <v>30678.082659533131</v>
      </c>
      <c r="M89" s="105">
        <f>INDEX('4 Balanse'!$C$8:$P$43,MATCH("Eiendeler",'4 Balanse'!$C$8:$C$43,0),MATCH('1.2 APM'!M$10,'4 Balanse'!$C$8:$P$8,0))</f>
        <v>30294.213986700142</v>
      </c>
      <c r="N89" s="105">
        <f>INDEX('4 Balanse'!$C$8:$P$43,MATCH("Eiendeler",'4 Balanse'!$C$8:$C$43,0),MATCH('1.2 APM'!N$10,'4 Balanse'!$C$8:$P$8,0))</f>
        <v>30538.883336750081</v>
      </c>
      <c r="O89" s="105">
        <f>INDEX('4 Balanse'!$C$8:$P$43,MATCH("Eiendeler",'4 Balanse'!$C$8:$C$43,0),MATCH('1.2 APM'!O$10,'4 Balanse'!$C$8:$P$8,0))</f>
        <v>30301.574453114798</v>
      </c>
      <c r="P89" s="105">
        <f>INDEX('4 Balanse'!$C$8:$P$43,MATCH("Eiendeler",'4 Balanse'!$C$8:$C$43,0),MATCH('1.2 APM'!P$10,'4 Balanse'!$C$8:$P$8,0))</f>
        <v>30094.857126964667</v>
      </c>
    </row>
    <row r="90" spans="3:16" s="71" customFormat="1" x14ac:dyDescent="0.2">
      <c r="C90" s="66" t="s">
        <v>301</v>
      </c>
      <c r="D90" s="112">
        <f>(D89+E89)/2</f>
        <v>32995.08989922925</v>
      </c>
      <c r="E90" s="112">
        <f>(E89+F89)/2</f>
        <v>32568.732238796649</v>
      </c>
      <c r="F90" s="112">
        <f t="shared" ref="F90" si="28">(F89+G89)/2</f>
        <v>32393.330410704421</v>
      </c>
      <c r="G90" s="112">
        <f t="shared" ref="G90" si="29">(G89+H89)/2</f>
        <v>32060.940527239491</v>
      </c>
      <c r="H90" s="112">
        <f t="shared" ref="H90" si="30">(H89+I89)/2</f>
        <v>31631.538529103309</v>
      </c>
      <c r="I90" s="112">
        <f t="shared" ref="I90" si="31">(I89+J89)/2</f>
        <v>31502.947809225192</v>
      </c>
      <c r="J90" s="112">
        <f t="shared" ref="J90" si="32">(J89+K89)/2</f>
        <v>31380.968898955922</v>
      </c>
      <c r="K90" s="112">
        <f t="shared" ref="K90" si="33">(K89+L89)/2</f>
        <v>30984.144139189419</v>
      </c>
      <c r="L90" s="112">
        <f t="shared" ref="L90" si="34">(L89+M89)/2</f>
        <v>30486.148323116635</v>
      </c>
      <c r="M90" s="112">
        <f t="shared" ref="M90" si="35">(M89+N89)/2</f>
        <v>30416.548661725112</v>
      </c>
      <c r="N90" s="112">
        <f t="shared" ref="N90" si="36">(N89+O89)/2</f>
        <v>30420.228894932439</v>
      </c>
      <c r="O90" s="112">
        <f>(O89+P89)/2</f>
        <v>30198.215790039732</v>
      </c>
      <c r="P90" s="112">
        <f>(P89+29609.6029442802)/2</f>
        <v>29852.230035622433</v>
      </c>
    </row>
    <row r="91" spans="3:16" s="71" customFormat="1" x14ac:dyDescent="0.2">
      <c r="C91" s="66"/>
      <c r="D91" s="66"/>
      <c r="E91" s="66"/>
      <c r="F91" s="66"/>
      <c r="G91" s="104"/>
      <c r="H91" s="104"/>
      <c r="I91" s="66"/>
      <c r="J91" s="66"/>
      <c r="K91" s="66"/>
      <c r="L91" s="66"/>
      <c r="M91" s="66"/>
      <c r="N91" s="66"/>
      <c r="O91" s="66"/>
      <c r="P91" s="66"/>
    </row>
    <row r="92" spans="3:16" s="71" customFormat="1" x14ac:dyDescent="0.2">
      <c r="C92" s="107" t="s">
        <v>34</v>
      </c>
      <c r="D92" s="113">
        <f>D87/D90</f>
        <v>6.4748327433710251E-3</v>
      </c>
      <c r="E92" s="113">
        <f>E87/E90</f>
        <v>6.8060996545621236E-3</v>
      </c>
      <c r="F92" s="113">
        <f t="shared" ref="F92:P92" si="37">F87/F90</f>
        <v>6.8740413241491867E-3</v>
      </c>
      <c r="G92" s="113">
        <f t="shared" si="37"/>
        <v>6.9727375935857532E-3</v>
      </c>
      <c r="H92" s="113">
        <f t="shared" si="37"/>
        <v>6.8605193958661262E-3</v>
      </c>
      <c r="I92" s="113">
        <f t="shared" si="37"/>
        <v>7.1984818698011648E-3</v>
      </c>
      <c r="J92" s="113">
        <f t="shared" si="37"/>
        <v>7.1901027659954236E-3</v>
      </c>
      <c r="K92" s="113">
        <f t="shared" si="37"/>
        <v>7.081122975170228E-3</v>
      </c>
      <c r="L92" s="113">
        <f t="shared" si="37"/>
        <v>6.9747844058990725E-3</v>
      </c>
      <c r="M92" s="113">
        <f t="shared" si="37"/>
        <v>7.0936232732909717E-3</v>
      </c>
      <c r="N92" s="113">
        <f t="shared" si="37"/>
        <v>6.5941720771672471E-3</v>
      </c>
      <c r="O92" s="113">
        <f t="shared" si="37"/>
        <v>6.123270539082298E-3</v>
      </c>
      <c r="P92" s="113">
        <f t="shared" si="37"/>
        <v>5.816677751806003E-3</v>
      </c>
    </row>
    <row r="93" spans="3:16" s="71" customFormat="1" x14ac:dyDescent="0.2">
      <c r="C93" s="66"/>
      <c r="D93" s="66"/>
      <c r="E93" s="66"/>
      <c r="F93" s="66"/>
      <c r="G93" s="104"/>
      <c r="H93" s="104"/>
      <c r="I93" s="66"/>
      <c r="J93" s="66"/>
      <c r="K93" s="66"/>
      <c r="L93" s="66"/>
      <c r="M93" s="66"/>
      <c r="N93" s="66"/>
      <c r="O93" s="66"/>
      <c r="P93" s="66"/>
    </row>
    <row r="94" spans="3:16" x14ac:dyDescent="0.2">
      <c r="C94" s="66"/>
      <c r="D94" s="66"/>
      <c r="E94" s="66"/>
      <c r="F94" s="66"/>
      <c r="G94" s="104"/>
      <c r="H94" s="104"/>
      <c r="I94" s="66"/>
      <c r="J94" s="66"/>
      <c r="K94" s="66"/>
      <c r="L94" s="66"/>
      <c r="M94" s="66"/>
      <c r="N94" s="66"/>
      <c r="O94" s="66"/>
      <c r="P94" s="66"/>
    </row>
    <row r="95" spans="3:16" x14ac:dyDescent="0.2">
      <c r="C95" s="71"/>
      <c r="D95" s="71"/>
      <c r="E95" s="71"/>
      <c r="F95" s="71"/>
      <c r="G95" s="103"/>
      <c r="H95" s="103"/>
      <c r="I95" s="71"/>
      <c r="J95" s="71"/>
      <c r="K95" s="71"/>
      <c r="L95" s="71"/>
      <c r="M95" s="71"/>
      <c r="N95" s="71"/>
      <c r="O95" s="71"/>
      <c r="P95" s="71"/>
    </row>
    <row r="96" spans="3:16" x14ac:dyDescent="0.2">
      <c r="C96" s="71"/>
      <c r="D96" s="71"/>
      <c r="E96" s="71"/>
      <c r="F96" s="71"/>
      <c r="G96" s="103"/>
      <c r="H96" s="103"/>
      <c r="I96" s="71"/>
      <c r="J96" s="71"/>
      <c r="K96" s="71"/>
      <c r="L96" s="71"/>
      <c r="M96" s="71"/>
      <c r="N96" s="71"/>
      <c r="O96" s="71"/>
      <c r="P96" s="71"/>
    </row>
    <row r="97" spans="3:16" x14ac:dyDescent="0.2">
      <c r="C97" s="71" t="s">
        <v>38</v>
      </c>
      <c r="D97" s="106">
        <f>INDEX('4 Balanse'!$C$8:$P$43,MATCH("Innskudd fra og gjeld til kunder",'4 Balanse'!$C$8:$C$43,0),MATCH('1.2 APM'!D$10,'4 Balanse'!$C$8:$P$8,0))</f>
        <v>22650.130873890001</v>
      </c>
      <c r="E97" s="106">
        <f>INDEX('4 Balanse'!$C$8:$P$43,MATCH("Innskudd fra og gjeld til kunder",'4 Balanse'!$C$8:$C$43,0),MATCH('1.2 APM'!E$10,'4 Balanse'!$C$8:$P$8,0))</f>
        <v>22461.574347109996</v>
      </c>
      <c r="F97" s="106">
        <f>INDEX('4 Balanse'!$C$8:$P$43,MATCH("Innskudd fra og gjeld til kunder",'4 Balanse'!$C$8:$C$43,0),MATCH('1.2 APM'!F$10,'4 Balanse'!$C$8:$P$8,0))</f>
        <v>22335.192570159998</v>
      </c>
      <c r="G97" s="106">
        <f>INDEX('4 Balanse'!$C$8:$P$43,MATCH("Innskudd fra og gjeld til kunder",'4 Balanse'!$C$8:$C$43,0),MATCH('1.2 APM'!G$10,'4 Balanse'!$C$8:$P$8,0))</f>
        <v>22408.119910150002</v>
      </c>
      <c r="H97" s="106">
        <f>INDEX('4 Balanse'!$C$8:$P$43,MATCH("Innskudd fra og gjeld til kunder",'4 Balanse'!$C$8:$C$43,0),MATCH('1.2 APM'!H$10,'4 Balanse'!$C$8:$P$8,0))</f>
        <v>21503.797545879988</v>
      </c>
      <c r="I97" s="106">
        <f>INDEX('4 Balanse'!$C$8:$P$43,MATCH("Innskudd fra og gjeld til kunder",'4 Balanse'!$C$8:$C$43,0),MATCH('1.2 APM'!I$10,'4 Balanse'!$C$8:$P$8,0))</f>
        <v>21014.082068080003</v>
      </c>
      <c r="J97" s="106">
        <f>INDEX('4 Balanse'!$C$8:$P$43,MATCH("Innskudd fra og gjeld til kunder",'4 Balanse'!$C$8:$C$43,0),MATCH('1.2 APM'!J$10,'4 Balanse'!$C$8:$P$8,0))</f>
        <v>20898.457865269997</v>
      </c>
      <c r="K97" s="106">
        <f>INDEX('4 Balanse'!$C$8:$P$43,MATCH("Innskudd fra og gjeld til kunder",'4 Balanse'!$C$8:$C$43,0),MATCH('1.2 APM'!K$10,'4 Balanse'!$C$8:$P$8,0))</f>
        <v>21053.84502819</v>
      </c>
      <c r="L97" s="106">
        <f>INDEX('4 Balanse'!$C$8:$P$43,MATCH("Innskudd fra og gjeld til kunder",'4 Balanse'!$C$8:$C$43,0),MATCH('1.2 APM'!L$10,'4 Balanse'!$C$8:$P$8,0))</f>
        <v>20096.32090581</v>
      </c>
      <c r="M97" s="106">
        <f>INDEX('4 Balanse'!$C$8:$P$43,MATCH("Innskudd fra og gjeld til kunder",'4 Balanse'!$C$8:$C$43,0),MATCH('1.2 APM'!M$10,'4 Balanse'!$C$8:$P$8,0))</f>
        <v>19349.679914590004</v>
      </c>
      <c r="N97" s="106">
        <f>INDEX('4 Balanse'!$C$8:$P$43,MATCH("Innskudd fra og gjeld til kunder",'4 Balanse'!$C$8:$C$43,0),MATCH('1.2 APM'!N$10,'4 Balanse'!$C$8:$P$8,0))</f>
        <v>19688.015005760004</v>
      </c>
      <c r="O97" s="106">
        <f>INDEX('4 Balanse'!$C$8:$P$43,MATCH("Innskudd fra og gjeld til kunder",'4 Balanse'!$C$8:$C$43,0),MATCH('1.2 APM'!O$10,'4 Balanse'!$C$8:$P$8,0))</f>
        <v>19948.973228880004</v>
      </c>
      <c r="P97" s="106">
        <f>INDEX('4 Balanse'!$C$8:$P$43,MATCH("Innskudd fra og gjeld til kunder",'4 Balanse'!$C$8:$C$43,0),MATCH('1.2 APM'!P$10,'4 Balanse'!$C$8:$P$8,0))</f>
        <v>19410.673414989997</v>
      </c>
    </row>
    <row r="98" spans="3:16" x14ac:dyDescent="0.2">
      <c r="C98" s="71" t="s">
        <v>36</v>
      </c>
      <c r="D98" s="106">
        <f>INDEX('9 Utlån'!$C$8:$P$30,MATCH("Brutto utlån",'9 Utlån'!$C$8:$C$30,0),MATCH('1.2 APM'!D$10,'9 Utlån'!$C$8:$P$8,0))</f>
        <v>27018.086775820007</v>
      </c>
      <c r="E98" s="106">
        <f>INDEX('9 Utlån'!$C$8:$P$30,MATCH("Brutto utlån",'9 Utlån'!$C$8:$C$30,0),MATCH('1.2 APM'!E$10,'9 Utlån'!$C$8:$P$8,0))</f>
        <v>26863.655036150001</v>
      </c>
      <c r="F98" s="106">
        <f>INDEX('9 Utlån'!$C$8:$P$30,MATCH("Brutto utlån",'9 Utlån'!$C$8:$C$30,0),MATCH('1.2 APM'!F$10,'9 Utlån'!$C$8:$P$8,0))</f>
        <v>26248.834926629999</v>
      </c>
      <c r="G98" s="106">
        <f>INDEX('9 Utlån'!$C$8:$P$30,MATCH("Brutto utlån",'9 Utlån'!$C$8:$C$30,0),MATCH('1.2 APM'!G$10,'9 Utlån'!$C$8:$P$8,0))</f>
        <v>26201.259767059997</v>
      </c>
      <c r="H98" s="106">
        <f>INDEX('9 Utlån'!$C$8:$P$30,MATCH("Brutto utlån",'9 Utlån'!$C$8:$C$30,0),MATCH('1.2 APM'!H$10,'9 Utlån'!$C$8:$P$8,0))</f>
        <v>25939.178014309997</v>
      </c>
      <c r="I98" s="106">
        <f>INDEX('9 Utlån'!$C$8:$P$30,MATCH("Brutto utlån",'9 Utlån'!$C$8:$C$30,0),MATCH('1.2 APM'!I$10,'9 Utlån'!$C$8:$P$8,0))</f>
        <v>25645.847947689996</v>
      </c>
      <c r="J98" s="106">
        <f>INDEX('9 Utlån'!$C$8:$P$30,MATCH("Brutto utlån",'9 Utlån'!$C$8:$C$30,0),MATCH('1.2 APM'!J$10,'9 Utlån'!$C$8:$P$8,0))</f>
        <v>25912.698074420001</v>
      </c>
      <c r="K98" s="106">
        <f>INDEX('9 Utlån'!$C$8:$P$30,MATCH("Brutto utlån",'9 Utlån'!$C$8:$C$30,0),MATCH('1.2 APM'!K$10,'9 Utlån'!$C$8:$P$8,0))</f>
        <v>25796.377157820003</v>
      </c>
      <c r="L98" s="106">
        <f>INDEX('9 Utlån'!$C$8:$P$30,MATCH("Brutto utlån",'9 Utlån'!$C$8:$C$30,0),MATCH('1.2 APM'!L$10,'9 Utlån'!$C$8:$P$8,0))</f>
        <v>25286.665515269997</v>
      </c>
      <c r="M98" s="106">
        <f>INDEX('9 Utlån'!$C$8:$P$30,MATCH("Brutto utlån",'9 Utlån'!$C$8:$C$30,0),MATCH('1.2 APM'!M$10,'9 Utlån'!$C$8:$P$8,0))</f>
        <v>25054.706600009999</v>
      </c>
      <c r="N98" s="106">
        <f>INDEX('9 Utlån'!$C$8:$P$30,MATCH("Brutto utlån",'9 Utlån'!$C$8:$C$30,0),MATCH('1.2 APM'!N$10,'9 Utlån'!$C$8:$P$8,0))</f>
        <v>24941.52490768001</v>
      </c>
      <c r="O98" s="106">
        <f>INDEX('9 Utlån'!$C$8:$P$30,MATCH("Brutto utlån",'9 Utlån'!$C$8:$C$30,0),MATCH('1.2 APM'!O$10,'9 Utlån'!$C$8:$P$8,0))</f>
        <v>25026.960116440005</v>
      </c>
      <c r="P98" s="106">
        <f>INDEX('9 Utlån'!$C$8:$P$30,MATCH("Brutto utlån",'9 Utlån'!$C$8:$C$30,0),MATCH('1.2 APM'!P$10,'9 Utlån'!$C$8:$P$8,0))</f>
        <v>24750.741046549996</v>
      </c>
    </row>
    <row r="99" spans="3:16" x14ac:dyDescent="0.2">
      <c r="C99" s="109" t="s">
        <v>39</v>
      </c>
      <c r="D99" s="136">
        <f>D97/D98</f>
        <v>0.83833215363572178</v>
      </c>
      <c r="E99" s="136">
        <f>E97/E98</f>
        <v>0.83613247403913604</v>
      </c>
      <c r="F99" s="136">
        <f t="shared" ref="F99:P99" si="38">F97/F98</f>
        <v>0.85090224509357071</v>
      </c>
      <c r="G99" s="136">
        <f t="shared" si="38"/>
        <v>0.85523063048751957</v>
      </c>
      <c r="H99" s="136">
        <f t="shared" si="38"/>
        <v>0.82900844174849642</v>
      </c>
      <c r="I99" s="136">
        <f t="shared" si="38"/>
        <v>0.81939509705206726</v>
      </c>
      <c r="J99" s="136">
        <f t="shared" si="38"/>
        <v>0.80649486229688039</v>
      </c>
      <c r="K99" s="136">
        <f t="shared" si="38"/>
        <v>0.81615510966460125</v>
      </c>
      <c r="L99" s="136">
        <f t="shared" si="38"/>
        <v>0.79473985582141404</v>
      </c>
      <c r="M99" s="136">
        <f t="shared" si="38"/>
        <v>0.77229720640920541</v>
      </c>
      <c r="N99" s="136">
        <f t="shared" si="38"/>
        <v>0.78936693240025824</v>
      </c>
      <c r="O99" s="136">
        <f t="shared" si="38"/>
        <v>0.79709933352136075</v>
      </c>
      <c r="P99" s="136">
        <f t="shared" si="38"/>
        <v>0.78424615159939415</v>
      </c>
    </row>
    <row r="100" spans="3:16" x14ac:dyDescent="0.2">
      <c r="C100" s="71"/>
      <c r="D100" s="71"/>
      <c r="E100" s="71"/>
      <c r="F100" s="71"/>
      <c r="G100" s="103"/>
      <c r="H100" s="103"/>
      <c r="I100" s="71"/>
      <c r="J100" s="71"/>
      <c r="K100" s="71"/>
      <c r="L100" s="71"/>
      <c r="M100" s="71"/>
      <c r="N100" s="71"/>
      <c r="O100" s="71"/>
      <c r="P100" s="71"/>
    </row>
    <row r="101" spans="3:16" x14ac:dyDescent="0.2">
      <c r="C101" s="71"/>
      <c r="D101" s="71"/>
      <c r="E101" s="71"/>
      <c r="F101" s="71"/>
      <c r="G101" s="103"/>
      <c r="H101" s="103"/>
      <c r="I101" s="71"/>
      <c r="J101" s="71"/>
      <c r="K101" s="71"/>
      <c r="L101" s="71"/>
      <c r="M101" s="71"/>
      <c r="N101" s="71"/>
      <c r="O101" s="71"/>
      <c r="P101" s="71"/>
    </row>
    <row r="102" spans="3:16" x14ac:dyDescent="0.2">
      <c r="C102" s="66"/>
      <c r="D102" s="66"/>
      <c r="E102" s="66"/>
      <c r="F102" s="66"/>
      <c r="G102" s="104"/>
      <c r="H102" s="104"/>
      <c r="I102" s="66"/>
      <c r="J102" s="66"/>
      <c r="K102" s="66"/>
      <c r="L102" s="66"/>
      <c r="M102" s="66"/>
      <c r="N102" s="66"/>
      <c r="O102" s="66"/>
      <c r="P102" s="66"/>
    </row>
    <row r="103" spans="3:16" x14ac:dyDescent="0.2">
      <c r="C103" s="66"/>
      <c r="D103" s="66"/>
      <c r="E103" s="66"/>
      <c r="F103" s="66"/>
      <c r="G103" s="104"/>
      <c r="H103" s="104"/>
      <c r="I103" s="66"/>
      <c r="J103" s="66"/>
      <c r="K103" s="66"/>
      <c r="L103" s="66"/>
      <c r="M103" s="66"/>
      <c r="N103" s="66"/>
      <c r="O103" s="66"/>
      <c r="P103" s="66"/>
    </row>
    <row r="104" spans="3:16" x14ac:dyDescent="0.2">
      <c r="C104" s="66" t="s">
        <v>38</v>
      </c>
      <c r="D104" s="105">
        <f>INDEX('4 Balanse'!$C$8:$P$43,MATCH("Innskudd fra og gjeld til kunder",'4 Balanse'!$C$8:$C$43,0),MATCH('1.2 APM'!D$10,'4 Balanse'!$C$8:$P$8,0))</f>
        <v>22650.130873890001</v>
      </c>
      <c r="E104" s="105">
        <f>INDEX('4 Balanse'!$C$8:$P$43,MATCH("Innskudd fra og gjeld til kunder",'4 Balanse'!$C$8:$C$43,0),MATCH('1.2 APM'!E$10,'4 Balanse'!$C$8:$P$8,0))</f>
        <v>22461.574347109996</v>
      </c>
      <c r="F104" s="105">
        <f>INDEX('4 Balanse'!$C$8:$P$43,MATCH("Innskudd fra og gjeld til kunder",'4 Balanse'!$C$8:$C$43,0),MATCH('1.2 APM'!F$10,'4 Balanse'!$C$8:$P$8,0))</f>
        <v>22335.192570159998</v>
      </c>
      <c r="G104" s="105">
        <f>INDEX('4 Balanse'!$C$8:$P$43,MATCH("Innskudd fra og gjeld til kunder",'4 Balanse'!$C$8:$C$43,0),MATCH('1.2 APM'!G$10,'4 Balanse'!$C$8:$P$8,0))</f>
        <v>22408.119910150002</v>
      </c>
      <c r="H104" s="105">
        <f>INDEX('4 Balanse'!$C$8:$P$43,MATCH("Innskudd fra og gjeld til kunder",'4 Balanse'!$C$8:$C$43,0),MATCH('1.2 APM'!H$10,'4 Balanse'!$C$8:$P$8,0))</f>
        <v>21503.797545879988</v>
      </c>
      <c r="I104" s="105">
        <f>INDEX('4 Balanse'!$C$8:$P$43,MATCH("Innskudd fra og gjeld til kunder",'4 Balanse'!$C$8:$C$43,0),MATCH('1.2 APM'!I$10,'4 Balanse'!$C$8:$P$8,0))</f>
        <v>21014.082068080003</v>
      </c>
      <c r="J104" s="105">
        <f>INDEX('4 Balanse'!$C$8:$P$43,MATCH("Innskudd fra og gjeld til kunder",'4 Balanse'!$C$8:$C$43,0),MATCH('1.2 APM'!J$10,'4 Balanse'!$C$8:$P$8,0))</f>
        <v>20898.457865269997</v>
      </c>
      <c r="K104" s="105">
        <f>INDEX('4 Balanse'!$C$8:$P$43,MATCH("Innskudd fra og gjeld til kunder",'4 Balanse'!$C$8:$C$43,0),MATCH('1.2 APM'!K$10,'4 Balanse'!$C$8:$P$8,0))</f>
        <v>21053.84502819</v>
      </c>
      <c r="L104" s="105">
        <f>INDEX('4 Balanse'!$C$8:$P$43,MATCH("Innskudd fra og gjeld til kunder",'4 Balanse'!$C$8:$C$43,0),MATCH('1.2 APM'!L$10,'4 Balanse'!$C$8:$P$8,0))</f>
        <v>20096.32090581</v>
      </c>
      <c r="M104" s="105">
        <f>INDEX('4 Balanse'!$C$8:$P$43,MATCH("Innskudd fra og gjeld til kunder",'4 Balanse'!$C$8:$C$43,0),MATCH('1.2 APM'!M$10,'4 Balanse'!$C$8:$P$8,0))</f>
        <v>19349.679914590004</v>
      </c>
      <c r="N104" s="105">
        <f>INDEX('4 Balanse'!$C$8:$P$43,MATCH("Innskudd fra og gjeld til kunder",'4 Balanse'!$C$8:$C$43,0),MATCH('1.2 APM'!N$10,'4 Balanse'!$C$8:$P$8,0))</f>
        <v>19688.015005760004</v>
      </c>
      <c r="O104" s="105">
        <f>INDEX('4 Balanse'!$C$8:$P$43,MATCH("Innskudd fra og gjeld til kunder",'4 Balanse'!$C$8:$C$43,0),MATCH('1.2 APM'!O$10,'4 Balanse'!$C$8:$P$8,0))</f>
        <v>19948.973228880004</v>
      </c>
      <c r="P104" s="105">
        <f>INDEX('4 Balanse'!$C$8:$P$43,MATCH("Innskudd fra og gjeld til kunder",'4 Balanse'!$C$8:$C$43,0),MATCH('1.2 APM'!P$10,'4 Balanse'!$C$8:$P$8,0))</f>
        <v>19410.673414989997</v>
      </c>
    </row>
    <row r="105" spans="3:16" x14ac:dyDescent="0.2">
      <c r="C105" s="66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</row>
    <row r="106" spans="3:16" x14ac:dyDescent="0.2">
      <c r="C106" s="66" t="s">
        <v>36</v>
      </c>
      <c r="D106" s="105">
        <f>INDEX('9 Utlån'!$C$8:$P$30,MATCH("Brutto utlån",'9 Utlån'!$C$8:$C$30,0),MATCH('1.2 APM'!D$10,'9 Utlån'!$C$8:$P$8,0))</f>
        <v>27018.086775820007</v>
      </c>
      <c r="E106" s="105">
        <f>INDEX('9 Utlån'!$C$8:$P$30,MATCH("Brutto utlån",'9 Utlån'!$C$8:$C$30,0),MATCH('1.2 APM'!E$10,'9 Utlån'!$C$8:$P$8,0))</f>
        <v>26863.655036150001</v>
      </c>
      <c r="F106" s="105">
        <f>INDEX('9 Utlån'!$C$8:$P$30,MATCH("Brutto utlån",'9 Utlån'!$C$8:$C$30,0),MATCH('1.2 APM'!F$10,'9 Utlån'!$C$8:$P$8,0))</f>
        <v>26248.834926629999</v>
      </c>
      <c r="G106" s="105">
        <f>INDEX('9 Utlån'!$C$8:$P$30,MATCH("Brutto utlån",'9 Utlån'!$C$8:$C$30,0),MATCH('1.2 APM'!G$10,'9 Utlån'!$C$8:$P$8,0))</f>
        <v>26201.259767059997</v>
      </c>
      <c r="H106" s="105">
        <f>INDEX('9 Utlån'!$C$8:$P$30,MATCH("Brutto utlån",'9 Utlån'!$C$8:$C$30,0),MATCH('1.2 APM'!H$10,'9 Utlån'!$C$8:$P$8,0))</f>
        <v>25939.178014309997</v>
      </c>
      <c r="I106" s="105">
        <f>INDEX('9 Utlån'!$C$8:$P$30,MATCH("Brutto utlån",'9 Utlån'!$C$8:$C$30,0),MATCH('1.2 APM'!I$10,'9 Utlån'!$C$8:$P$8,0))</f>
        <v>25645.847947689996</v>
      </c>
      <c r="J106" s="105">
        <f>INDEX('9 Utlån'!$C$8:$P$30,MATCH("Brutto utlån",'9 Utlån'!$C$8:$C$30,0),MATCH('1.2 APM'!J$10,'9 Utlån'!$C$8:$P$8,0))</f>
        <v>25912.698074420001</v>
      </c>
      <c r="K106" s="105">
        <f>INDEX('9 Utlån'!$C$8:$P$30,MATCH("Brutto utlån",'9 Utlån'!$C$8:$C$30,0),MATCH('1.2 APM'!K$10,'9 Utlån'!$C$8:$P$8,0))</f>
        <v>25796.377157820003</v>
      </c>
      <c r="L106" s="105">
        <f>INDEX('9 Utlån'!$C$8:$P$30,MATCH("Brutto utlån",'9 Utlån'!$C$8:$C$30,0),MATCH('1.2 APM'!L$10,'9 Utlån'!$C$8:$P$8,0))</f>
        <v>25286.665515269997</v>
      </c>
      <c r="M106" s="105">
        <f>INDEX('9 Utlån'!$C$8:$P$30,MATCH("Brutto utlån",'9 Utlån'!$C$8:$C$30,0),MATCH('1.2 APM'!M$10,'9 Utlån'!$C$8:$P$8,0))</f>
        <v>25054.706600009999</v>
      </c>
      <c r="N106" s="105">
        <f>INDEX('9 Utlån'!$C$8:$P$30,MATCH("Brutto utlån",'9 Utlån'!$C$8:$C$30,0),MATCH('1.2 APM'!N$10,'9 Utlån'!$C$8:$P$8,0))</f>
        <v>24941.52490768001</v>
      </c>
      <c r="O106" s="105">
        <f>INDEX('9 Utlån'!$C$8:$P$30,MATCH("Brutto utlån",'9 Utlån'!$C$8:$C$30,0),MATCH('1.2 APM'!O$10,'9 Utlån'!$C$8:$P$8,0))</f>
        <v>25026.960116440005</v>
      </c>
      <c r="P106" s="105">
        <f>INDEX('9 Utlån'!$C$8:$P$30,MATCH("Brutto utlån",'9 Utlån'!$C$8:$C$30,0),MATCH('1.2 APM'!P$10,'9 Utlån'!$C$8:$P$8,0))</f>
        <v>24750.741046549996</v>
      </c>
    </row>
    <row r="107" spans="3:16" x14ac:dyDescent="0.2">
      <c r="C107" s="83" t="s">
        <v>306</v>
      </c>
      <c r="D107" s="105">
        <f>INDEX('9 Utlån'!$C$8:$P$30,MATCH("Lån overført til SpareBank 1 Næringskreditt",'9 Utlån'!$C$8:$C$30,0),MATCH('1.2 APM'!D$10,'9 Utlån'!$C$8:$P$8,0))+INDEX('9 Utlån'!$C$8:$P$30,MATCH("Lån overført til SpareBank 1 Boligkreditt",'9 Utlån'!$C$8:$C$30,0),MATCH('1.2 APM'!D$10,'9 Utlån'!$C$8:$P$8,0))</f>
        <v>13583.936983920001</v>
      </c>
      <c r="E107" s="105">
        <f>INDEX('9 Utlån'!$C$8:$P$30,MATCH("Lån overført til SpareBank 1 Næringskreditt",'9 Utlån'!$C$8:$C$30,0),MATCH('1.2 APM'!E$10,'9 Utlån'!$C$8:$P$8,0))+INDEX('9 Utlån'!$C$8:$P$30,MATCH("Lån overført til SpareBank 1 Boligkreditt",'9 Utlån'!$C$8:$C$30,0),MATCH('1.2 APM'!E$10,'9 Utlån'!$C$8:$P$8,0))</f>
        <v>13462.85036925</v>
      </c>
      <c r="F107" s="105">
        <f>INDEX('9 Utlån'!$C$8:$P$30,MATCH("Lån overført til SpareBank 1 Næringskreditt",'9 Utlån'!$C$8:$C$30,0),MATCH('1.2 APM'!F$10,'9 Utlån'!$C$8:$P$8,0))+INDEX('9 Utlån'!$C$8:$P$30,MATCH("Lån overført til SpareBank 1 Boligkreditt",'9 Utlån'!$C$8:$C$30,0),MATCH('1.2 APM'!F$10,'9 Utlån'!$C$8:$P$8,0))</f>
        <v>13528.783042410001</v>
      </c>
      <c r="G107" s="105">
        <f>INDEX('9 Utlån'!$C$8:$P$30,MATCH("Lån overført til SpareBank 1 Næringskreditt",'9 Utlån'!$C$8:$C$30,0),MATCH('1.2 APM'!G$10,'9 Utlån'!$C$8:$P$8,0))+INDEX('9 Utlån'!$C$8:$P$30,MATCH("Lån overført til SpareBank 1 Boligkreditt",'9 Utlån'!$C$8:$C$30,0),MATCH('1.2 APM'!G$10,'9 Utlån'!$C$8:$P$8,0))</f>
        <v>13508.19099374</v>
      </c>
      <c r="H107" s="105">
        <f>INDEX('9 Utlån'!$C$8:$P$30,MATCH("Lån overført til SpareBank 1 Næringskreditt",'9 Utlån'!$C$8:$C$30,0),MATCH('1.2 APM'!H$10,'9 Utlån'!$C$8:$P$8,0))+INDEX('9 Utlån'!$C$8:$P$30,MATCH("Lån overført til SpareBank 1 Boligkreditt",'9 Utlån'!$C$8:$C$30,0),MATCH('1.2 APM'!H$10,'9 Utlån'!$C$8:$P$8,0))</f>
        <v>13509.518</v>
      </c>
      <c r="I107" s="105">
        <f>INDEX('9 Utlån'!$C$8:$P$30,MATCH("Lån overført til SpareBank 1 Næringskreditt",'9 Utlån'!$C$8:$C$30,0),MATCH('1.2 APM'!I$10,'9 Utlån'!$C$8:$P$8,0))+INDEX('9 Utlån'!$C$8:$P$30,MATCH("Lån overført til SpareBank 1 Boligkreditt",'9 Utlån'!$C$8:$C$30,0),MATCH('1.2 APM'!I$10,'9 Utlån'!$C$8:$P$8,0))</f>
        <v>13468.279999999999</v>
      </c>
      <c r="J107" s="105">
        <f>INDEX('9 Utlån'!$C$8:$P$30,MATCH("Lån overført til SpareBank 1 Næringskreditt",'9 Utlån'!$C$8:$C$30,0),MATCH('1.2 APM'!J$10,'9 Utlån'!$C$8:$P$8,0))+INDEX('9 Utlån'!$C$8:$P$30,MATCH("Lån overført til SpareBank 1 Boligkreditt",'9 Utlån'!$C$8:$C$30,0),MATCH('1.2 APM'!J$10,'9 Utlån'!$C$8:$P$8,0))</f>
        <v>13224.126</v>
      </c>
      <c r="K107" s="105">
        <f>INDEX('9 Utlån'!$C$8:$P$30,MATCH("Lån overført til SpareBank 1 Næringskreditt",'9 Utlån'!$C$8:$C$30,0),MATCH('1.2 APM'!K$10,'9 Utlån'!$C$8:$P$8,0))+INDEX('9 Utlån'!$C$8:$P$30,MATCH("Lån overført til SpareBank 1 Boligkreditt",'9 Utlån'!$C$8:$C$30,0),MATCH('1.2 APM'!K$10,'9 Utlån'!$C$8:$P$8,0))</f>
        <v>13036.694</v>
      </c>
      <c r="L107" s="105">
        <f>INDEX('9 Utlån'!$C$8:$P$30,MATCH("Lån overført til SpareBank 1 Næringskreditt",'9 Utlån'!$C$8:$C$30,0),MATCH('1.2 APM'!L$10,'9 Utlån'!$C$8:$P$8,0))+INDEX('9 Utlån'!$C$8:$P$30,MATCH("Lån overført til SpareBank 1 Boligkreditt",'9 Utlån'!$C$8:$C$30,0),MATCH('1.2 APM'!L$10,'9 Utlån'!$C$8:$P$8,0))</f>
        <v>13080.767</v>
      </c>
      <c r="M107" s="105">
        <f>INDEX('9 Utlån'!$C$8:$P$30,MATCH("Lån overført til SpareBank 1 Næringskreditt",'9 Utlån'!$C$8:$C$30,0),MATCH('1.2 APM'!M$10,'9 Utlån'!$C$8:$P$8,0))+INDEX('9 Utlån'!$C$8:$P$30,MATCH("Lån overført til SpareBank 1 Boligkreditt",'9 Utlån'!$C$8:$C$30,0),MATCH('1.2 APM'!M$10,'9 Utlån'!$C$8:$P$8,0))</f>
        <v>12894.675509999999</v>
      </c>
      <c r="N107" s="105">
        <f>INDEX('9 Utlån'!$C$8:$P$30,MATCH("Lån overført til SpareBank 1 Næringskreditt",'9 Utlån'!$C$8:$C$30,0),MATCH('1.2 APM'!N$10,'9 Utlån'!$C$8:$P$8,0))+INDEX('9 Utlån'!$C$8:$P$30,MATCH("Lån overført til SpareBank 1 Boligkreditt",'9 Utlån'!$C$8:$C$30,0),MATCH('1.2 APM'!N$10,'9 Utlån'!$C$8:$P$8,0))</f>
        <v>12894.551921</v>
      </c>
      <c r="O107" s="105">
        <f>INDEX('9 Utlån'!$C$8:$P$30,MATCH("Lån overført til SpareBank 1 Næringskreditt",'9 Utlån'!$C$8:$C$30,0),MATCH('1.2 APM'!O$10,'9 Utlån'!$C$8:$P$8,0))+INDEX('9 Utlån'!$C$8:$P$30,MATCH("Lån overført til SpareBank 1 Boligkreditt",'9 Utlån'!$C$8:$C$30,0),MATCH('1.2 APM'!O$10,'9 Utlån'!$C$8:$P$8,0))</f>
        <v>12760.734999999999</v>
      </c>
      <c r="P107" s="105">
        <f>INDEX('9 Utlån'!$C$8:$P$30,MATCH("Lån overført til SpareBank 1 Næringskreditt",'9 Utlån'!$C$8:$C$30,0),MATCH('1.2 APM'!P$10,'9 Utlån'!$C$8:$P$8,0))+INDEX('9 Utlån'!$C$8:$P$30,MATCH("Lån overført til SpareBank 1 Boligkreditt",'9 Utlån'!$C$8:$C$30,0),MATCH('1.2 APM'!P$10,'9 Utlån'!$C$8:$P$8,0))</f>
        <v>12549.067999999999</v>
      </c>
    </row>
    <row r="108" spans="3:16" x14ac:dyDescent="0.2">
      <c r="C108" s="151" t="s">
        <v>209</v>
      </c>
      <c r="D108" s="152">
        <f>D106+D107</f>
        <v>40602.023759740012</v>
      </c>
      <c r="E108" s="152">
        <f>E106+E107</f>
        <v>40326.505405399999</v>
      </c>
      <c r="F108" s="152">
        <f t="shared" ref="F108:P108" si="39">F106+F107</f>
        <v>39777.617969040002</v>
      </c>
      <c r="G108" s="152">
        <f t="shared" si="39"/>
        <v>39709.450760799999</v>
      </c>
      <c r="H108" s="152">
        <f t="shared" si="39"/>
        <v>39448.69601431</v>
      </c>
      <c r="I108" s="152">
        <f t="shared" si="39"/>
        <v>39114.127947689994</v>
      </c>
      <c r="J108" s="152">
        <f t="shared" si="39"/>
        <v>39136.824074420001</v>
      </c>
      <c r="K108" s="152">
        <f t="shared" si="39"/>
        <v>38833.071157819999</v>
      </c>
      <c r="L108" s="152">
        <f t="shared" si="39"/>
        <v>38367.432515269997</v>
      </c>
      <c r="M108" s="152">
        <f t="shared" si="39"/>
        <v>37949.382110009996</v>
      </c>
      <c r="N108" s="152">
        <f t="shared" si="39"/>
        <v>37836.076828680008</v>
      </c>
      <c r="O108" s="152">
        <f t="shared" si="39"/>
        <v>37787.695116440002</v>
      </c>
      <c r="P108" s="152">
        <f t="shared" si="39"/>
        <v>37299.809046549999</v>
      </c>
    </row>
    <row r="109" spans="3:16" x14ac:dyDescent="0.2">
      <c r="C109" s="66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</row>
    <row r="110" spans="3:16" x14ac:dyDescent="0.2">
      <c r="C110" s="107" t="s">
        <v>40</v>
      </c>
      <c r="D110" s="108">
        <f>D104/D108</f>
        <v>0.55785718977755305</v>
      </c>
      <c r="E110" s="108">
        <f>E104/E108</f>
        <v>0.55699282943823436</v>
      </c>
      <c r="F110" s="108">
        <f t="shared" ref="F110:P110" si="40">F104/F108</f>
        <v>0.56150151041080643</v>
      </c>
      <c r="G110" s="108">
        <f t="shared" si="40"/>
        <v>0.56430193520255478</v>
      </c>
      <c r="H110" s="108">
        <f t="shared" si="40"/>
        <v>0.54510794318979505</v>
      </c>
      <c r="I110" s="108">
        <f t="shared" si="40"/>
        <v>0.53725043023287078</v>
      </c>
      <c r="J110" s="108">
        <f t="shared" si="40"/>
        <v>0.53398451099483368</v>
      </c>
      <c r="K110" s="108">
        <f t="shared" si="40"/>
        <v>0.54216275974222783</v>
      </c>
      <c r="L110" s="108">
        <f t="shared" si="40"/>
        <v>0.52378591915974027</v>
      </c>
      <c r="M110" s="108">
        <f t="shared" si="40"/>
        <v>0.50988129025389572</v>
      </c>
      <c r="N110" s="108">
        <f t="shared" si="40"/>
        <v>0.52035032846841967</v>
      </c>
      <c r="O110" s="108">
        <f t="shared" si="40"/>
        <v>0.52792246702024859</v>
      </c>
      <c r="P110" s="108">
        <f t="shared" si="40"/>
        <v>0.52039605325500626</v>
      </c>
    </row>
    <row r="111" spans="3:16" x14ac:dyDescent="0.2">
      <c r="C111" s="66"/>
      <c r="D111" s="66"/>
      <c r="E111" s="66"/>
      <c r="F111" s="66"/>
      <c r="G111" s="104"/>
      <c r="H111" s="104"/>
      <c r="I111" s="66"/>
      <c r="J111" s="66"/>
      <c r="K111" s="66"/>
      <c r="L111" s="66"/>
      <c r="M111" s="66"/>
      <c r="N111" s="66"/>
      <c r="O111" s="66"/>
      <c r="P111" s="66"/>
    </row>
    <row r="112" spans="3:16" x14ac:dyDescent="0.2">
      <c r="C112" s="66"/>
      <c r="D112" s="66"/>
      <c r="E112" s="66"/>
      <c r="F112" s="66"/>
      <c r="G112" s="104"/>
      <c r="H112" s="104"/>
      <c r="I112" s="66"/>
      <c r="J112" s="66"/>
      <c r="K112" s="66"/>
      <c r="L112" s="66"/>
      <c r="M112" s="66"/>
      <c r="N112" s="66"/>
      <c r="O112" s="66"/>
      <c r="P112" s="66"/>
    </row>
    <row r="113" spans="3:16" x14ac:dyDescent="0.2">
      <c r="C113" s="123"/>
      <c r="D113" s="123"/>
      <c r="E113" s="123"/>
      <c r="F113" s="123"/>
      <c r="G113" s="153"/>
      <c r="H113" s="153"/>
      <c r="I113" s="123"/>
      <c r="J113" s="123"/>
      <c r="K113" s="123"/>
      <c r="L113" s="123"/>
      <c r="M113" s="123"/>
      <c r="N113" s="123"/>
      <c r="O113" s="123"/>
      <c r="P113" s="123"/>
    </row>
    <row r="114" spans="3:16" x14ac:dyDescent="0.2">
      <c r="C114" s="123"/>
      <c r="D114" s="123"/>
      <c r="E114" s="123"/>
      <c r="F114" s="123"/>
      <c r="G114" s="153"/>
      <c r="H114" s="153"/>
      <c r="I114" s="123"/>
      <c r="J114" s="123"/>
      <c r="K114" s="123"/>
      <c r="L114" s="123"/>
      <c r="M114" s="123"/>
      <c r="N114" s="123"/>
      <c r="O114" s="123"/>
      <c r="P114" s="123"/>
    </row>
    <row r="115" spans="3:16" x14ac:dyDescent="0.2">
      <c r="C115" s="123" t="s">
        <v>308</v>
      </c>
      <c r="D115" s="124">
        <f>INDEX('9 Utlån'!$C$8:$P$30,MATCH("Brutto utlån",'9 Utlån'!$C$8:$C$30,0),MATCH('1.2 APM'!D$10,'9 Utlån'!$C$8:$P$8,0))</f>
        <v>27018.086775820007</v>
      </c>
      <c r="E115" s="124">
        <f>INDEX('9 Utlån'!$C$8:$P$30,MATCH("Brutto utlån",'9 Utlån'!$C$8:$C$30,0),MATCH('1.2 APM'!E$10,'9 Utlån'!$C$8:$P$8,0))</f>
        <v>26863.655036150001</v>
      </c>
      <c r="F115" s="124">
        <f>INDEX('9 Utlån'!$C$8:$P$30,MATCH("Brutto utlån",'9 Utlån'!$C$8:$C$30,0),MATCH('1.2 APM'!F$10,'9 Utlån'!$C$8:$P$8,0))</f>
        <v>26248.834926629999</v>
      </c>
      <c r="G115" s="124">
        <f>INDEX('9 Utlån'!$C$8:$P$30,MATCH("Brutto utlån",'9 Utlån'!$C$8:$C$30,0),MATCH('1.2 APM'!G$10,'9 Utlån'!$C$8:$P$8,0))</f>
        <v>26201.259767059997</v>
      </c>
      <c r="H115" s="124">
        <f>INDEX('9 Utlån'!$C$8:$P$30,MATCH("Brutto utlån",'9 Utlån'!$C$8:$C$30,0),MATCH('1.2 APM'!H$10,'9 Utlån'!$C$8:$P$8,0))</f>
        <v>25939.178014309997</v>
      </c>
      <c r="I115" s="124">
        <f>INDEX('9 Utlån'!$C$8:$P$30,MATCH("Brutto utlån",'9 Utlån'!$C$8:$C$30,0),MATCH('1.2 APM'!I$10,'9 Utlån'!$C$8:$P$8,0))</f>
        <v>25645.847947689996</v>
      </c>
      <c r="J115" s="124">
        <f>INDEX('9 Utlån'!$C$8:$P$30,MATCH("Brutto utlån",'9 Utlån'!$C$8:$C$30,0),MATCH('1.2 APM'!J$10,'9 Utlån'!$C$8:$P$8,0))</f>
        <v>25912.698074420001</v>
      </c>
      <c r="K115" s="124">
        <f>INDEX('9 Utlån'!$C$8:$P$30,MATCH("Brutto utlån",'9 Utlån'!$C$8:$C$30,0),MATCH('1.2 APM'!K$10,'9 Utlån'!$C$8:$P$8,0))</f>
        <v>25796.377157820003</v>
      </c>
      <c r="L115" s="124">
        <f>INDEX('9 Utlån'!$C$8:$P$30,MATCH("Brutto utlån",'9 Utlån'!$C$8:$C$30,0),MATCH('1.2 APM'!L$10,'9 Utlån'!$C$8:$P$8,0))</f>
        <v>25286.665515269997</v>
      </c>
      <c r="M115" s="124">
        <f>INDEX('9 Utlån'!$C$8:$P$30,MATCH("Brutto utlån",'9 Utlån'!$C$8:$C$30,0),MATCH('1.2 APM'!M$10,'9 Utlån'!$C$8:$P$8,0))</f>
        <v>25054.706600009999</v>
      </c>
      <c r="N115" s="124">
        <f>INDEX('9 Utlån'!$C$8:$P$30,MATCH("Brutto utlån",'9 Utlån'!$C$8:$C$30,0),MATCH('1.2 APM'!N$10,'9 Utlån'!$C$8:$P$8,0))</f>
        <v>24941.52490768001</v>
      </c>
      <c r="O115" s="124">
        <f>INDEX('9 Utlån'!$C$8:$P$30,MATCH("Brutto utlån",'9 Utlån'!$C$8:$C$30,0),MATCH('1.2 APM'!O$10,'9 Utlån'!$C$8:$P$8,0))</f>
        <v>25026.960116440005</v>
      </c>
      <c r="P115" s="124">
        <f>INDEX('9 Utlån'!$C$8:$P$30,MATCH("Brutto utlån",'9 Utlån'!$C$8:$C$30,0),MATCH('1.2 APM'!P$10,'9 Utlån'!$C$8:$P$8,0))</f>
        <v>24750.741046549996</v>
      </c>
    </row>
    <row r="116" spans="3:16" x14ac:dyDescent="0.2">
      <c r="C116" s="123" t="s">
        <v>309</v>
      </c>
      <c r="D116" s="124">
        <f>INDEX('9 Utlån'!$C$8:$P$30,MATCH("Brutto utlån",'9 Utlån'!$C$8:$C$30,0),MATCH(LEFT(D10,3)&amp;RIGHT(D10,4)-1,'9 Utlån'!$C$8:$P$8,0))</f>
        <v>25939.178014309997</v>
      </c>
      <c r="E116" s="124">
        <f>INDEX('9 Utlån'!$C$8:$P$30,MATCH("Brutto utlån",'9 Utlån'!$C$8:$C$30,0),MATCH(LEFT(E10,3)&amp;RIGHT(E10,4)-1,'9 Utlån'!$C$8:$P$8,0))</f>
        <v>25645.847947689996</v>
      </c>
      <c r="F116" s="124">
        <f>INDEX('9 Utlån'!$C$8:$P$30,MATCH("Brutto utlån",'9 Utlån'!$C$8:$C$30,0),MATCH(LEFT(F10,3)&amp;RIGHT(F10,4)-1,'9 Utlån'!$C$8:$P$8,0))</f>
        <v>25912.698074420001</v>
      </c>
      <c r="G116" s="124">
        <f>INDEX('9 Utlån'!$C$8:$P$30,MATCH("Brutto utlån",'9 Utlån'!$C$8:$C$30,0),MATCH(LEFT(G10,3)&amp;RIGHT(G10,4)-1,'9 Utlån'!$C$8:$P$8,0))</f>
        <v>25796.377157820003</v>
      </c>
      <c r="H116" s="124">
        <f>INDEX('9 Utlån'!$C$8:$P$30,MATCH("Brutto utlån",'9 Utlån'!$C$8:$C$30,0),MATCH(LEFT(H10,3)&amp;RIGHT(H10,4)-1,'9 Utlån'!$C$8:$P$8,0))</f>
        <v>25286.665515269997</v>
      </c>
      <c r="I116" s="124">
        <f>INDEX('9 Utlån'!$C$8:$P$30,MATCH("Brutto utlån",'9 Utlån'!$C$8:$C$30,0),MATCH(LEFT(I10,3)&amp;RIGHT(I10,4)-1,'9 Utlån'!$C$8:$P$8,0))</f>
        <v>25054.706600009999</v>
      </c>
      <c r="J116" s="124">
        <f>INDEX('9 Utlån'!$C$8:$P$30,MATCH("Brutto utlån",'9 Utlån'!$C$8:$C$30,0),MATCH(LEFT(J10,3)&amp;RIGHT(J10,4)-1,'9 Utlån'!$C$8:$P$8,0))</f>
        <v>24941.52490768001</v>
      </c>
      <c r="K116" s="124">
        <f>INDEX('9 Utlån'!$C$8:$P$30,MATCH("Brutto utlån",'9 Utlån'!$C$8:$C$30,0),MATCH(LEFT(K10,3)&amp;RIGHT(K10,4)-1,'9 Utlån'!$C$8:$P$8,0))</f>
        <v>25026.960116440005</v>
      </c>
      <c r="L116" s="124">
        <f>INDEX('9 Utlån'!$C$8:$P$30,MATCH("Brutto utlån",'9 Utlån'!$C$8:$C$30,0),MATCH(LEFT(L10,3)&amp;RIGHT(L10,4)-1,'9 Utlån'!$C$8:$P$8,0))</f>
        <v>24750.741046549996</v>
      </c>
      <c r="M116" s="124">
        <v>24573.80679291</v>
      </c>
      <c r="N116" s="124">
        <v>24361.248660180001</v>
      </c>
      <c r="O116" s="124">
        <v>24222.870454650001</v>
      </c>
      <c r="P116" s="124">
        <v>23784.467328080005</v>
      </c>
    </row>
    <row r="117" spans="3:16" x14ac:dyDescent="0.2">
      <c r="C117" s="125" t="s">
        <v>307</v>
      </c>
      <c r="D117" s="154">
        <f>+D115-D116</f>
        <v>1078.9087615100107</v>
      </c>
      <c r="E117" s="154">
        <f>+E115-E116</f>
        <v>1217.8070884600056</v>
      </c>
      <c r="F117" s="154">
        <f t="shared" ref="F117:P117" si="41">+F115-F116</f>
        <v>336.13685220999832</v>
      </c>
      <c r="G117" s="154">
        <f t="shared" si="41"/>
        <v>404.88260923999405</v>
      </c>
      <c r="H117" s="154">
        <f t="shared" si="41"/>
        <v>652.51249903999997</v>
      </c>
      <c r="I117" s="154">
        <f t="shared" si="41"/>
        <v>591.14134767999712</v>
      </c>
      <c r="J117" s="154">
        <f t="shared" si="41"/>
        <v>971.17316673999085</v>
      </c>
      <c r="K117" s="154">
        <f t="shared" si="41"/>
        <v>769.41704137999841</v>
      </c>
      <c r="L117" s="154">
        <f t="shared" si="41"/>
        <v>535.92446872000073</v>
      </c>
      <c r="M117" s="154">
        <f t="shared" si="41"/>
        <v>480.89980709999872</v>
      </c>
      <c r="N117" s="154">
        <f t="shared" si="41"/>
        <v>580.27624750000905</v>
      </c>
      <c r="O117" s="154">
        <f t="shared" si="41"/>
        <v>804.08966179000345</v>
      </c>
      <c r="P117" s="154">
        <f t="shared" si="41"/>
        <v>966.27371846999085</v>
      </c>
    </row>
    <row r="118" spans="3:16" x14ac:dyDescent="0.2">
      <c r="C118" s="126" t="s">
        <v>41</v>
      </c>
      <c r="D118" s="155">
        <f>D117/D116</f>
        <v>4.1593791480778755E-2</v>
      </c>
      <c r="E118" s="155">
        <f>E117/E116</f>
        <v>4.7485545845236808E-2</v>
      </c>
      <c r="F118" s="155">
        <f t="shared" ref="F118:P118" si="42">F117/F116</f>
        <v>1.2971897069329861E-2</v>
      </c>
      <c r="G118" s="155">
        <f t="shared" si="42"/>
        <v>1.5695328330910859E-2</v>
      </c>
      <c r="H118" s="155">
        <f t="shared" si="42"/>
        <v>2.5804608308120487E-2</v>
      </c>
      <c r="I118" s="155">
        <f t="shared" si="42"/>
        <v>2.3594023953956867E-2</v>
      </c>
      <c r="J118" s="155">
        <f t="shared" si="42"/>
        <v>3.8938002801943622E-2</v>
      </c>
      <c r="K118" s="155">
        <f t="shared" si="42"/>
        <v>3.0743527691746098E-2</v>
      </c>
      <c r="L118" s="155">
        <f t="shared" si="42"/>
        <v>2.1652865573279601E-2</v>
      </c>
      <c r="M118" s="155">
        <f t="shared" si="42"/>
        <v>1.9569609672309595E-2</v>
      </c>
      <c r="N118" s="155">
        <f t="shared" si="42"/>
        <v>2.3819643056659373E-2</v>
      </c>
      <c r="O118" s="155">
        <f t="shared" si="42"/>
        <v>3.3195473810398238E-2</v>
      </c>
      <c r="P118" s="155">
        <f t="shared" si="42"/>
        <v>4.0626250112787074E-2</v>
      </c>
    </row>
    <row r="119" spans="3:16" x14ac:dyDescent="0.2">
      <c r="C119" s="123"/>
      <c r="D119" s="123"/>
      <c r="E119" s="123"/>
      <c r="F119" s="123"/>
      <c r="G119" s="153"/>
      <c r="H119" s="153"/>
      <c r="I119" s="123"/>
      <c r="J119" s="123"/>
      <c r="K119" s="123"/>
      <c r="L119" s="123"/>
      <c r="M119" s="123"/>
      <c r="N119" s="123"/>
      <c r="O119" s="123"/>
      <c r="P119" s="123"/>
    </row>
    <row r="120" spans="3:16" x14ac:dyDescent="0.2">
      <c r="C120" s="123"/>
      <c r="D120" s="123"/>
      <c r="E120" s="123"/>
      <c r="F120" s="123"/>
      <c r="G120" s="153"/>
      <c r="H120" s="153"/>
      <c r="I120" s="123"/>
      <c r="J120" s="123"/>
      <c r="K120" s="123"/>
      <c r="L120" s="123"/>
      <c r="M120" s="123"/>
      <c r="N120" s="123"/>
      <c r="O120" s="123"/>
      <c r="P120" s="123"/>
    </row>
    <row r="121" spans="3:16" x14ac:dyDescent="0.2">
      <c r="C121" s="117"/>
      <c r="D121" s="117"/>
      <c r="E121" s="117"/>
      <c r="F121" s="117"/>
      <c r="G121" s="118"/>
      <c r="H121" s="118"/>
      <c r="I121" s="117"/>
      <c r="J121" s="117"/>
      <c r="K121" s="117"/>
      <c r="L121" s="117"/>
      <c r="M121" s="117"/>
      <c r="N121" s="117"/>
      <c r="O121" s="117"/>
      <c r="P121" s="117"/>
    </row>
    <row r="122" spans="3:16" x14ac:dyDescent="0.2">
      <c r="C122" s="117"/>
      <c r="D122" s="117"/>
      <c r="E122" s="117"/>
      <c r="F122" s="117"/>
      <c r="G122" s="118"/>
      <c r="H122" s="118"/>
      <c r="I122" s="117"/>
      <c r="J122" s="117"/>
      <c r="K122" s="117"/>
      <c r="L122" s="117"/>
      <c r="M122" s="117"/>
      <c r="N122" s="117"/>
      <c r="O122" s="117"/>
      <c r="P122" s="117"/>
    </row>
    <row r="123" spans="3:16" x14ac:dyDescent="0.2">
      <c r="C123" s="66" t="s">
        <v>310</v>
      </c>
      <c r="D123" s="105">
        <f>INDEX('9 Utlån'!$C$8:$P$30,MATCH("Brutto utlån",'9 Utlån'!$C$8:$C$30,0),MATCH('1.2 APM'!D$10,'9 Utlån'!$C$8:$P$8,0))</f>
        <v>27018.086775820007</v>
      </c>
      <c r="E123" s="105">
        <f>INDEX('9 Utlån'!$C$8:$P$30,MATCH("Brutto utlån",'9 Utlån'!$C$8:$C$30,0),MATCH('1.2 APM'!E$10,'9 Utlån'!$C$8:$P$8,0))</f>
        <v>26863.655036150001</v>
      </c>
      <c r="F123" s="105">
        <f>INDEX('9 Utlån'!$C$8:$P$30,MATCH("Brutto utlån",'9 Utlån'!$C$8:$C$30,0),MATCH('1.2 APM'!F$10,'9 Utlån'!$C$8:$P$8,0))</f>
        <v>26248.834926629999</v>
      </c>
      <c r="G123" s="105">
        <f>INDEX('9 Utlån'!$C$8:$P$30,MATCH("Brutto utlån",'9 Utlån'!$C$8:$C$30,0),MATCH('1.2 APM'!G$10,'9 Utlån'!$C$8:$P$8,0))</f>
        <v>26201.259767059997</v>
      </c>
      <c r="H123" s="105">
        <f>INDEX('9 Utlån'!$C$8:$P$30,MATCH("Brutto utlån",'9 Utlån'!$C$8:$C$30,0),MATCH('1.2 APM'!H$10,'9 Utlån'!$C$8:$P$8,0))</f>
        <v>25939.178014309997</v>
      </c>
      <c r="I123" s="105">
        <f>INDEX('9 Utlån'!$C$8:$P$30,MATCH("Brutto utlån",'9 Utlån'!$C$8:$C$30,0),MATCH('1.2 APM'!I$10,'9 Utlån'!$C$8:$P$8,0))</f>
        <v>25645.847947689996</v>
      </c>
      <c r="J123" s="105">
        <f>INDEX('9 Utlån'!$C$8:$P$30,MATCH("Brutto utlån",'9 Utlån'!$C$8:$C$30,0),MATCH('1.2 APM'!J$10,'9 Utlån'!$C$8:$P$8,0))</f>
        <v>25912.698074420001</v>
      </c>
      <c r="K123" s="105">
        <f>INDEX('9 Utlån'!$C$8:$P$30,MATCH("Brutto utlån",'9 Utlån'!$C$8:$C$30,0),MATCH('1.2 APM'!K$10,'9 Utlån'!$C$8:$P$8,0))</f>
        <v>25796.377157820003</v>
      </c>
      <c r="L123" s="105">
        <f>INDEX('9 Utlån'!$C$8:$P$30,MATCH("Brutto utlån",'9 Utlån'!$C$8:$C$30,0),MATCH('1.2 APM'!L$10,'9 Utlån'!$C$8:$P$8,0))</f>
        <v>25286.665515269997</v>
      </c>
      <c r="M123" s="105">
        <f>INDEX('9 Utlån'!$C$8:$P$30,MATCH("Brutto utlån",'9 Utlån'!$C$8:$C$30,0),MATCH('1.2 APM'!M$10,'9 Utlån'!$C$8:$P$8,0))</f>
        <v>25054.706600009999</v>
      </c>
      <c r="N123" s="105">
        <f>INDEX('9 Utlån'!$C$8:$P$30,MATCH("Brutto utlån",'9 Utlån'!$C$8:$C$30,0),MATCH('1.2 APM'!N$10,'9 Utlån'!$C$8:$P$8,0))</f>
        <v>24941.52490768001</v>
      </c>
      <c r="O123" s="105">
        <f>INDEX('9 Utlån'!$C$8:$P$30,MATCH("Brutto utlån",'9 Utlån'!$C$8:$C$30,0),MATCH('1.2 APM'!O$10,'9 Utlån'!$C$8:$P$8,0))</f>
        <v>25026.960116440005</v>
      </c>
      <c r="P123" s="105">
        <f>INDEX('9 Utlån'!$C$8:$P$30,MATCH("Brutto utlån",'9 Utlån'!$C$8:$C$30,0),MATCH('1.2 APM'!P$10,'9 Utlån'!$C$8:$P$8,0))</f>
        <v>24750.741046549996</v>
      </c>
    </row>
    <row r="124" spans="3:16" x14ac:dyDescent="0.2">
      <c r="C124" s="83" t="s">
        <v>311</v>
      </c>
      <c r="D124" s="105">
        <f>INDEX('9 Utlån'!$C$8:$P$30,MATCH("Lån overført til SpareBank 1 Næringskreditt",'9 Utlån'!$C$8:$C$30,0),MATCH('1.2 APM'!D$10,'9 Utlån'!$C$8:$P$8,0))+INDEX('9 Utlån'!$C$8:$P$30,MATCH("Lån overført til SpareBank 1 Boligkreditt",'9 Utlån'!$C$8:$C$30,0),MATCH('1.2 APM'!D$10,'9 Utlån'!$C$8:$P$8,0))</f>
        <v>13583.936983920001</v>
      </c>
      <c r="E124" s="105">
        <f>INDEX('9 Utlån'!$C$8:$P$30,MATCH("Lån overført til SpareBank 1 Næringskreditt",'9 Utlån'!$C$8:$C$30,0),MATCH('1.2 APM'!E$10,'9 Utlån'!$C$8:$P$8,0))+INDEX('9 Utlån'!$C$8:$P$30,MATCH("Lån overført til SpareBank 1 Boligkreditt",'9 Utlån'!$C$8:$C$30,0),MATCH('1.2 APM'!E$10,'9 Utlån'!$C$8:$P$8,0))</f>
        <v>13462.85036925</v>
      </c>
      <c r="F124" s="105">
        <f>INDEX('9 Utlån'!$C$8:$P$30,MATCH("Lån overført til SpareBank 1 Næringskreditt",'9 Utlån'!$C$8:$C$30,0),MATCH('1.2 APM'!F$10,'9 Utlån'!$C$8:$P$8,0))+INDEX('9 Utlån'!$C$8:$P$30,MATCH("Lån overført til SpareBank 1 Boligkreditt",'9 Utlån'!$C$8:$C$30,0),MATCH('1.2 APM'!F$10,'9 Utlån'!$C$8:$P$8,0))</f>
        <v>13528.783042410001</v>
      </c>
      <c r="G124" s="105">
        <f>INDEX('9 Utlån'!$C$8:$P$30,MATCH("Lån overført til SpareBank 1 Næringskreditt",'9 Utlån'!$C$8:$C$30,0),MATCH('1.2 APM'!G$10,'9 Utlån'!$C$8:$P$8,0))+INDEX('9 Utlån'!$C$8:$P$30,MATCH("Lån overført til SpareBank 1 Boligkreditt",'9 Utlån'!$C$8:$C$30,0),MATCH('1.2 APM'!G$10,'9 Utlån'!$C$8:$P$8,0))</f>
        <v>13508.19099374</v>
      </c>
      <c r="H124" s="105">
        <f>INDEX('9 Utlån'!$C$8:$P$30,MATCH("Lån overført til SpareBank 1 Næringskreditt",'9 Utlån'!$C$8:$C$30,0),MATCH('1.2 APM'!H$10,'9 Utlån'!$C$8:$P$8,0))+INDEX('9 Utlån'!$C$8:$P$30,MATCH("Lån overført til SpareBank 1 Boligkreditt",'9 Utlån'!$C$8:$C$30,0),MATCH('1.2 APM'!H$10,'9 Utlån'!$C$8:$P$8,0))</f>
        <v>13509.518</v>
      </c>
      <c r="I124" s="105">
        <f>INDEX('9 Utlån'!$C$8:$P$30,MATCH("Lån overført til SpareBank 1 Næringskreditt",'9 Utlån'!$C$8:$C$30,0),MATCH('1.2 APM'!I$10,'9 Utlån'!$C$8:$P$8,0))+INDEX('9 Utlån'!$C$8:$P$30,MATCH("Lån overført til SpareBank 1 Boligkreditt",'9 Utlån'!$C$8:$C$30,0),MATCH('1.2 APM'!I$10,'9 Utlån'!$C$8:$P$8,0))</f>
        <v>13468.279999999999</v>
      </c>
      <c r="J124" s="105">
        <f>INDEX('9 Utlån'!$C$8:$P$30,MATCH("Lån overført til SpareBank 1 Næringskreditt",'9 Utlån'!$C$8:$C$30,0),MATCH('1.2 APM'!J$10,'9 Utlån'!$C$8:$P$8,0))+INDEX('9 Utlån'!$C$8:$P$30,MATCH("Lån overført til SpareBank 1 Boligkreditt",'9 Utlån'!$C$8:$C$30,0),MATCH('1.2 APM'!J$10,'9 Utlån'!$C$8:$P$8,0))</f>
        <v>13224.126</v>
      </c>
      <c r="K124" s="105">
        <f>INDEX('9 Utlån'!$C$8:$P$30,MATCH("Lån overført til SpareBank 1 Næringskreditt",'9 Utlån'!$C$8:$C$30,0),MATCH('1.2 APM'!K$10,'9 Utlån'!$C$8:$P$8,0))+INDEX('9 Utlån'!$C$8:$P$30,MATCH("Lån overført til SpareBank 1 Boligkreditt",'9 Utlån'!$C$8:$C$30,0),MATCH('1.2 APM'!K$10,'9 Utlån'!$C$8:$P$8,0))</f>
        <v>13036.694</v>
      </c>
      <c r="L124" s="105">
        <f>INDEX('9 Utlån'!$C$8:$P$30,MATCH("Lån overført til SpareBank 1 Næringskreditt",'9 Utlån'!$C$8:$C$30,0),MATCH('1.2 APM'!L$10,'9 Utlån'!$C$8:$P$8,0))+INDEX('9 Utlån'!$C$8:$P$30,MATCH("Lån overført til SpareBank 1 Boligkreditt",'9 Utlån'!$C$8:$C$30,0),MATCH('1.2 APM'!L$10,'9 Utlån'!$C$8:$P$8,0))</f>
        <v>13080.767</v>
      </c>
      <c r="M124" s="105">
        <f>INDEX('9 Utlån'!$C$8:$P$30,MATCH("Lån overført til SpareBank 1 Næringskreditt",'9 Utlån'!$C$8:$C$30,0),MATCH('1.2 APM'!M$10,'9 Utlån'!$C$8:$P$8,0))+INDEX('9 Utlån'!$C$8:$P$30,MATCH("Lån overført til SpareBank 1 Boligkreditt",'9 Utlån'!$C$8:$C$30,0),MATCH('1.2 APM'!M$10,'9 Utlån'!$C$8:$P$8,0))</f>
        <v>12894.675509999999</v>
      </c>
      <c r="N124" s="105">
        <f>INDEX('9 Utlån'!$C$8:$P$30,MATCH("Lån overført til SpareBank 1 Næringskreditt",'9 Utlån'!$C$8:$C$30,0),MATCH('1.2 APM'!N$10,'9 Utlån'!$C$8:$P$8,0))+INDEX('9 Utlån'!$C$8:$P$30,MATCH("Lån overført til SpareBank 1 Boligkreditt",'9 Utlån'!$C$8:$C$30,0),MATCH('1.2 APM'!N$10,'9 Utlån'!$C$8:$P$8,0))</f>
        <v>12894.551921</v>
      </c>
      <c r="O124" s="105">
        <f>INDEX('9 Utlån'!$C$8:$P$30,MATCH("Lån overført til SpareBank 1 Næringskreditt",'9 Utlån'!$C$8:$C$30,0),MATCH('1.2 APM'!O$10,'9 Utlån'!$C$8:$P$8,0))+INDEX('9 Utlån'!$C$8:$P$30,MATCH("Lån overført til SpareBank 1 Boligkreditt",'9 Utlån'!$C$8:$C$30,0),MATCH('1.2 APM'!O$10,'9 Utlån'!$C$8:$P$8,0))</f>
        <v>12760.734999999999</v>
      </c>
      <c r="P124" s="105">
        <f>INDEX('9 Utlån'!$C$8:$P$30,MATCH("Lån overført til SpareBank 1 Næringskreditt",'9 Utlån'!$C$8:$C$30,0),MATCH('1.2 APM'!P$10,'9 Utlån'!$C$8:$P$8,0))+INDEX('9 Utlån'!$C$8:$P$30,MATCH("Lån overført til SpareBank 1 Boligkreditt",'9 Utlån'!$C$8:$C$30,0),MATCH('1.2 APM'!P$10,'9 Utlån'!$C$8:$P$8,0))</f>
        <v>12549.067999999999</v>
      </c>
    </row>
    <row r="125" spans="3:16" x14ac:dyDescent="0.2">
      <c r="C125" s="151" t="s">
        <v>313</v>
      </c>
      <c r="D125" s="152">
        <f>D123+D124</f>
        <v>40602.023759740012</v>
      </c>
      <c r="E125" s="152">
        <f>E123+E124</f>
        <v>40326.505405399999</v>
      </c>
      <c r="F125" s="152">
        <f t="shared" ref="F125:P125" si="43">F123+F124</f>
        <v>39777.617969040002</v>
      </c>
      <c r="G125" s="152">
        <f t="shared" si="43"/>
        <v>39709.450760799999</v>
      </c>
      <c r="H125" s="152">
        <f t="shared" si="43"/>
        <v>39448.69601431</v>
      </c>
      <c r="I125" s="152">
        <f t="shared" si="43"/>
        <v>39114.127947689994</v>
      </c>
      <c r="J125" s="152">
        <f t="shared" si="43"/>
        <v>39136.824074420001</v>
      </c>
      <c r="K125" s="152">
        <f t="shared" si="43"/>
        <v>38833.071157819999</v>
      </c>
      <c r="L125" s="152">
        <f t="shared" si="43"/>
        <v>38367.432515269997</v>
      </c>
      <c r="M125" s="152">
        <f t="shared" si="43"/>
        <v>37949.382110009996</v>
      </c>
      <c r="N125" s="152">
        <f t="shared" si="43"/>
        <v>37836.076828680008</v>
      </c>
      <c r="O125" s="152">
        <f t="shared" si="43"/>
        <v>37787.695116440002</v>
      </c>
      <c r="P125" s="152">
        <f t="shared" si="43"/>
        <v>37299.809046549999</v>
      </c>
    </row>
    <row r="126" spans="3:16" x14ac:dyDescent="0.2">
      <c r="C126" s="66"/>
      <c r="D126" s="66"/>
      <c r="E126" s="66"/>
      <c r="F126" s="66"/>
      <c r="G126" s="104"/>
      <c r="H126" s="104"/>
      <c r="I126" s="66"/>
      <c r="J126" s="66"/>
      <c r="K126" s="66"/>
      <c r="L126" s="66"/>
      <c r="M126" s="66"/>
      <c r="N126" s="66"/>
      <c r="O126" s="66"/>
      <c r="P126" s="66"/>
    </row>
    <row r="127" spans="3:16" x14ac:dyDescent="0.2">
      <c r="C127" s="66" t="s">
        <v>309</v>
      </c>
      <c r="D127" s="105">
        <f>INDEX('9 Utlån'!$C$8:$P$30,MATCH("Brutto utlån",'9 Utlån'!$C$8:$C$30,0),MATCH(LEFT(D10,3)&amp;RIGHT(D10,4)-1,'9 Utlån'!$C$8:$P$8,0))</f>
        <v>25939.178014309997</v>
      </c>
      <c r="E127" s="105">
        <f>INDEX('9 Utlån'!$C$8:$P$30,MATCH("Brutto utlån",'9 Utlån'!$C$8:$C$30,0),MATCH(LEFT(E10,3)&amp;RIGHT(E10,4)-1,'9 Utlån'!$C$8:$P$8,0))</f>
        <v>25645.847947689996</v>
      </c>
      <c r="F127" s="105">
        <f>INDEX('9 Utlån'!$C$8:$P$30,MATCH("Brutto utlån",'9 Utlån'!$C$8:$C$30,0),MATCH(LEFT(F10,3)&amp;RIGHT(F10,4)-1,'9 Utlån'!$C$8:$P$8,0))</f>
        <v>25912.698074420001</v>
      </c>
      <c r="G127" s="105">
        <f>INDEX('9 Utlån'!$C$8:$P$30,MATCH("Brutto utlån",'9 Utlån'!$C$8:$C$30,0),MATCH(LEFT(G10,3)&amp;RIGHT(G10,4)-1,'9 Utlån'!$C$8:$P$8,0))</f>
        <v>25796.377157820003</v>
      </c>
      <c r="H127" s="105">
        <f>INDEX('9 Utlån'!$C$8:$P$30,MATCH("Brutto utlån",'9 Utlån'!$C$8:$C$30,0),MATCH(LEFT(H10,3)&amp;RIGHT(H10,4)-1,'9 Utlån'!$C$8:$P$8,0))</f>
        <v>25286.665515269997</v>
      </c>
      <c r="I127" s="105">
        <f>INDEX('9 Utlån'!$C$8:$P$30,MATCH("Brutto utlån",'9 Utlån'!$C$8:$C$30,0),MATCH(LEFT(I10,3)&amp;RIGHT(I10,4)-1,'9 Utlån'!$C$8:$P$8,0))</f>
        <v>25054.706600009999</v>
      </c>
      <c r="J127" s="105">
        <f>INDEX('9 Utlån'!$C$8:$P$30,MATCH("Brutto utlån",'9 Utlån'!$C$8:$C$30,0),MATCH(LEFT(J10,3)&amp;RIGHT(J10,4)-1,'9 Utlån'!$C$8:$P$8,0))</f>
        <v>24941.52490768001</v>
      </c>
      <c r="K127" s="105">
        <f>INDEX('9 Utlån'!$C$8:$P$30,MATCH("Brutto utlån",'9 Utlån'!$C$8:$C$30,0),MATCH(LEFT(K10,3)&amp;RIGHT(K10,4)-1,'9 Utlån'!$C$8:$P$8,0))</f>
        <v>25026.960116440005</v>
      </c>
      <c r="L127" s="105">
        <f>INDEX('9 Utlån'!$C$8:$P$30,MATCH("Brutto utlån",'9 Utlån'!$C$8:$C$30,0),MATCH(LEFT(L10,3)&amp;RIGHT(L10,4)-1,'9 Utlån'!$C$8:$P$8,0))</f>
        <v>24750.741046549996</v>
      </c>
      <c r="M127" s="119">
        <v>24573.80679291</v>
      </c>
      <c r="N127" s="119">
        <v>24361.248660180001</v>
      </c>
      <c r="O127" s="119">
        <v>24222.870454650001</v>
      </c>
      <c r="P127" s="119">
        <v>23784.467328080005</v>
      </c>
    </row>
    <row r="128" spans="3:16" x14ac:dyDescent="0.2">
      <c r="C128" s="83" t="s">
        <v>312</v>
      </c>
      <c r="D128" s="105">
        <f>INDEX('9 Utlån'!$C$8:$P$30,MATCH("Lån overført til SpareBank 1 Næringskreditt",'9 Utlån'!$C$8:$C$30,0),MATCH(LEFT(D10,3)&amp;RIGHT(D10,4)-1,'9 Utlån'!$C$8:$P$8,0))+INDEX('9 Utlån'!$C$8:$P$30,MATCH("Lån overført til SpareBank 1 Boligkreditt",'9 Utlån'!$C$8:$C$30,0),MATCH(LEFT(D10,3)&amp;RIGHT(D10,4)-1,'9 Utlån'!$C$8:$P$8,0))</f>
        <v>13509.518</v>
      </c>
      <c r="E128" s="105">
        <f>INDEX('9 Utlån'!$C$8:$P$30,MATCH("Lån overført til SpareBank 1 Næringskreditt",'9 Utlån'!$C$8:$C$30,0),MATCH(LEFT(E10,3)&amp;RIGHT(E10,4)-1,'9 Utlån'!$C$8:$P$8,0))+INDEX('9 Utlån'!$C$8:$P$30,MATCH("Lån overført til SpareBank 1 Boligkreditt",'9 Utlån'!$C$8:$C$30,0),MATCH(LEFT(E10,3)&amp;RIGHT(E10,4)-1,'9 Utlån'!$C$8:$P$8,0))</f>
        <v>13468.279999999999</v>
      </c>
      <c r="F128" s="105">
        <f>INDEX('9 Utlån'!$C$8:$P$30,MATCH("Lån overført til SpareBank 1 Næringskreditt",'9 Utlån'!$C$8:$C$30,0),MATCH(LEFT(F10,3)&amp;RIGHT(F10,4)-1,'9 Utlån'!$C$8:$P$8,0))+INDEX('9 Utlån'!$C$8:$P$30,MATCH("Lån overført til SpareBank 1 Boligkreditt",'9 Utlån'!$C$8:$C$30,0),MATCH(LEFT(F10,3)&amp;RIGHT(F10,4)-1,'9 Utlån'!$C$8:$P$8,0))</f>
        <v>13224.126</v>
      </c>
      <c r="G128" s="105">
        <f>INDEX('9 Utlån'!$C$8:$P$30,MATCH("Lån overført til SpareBank 1 Næringskreditt",'9 Utlån'!$C$8:$C$30,0),MATCH(LEFT(G10,3)&amp;RIGHT(G10,4)-1,'9 Utlån'!$C$8:$P$8,0))+INDEX('9 Utlån'!$C$8:$P$30,MATCH("Lån overført til SpareBank 1 Boligkreditt",'9 Utlån'!$C$8:$C$30,0),MATCH(LEFT(G10,3)&amp;RIGHT(G10,4)-1,'9 Utlån'!$C$8:$P$8,0))</f>
        <v>13036.694</v>
      </c>
      <c r="H128" s="105">
        <f>INDEX('9 Utlån'!$C$8:$P$30,MATCH("Lån overført til SpareBank 1 Næringskreditt",'9 Utlån'!$C$8:$C$30,0),MATCH(LEFT(H10,3)&amp;RIGHT(H10,4)-1,'9 Utlån'!$C$8:$P$8,0))+INDEX('9 Utlån'!$C$8:$P$30,MATCH("Lån overført til SpareBank 1 Boligkreditt",'9 Utlån'!$C$8:$C$30,0),MATCH(LEFT(H10,3)&amp;RIGHT(H10,4)-1,'9 Utlån'!$C$8:$P$8,0))</f>
        <v>13080.767</v>
      </c>
      <c r="I128" s="105">
        <f>INDEX('9 Utlån'!$C$8:$P$30,MATCH("Lån overført til SpareBank 1 Næringskreditt",'9 Utlån'!$C$8:$C$30,0),MATCH(LEFT(I10,3)&amp;RIGHT(I10,4)-1,'9 Utlån'!$C$8:$P$8,0))+INDEX('9 Utlån'!$C$8:$P$30,MATCH("Lån overført til SpareBank 1 Boligkreditt",'9 Utlån'!$C$8:$C$30,0),MATCH(LEFT(I10,3)&amp;RIGHT(I10,4)-1,'9 Utlån'!$C$8:$P$8,0))</f>
        <v>12894.675509999999</v>
      </c>
      <c r="J128" s="105">
        <f>INDEX('9 Utlån'!$C$8:$P$30,MATCH("Lån overført til SpareBank 1 Næringskreditt",'9 Utlån'!$C$8:$C$30,0),MATCH(LEFT(J10,3)&amp;RIGHT(J10,4)-1,'9 Utlån'!$C$8:$P$8,0))+INDEX('9 Utlån'!$C$8:$P$30,MATCH("Lån overført til SpareBank 1 Boligkreditt",'9 Utlån'!$C$8:$C$30,0),MATCH(LEFT(J10,3)&amp;RIGHT(J10,4)-1,'9 Utlån'!$C$8:$P$8,0))</f>
        <v>12894.551921</v>
      </c>
      <c r="K128" s="105">
        <f>INDEX('9 Utlån'!$C$8:$P$30,MATCH("Lån overført til SpareBank 1 Næringskreditt",'9 Utlån'!$C$8:$C$30,0),MATCH(LEFT(K10,3)&amp;RIGHT(K10,4)-1,'9 Utlån'!$C$8:$P$8,0))+INDEX('9 Utlån'!$C$8:$P$30,MATCH("Lån overført til SpareBank 1 Boligkreditt",'9 Utlån'!$C$8:$C$30,0),MATCH(LEFT(K10,3)&amp;RIGHT(K10,4)-1,'9 Utlån'!$C$8:$P$8,0))</f>
        <v>12760.734999999999</v>
      </c>
      <c r="L128" s="105">
        <f>INDEX('9 Utlån'!$C$8:$P$30,MATCH("Lån overført til SpareBank 1 Næringskreditt",'9 Utlån'!$C$8:$C$30,0),MATCH(LEFT(L10,3)&amp;RIGHT(L10,4)-1,'9 Utlån'!$C$8:$P$8,0))+INDEX('9 Utlån'!$C$8:$P$30,MATCH("Lån overført til SpareBank 1 Boligkreditt",'9 Utlån'!$C$8:$C$30,0),MATCH(LEFT(L10,3)&amp;RIGHT(L10,4)-1,'9 Utlån'!$C$8:$P$8,0))</f>
        <v>12549.067999999999</v>
      </c>
      <c r="M128" s="105">
        <v>12384</v>
      </c>
      <c r="N128" s="105">
        <v>12092</v>
      </c>
      <c r="O128" s="105">
        <v>11438</v>
      </c>
      <c r="P128" s="105">
        <v>11177</v>
      </c>
    </row>
    <row r="129" spans="3:16" x14ac:dyDescent="0.2">
      <c r="C129" s="151" t="s">
        <v>313</v>
      </c>
      <c r="D129" s="152">
        <f>D127+D128</f>
        <v>39448.69601431</v>
      </c>
      <c r="E129" s="152">
        <f>E127+E128</f>
        <v>39114.127947689994</v>
      </c>
      <c r="F129" s="152">
        <f t="shared" ref="F129:P129" si="44">F127+F128</f>
        <v>39136.824074420001</v>
      </c>
      <c r="G129" s="152">
        <f t="shared" si="44"/>
        <v>38833.071157819999</v>
      </c>
      <c r="H129" s="152">
        <f t="shared" si="44"/>
        <v>38367.432515269997</v>
      </c>
      <c r="I129" s="152">
        <f t="shared" si="44"/>
        <v>37949.382110009996</v>
      </c>
      <c r="J129" s="152">
        <f t="shared" si="44"/>
        <v>37836.076828680008</v>
      </c>
      <c r="K129" s="152">
        <f t="shared" si="44"/>
        <v>37787.695116440002</v>
      </c>
      <c r="L129" s="152">
        <f t="shared" si="44"/>
        <v>37299.809046549999</v>
      </c>
      <c r="M129" s="152">
        <f t="shared" si="44"/>
        <v>36957.80679291</v>
      </c>
      <c r="N129" s="152">
        <f t="shared" si="44"/>
        <v>36453.248660180005</v>
      </c>
      <c r="O129" s="152">
        <f t="shared" si="44"/>
        <v>35660.870454650001</v>
      </c>
      <c r="P129" s="152">
        <f t="shared" si="44"/>
        <v>34961.467328080005</v>
      </c>
    </row>
    <row r="130" spans="3:16" x14ac:dyDescent="0.2">
      <c r="C130" s="66"/>
      <c r="D130" s="66"/>
      <c r="E130" s="66"/>
      <c r="F130" s="66"/>
      <c r="G130" s="104"/>
      <c r="H130" s="104"/>
      <c r="I130" s="66"/>
      <c r="J130" s="66"/>
      <c r="K130" s="66"/>
      <c r="L130" s="66"/>
      <c r="M130" s="66"/>
      <c r="N130" s="66"/>
      <c r="O130" s="66"/>
      <c r="P130" s="66"/>
    </row>
    <row r="131" spans="3:16" x14ac:dyDescent="0.2">
      <c r="C131" s="120" t="s">
        <v>314</v>
      </c>
      <c r="D131" s="127">
        <f>D125-D129</f>
        <v>1153.3277454300114</v>
      </c>
      <c r="E131" s="127">
        <f>E125-E129</f>
        <v>1212.3774577100048</v>
      </c>
      <c r="F131" s="127">
        <f t="shared" ref="F131:P131" si="45">F125-F129</f>
        <v>640.79389462000108</v>
      </c>
      <c r="G131" s="127">
        <f t="shared" si="45"/>
        <v>876.37960297999962</v>
      </c>
      <c r="H131" s="127">
        <f t="shared" si="45"/>
        <v>1081.2634990400038</v>
      </c>
      <c r="I131" s="127">
        <f t="shared" si="45"/>
        <v>1164.7458376799987</v>
      </c>
      <c r="J131" s="127">
        <f t="shared" si="45"/>
        <v>1300.7472457399926</v>
      </c>
      <c r="K131" s="127">
        <f t="shared" si="45"/>
        <v>1045.3760413799973</v>
      </c>
      <c r="L131" s="127">
        <f t="shared" si="45"/>
        <v>1067.6234687199976</v>
      </c>
      <c r="M131" s="127">
        <f t="shared" si="45"/>
        <v>991.57531709999603</v>
      </c>
      <c r="N131" s="127">
        <f t="shared" si="45"/>
        <v>1382.8281685000038</v>
      </c>
      <c r="O131" s="127">
        <f t="shared" si="45"/>
        <v>2126.8246617900004</v>
      </c>
      <c r="P131" s="127">
        <f t="shared" si="45"/>
        <v>2338.3417184699938</v>
      </c>
    </row>
    <row r="132" spans="3:16" x14ac:dyDescent="0.2">
      <c r="C132" s="66"/>
      <c r="D132" s="66"/>
      <c r="E132" s="66"/>
      <c r="F132" s="66"/>
      <c r="G132" s="104"/>
      <c r="H132" s="104"/>
      <c r="I132" s="66"/>
      <c r="J132" s="66"/>
      <c r="K132" s="66"/>
      <c r="L132" s="66"/>
      <c r="M132" s="66"/>
      <c r="N132" s="66"/>
      <c r="O132" s="66"/>
      <c r="P132" s="66"/>
    </row>
    <row r="133" spans="3:16" x14ac:dyDescent="0.2">
      <c r="C133" s="122" t="s">
        <v>315</v>
      </c>
      <c r="D133" s="128">
        <f>D131/D129</f>
        <v>2.9236143699442999E-2</v>
      </c>
      <c r="E133" s="128">
        <f>E131/E129</f>
        <v>3.09958964017145E-2</v>
      </c>
      <c r="F133" s="128">
        <f t="shared" ref="F133:P133" si="46">F131/F129</f>
        <v>1.6373170531198692E-2</v>
      </c>
      <c r="G133" s="128">
        <f t="shared" si="46"/>
        <v>2.2567867460658437E-2</v>
      </c>
      <c r="H133" s="128">
        <f t="shared" si="46"/>
        <v>2.8181804935987514E-2</v>
      </c>
      <c r="I133" s="128">
        <f t="shared" si="46"/>
        <v>3.069208964466304E-2</v>
      </c>
      <c r="J133" s="128">
        <f t="shared" si="46"/>
        <v>3.4378491502428103E-2</v>
      </c>
      <c r="K133" s="128">
        <f t="shared" si="46"/>
        <v>2.7664456330526326E-2</v>
      </c>
      <c r="L133" s="128">
        <f t="shared" si="46"/>
        <v>2.8622759633638022E-2</v>
      </c>
      <c r="M133" s="128">
        <f t="shared" si="46"/>
        <v>2.6829928590086687E-2</v>
      </c>
      <c r="N133" s="128">
        <f t="shared" si="46"/>
        <v>3.7934291711304927E-2</v>
      </c>
      <c r="O133" s="128">
        <f t="shared" si="46"/>
        <v>5.9640290174483752E-2</v>
      </c>
      <c r="P133" s="128">
        <f t="shared" si="46"/>
        <v>6.6883397556712604E-2</v>
      </c>
    </row>
    <row r="134" spans="3:16" x14ac:dyDescent="0.2">
      <c r="C134" s="66"/>
      <c r="D134" s="66"/>
      <c r="E134" s="66"/>
      <c r="F134" s="66"/>
      <c r="G134" s="104"/>
      <c r="H134" s="104"/>
      <c r="I134" s="66"/>
      <c r="J134" s="66"/>
      <c r="K134" s="66"/>
      <c r="L134" s="66"/>
      <c r="M134" s="66"/>
      <c r="N134" s="66"/>
      <c r="O134" s="66"/>
      <c r="P134" s="66"/>
    </row>
    <row r="135" spans="3:16" x14ac:dyDescent="0.2">
      <c r="C135" s="66"/>
      <c r="D135" s="66"/>
      <c r="E135" s="66"/>
      <c r="F135" s="66"/>
      <c r="G135" s="104"/>
      <c r="H135" s="104"/>
      <c r="I135" s="66"/>
      <c r="J135" s="66"/>
      <c r="K135" s="66"/>
      <c r="L135" s="66"/>
      <c r="M135" s="66"/>
      <c r="N135" s="66"/>
      <c r="O135" s="66"/>
      <c r="P135" s="66"/>
    </row>
    <row r="136" spans="3:16" x14ac:dyDescent="0.2">
      <c r="C136" s="71"/>
      <c r="D136" s="71"/>
      <c r="E136" s="71"/>
      <c r="F136" s="71"/>
      <c r="G136" s="103"/>
      <c r="H136" s="103"/>
      <c r="I136" s="71"/>
      <c r="J136" s="71"/>
      <c r="K136" s="71"/>
      <c r="L136" s="71"/>
      <c r="M136" s="71"/>
      <c r="N136" s="71"/>
      <c r="O136" s="71"/>
      <c r="P136" s="71"/>
    </row>
    <row r="137" spans="3:16" x14ac:dyDescent="0.2">
      <c r="C137" s="71"/>
      <c r="D137" s="71"/>
      <c r="E137" s="71"/>
      <c r="F137" s="71"/>
      <c r="G137" s="103"/>
      <c r="H137" s="103"/>
      <c r="I137" s="71"/>
      <c r="J137" s="71"/>
      <c r="K137" s="71"/>
      <c r="L137" s="71"/>
      <c r="M137" s="71"/>
      <c r="N137" s="71"/>
      <c r="O137" s="71"/>
      <c r="P137" s="71"/>
    </row>
    <row r="138" spans="3:16" x14ac:dyDescent="0.2">
      <c r="C138" s="71" t="s">
        <v>38</v>
      </c>
      <c r="D138" s="106">
        <f>INDEX('4 Balanse'!$C$8:$P$43,MATCH("Innskudd fra og gjeld til kunder",'4 Balanse'!$C$8:$C$43,0),MATCH('1.2 APM'!D$10,'4 Balanse'!$C$8:$P$8,0))</f>
        <v>22650.130873890001</v>
      </c>
      <c r="E138" s="106">
        <f>INDEX('4 Balanse'!$C$8:$P$43,MATCH("Innskudd fra og gjeld til kunder",'4 Balanse'!$C$8:$C$43,0),MATCH('1.2 APM'!E$10,'4 Balanse'!$C$8:$P$8,0))</f>
        <v>22461.574347109996</v>
      </c>
      <c r="F138" s="106">
        <f>INDEX('4 Balanse'!$C$8:$P$43,MATCH("Innskudd fra og gjeld til kunder",'4 Balanse'!$C$8:$C$43,0),MATCH('1.2 APM'!F$10,'4 Balanse'!$C$8:$P$8,0))</f>
        <v>22335.192570159998</v>
      </c>
      <c r="G138" s="106">
        <f>INDEX('4 Balanse'!$C$8:$P$43,MATCH("Innskudd fra og gjeld til kunder",'4 Balanse'!$C$8:$C$43,0),MATCH('1.2 APM'!G$10,'4 Balanse'!$C$8:$P$8,0))</f>
        <v>22408.119910150002</v>
      </c>
      <c r="H138" s="106">
        <f>INDEX('4 Balanse'!$C$8:$P$43,MATCH("Innskudd fra og gjeld til kunder",'4 Balanse'!$C$8:$C$43,0),MATCH('1.2 APM'!H$10,'4 Balanse'!$C$8:$P$8,0))</f>
        <v>21503.797545879988</v>
      </c>
      <c r="I138" s="106">
        <f>INDEX('4 Balanse'!$C$8:$P$43,MATCH("Innskudd fra og gjeld til kunder",'4 Balanse'!$C$8:$C$43,0),MATCH('1.2 APM'!I$10,'4 Balanse'!$C$8:$P$8,0))</f>
        <v>21014.082068080003</v>
      </c>
      <c r="J138" s="106">
        <f>INDEX('4 Balanse'!$C$8:$P$43,MATCH("Innskudd fra og gjeld til kunder",'4 Balanse'!$C$8:$C$43,0),MATCH('1.2 APM'!J$10,'4 Balanse'!$C$8:$P$8,0))</f>
        <v>20898.457865269997</v>
      </c>
      <c r="K138" s="106">
        <f>INDEX('4 Balanse'!$C$8:$P$43,MATCH("Innskudd fra og gjeld til kunder",'4 Balanse'!$C$8:$C$43,0),MATCH('1.2 APM'!K$10,'4 Balanse'!$C$8:$P$8,0))</f>
        <v>21053.84502819</v>
      </c>
      <c r="L138" s="106">
        <f>INDEX('4 Balanse'!$C$8:$P$43,MATCH("Innskudd fra og gjeld til kunder",'4 Balanse'!$C$8:$C$43,0),MATCH('1.2 APM'!L$10,'4 Balanse'!$C$8:$P$8,0))</f>
        <v>20096.32090581</v>
      </c>
      <c r="M138" s="106">
        <f>INDEX('4 Balanse'!$C$8:$P$43,MATCH("Innskudd fra og gjeld til kunder",'4 Balanse'!$C$8:$C$43,0),MATCH('1.2 APM'!M$10,'4 Balanse'!$C$8:$P$8,0))</f>
        <v>19349.679914590004</v>
      </c>
      <c r="N138" s="106">
        <f>INDEX('4 Balanse'!$C$8:$P$43,MATCH("Innskudd fra og gjeld til kunder",'4 Balanse'!$C$8:$C$43,0),MATCH('1.2 APM'!N$10,'4 Balanse'!$C$8:$P$8,0))</f>
        <v>19688.015005760004</v>
      </c>
      <c r="O138" s="106">
        <f>INDEX('4 Balanse'!$C$8:$P$43,MATCH("Innskudd fra og gjeld til kunder",'4 Balanse'!$C$8:$C$43,0),MATCH('1.2 APM'!O$10,'4 Balanse'!$C$8:$P$8,0))</f>
        <v>19948.973228880004</v>
      </c>
      <c r="P138" s="106">
        <f>INDEX('4 Balanse'!$C$8:$P$43,MATCH("Innskudd fra og gjeld til kunder",'4 Balanse'!$C$8:$C$43,0),MATCH('1.2 APM'!P$10,'4 Balanse'!$C$8:$P$8,0))</f>
        <v>19410.673414989997</v>
      </c>
    </row>
    <row r="139" spans="3:16" x14ac:dyDescent="0.2">
      <c r="C139" s="71" t="s">
        <v>316</v>
      </c>
      <c r="D139" s="106">
        <f>INDEX('4 Balanse'!$C$8:$P$43,MATCH("Innskudd fra og gjeld til kunder",'4 Balanse'!$C$8:$C$43,0),MATCH(LEFT(D10,3)&amp;RIGHT(D10,4)-1,'4 Balanse'!$C$8:$P$8,0))</f>
        <v>21503.797545879988</v>
      </c>
      <c r="E139" s="106">
        <f>INDEX('4 Balanse'!$C$8:$P$43,MATCH("Innskudd fra og gjeld til kunder",'4 Balanse'!$C$8:$C$43,0),MATCH(LEFT(E10,3)&amp;RIGHT(E10,4)-1,'4 Balanse'!$C$8:$P$8,0))</f>
        <v>21014.082068080003</v>
      </c>
      <c r="F139" s="106">
        <f>INDEX('4 Balanse'!$C$8:$P$43,MATCH("Innskudd fra og gjeld til kunder",'4 Balanse'!$C$8:$C$43,0),MATCH(LEFT(F10,3)&amp;RIGHT(F10,4)-1,'4 Balanse'!$C$8:$P$8,0))</f>
        <v>20898.457865269997</v>
      </c>
      <c r="G139" s="106">
        <f>INDEX('4 Balanse'!$C$8:$P$43,MATCH("Innskudd fra og gjeld til kunder",'4 Balanse'!$C$8:$C$43,0),MATCH(LEFT(G10,3)&amp;RIGHT(G10,4)-1,'4 Balanse'!$C$8:$P$8,0))</f>
        <v>21053.84502819</v>
      </c>
      <c r="H139" s="106">
        <f>INDEX('4 Balanse'!$C$8:$P$43,MATCH("Innskudd fra og gjeld til kunder",'4 Balanse'!$C$8:$C$43,0),MATCH(LEFT(H10,3)&amp;RIGHT(H10,4)-1,'4 Balanse'!$C$8:$P$8,0))</f>
        <v>20096.32090581</v>
      </c>
      <c r="I139" s="106">
        <f>INDEX('4 Balanse'!$C$8:$P$43,MATCH("Innskudd fra og gjeld til kunder",'4 Balanse'!$C$8:$C$43,0),MATCH(LEFT(I10,3)&amp;RIGHT(I10,4)-1,'4 Balanse'!$C$8:$P$8,0))</f>
        <v>19349.679914590004</v>
      </c>
      <c r="J139" s="106">
        <f>INDEX('4 Balanse'!$C$8:$P$43,MATCH("Innskudd fra og gjeld til kunder",'4 Balanse'!$C$8:$C$43,0),MATCH(LEFT(J10,3)&amp;RIGHT(J10,4)-1,'4 Balanse'!$C$8:$P$8,0))</f>
        <v>19688.015005760004</v>
      </c>
      <c r="K139" s="106">
        <f>INDEX('4 Balanse'!$C$8:$P$43,MATCH("Innskudd fra og gjeld til kunder",'4 Balanse'!$C$8:$C$43,0),MATCH(LEFT(K10,3)&amp;RIGHT(K10,4)-1,'4 Balanse'!$C$8:$P$8,0))</f>
        <v>19948.973228880004</v>
      </c>
      <c r="L139" s="106">
        <f>INDEX('4 Balanse'!$C$8:$P$43,MATCH("Innskudd fra og gjeld til kunder",'4 Balanse'!$C$8:$C$43,0),MATCH(LEFT(L10,3)&amp;RIGHT(L10,4)-1,'4 Balanse'!$C$8:$P$8,0))</f>
        <v>19410.673414989997</v>
      </c>
      <c r="M139" s="106">
        <v>19117.6611667</v>
      </c>
      <c r="N139" s="106">
        <v>19179.305632279997</v>
      </c>
      <c r="O139" s="106">
        <v>19816.182515179997</v>
      </c>
      <c r="P139" s="106">
        <v>18572.955569419999</v>
      </c>
    </row>
    <row r="140" spans="3:16" x14ac:dyDescent="0.2">
      <c r="C140" s="96" t="s">
        <v>317</v>
      </c>
      <c r="D140" s="132">
        <f>D138-D139</f>
        <v>1146.3333280100123</v>
      </c>
      <c r="E140" s="132">
        <f>E138-E139</f>
        <v>1447.4922790299934</v>
      </c>
      <c r="F140" s="132">
        <f t="shared" ref="F140:P140" si="47">F138-F139</f>
        <v>1436.734704890001</v>
      </c>
      <c r="G140" s="132">
        <f t="shared" si="47"/>
        <v>1354.2748819600019</v>
      </c>
      <c r="H140" s="132">
        <f t="shared" si="47"/>
        <v>1407.4766400699882</v>
      </c>
      <c r="I140" s="132">
        <f t="shared" si="47"/>
        <v>1664.4021534899985</v>
      </c>
      <c r="J140" s="132">
        <f t="shared" si="47"/>
        <v>1210.4428595099926</v>
      </c>
      <c r="K140" s="132">
        <f t="shared" si="47"/>
        <v>1104.8717993099963</v>
      </c>
      <c r="L140" s="132">
        <f t="shared" si="47"/>
        <v>685.64749082000344</v>
      </c>
      <c r="M140" s="132">
        <f t="shared" si="47"/>
        <v>232.01874789000431</v>
      </c>
      <c r="N140" s="132">
        <f t="shared" si="47"/>
        <v>508.70937348000734</v>
      </c>
      <c r="O140" s="132">
        <f t="shared" si="47"/>
        <v>132.79071370000747</v>
      </c>
      <c r="P140" s="132">
        <f t="shared" si="47"/>
        <v>837.71784556999773</v>
      </c>
    </row>
    <row r="141" spans="3:16" x14ac:dyDescent="0.2">
      <c r="C141" s="109" t="s">
        <v>43</v>
      </c>
      <c r="D141" s="137">
        <f>D140/D139</f>
        <v>5.3308413342537428E-2</v>
      </c>
      <c r="E141" s="137">
        <f>E140/E139</f>
        <v>6.8882013230009559E-2</v>
      </c>
      <c r="F141" s="137">
        <f t="shared" ref="F141:P141" si="48">F140/F139</f>
        <v>6.8748360005913722E-2</v>
      </c>
      <c r="G141" s="137">
        <f t="shared" si="48"/>
        <v>6.4324349312284687E-2</v>
      </c>
      <c r="H141" s="137">
        <f t="shared" si="48"/>
        <v>7.0036532889115835E-2</v>
      </c>
      <c r="I141" s="137">
        <f t="shared" si="48"/>
        <v>8.6017038051105416E-2</v>
      </c>
      <c r="J141" s="137">
        <f t="shared" si="48"/>
        <v>6.1481203623415595E-2</v>
      </c>
      <c r="K141" s="137">
        <f t="shared" si="48"/>
        <v>5.5384895585025913E-2</v>
      </c>
      <c r="L141" s="137">
        <f t="shared" si="48"/>
        <v>3.5323220176921244E-2</v>
      </c>
      <c r="M141" s="137">
        <f t="shared" si="48"/>
        <v>1.2136356318216633E-2</v>
      </c>
      <c r="N141" s="137">
        <f t="shared" si="48"/>
        <v>2.6523868133360207E-2</v>
      </c>
      <c r="O141" s="137">
        <f t="shared" si="48"/>
        <v>6.7011248810553911E-3</v>
      </c>
      <c r="P141" s="137">
        <f t="shared" si="48"/>
        <v>4.5104175393025948E-2</v>
      </c>
    </row>
    <row r="142" spans="3:16" x14ac:dyDescent="0.2">
      <c r="C142" s="71"/>
      <c r="D142" s="71"/>
      <c r="E142" s="71"/>
      <c r="F142" s="71"/>
      <c r="G142" s="103"/>
      <c r="H142" s="103"/>
      <c r="I142" s="71"/>
      <c r="J142" s="71"/>
      <c r="K142" s="71"/>
      <c r="L142" s="71"/>
      <c r="M142" s="71"/>
      <c r="N142" s="71"/>
      <c r="O142" s="71"/>
      <c r="P142" s="71"/>
    </row>
    <row r="143" spans="3:16" x14ac:dyDescent="0.2">
      <c r="C143" s="71"/>
      <c r="D143" s="71"/>
      <c r="E143" s="71"/>
      <c r="F143" s="71"/>
      <c r="G143" s="103"/>
      <c r="H143" s="103"/>
      <c r="I143" s="71"/>
      <c r="J143" s="71"/>
      <c r="K143" s="71"/>
      <c r="L143" s="71"/>
      <c r="M143" s="71"/>
      <c r="N143" s="71"/>
      <c r="O143" s="71"/>
      <c r="P143" s="71"/>
    </row>
    <row r="144" spans="3:16" x14ac:dyDescent="0.2">
      <c r="C144" s="66"/>
      <c r="D144" s="66"/>
      <c r="E144" s="66"/>
      <c r="F144" s="66"/>
      <c r="G144" s="104"/>
      <c r="H144" s="104"/>
      <c r="I144" s="66"/>
      <c r="J144" s="66"/>
      <c r="K144" s="66"/>
      <c r="L144" s="66"/>
      <c r="M144" s="66"/>
      <c r="N144" s="66"/>
      <c r="O144" s="66"/>
      <c r="P144" s="66"/>
    </row>
    <row r="145" spans="2:16" x14ac:dyDescent="0.2">
      <c r="C145" s="66"/>
      <c r="D145" s="66"/>
      <c r="E145" s="66"/>
      <c r="F145" s="66"/>
      <c r="G145" s="104"/>
      <c r="H145" s="104"/>
      <c r="I145" s="66"/>
      <c r="J145" s="66"/>
      <c r="K145" s="66"/>
      <c r="L145" s="66"/>
      <c r="M145" s="66"/>
      <c r="N145" s="66"/>
      <c r="O145" s="66"/>
      <c r="P145" s="66"/>
    </row>
    <row r="146" spans="2:16" x14ac:dyDescent="0.2">
      <c r="C146" s="66" t="s">
        <v>320</v>
      </c>
      <c r="D146" s="105">
        <f>INDEX('4 Balanse'!$C$8:$P$43,MATCH("Eiendeler",'4 Balanse'!$C$8:$C$43,0),MATCH(E$10,'4 Balanse'!$C$8:$P$8,0))</f>
        <v>32743.771091841052</v>
      </c>
      <c r="E146" s="105">
        <f>INDEX('4 Balanse'!$C$8:$P$43,MATCH("Eiendeler",'4 Balanse'!$C$8:$C$43,0),MATCH(F$10,'4 Balanse'!$C$8:$P$8,0))</f>
        <v>32393.693385752242</v>
      </c>
      <c r="F146" s="105">
        <f>INDEX('4 Balanse'!$C$8:$P$43,MATCH("Eiendeler",'4 Balanse'!$C$8:$C$43,0),MATCH(G$10,'4 Balanse'!$C$8:$P$8,0))</f>
        <v>32392.967435656599</v>
      </c>
      <c r="G146" s="105">
        <f>INDEX('4 Balanse'!$C$8:$P$43,MATCH("Eiendeler",'4 Balanse'!$C$8:$C$43,0),MATCH(H$10,'4 Balanse'!$C$8:$P$8,0))</f>
        <v>31728.913618822382</v>
      </c>
      <c r="H146" s="105">
        <f>INDEX('4 Balanse'!$C$8:$P$43,MATCH("Eiendeler",'4 Balanse'!$C$8:$C$43,0),MATCH(I$10,'4 Balanse'!$C$8:$P$8,0))</f>
        <v>31534.16343938424</v>
      </c>
      <c r="I146" s="105">
        <f>INDEX('4 Balanse'!$C$8:$P$43,MATCH("Eiendeler",'4 Balanse'!$C$8:$C$43,0),MATCH(J$10,'4 Balanse'!$C$8:$P$8,0))</f>
        <v>31471.732179066144</v>
      </c>
      <c r="J146" s="105">
        <f>INDEX('4 Balanse'!$C$8:$P$43,MATCH("Eiendeler",'4 Balanse'!$C$8:$C$43,0),MATCH(K$10,'4 Balanse'!$C$8:$P$8,0))</f>
        <v>31290.205618845703</v>
      </c>
      <c r="K146" s="105">
        <f>INDEX('4 Balanse'!$C$8:$P$43,MATCH("Eiendeler",'4 Balanse'!$C$8:$C$43,0),MATCH(L$10,'4 Balanse'!$C$8:$P$8,0))</f>
        <v>30678.082659533131</v>
      </c>
      <c r="L146" s="105">
        <f>INDEX('4 Balanse'!$C$8:$P$43,MATCH("Eiendeler",'4 Balanse'!$C$8:$C$43,0),MATCH(M$10,'4 Balanse'!$C$8:$P$8,0))</f>
        <v>30294.213986700142</v>
      </c>
      <c r="M146" s="105">
        <f>INDEX('4 Balanse'!$C$8:$P$43,MATCH("Eiendeler",'4 Balanse'!$C$8:$C$43,0),MATCH(N$10,'4 Balanse'!$C$8:$P$8,0))</f>
        <v>30538.883336750081</v>
      </c>
      <c r="N146" s="105">
        <f>INDEX('4 Balanse'!$C$8:$P$43,MATCH("Eiendeler",'4 Balanse'!$C$8:$C$43,0),MATCH(O$10,'4 Balanse'!$C$8:$P$8,0))</f>
        <v>30301.574453114798</v>
      </c>
      <c r="O146" s="105">
        <f>INDEX('4 Balanse'!$C$8:$P$43,MATCH("Eiendeler",'4 Balanse'!$C$8:$C$43,0),MATCH(P$10,'4 Balanse'!$C$8:$P$8,0))</f>
        <v>30094.857126964667</v>
      </c>
      <c r="P146" s="105">
        <v>29609.602944280199</v>
      </c>
    </row>
    <row r="147" spans="2:16" x14ac:dyDescent="0.2">
      <c r="C147" s="66" t="s">
        <v>321</v>
      </c>
      <c r="D147" s="105">
        <f>INDEX('4 Balanse'!$C$8:$P$43,MATCH("Eiendeler",'4 Balanse'!$C$8:$C$43,0),MATCH('1.2 APM'!D$10,'4 Balanse'!$C$8:$P$8,0))</f>
        <v>33246.408706617447</v>
      </c>
      <c r="E147" s="105">
        <f>INDEX('4 Balanse'!$C$8:$P$43,MATCH("Eiendeler",'4 Balanse'!$C$8:$C$43,0),MATCH('1.2 APM'!E$10,'4 Balanse'!$C$8:$P$8,0))</f>
        <v>32743.771091841052</v>
      </c>
      <c r="F147" s="105">
        <f>INDEX('4 Balanse'!$C$8:$P$43,MATCH("Eiendeler",'4 Balanse'!$C$8:$C$43,0),MATCH('1.2 APM'!F$10,'4 Balanse'!$C$8:$P$8,0))</f>
        <v>32393.693385752242</v>
      </c>
      <c r="G147" s="105">
        <f>INDEX('4 Balanse'!$C$8:$P$43,MATCH("Eiendeler",'4 Balanse'!$C$8:$C$43,0),MATCH('1.2 APM'!G$10,'4 Balanse'!$C$8:$P$8,0))</f>
        <v>32392.967435656599</v>
      </c>
      <c r="H147" s="105">
        <f>INDEX('4 Balanse'!$C$8:$P$43,MATCH("Eiendeler",'4 Balanse'!$C$8:$C$43,0),MATCH('1.2 APM'!H$10,'4 Balanse'!$C$8:$P$8,0))</f>
        <v>31728.913618822382</v>
      </c>
      <c r="I147" s="105">
        <f>INDEX('4 Balanse'!$C$8:$P$43,MATCH("Eiendeler",'4 Balanse'!$C$8:$C$43,0),MATCH('1.2 APM'!I$10,'4 Balanse'!$C$8:$P$8,0))</f>
        <v>31534.16343938424</v>
      </c>
      <c r="J147" s="105">
        <f>INDEX('4 Balanse'!$C$8:$P$43,MATCH("Eiendeler",'4 Balanse'!$C$8:$C$43,0),MATCH('1.2 APM'!J$10,'4 Balanse'!$C$8:$P$8,0))</f>
        <v>31471.732179066144</v>
      </c>
      <c r="K147" s="105">
        <f>INDEX('4 Balanse'!$C$8:$P$43,MATCH("Eiendeler",'4 Balanse'!$C$8:$C$43,0),MATCH('1.2 APM'!K$10,'4 Balanse'!$C$8:$P$8,0))</f>
        <v>31290.205618845703</v>
      </c>
      <c r="L147" s="105">
        <f>INDEX('4 Balanse'!$C$8:$P$43,MATCH("Eiendeler",'4 Balanse'!$C$8:$C$43,0),MATCH('1.2 APM'!L$10,'4 Balanse'!$C$8:$P$8,0))</f>
        <v>30678.082659533131</v>
      </c>
      <c r="M147" s="105">
        <f>INDEX('4 Balanse'!$C$8:$P$43,MATCH("Eiendeler",'4 Balanse'!$C$8:$C$43,0),MATCH('1.2 APM'!M$10,'4 Balanse'!$C$8:$P$8,0))</f>
        <v>30294.213986700142</v>
      </c>
      <c r="N147" s="105">
        <f>INDEX('4 Balanse'!$C$8:$P$43,MATCH("Eiendeler",'4 Balanse'!$C$8:$C$43,0),MATCH('1.2 APM'!N$10,'4 Balanse'!$C$8:$P$8,0))</f>
        <v>30538.883336750081</v>
      </c>
      <c r="O147" s="105">
        <f>INDEX('4 Balanse'!$C$8:$P$43,MATCH("Eiendeler",'4 Balanse'!$C$8:$C$43,0),MATCH('1.2 APM'!O$10,'4 Balanse'!$C$8:$P$8,0))</f>
        <v>30301.574453114798</v>
      </c>
      <c r="P147" s="105">
        <f>INDEX('4 Balanse'!$C$8:$P$43,MATCH("Eiendeler",'4 Balanse'!$C$8:$C$43,0),MATCH('1.2 APM'!P$10,'4 Balanse'!$C$8:$P$8,0))</f>
        <v>30094.857126964667</v>
      </c>
    </row>
    <row r="148" spans="2:16" x14ac:dyDescent="0.2">
      <c r="C148" s="107" t="s">
        <v>319</v>
      </c>
      <c r="D148" s="130">
        <f t="shared" ref="D148" si="49">(D147+D146)/2</f>
        <v>32995.08989922925</v>
      </c>
      <c r="E148" s="130">
        <f t="shared" ref="E148:P148" si="50">(E147+E146)/2</f>
        <v>32568.732238796649</v>
      </c>
      <c r="F148" s="130">
        <f t="shared" si="50"/>
        <v>32393.330410704421</v>
      </c>
      <c r="G148" s="130">
        <f t="shared" si="50"/>
        <v>32060.940527239491</v>
      </c>
      <c r="H148" s="130">
        <f t="shared" si="50"/>
        <v>31631.538529103309</v>
      </c>
      <c r="I148" s="130">
        <f t="shared" si="50"/>
        <v>31502.947809225192</v>
      </c>
      <c r="J148" s="130">
        <f t="shared" si="50"/>
        <v>31380.968898955922</v>
      </c>
      <c r="K148" s="130">
        <f t="shared" si="50"/>
        <v>30984.144139189419</v>
      </c>
      <c r="L148" s="130">
        <f t="shared" si="50"/>
        <v>30486.148323116635</v>
      </c>
      <c r="M148" s="130">
        <f t="shared" si="50"/>
        <v>30416.548661725112</v>
      </c>
      <c r="N148" s="130">
        <f t="shared" si="50"/>
        <v>30420.228894932439</v>
      </c>
      <c r="O148" s="130">
        <f t="shared" si="50"/>
        <v>30198.215790039732</v>
      </c>
      <c r="P148" s="130">
        <f t="shared" si="50"/>
        <v>29852.230035622433</v>
      </c>
    </row>
    <row r="149" spans="2:16" x14ac:dyDescent="0.2">
      <c r="C149" s="66"/>
      <c r="D149" s="66"/>
      <c r="E149" s="66"/>
      <c r="F149" s="66"/>
      <c r="G149" s="104"/>
      <c r="H149" s="104"/>
      <c r="I149" s="66"/>
      <c r="J149" s="66"/>
      <c r="K149" s="66"/>
      <c r="L149" s="66"/>
      <c r="M149" s="66"/>
      <c r="N149" s="66"/>
      <c r="O149" s="66"/>
      <c r="P149" s="66"/>
    </row>
    <row r="150" spans="2:16" x14ac:dyDescent="0.2">
      <c r="C150" s="66"/>
      <c r="D150" s="66"/>
      <c r="E150" s="66"/>
      <c r="F150" s="66"/>
      <c r="G150" s="104"/>
      <c r="H150" s="104"/>
      <c r="I150" s="66"/>
      <c r="J150" s="66"/>
      <c r="K150" s="66"/>
      <c r="L150" s="66"/>
      <c r="M150" s="66"/>
      <c r="N150" s="66"/>
      <c r="O150" s="66"/>
      <c r="P150" s="66"/>
    </row>
    <row r="151" spans="2:16" x14ac:dyDescent="0.2">
      <c r="C151" s="71"/>
      <c r="D151" s="71"/>
      <c r="E151" s="71"/>
      <c r="F151" s="71"/>
      <c r="G151" s="103"/>
      <c r="H151" s="103"/>
      <c r="I151" s="71"/>
      <c r="J151" s="71"/>
      <c r="K151" s="71"/>
      <c r="L151" s="71"/>
      <c r="M151" s="71"/>
      <c r="N151" s="71"/>
      <c r="O151" s="71"/>
      <c r="P151" s="71"/>
    </row>
    <row r="152" spans="2:16" x14ac:dyDescent="0.2">
      <c r="C152" s="71"/>
      <c r="D152" s="71"/>
      <c r="E152" s="71"/>
      <c r="F152" s="71"/>
      <c r="G152" s="103"/>
      <c r="H152" s="103"/>
      <c r="I152" s="71"/>
      <c r="J152" s="71"/>
      <c r="K152" s="71"/>
      <c r="L152" s="71"/>
      <c r="M152" s="71"/>
      <c r="N152" s="71"/>
      <c r="O152" s="71"/>
      <c r="P152" s="71"/>
    </row>
    <row r="153" spans="2:16" x14ac:dyDescent="0.2">
      <c r="C153" s="71" t="s">
        <v>45</v>
      </c>
      <c r="D153" s="106">
        <f>INDEX('4 Balanse'!$C$8:$P$43,MATCH("Eiendeler",'4 Balanse'!$C$8:$C$43,0),MATCH('1.2 APM'!D$10,'4 Balanse'!$C$8:$P$8,0))</f>
        <v>33246.408706617447</v>
      </c>
      <c r="E153" s="106">
        <f>INDEX('4 Balanse'!$C$8:$P$43,MATCH("Eiendeler",'4 Balanse'!$C$8:$C$43,0),MATCH('1.2 APM'!E$10,'4 Balanse'!$C$8:$P$8,0))</f>
        <v>32743.771091841052</v>
      </c>
      <c r="F153" s="106">
        <f>INDEX('4 Balanse'!$C$8:$P$43,MATCH("Eiendeler",'4 Balanse'!$C$8:$C$43,0),MATCH('1.2 APM'!F$10,'4 Balanse'!$C$8:$P$8,0))</f>
        <v>32393.693385752242</v>
      </c>
      <c r="G153" s="106">
        <f>INDEX('4 Balanse'!$C$8:$P$43,MATCH("Eiendeler",'4 Balanse'!$C$8:$C$43,0),MATCH('1.2 APM'!G$10,'4 Balanse'!$C$8:$P$8,0))</f>
        <v>32392.967435656599</v>
      </c>
      <c r="H153" s="106">
        <f>INDEX('4 Balanse'!$C$8:$P$43,MATCH("Eiendeler",'4 Balanse'!$C$8:$C$43,0),MATCH('1.2 APM'!H$10,'4 Balanse'!$C$8:$P$8,0))</f>
        <v>31728.913618822382</v>
      </c>
      <c r="I153" s="106">
        <f>INDEX('4 Balanse'!$C$8:$P$43,MATCH("Eiendeler",'4 Balanse'!$C$8:$C$43,0),MATCH('1.2 APM'!I$10,'4 Balanse'!$C$8:$P$8,0))</f>
        <v>31534.16343938424</v>
      </c>
      <c r="J153" s="106">
        <f>INDEX('4 Balanse'!$C$8:$P$43,MATCH("Eiendeler",'4 Balanse'!$C$8:$C$43,0),MATCH('1.2 APM'!J$10,'4 Balanse'!$C$8:$P$8,0))</f>
        <v>31471.732179066144</v>
      </c>
      <c r="K153" s="106">
        <f>INDEX('4 Balanse'!$C$8:$P$43,MATCH("Eiendeler",'4 Balanse'!$C$8:$C$43,0),MATCH('1.2 APM'!K$10,'4 Balanse'!$C$8:$P$8,0))</f>
        <v>31290.205618845703</v>
      </c>
      <c r="L153" s="106">
        <f>INDEX('4 Balanse'!$C$8:$P$43,MATCH("Eiendeler",'4 Balanse'!$C$8:$C$43,0),MATCH('1.2 APM'!L$10,'4 Balanse'!$C$8:$P$8,0))</f>
        <v>30678.082659533131</v>
      </c>
      <c r="M153" s="106">
        <f>INDEX('4 Balanse'!$C$8:$P$43,MATCH("Eiendeler",'4 Balanse'!$C$8:$C$43,0),MATCH('1.2 APM'!M$10,'4 Balanse'!$C$8:$P$8,0))</f>
        <v>30294.213986700142</v>
      </c>
      <c r="N153" s="106">
        <f>INDEX('4 Balanse'!$C$8:$P$43,MATCH("Eiendeler",'4 Balanse'!$C$8:$C$43,0),MATCH('1.2 APM'!N$10,'4 Balanse'!$C$8:$P$8,0))</f>
        <v>30538.883336750081</v>
      </c>
      <c r="O153" s="106">
        <f>INDEX('4 Balanse'!$C$8:$P$43,MATCH("Eiendeler",'4 Balanse'!$C$8:$C$43,0),MATCH('1.2 APM'!O$10,'4 Balanse'!$C$8:$P$8,0))</f>
        <v>30301.574453114798</v>
      </c>
      <c r="P153" s="106">
        <f>INDEX('4 Balanse'!$C$8:$P$43,MATCH("Eiendeler",'4 Balanse'!$C$8:$C$43,0),MATCH('1.2 APM'!P$10,'4 Balanse'!$C$8:$P$8,0))</f>
        <v>30094.857126964667</v>
      </c>
    </row>
    <row r="154" spans="2:16" x14ac:dyDescent="0.2">
      <c r="B154" s="180"/>
      <c r="C154" s="71" t="s">
        <v>328</v>
      </c>
      <c r="D154" s="106">
        <f>INDEX('9 Utlån'!$C$8:$P$30,MATCH("Lån overført til SpareBank 1 Næringskreditt",'9 Utlån'!$C$8:$C$30,0),MATCH(D$10,'9 Utlån'!$C$8:$P$8,0))+INDEX('9 Utlån'!$C$8:$P$30,MATCH("Lån overført til SpareBank 1 Boligkreditt",'9 Utlån'!$C$8:$C$30,0),MATCH(D$10,'9 Utlån'!$C$8:$P$8,0))</f>
        <v>13583.936983920001</v>
      </c>
      <c r="E154" s="106">
        <f>INDEX('9 Utlån'!$C$8:$P$30,MATCH("Lån overført til SpareBank 1 Næringskreditt",'9 Utlån'!$C$8:$C$30,0),MATCH(E$10,'9 Utlån'!$C$8:$P$8,0))+INDEX('9 Utlån'!$C$8:$P$30,MATCH("Lån overført til SpareBank 1 Boligkreditt",'9 Utlån'!$C$8:$C$30,0),MATCH(E$10,'9 Utlån'!$C$8:$P$8,0))</f>
        <v>13462.85036925</v>
      </c>
      <c r="F154" s="106">
        <f>INDEX('9 Utlån'!$C$8:$P$30,MATCH("Lån overført til SpareBank 1 Næringskreditt",'9 Utlån'!$C$8:$C$30,0),MATCH(F$10,'9 Utlån'!$C$8:$P$8,0))+INDEX('9 Utlån'!$C$8:$P$30,MATCH("Lån overført til SpareBank 1 Boligkreditt",'9 Utlån'!$C$8:$C$30,0),MATCH(F$10,'9 Utlån'!$C$8:$P$8,0))</f>
        <v>13528.783042410001</v>
      </c>
      <c r="G154" s="106">
        <f>INDEX('9 Utlån'!$C$8:$P$30,MATCH("Lån overført til SpareBank 1 Næringskreditt",'9 Utlån'!$C$8:$C$30,0),MATCH(G$10,'9 Utlån'!$C$8:$P$8,0))+INDEX('9 Utlån'!$C$8:$P$30,MATCH("Lån overført til SpareBank 1 Boligkreditt",'9 Utlån'!$C$8:$C$30,0),MATCH(G$10,'9 Utlån'!$C$8:$P$8,0))</f>
        <v>13508.19099374</v>
      </c>
      <c r="H154" s="106">
        <f>INDEX('9 Utlån'!$C$8:$P$30,MATCH("Lån overført til SpareBank 1 Næringskreditt",'9 Utlån'!$C$8:$C$30,0),MATCH(H$10,'9 Utlån'!$C$8:$P$8,0))+INDEX('9 Utlån'!$C$8:$P$30,MATCH("Lån overført til SpareBank 1 Boligkreditt",'9 Utlån'!$C$8:$C$30,0),MATCH(H$10,'9 Utlån'!$C$8:$P$8,0))</f>
        <v>13509.518</v>
      </c>
      <c r="I154" s="106">
        <f>INDEX('9 Utlån'!$C$8:$P$30,MATCH("Lån overført til SpareBank 1 Næringskreditt",'9 Utlån'!$C$8:$C$30,0),MATCH(I$10,'9 Utlån'!$C$8:$P$8,0))+INDEX('9 Utlån'!$C$8:$P$30,MATCH("Lån overført til SpareBank 1 Boligkreditt",'9 Utlån'!$C$8:$C$30,0),MATCH(I$10,'9 Utlån'!$C$8:$P$8,0))</f>
        <v>13468.279999999999</v>
      </c>
      <c r="J154" s="106">
        <f>INDEX('9 Utlån'!$C$8:$P$30,MATCH("Lån overført til SpareBank 1 Næringskreditt",'9 Utlån'!$C$8:$C$30,0),MATCH(J$10,'9 Utlån'!$C$8:$P$8,0))+INDEX('9 Utlån'!$C$8:$P$30,MATCH("Lån overført til SpareBank 1 Boligkreditt",'9 Utlån'!$C$8:$C$30,0),MATCH(J$10,'9 Utlån'!$C$8:$P$8,0))</f>
        <v>13224.126</v>
      </c>
      <c r="K154" s="106">
        <f>INDEX('9 Utlån'!$C$8:$P$30,MATCH("Lån overført til SpareBank 1 Næringskreditt",'9 Utlån'!$C$8:$C$30,0),MATCH(K$10,'9 Utlån'!$C$8:$P$8,0))+INDEX('9 Utlån'!$C$8:$P$30,MATCH("Lån overført til SpareBank 1 Boligkreditt",'9 Utlån'!$C$8:$C$30,0),MATCH(K$10,'9 Utlån'!$C$8:$P$8,0))</f>
        <v>13036.694</v>
      </c>
      <c r="L154" s="106">
        <f>INDEX('9 Utlån'!$C$8:$P$30,MATCH("Lån overført til SpareBank 1 Næringskreditt",'9 Utlån'!$C$8:$C$30,0),MATCH(L$10,'9 Utlån'!$C$8:$P$8,0))+INDEX('9 Utlån'!$C$8:$P$30,MATCH("Lån overført til SpareBank 1 Boligkreditt",'9 Utlån'!$C$8:$C$30,0),MATCH(L$10,'9 Utlån'!$C$8:$P$8,0))</f>
        <v>13080.767</v>
      </c>
      <c r="M154" s="106">
        <f>INDEX('9 Utlån'!$C$8:$P$30,MATCH("Lån overført til SpareBank 1 Næringskreditt",'9 Utlån'!$C$8:$C$30,0),MATCH(M$10,'9 Utlån'!$C$8:$P$8,0))+INDEX('9 Utlån'!$C$8:$P$30,MATCH("Lån overført til SpareBank 1 Boligkreditt",'9 Utlån'!$C$8:$C$30,0),MATCH(M$10,'9 Utlån'!$C$8:$P$8,0))</f>
        <v>12894.675509999999</v>
      </c>
      <c r="N154" s="106">
        <f>INDEX('9 Utlån'!$C$8:$P$30,MATCH("Lån overført til SpareBank 1 Næringskreditt",'9 Utlån'!$C$8:$C$30,0),MATCH(N$10,'9 Utlån'!$C$8:$P$8,0))+INDEX('9 Utlån'!$C$8:$P$30,MATCH("Lån overført til SpareBank 1 Boligkreditt",'9 Utlån'!$C$8:$C$30,0),MATCH(N$10,'9 Utlån'!$C$8:$P$8,0))</f>
        <v>12894.551921</v>
      </c>
      <c r="O154" s="106">
        <f>INDEX('9 Utlån'!$C$8:$P$30,MATCH("Lån overført til SpareBank 1 Næringskreditt",'9 Utlån'!$C$8:$C$30,0),MATCH(O$10,'9 Utlån'!$C$8:$P$8,0))+INDEX('9 Utlån'!$C$8:$P$30,MATCH("Lån overført til SpareBank 1 Boligkreditt",'9 Utlån'!$C$8:$C$30,0),MATCH(O$10,'9 Utlån'!$C$8:$P$8,0))</f>
        <v>12760.734999999999</v>
      </c>
      <c r="P154" s="106">
        <f>INDEX('9 Utlån'!$C$8:$P$30,MATCH("Lån overført til SpareBank 1 Næringskreditt",'9 Utlån'!$C$8:$C$30,0),MATCH(P$10,'9 Utlån'!$C$8:$P$8,0))+INDEX('9 Utlån'!$C$8:$P$30,MATCH("Lån overført til SpareBank 1 Boligkreditt",'9 Utlån'!$C$8:$C$30,0),MATCH(P$10,'9 Utlån'!$C$8:$P$8,0))</f>
        <v>12549.067999999999</v>
      </c>
    </row>
    <row r="155" spans="2:16" s="131" customFormat="1" x14ac:dyDescent="0.2">
      <c r="C155" s="109" t="s">
        <v>324</v>
      </c>
      <c r="D155" s="129">
        <f>D153+D154</f>
        <v>46830.345690537448</v>
      </c>
      <c r="E155" s="129">
        <f>E153+E154</f>
        <v>46206.621461091054</v>
      </c>
      <c r="F155" s="129">
        <f t="shared" ref="F155" si="51">F153+F154</f>
        <v>45922.476428162241</v>
      </c>
      <c r="G155" s="129">
        <f t="shared" ref="G155" si="52">G153+G154</f>
        <v>45901.158429396601</v>
      </c>
      <c r="H155" s="129">
        <f t="shared" ref="H155" si="53">H153+H154</f>
        <v>45238.431618822382</v>
      </c>
      <c r="I155" s="129">
        <f t="shared" ref="I155" si="54">I153+I154</f>
        <v>45002.443439384238</v>
      </c>
      <c r="J155" s="129">
        <f t="shared" ref="J155" si="55">J153+J154</f>
        <v>44695.858179066141</v>
      </c>
      <c r="K155" s="129">
        <f t="shared" ref="K155" si="56">K153+K154</f>
        <v>44326.899618845702</v>
      </c>
      <c r="L155" s="129">
        <f t="shared" ref="L155" si="57">L153+L154</f>
        <v>43758.849659533131</v>
      </c>
      <c r="M155" s="129">
        <f t="shared" ref="M155" si="58">M153+M154</f>
        <v>43188.88949670014</v>
      </c>
      <c r="N155" s="129">
        <f t="shared" ref="N155" si="59">N153+N154</f>
        <v>43433.435257750083</v>
      </c>
      <c r="O155" s="129">
        <f t="shared" ref="O155" si="60">O153+O154</f>
        <v>43062.309453114794</v>
      </c>
      <c r="P155" s="129">
        <f t="shared" ref="P155" si="61">P153+P154</f>
        <v>42643.925126964663</v>
      </c>
    </row>
    <row r="156" spans="2:16" x14ac:dyDescent="0.2">
      <c r="C156" s="71"/>
      <c r="D156" s="71"/>
      <c r="E156" s="71"/>
      <c r="F156" s="71"/>
      <c r="G156" s="103"/>
      <c r="H156" s="103"/>
      <c r="I156" s="71"/>
      <c r="J156" s="71"/>
      <c r="K156" s="71"/>
      <c r="L156" s="71"/>
      <c r="M156" s="71"/>
      <c r="N156" s="71"/>
      <c r="O156" s="71"/>
      <c r="P156" s="71"/>
    </row>
    <row r="157" spans="2:16" x14ac:dyDescent="0.2">
      <c r="C157" s="71"/>
      <c r="D157" s="71"/>
      <c r="E157" s="71"/>
      <c r="F157" s="71"/>
      <c r="G157" s="103"/>
      <c r="H157" s="103"/>
      <c r="I157" s="71"/>
      <c r="J157" s="71"/>
      <c r="K157" s="71"/>
      <c r="L157" s="71"/>
      <c r="M157" s="71"/>
      <c r="N157" s="71"/>
      <c r="O157" s="71"/>
      <c r="P157" s="71"/>
    </row>
    <row r="158" spans="2:16" s="71" customFormat="1" x14ac:dyDescent="0.2">
      <c r="C158" s="66"/>
      <c r="D158" s="66"/>
      <c r="E158" s="66"/>
      <c r="F158" s="66"/>
      <c r="G158" s="104"/>
      <c r="H158" s="104"/>
      <c r="I158" s="66"/>
      <c r="J158" s="66"/>
      <c r="K158" s="66"/>
      <c r="L158" s="66"/>
      <c r="M158" s="66"/>
      <c r="N158" s="66"/>
      <c r="O158" s="66"/>
      <c r="P158" s="66"/>
    </row>
    <row r="159" spans="2:16" s="71" customFormat="1" x14ac:dyDescent="0.2">
      <c r="C159" s="66"/>
      <c r="D159" s="66"/>
      <c r="E159" s="66"/>
      <c r="F159" s="66"/>
      <c r="G159" s="104"/>
      <c r="H159" s="104"/>
      <c r="I159" s="66"/>
      <c r="J159" s="66"/>
      <c r="K159" s="66"/>
      <c r="L159" s="66"/>
      <c r="M159" s="66"/>
      <c r="N159" s="66"/>
      <c r="O159" s="66"/>
      <c r="P159" s="66"/>
    </row>
    <row r="160" spans="2:16" s="71" customFormat="1" x14ac:dyDescent="0.2">
      <c r="C160" s="66" t="s">
        <v>322</v>
      </c>
      <c r="D160" s="105">
        <f>INDEX('4 Balanse'!$C$8:$P$43,MATCH("Eiendeler",'4 Balanse'!$C$8:$C$43,0),MATCH('1.2 APM'!E$10,'4 Balanse'!$C$8:$P$8,0))</f>
        <v>32743.771091841052</v>
      </c>
      <c r="E160" s="105">
        <f>INDEX('4 Balanse'!$C$8:$P$43,MATCH("Eiendeler",'4 Balanse'!$C$8:$C$43,0),MATCH('1.2 APM'!F$10,'4 Balanse'!$C$8:$P$8,0))</f>
        <v>32393.693385752242</v>
      </c>
      <c r="F160" s="105">
        <f>INDEX('4 Balanse'!$C$8:$P$43,MATCH("Eiendeler",'4 Balanse'!$C$8:$C$43,0),MATCH('1.2 APM'!G$10,'4 Balanse'!$C$8:$P$8,0))</f>
        <v>32392.967435656599</v>
      </c>
      <c r="G160" s="105">
        <f>INDEX('4 Balanse'!$C$8:$P$43,MATCH("Eiendeler",'4 Balanse'!$C$8:$C$43,0),MATCH('1.2 APM'!H$10,'4 Balanse'!$C$8:$P$8,0))</f>
        <v>31728.913618822382</v>
      </c>
      <c r="H160" s="105">
        <f>INDEX('4 Balanse'!$C$8:$P$43,MATCH("Eiendeler",'4 Balanse'!$C$8:$C$43,0),MATCH('1.2 APM'!I$10,'4 Balanse'!$C$8:$P$8,0))</f>
        <v>31534.16343938424</v>
      </c>
      <c r="I160" s="105">
        <f>INDEX('4 Balanse'!$C$8:$P$43,MATCH("Eiendeler",'4 Balanse'!$C$8:$C$43,0),MATCH('1.2 APM'!J$10,'4 Balanse'!$C$8:$P$8,0))</f>
        <v>31471.732179066144</v>
      </c>
      <c r="J160" s="105">
        <f>INDEX('4 Balanse'!$C$8:$P$43,MATCH("Eiendeler",'4 Balanse'!$C$8:$C$43,0),MATCH('1.2 APM'!K$10,'4 Balanse'!$C$8:$P$8,0))</f>
        <v>31290.205618845703</v>
      </c>
      <c r="K160" s="105">
        <f>INDEX('4 Balanse'!$C$8:$P$43,MATCH("Eiendeler",'4 Balanse'!$C$8:$C$43,0),MATCH('1.2 APM'!L$10,'4 Balanse'!$C$8:$P$8,0))</f>
        <v>30678.082659533131</v>
      </c>
      <c r="L160" s="105">
        <f>INDEX('4 Balanse'!$C$8:$P$43,MATCH("Eiendeler",'4 Balanse'!$C$8:$C$43,0),MATCH('1.2 APM'!M$10,'4 Balanse'!$C$8:$P$8,0))</f>
        <v>30294.213986700142</v>
      </c>
      <c r="M160" s="105">
        <f>INDEX('4 Balanse'!$C$8:$P$43,MATCH("Eiendeler",'4 Balanse'!$C$8:$C$43,0),MATCH('1.2 APM'!N$10,'4 Balanse'!$C$8:$P$8,0))</f>
        <v>30538.883336750081</v>
      </c>
      <c r="N160" s="105">
        <f>INDEX('4 Balanse'!$C$8:$P$43,MATCH("Eiendeler",'4 Balanse'!$C$8:$C$43,0),MATCH('1.2 APM'!O$10,'4 Balanse'!$C$8:$P$8,0))</f>
        <v>30301.574453114798</v>
      </c>
      <c r="O160" s="105">
        <f>INDEX('4 Balanse'!$C$8:$P$43,MATCH("Eiendeler",'4 Balanse'!$C$8:$C$43,0),MATCH('1.2 APM'!P$10,'4 Balanse'!$C$8:$P$8,0))</f>
        <v>30094.857126964667</v>
      </c>
      <c r="P160" s="105">
        <v>29609.602944280199</v>
      </c>
    </row>
    <row r="161" spans="1:16" s="71" customFormat="1" x14ac:dyDescent="0.2">
      <c r="A161" s="181"/>
      <c r="C161" s="66" t="s">
        <v>323</v>
      </c>
      <c r="D161" s="105">
        <f>INDEX('9 Utlån'!$C$8:$P$30,MATCH("Lån overført til SpareBank 1 Næringskreditt",'9 Utlån'!$C$8:$C$30,0),MATCH(E$10,'9 Utlån'!$C$8:$P$8,0))+INDEX('9 Utlån'!$C$8:$P$30,MATCH("Lån overført til SpareBank 1 Boligkreditt",'9 Utlån'!$C$8:$C$30,0),MATCH(E$10,'9 Utlån'!$C$8:$P$8,0))</f>
        <v>13462.85036925</v>
      </c>
      <c r="E161" s="105">
        <f>INDEX('9 Utlån'!$C$8:$P$30,MATCH("Lån overført til SpareBank 1 Næringskreditt",'9 Utlån'!$C$8:$C$30,0),MATCH(F$10,'9 Utlån'!$C$8:$P$8,0))+INDEX('9 Utlån'!$C$8:$P$30,MATCH("Lån overført til SpareBank 1 Boligkreditt",'9 Utlån'!$C$8:$C$30,0),MATCH(F$10,'9 Utlån'!$C$8:$P$8,0))</f>
        <v>13528.783042410001</v>
      </c>
      <c r="F161" s="105">
        <f>INDEX('9 Utlån'!$C$8:$P$30,MATCH("Lån overført til SpareBank 1 Næringskreditt",'9 Utlån'!$C$8:$C$30,0),MATCH(G$10,'9 Utlån'!$C$8:$P$8,0))+INDEX('9 Utlån'!$C$8:$P$30,MATCH("Lån overført til SpareBank 1 Boligkreditt",'9 Utlån'!$C$8:$C$30,0),MATCH(G$10,'9 Utlån'!$C$8:$P$8,0))</f>
        <v>13508.19099374</v>
      </c>
      <c r="G161" s="105">
        <f>INDEX('9 Utlån'!$C$8:$P$30,MATCH("Lån overført til SpareBank 1 Næringskreditt",'9 Utlån'!$C$8:$C$30,0),MATCH(H$10,'9 Utlån'!$C$8:$P$8,0))+INDEX('9 Utlån'!$C$8:$P$30,MATCH("Lån overført til SpareBank 1 Boligkreditt",'9 Utlån'!$C$8:$C$30,0),MATCH(H$10,'9 Utlån'!$C$8:$P$8,0))</f>
        <v>13509.518</v>
      </c>
      <c r="H161" s="105">
        <f>INDEX('9 Utlån'!$C$8:$P$30,MATCH("Lån overført til SpareBank 1 Næringskreditt",'9 Utlån'!$C$8:$C$30,0),MATCH(I$10,'9 Utlån'!$C$8:$P$8,0))+INDEX('9 Utlån'!$C$8:$P$30,MATCH("Lån overført til SpareBank 1 Boligkreditt",'9 Utlån'!$C$8:$C$30,0),MATCH(I$10,'9 Utlån'!$C$8:$P$8,0))</f>
        <v>13468.279999999999</v>
      </c>
      <c r="I161" s="105">
        <f>INDEX('9 Utlån'!$C$8:$P$30,MATCH("Lån overført til SpareBank 1 Næringskreditt",'9 Utlån'!$C$8:$C$30,0),MATCH(J$10,'9 Utlån'!$C$8:$P$8,0))+INDEX('9 Utlån'!$C$8:$P$30,MATCH("Lån overført til SpareBank 1 Boligkreditt",'9 Utlån'!$C$8:$C$30,0),MATCH(J$10,'9 Utlån'!$C$8:$P$8,0))</f>
        <v>13224.126</v>
      </c>
      <c r="J161" s="105">
        <f>INDEX('9 Utlån'!$C$8:$P$30,MATCH("Lån overført til SpareBank 1 Næringskreditt",'9 Utlån'!$C$8:$C$30,0),MATCH(K$10,'9 Utlån'!$C$8:$P$8,0))+INDEX('9 Utlån'!$C$8:$P$30,MATCH("Lån overført til SpareBank 1 Boligkreditt",'9 Utlån'!$C$8:$C$30,0),MATCH(K$10,'9 Utlån'!$C$8:$P$8,0))</f>
        <v>13036.694</v>
      </c>
      <c r="K161" s="105">
        <f>INDEX('9 Utlån'!$C$8:$P$30,MATCH("Lån overført til SpareBank 1 Næringskreditt",'9 Utlån'!$C$8:$C$30,0),MATCH(L$10,'9 Utlån'!$C$8:$P$8,0))+INDEX('9 Utlån'!$C$8:$P$30,MATCH("Lån overført til SpareBank 1 Boligkreditt",'9 Utlån'!$C$8:$C$30,0),MATCH(L$10,'9 Utlån'!$C$8:$P$8,0))</f>
        <v>13080.767</v>
      </c>
      <c r="L161" s="105">
        <f>INDEX('9 Utlån'!$C$8:$P$30,MATCH("Lån overført til SpareBank 1 Næringskreditt",'9 Utlån'!$C$8:$C$30,0),MATCH(M$10,'9 Utlån'!$C$8:$P$8,0))+INDEX('9 Utlån'!$C$8:$P$30,MATCH("Lån overført til SpareBank 1 Boligkreditt",'9 Utlån'!$C$8:$C$30,0),MATCH(M$10,'9 Utlån'!$C$8:$P$8,0))</f>
        <v>12894.675509999999</v>
      </c>
      <c r="M161" s="105">
        <f>INDEX('9 Utlån'!$C$8:$P$30,MATCH("Lån overført til SpareBank 1 Næringskreditt",'9 Utlån'!$C$8:$C$30,0),MATCH(N$10,'9 Utlån'!$C$8:$P$8,0))+INDEX('9 Utlån'!$C$8:$P$30,MATCH("Lån overført til SpareBank 1 Boligkreditt",'9 Utlån'!$C$8:$C$30,0),MATCH(N$10,'9 Utlån'!$C$8:$P$8,0))</f>
        <v>12894.551921</v>
      </c>
      <c r="N161" s="105">
        <f>INDEX('9 Utlån'!$C$8:$P$30,MATCH("Lån overført til SpareBank 1 Næringskreditt",'9 Utlån'!$C$8:$C$30,0),MATCH(O$10,'9 Utlån'!$C$8:$P$8,0))+INDEX('9 Utlån'!$C$8:$P$30,MATCH("Lån overført til SpareBank 1 Boligkreditt",'9 Utlån'!$C$8:$C$30,0),MATCH(O$10,'9 Utlån'!$C$8:$P$8,0))</f>
        <v>12760.734999999999</v>
      </c>
      <c r="O161" s="105">
        <f>INDEX('9 Utlån'!$C$8:$P$30,MATCH("Lån overført til SpareBank 1 Næringskreditt",'9 Utlån'!$C$8:$C$30,0),MATCH(P$10,'9 Utlån'!$C$8:$P$8,0))+INDEX('9 Utlån'!$C$8:$P$30,MATCH("Lån overført til SpareBank 1 Boligkreditt",'9 Utlån'!$C$8:$C$30,0),MATCH(P$10,'9 Utlån'!$C$8:$P$8,0))</f>
        <v>12549.067999999999</v>
      </c>
      <c r="P161" s="105">
        <v>12384</v>
      </c>
    </row>
    <row r="162" spans="1:16" s="71" customFormat="1" x14ac:dyDescent="0.2">
      <c r="C162" s="81" t="s">
        <v>325</v>
      </c>
      <c r="D162" s="127">
        <f>D160+D161</f>
        <v>46206.621461091054</v>
      </c>
      <c r="E162" s="127">
        <f>E160+E161</f>
        <v>45922.476428162241</v>
      </c>
      <c r="F162" s="127">
        <f t="shared" ref="F162:P162" si="62">F160+F161</f>
        <v>45901.158429396601</v>
      </c>
      <c r="G162" s="127">
        <f t="shared" si="62"/>
        <v>45238.431618822382</v>
      </c>
      <c r="H162" s="127">
        <f t="shared" si="62"/>
        <v>45002.443439384238</v>
      </c>
      <c r="I162" s="127">
        <f t="shared" si="62"/>
        <v>44695.858179066141</v>
      </c>
      <c r="J162" s="127">
        <f t="shared" si="62"/>
        <v>44326.899618845702</v>
      </c>
      <c r="K162" s="127">
        <f t="shared" si="62"/>
        <v>43758.849659533131</v>
      </c>
      <c r="L162" s="127">
        <f t="shared" si="62"/>
        <v>43188.88949670014</v>
      </c>
      <c r="M162" s="127">
        <f t="shared" si="62"/>
        <v>43433.435257750083</v>
      </c>
      <c r="N162" s="127">
        <f t="shared" si="62"/>
        <v>43062.309453114794</v>
      </c>
      <c r="O162" s="127">
        <f t="shared" si="62"/>
        <v>42643.925126964663</v>
      </c>
      <c r="P162" s="127">
        <f t="shared" si="62"/>
        <v>41993.602944280196</v>
      </c>
    </row>
    <row r="163" spans="1:16" s="71" customFormat="1" x14ac:dyDescent="0.2">
      <c r="C163" s="66"/>
      <c r="D163" s="66"/>
      <c r="E163" s="66"/>
      <c r="F163" s="66"/>
      <c r="G163" s="104"/>
      <c r="H163" s="104"/>
      <c r="I163" s="66"/>
      <c r="J163" s="66"/>
      <c r="K163" s="66"/>
      <c r="L163" s="66"/>
      <c r="M163" s="66"/>
      <c r="N163" s="66"/>
      <c r="O163" s="66"/>
      <c r="P163" s="66"/>
    </row>
    <row r="164" spans="1:16" s="71" customFormat="1" x14ac:dyDescent="0.2">
      <c r="C164" s="66" t="s">
        <v>321</v>
      </c>
      <c r="D164" s="105">
        <f>INDEX('4 Balanse'!$C$8:$P$43,MATCH("Eiendeler",'4 Balanse'!$C$8:$C$43,0),MATCH('1.2 APM'!D$10,'4 Balanse'!$C$8:$P$8,0))</f>
        <v>33246.408706617447</v>
      </c>
      <c r="E164" s="105">
        <f>INDEX('4 Balanse'!$C$8:$P$43,MATCH("Eiendeler",'4 Balanse'!$C$8:$C$43,0),MATCH('1.2 APM'!E$10,'4 Balanse'!$C$8:$P$8,0))</f>
        <v>32743.771091841052</v>
      </c>
      <c r="F164" s="105">
        <f>INDEX('4 Balanse'!$C$8:$P$43,MATCH("Eiendeler",'4 Balanse'!$C$8:$C$43,0),MATCH('1.2 APM'!F$10,'4 Balanse'!$C$8:$P$8,0))</f>
        <v>32393.693385752242</v>
      </c>
      <c r="G164" s="105">
        <f>INDEX('4 Balanse'!$C$8:$P$43,MATCH("Eiendeler",'4 Balanse'!$C$8:$C$43,0),MATCH('1.2 APM'!G$10,'4 Balanse'!$C$8:$P$8,0))</f>
        <v>32392.967435656599</v>
      </c>
      <c r="H164" s="105">
        <f>INDEX('4 Balanse'!$C$8:$P$43,MATCH("Eiendeler",'4 Balanse'!$C$8:$C$43,0),MATCH('1.2 APM'!H$10,'4 Balanse'!$C$8:$P$8,0))</f>
        <v>31728.913618822382</v>
      </c>
      <c r="I164" s="105">
        <f>INDEX('4 Balanse'!$C$8:$P$43,MATCH("Eiendeler",'4 Balanse'!$C$8:$C$43,0),MATCH('1.2 APM'!I$10,'4 Balanse'!$C$8:$P$8,0))</f>
        <v>31534.16343938424</v>
      </c>
      <c r="J164" s="105">
        <f>INDEX('4 Balanse'!$C$8:$P$43,MATCH("Eiendeler",'4 Balanse'!$C$8:$C$43,0),MATCH('1.2 APM'!J$10,'4 Balanse'!$C$8:$P$8,0))</f>
        <v>31471.732179066144</v>
      </c>
      <c r="K164" s="105">
        <f>INDEX('4 Balanse'!$C$8:$P$43,MATCH("Eiendeler",'4 Balanse'!$C$8:$C$43,0),MATCH('1.2 APM'!K$10,'4 Balanse'!$C$8:$P$8,0))</f>
        <v>31290.205618845703</v>
      </c>
      <c r="L164" s="105">
        <f>INDEX('4 Balanse'!$C$8:$P$43,MATCH("Eiendeler",'4 Balanse'!$C$8:$C$43,0),MATCH('1.2 APM'!L$10,'4 Balanse'!$C$8:$P$8,0))</f>
        <v>30678.082659533131</v>
      </c>
      <c r="M164" s="105">
        <f>INDEX('4 Balanse'!$C$8:$P$43,MATCH("Eiendeler",'4 Balanse'!$C$8:$C$43,0),MATCH('1.2 APM'!M$10,'4 Balanse'!$C$8:$P$8,0))</f>
        <v>30294.213986700142</v>
      </c>
      <c r="N164" s="105">
        <f>INDEX('4 Balanse'!$C$8:$P$43,MATCH("Eiendeler",'4 Balanse'!$C$8:$C$43,0),MATCH('1.2 APM'!N$10,'4 Balanse'!$C$8:$P$8,0))</f>
        <v>30538.883336750081</v>
      </c>
      <c r="O164" s="105">
        <f>INDEX('4 Balanse'!$C$8:$P$43,MATCH("Eiendeler",'4 Balanse'!$C$8:$C$43,0),MATCH('1.2 APM'!O$10,'4 Balanse'!$C$8:$P$8,0))</f>
        <v>30301.574453114798</v>
      </c>
      <c r="P164" s="105">
        <f>INDEX('4 Balanse'!$C$8:$P$43,MATCH("Eiendeler",'4 Balanse'!$C$8:$C$43,0),MATCH('1.2 APM'!P$10,'4 Balanse'!$C$8:$P$8,0))</f>
        <v>30094.857126964667</v>
      </c>
    </row>
    <row r="165" spans="1:16" s="71" customFormat="1" x14ac:dyDescent="0.2">
      <c r="B165" s="142"/>
      <c r="C165" s="66" t="s">
        <v>326</v>
      </c>
      <c r="D165" s="105">
        <f>INDEX('9 Utlån'!$C$8:$P$30,MATCH("Lån overført til SpareBank 1 Næringskreditt",'9 Utlån'!$C$8:$C$30,0),MATCH(D$10,'9 Utlån'!$C$8:$P$8,0))+INDEX('9 Utlån'!$C$8:$P$30,MATCH("Lån overført til SpareBank 1 Boligkreditt",'9 Utlån'!$C$8:$C$30,0),MATCH(D$10,'9 Utlån'!$C$8:$P$8,0))</f>
        <v>13583.936983920001</v>
      </c>
      <c r="E165" s="105">
        <f>INDEX('9 Utlån'!$C$8:$P$30,MATCH("Lån overført til SpareBank 1 Næringskreditt",'9 Utlån'!$C$8:$C$30,0),MATCH(E$10,'9 Utlån'!$C$8:$P$8,0))+INDEX('9 Utlån'!$C$8:$P$30,MATCH("Lån overført til SpareBank 1 Boligkreditt",'9 Utlån'!$C$8:$C$30,0),MATCH(E$10,'9 Utlån'!$C$8:$P$8,0))</f>
        <v>13462.85036925</v>
      </c>
      <c r="F165" s="105">
        <f>INDEX('9 Utlån'!$C$8:$P$30,MATCH("Lån overført til SpareBank 1 Næringskreditt",'9 Utlån'!$C$8:$C$30,0),MATCH(F$10,'9 Utlån'!$C$8:$P$8,0))+INDEX('9 Utlån'!$C$8:$P$30,MATCH("Lån overført til SpareBank 1 Boligkreditt",'9 Utlån'!$C$8:$C$30,0),MATCH(F$10,'9 Utlån'!$C$8:$P$8,0))</f>
        <v>13528.783042410001</v>
      </c>
      <c r="G165" s="105">
        <f>INDEX('9 Utlån'!$C$8:$P$30,MATCH("Lån overført til SpareBank 1 Næringskreditt",'9 Utlån'!$C$8:$C$30,0),MATCH(G$10,'9 Utlån'!$C$8:$P$8,0))+INDEX('9 Utlån'!$C$8:$P$30,MATCH("Lån overført til SpareBank 1 Boligkreditt",'9 Utlån'!$C$8:$C$30,0),MATCH(G$10,'9 Utlån'!$C$8:$P$8,0))</f>
        <v>13508.19099374</v>
      </c>
      <c r="H165" s="105">
        <f>INDEX('9 Utlån'!$C$8:$P$30,MATCH("Lån overført til SpareBank 1 Næringskreditt",'9 Utlån'!$C$8:$C$30,0),MATCH(H$10,'9 Utlån'!$C$8:$P$8,0))+INDEX('9 Utlån'!$C$8:$P$30,MATCH("Lån overført til SpareBank 1 Boligkreditt",'9 Utlån'!$C$8:$C$30,0),MATCH(H$10,'9 Utlån'!$C$8:$P$8,0))</f>
        <v>13509.518</v>
      </c>
      <c r="I165" s="105">
        <f>INDEX('9 Utlån'!$C$8:$P$30,MATCH("Lån overført til SpareBank 1 Næringskreditt",'9 Utlån'!$C$8:$C$30,0),MATCH(I$10,'9 Utlån'!$C$8:$P$8,0))+INDEX('9 Utlån'!$C$8:$P$30,MATCH("Lån overført til SpareBank 1 Boligkreditt",'9 Utlån'!$C$8:$C$30,0),MATCH(I$10,'9 Utlån'!$C$8:$P$8,0))</f>
        <v>13468.279999999999</v>
      </c>
      <c r="J165" s="105">
        <f>INDEX('9 Utlån'!$C$8:$P$30,MATCH("Lån overført til SpareBank 1 Næringskreditt",'9 Utlån'!$C$8:$C$30,0),MATCH(J$10,'9 Utlån'!$C$8:$P$8,0))+INDEX('9 Utlån'!$C$8:$P$30,MATCH("Lån overført til SpareBank 1 Boligkreditt",'9 Utlån'!$C$8:$C$30,0),MATCH(J$10,'9 Utlån'!$C$8:$P$8,0))</f>
        <v>13224.126</v>
      </c>
      <c r="K165" s="105">
        <f>INDEX('9 Utlån'!$C$8:$P$30,MATCH("Lån overført til SpareBank 1 Næringskreditt",'9 Utlån'!$C$8:$C$30,0),MATCH(K$10,'9 Utlån'!$C$8:$P$8,0))+INDEX('9 Utlån'!$C$8:$P$30,MATCH("Lån overført til SpareBank 1 Boligkreditt",'9 Utlån'!$C$8:$C$30,0),MATCH(K$10,'9 Utlån'!$C$8:$P$8,0))</f>
        <v>13036.694</v>
      </c>
      <c r="L165" s="105">
        <f>INDEX('9 Utlån'!$C$8:$P$30,MATCH("Lån overført til SpareBank 1 Næringskreditt",'9 Utlån'!$C$8:$C$30,0),MATCH(L$10,'9 Utlån'!$C$8:$P$8,0))+INDEX('9 Utlån'!$C$8:$P$30,MATCH("Lån overført til SpareBank 1 Boligkreditt",'9 Utlån'!$C$8:$C$30,0),MATCH(L$10,'9 Utlån'!$C$8:$P$8,0))</f>
        <v>13080.767</v>
      </c>
      <c r="M165" s="105">
        <f>INDEX('9 Utlån'!$C$8:$P$30,MATCH("Lån overført til SpareBank 1 Næringskreditt",'9 Utlån'!$C$8:$C$30,0),MATCH(M$10,'9 Utlån'!$C$8:$P$8,0))+INDEX('9 Utlån'!$C$8:$P$30,MATCH("Lån overført til SpareBank 1 Boligkreditt",'9 Utlån'!$C$8:$C$30,0),MATCH(M$10,'9 Utlån'!$C$8:$P$8,0))</f>
        <v>12894.675509999999</v>
      </c>
      <c r="N165" s="105">
        <f>INDEX('9 Utlån'!$C$8:$P$30,MATCH("Lån overført til SpareBank 1 Næringskreditt",'9 Utlån'!$C$8:$C$30,0),MATCH(N$10,'9 Utlån'!$C$8:$P$8,0))+INDEX('9 Utlån'!$C$8:$P$30,MATCH("Lån overført til SpareBank 1 Boligkreditt",'9 Utlån'!$C$8:$C$30,0),MATCH(N$10,'9 Utlån'!$C$8:$P$8,0))</f>
        <v>12894.551921</v>
      </c>
      <c r="O165" s="105">
        <f>INDEX('9 Utlån'!$C$8:$P$30,MATCH("Lån overført til SpareBank 1 Næringskreditt",'9 Utlån'!$C$8:$C$30,0),MATCH(O$10,'9 Utlån'!$C$8:$P$8,0))+INDEX('9 Utlån'!$C$8:$P$30,MATCH("Lån overført til SpareBank 1 Boligkreditt",'9 Utlån'!$C$8:$C$30,0),MATCH(O$10,'9 Utlån'!$C$8:$P$8,0))</f>
        <v>12760.734999999999</v>
      </c>
      <c r="P165" s="105">
        <f>INDEX('9 Utlån'!$C$8:$P$30,MATCH("Lån overført til SpareBank 1 Næringskreditt",'9 Utlån'!$C$8:$C$30,0),MATCH(P$10,'9 Utlån'!$C$8:$P$8,0))+INDEX('9 Utlån'!$C$8:$P$30,MATCH("Lån overført til SpareBank 1 Boligkreditt",'9 Utlån'!$C$8:$C$30,0),MATCH(P$10,'9 Utlån'!$C$8:$P$8,0))</f>
        <v>12549.067999999999</v>
      </c>
    </row>
    <row r="166" spans="1:16" s="71" customFormat="1" x14ac:dyDescent="0.2">
      <c r="C166" s="81" t="s">
        <v>327</v>
      </c>
      <c r="D166" s="127">
        <f>D164+D165</f>
        <v>46830.345690537448</v>
      </c>
      <c r="E166" s="127">
        <f>E164+E165</f>
        <v>46206.621461091054</v>
      </c>
      <c r="F166" s="127">
        <f t="shared" ref="F166:P166" si="63">F164+F165</f>
        <v>45922.476428162241</v>
      </c>
      <c r="G166" s="127">
        <f t="shared" si="63"/>
        <v>45901.158429396601</v>
      </c>
      <c r="H166" s="127">
        <f t="shared" si="63"/>
        <v>45238.431618822382</v>
      </c>
      <c r="I166" s="127">
        <f t="shared" si="63"/>
        <v>45002.443439384238</v>
      </c>
      <c r="J166" s="127">
        <f t="shared" si="63"/>
        <v>44695.858179066141</v>
      </c>
      <c r="K166" s="127">
        <f t="shared" si="63"/>
        <v>44326.899618845702</v>
      </c>
      <c r="L166" s="127">
        <f t="shared" si="63"/>
        <v>43758.849659533131</v>
      </c>
      <c r="M166" s="127">
        <f t="shared" si="63"/>
        <v>43188.88949670014</v>
      </c>
      <c r="N166" s="127">
        <f t="shared" si="63"/>
        <v>43433.435257750083</v>
      </c>
      <c r="O166" s="127">
        <f t="shared" si="63"/>
        <v>43062.309453114794</v>
      </c>
      <c r="P166" s="127">
        <f t="shared" si="63"/>
        <v>42643.925126964663</v>
      </c>
    </row>
    <row r="167" spans="1:16" s="71" customFormat="1" x14ac:dyDescent="0.2">
      <c r="C167" s="66"/>
      <c r="D167" s="66"/>
      <c r="E167" s="66"/>
      <c r="F167" s="66"/>
      <c r="G167" s="104"/>
      <c r="H167" s="104"/>
      <c r="I167" s="66"/>
      <c r="J167" s="66"/>
      <c r="K167" s="66"/>
      <c r="L167" s="66"/>
      <c r="M167" s="66"/>
      <c r="N167" s="66"/>
      <c r="O167" s="66"/>
      <c r="P167" s="66"/>
    </row>
    <row r="168" spans="1:16" s="133" customFormat="1" x14ac:dyDescent="0.2">
      <c r="C168" s="107" t="s">
        <v>329</v>
      </c>
      <c r="D168" s="130">
        <f>(D162+D166)/2</f>
        <v>46518.483575814251</v>
      </c>
      <c r="E168" s="130">
        <f>(E162+E166)/2</f>
        <v>46064.548944626644</v>
      </c>
      <c r="F168" s="130">
        <f t="shared" ref="F168:P168" si="64">(F162+F166)/2</f>
        <v>45911.817428779425</v>
      </c>
      <c r="G168" s="130">
        <f t="shared" si="64"/>
        <v>45569.795024109495</v>
      </c>
      <c r="H168" s="130">
        <f t="shared" si="64"/>
        <v>45120.437529103307</v>
      </c>
      <c r="I168" s="130">
        <f t="shared" si="64"/>
        <v>44849.15080922519</v>
      </c>
      <c r="J168" s="130">
        <f t="shared" si="64"/>
        <v>44511.378898955925</v>
      </c>
      <c r="K168" s="130">
        <f t="shared" si="64"/>
        <v>44042.874639189416</v>
      </c>
      <c r="L168" s="130">
        <f t="shared" si="64"/>
        <v>43473.869578116632</v>
      </c>
      <c r="M168" s="130">
        <f t="shared" si="64"/>
        <v>43311.162377225111</v>
      </c>
      <c r="N168" s="130">
        <f t="shared" si="64"/>
        <v>43247.872355432439</v>
      </c>
      <c r="O168" s="130">
        <f t="shared" si="64"/>
        <v>42853.117290039729</v>
      </c>
      <c r="P168" s="130">
        <f t="shared" si="64"/>
        <v>42318.764035622429</v>
      </c>
    </row>
    <row r="169" spans="1:16" s="71" customFormat="1" x14ac:dyDescent="0.2">
      <c r="C169" s="66"/>
      <c r="D169" s="66"/>
      <c r="E169" s="66"/>
      <c r="F169" s="66"/>
      <c r="G169" s="104"/>
      <c r="H169" s="104"/>
      <c r="I169" s="66"/>
      <c r="J169" s="66"/>
      <c r="K169" s="66"/>
      <c r="L169" s="66"/>
      <c r="M169" s="66"/>
      <c r="N169" s="66"/>
      <c r="O169" s="66"/>
      <c r="P169" s="66"/>
    </row>
    <row r="170" spans="1:16" s="71" customFormat="1" x14ac:dyDescent="0.2">
      <c r="C170" s="66"/>
      <c r="D170" s="66"/>
      <c r="E170" s="66"/>
      <c r="F170" s="66"/>
      <c r="G170" s="104"/>
      <c r="H170" s="104"/>
      <c r="I170" s="66"/>
      <c r="J170" s="66"/>
      <c r="K170" s="66"/>
      <c r="L170" s="66"/>
      <c r="M170" s="66"/>
      <c r="N170" s="66"/>
      <c r="O170" s="66"/>
      <c r="P170" s="66"/>
    </row>
    <row r="171" spans="1:16" x14ac:dyDescent="0.2">
      <c r="C171" s="71"/>
      <c r="D171" s="71"/>
      <c r="E171" s="71"/>
      <c r="F171" s="71"/>
      <c r="G171" s="103"/>
      <c r="H171" s="103"/>
      <c r="I171" s="71"/>
      <c r="J171" s="71"/>
      <c r="K171" s="71"/>
      <c r="L171" s="71"/>
      <c r="M171" s="71"/>
      <c r="N171" s="71"/>
      <c r="O171" s="71"/>
      <c r="P171" s="71"/>
    </row>
    <row r="172" spans="1:16" x14ac:dyDescent="0.2">
      <c r="C172" s="71"/>
      <c r="D172" s="71"/>
      <c r="E172" s="71"/>
      <c r="F172" s="71"/>
      <c r="G172" s="103"/>
      <c r="H172" s="103"/>
      <c r="I172" s="71"/>
      <c r="J172" s="71"/>
      <c r="K172" s="71"/>
      <c r="L172" s="71"/>
      <c r="M172" s="71"/>
      <c r="N172" s="71"/>
      <c r="O172" s="71"/>
      <c r="P172" s="71"/>
    </row>
    <row r="173" spans="1:16" x14ac:dyDescent="0.2">
      <c r="C173" s="156" t="s">
        <v>259</v>
      </c>
      <c r="D173" s="106">
        <f>INDEX('10 Brutto utlån og tap'!$C$8:$L$21,MATCH('1.2 APM'!$C$173,'10 Brutto utlån og tap'!$C$8:$C$21,0),MATCH('1.2 APM'!D$10,'10 Brutto utlån og tap'!$C$8:$L$8,0))</f>
        <v>122.58139702</v>
      </c>
      <c r="E173" s="106">
        <f>INDEX('10 Brutto utlån og tap'!$C$8:$L$21,MATCH('1.2 APM'!$C$173,'10 Brutto utlån og tap'!$C$8:$C$21,0),MATCH('1.2 APM'!E$10,'10 Brutto utlån og tap'!$C$8:$L$8,0))</f>
        <v>144.28475034841009</v>
      </c>
      <c r="F173" s="106">
        <f>INDEX('10 Brutto utlån og tap'!$C$8:$L$21,MATCH('1.2 APM'!$C$173,'10 Brutto utlån og tap'!$C$8:$C$21,0),MATCH('1.2 APM'!F$10,'10 Brutto utlån og tap'!$C$8:$L$8,0))</f>
        <v>151.57802688633009</v>
      </c>
      <c r="G173" s="106">
        <f>INDEX('10 Brutto utlån og tap'!$C$8:$L$21,MATCH('1.2 APM'!$C$173,'10 Brutto utlån og tap'!$C$8:$C$21,0),MATCH('1.2 APM'!G$10,'10 Brutto utlån og tap'!$C$8:$L$8,0))</f>
        <v>149.67571677788996</v>
      </c>
      <c r="H173" s="106">
        <f>INDEX('10 Brutto utlån og tap'!$C$8:$L$21,MATCH('1.2 APM'!$C$173,'10 Brutto utlån og tap'!$C$8:$C$21,0),MATCH('1.2 APM'!H$10,'10 Brutto utlån og tap'!$C$8:$L$8,0))</f>
        <v>155.02841067332997</v>
      </c>
      <c r="I173" s="106">
        <f>INDEX('10 Brutto utlån og tap'!$C$8:$L$21,MATCH('1.2 APM'!$C$173,'10 Brutto utlån og tap'!$C$8:$C$21,0),MATCH('1.2 APM'!I$10,'10 Brutto utlån og tap'!$C$8:$L$8,0))</f>
        <v>149.33880883820001</v>
      </c>
      <c r="J173" s="106">
        <f>INDEX('10 Brutto utlån og tap'!$C$8:$L$21,MATCH('1.2 APM'!$C$173,'10 Brutto utlån og tap'!$C$8:$C$21,0),MATCH('1.2 APM'!J$10,'10 Brutto utlån og tap'!$C$8:$L$8,0))</f>
        <v>130.63670358165987</v>
      </c>
      <c r="K173" s="106">
        <f>INDEX('10 Brutto utlån og tap'!$C$8:$L$21,MATCH('1.2 APM'!$C$173,'10 Brutto utlån og tap'!$C$8:$C$21,0),MATCH('1.2 APM'!K$10,'10 Brutto utlån og tap'!$C$8:$L$8,0))</f>
        <v>120.32617218630998</v>
      </c>
      <c r="L173" s="106">
        <f>INDEX('10 Brutto utlån og tap'!$C$8:$L$21,MATCH('1.2 APM'!$C$173,'10 Brutto utlån og tap'!$C$8:$C$21,0),MATCH('1.2 APM'!L$10,'10 Brutto utlån og tap'!$C$8:$L$8,0))</f>
        <v>119.33126051011996</v>
      </c>
      <c r="M173" s="106"/>
      <c r="N173" s="106"/>
      <c r="O173" s="106"/>
      <c r="P173" s="106"/>
    </row>
    <row r="174" spans="1:16" x14ac:dyDescent="0.2">
      <c r="C174" s="71" t="s">
        <v>303</v>
      </c>
      <c r="D174" s="106">
        <f>INDEX('9 Utlån'!$C$8:$P$30,MATCH("Brutto utlån",'9 Utlån'!$C$8:$C$30,0),MATCH(D10,'9 Utlån'!$C$8:$P$8,0))</f>
        <v>27018.086775820007</v>
      </c>
      <c r="E174" s="106">
        <f>INDEX('9 Utlån'!$C$8:$P$30,MATCH("Brutto utlån",'9 Utlån'!$C$8:$C$30,0),MATCH(E10,'9 Utlån'!$C$8:$P$8,0))</f>
        <v>26863.655036150001</v>
      </c>
      <c r="F174" s="106">
        <f>INDEX('9 Utlån'!$C$8:$P$30,MATCH("Brutto utlån",'9 Utlån'!$C$8:$C$30,0),MATCH(F10,'9 Utlån'!$C$8:$P$8,0))</f>
        <v>26248.834926629999</v>
      </c>
      <c r="G174" s="106">
        <f>INDEX('9 Utlån'!$C$8:$P$30,MATCH("Brutto utlån",'9 Utlån'!$C$8:$C$30,0),MATCH(G10,'9 Utlån'!$C$8:$P$8,0))</f>
        <v>26201.259767059997</v>
      </c>
      <c r="H174" s="106">
        <f>INDEX('9 Utlån'!$C$8:$P$30,MATCH("Brutto utlån",'9 Utlån'!$C$8:$C$30,0),MATCH(H10,'9 Utlån'!$C$8:$P$8,0))</f>
        <v>25939.178014309997</v>
      </c>
      <c r="I174" s="106">
        <f>INDEX('9 Utlån'!$C$8:$P$30,MATCH("Brutto utlån",'9 Utlån'!$C$8:$C$30,0),MATCH(I10,'9 Utlån'!$C$8:$P$8,0))</f>
        <v>25645.847947689996</v>
      </c>
      <c r="J174" s="106">
        <f>INDEX('9 Utlån'!$C$8:$P$30,MATCH("Brutto utlån",'9 Utlån'!$C$8:$C$30,0),MATCH(J10,'9 Utlån'!$C$8:$P$8,0))</f>
        <v>25912.698074420001</v>
      </c>
      <c r="K174" s="106">
        <f>INDEX('9 Utlån'!$C$8:$P$30,MATCH("Brutto utlån",'9 Utlån'!$C$8:$C$30,0),MATCH(K10,'9 Utlån'!$C$8:$P$8,0))</f>
        <v>25796.377157820003</v>
      </c>
      <c r="L174" s="106">
        <f>INDEX('9 Utlån'!$C$8:$P$30,MATCH("Brutto utlån",'9 Utlån'!$C$8:$C$30,0),MATCH(L10,'9 Utlån'!$C$8:$P$8,0))</f>
        <v>25286.665515269997</v>
      </c>
      <c r="M174" s="106"/>
      <c r="N174" s="106"/>
      <c r="O174" s="106"/>
      <c r="P174" s="106"/>
    </row>
    <row r="175" spans="1:16" s="131" customFormat="1" x14ac:dyDescent="0.2">
      <c r="C175" s="109" t="s">
        <v>48</v>
      </c>
      <c r="D175" s="137">
        <f>D173/D174</f>
        <v>4.5370124848997419E-3</v>
      </c>
      <c r="E175" s="137">
        <f>E173/E174</f>
        <v>5.3710022018317446E-3</v>
      </c>
      <c r="F175" s="137">
        <f t="shared" ref="F175:L175" si="65">F173/F174</f>
        <v>5.7746573251733534E-3</v>
      </c>
      <c r="G175" s="137">
        <f t="shared" si="65"/>
        <v>5.7125389431107055E-3</v>
      </c>
      <c r="H175" s="137">
        <f t="shared" si="65"/>
        <v>5.9766123116085125E-3</v>
      </c>
      <c r="I175" s="137">
        <f t="shared" si="65"/>
        <v>5.8231183910474457E-3</v>
      </c>
      <c r="J175" s="137">
        <f t="shared" si="65"/>
        <v>5.0414164980612077E-3</v>
      </c>
      <c r="K175" s="137">
        <f t="shared" si="65"/>
        <v>4.6644601081060671E-3</v>
      </c>
      <c r="L175" s="137">
        <f t="shared" si="65"/>
        <v>4.7191378569886467E-3</v>
      </c>
      <c r="M175" s="137"/>
      <c r="N175" s="137"/>
      <c r="O175" s="137"/>
      <c r="P175" s="137"/>
    </row>
    <row r="176" spans="1:16" x14ac:dyDescent="0.2">
      <c r="C176" s="71"/>
      <c r="D176" s="71"/>
      <c r="E176" s="71"/>
      <c r="F176" s="71"/>
      <c r="G176" s="103"/>
      <c r="H176" s="103"/>
      <c r="I176" s="71"/>
      <c r="J176" s="71"/>
      <c r="K176" s="71"/>
      <c r="L176" s="71"/>
      <c r="M176" s="71"/>
      <c r="N176" s="71"/>
      <c r="O176" s="71"/>
      <c r="P176" s="71"/>
    </row>
    <row r="177" spans="1:16" x14ac:dyDescent="0.2">
      <c r="C177" s="71"/>
      <c r="D177" s="71"/>
      <c r="E177" s="71"/>
      <c r="F177" s="71"/>
      <c r="G177" s="103"/>
      <c r="H177" s="103"/>
      <c r="I177" s="71"/>
      <c r="J177" s="71"/>
      <c r="K177" s="71"/>
      <c r="L177" s="71"/>
      <c r="M177" s="71"/>
      <c r="N177" s="71"/>
      <c r="O177" s="71"/>
      <c r="P177" s="71"/>
    </row>
    <row r="178" spans="1:16" x14ac:dyDescent="0.2">
      <c r="C178" s="66"/>
      <c r="D178" s="66"/>
      <c r="E178" s="66"/>
      <c r="F178" s="66"/>
      <c r="G178" s="104"/>
      <c r="H178" s="104"/>
      <c r="I178" s="66"/>
      <c r="J178" s="66"/>
      <c r="K178" s="66"/>
      <c r="L178" s="66"/>
      <c r="M178" s="66"/>
      <c r="N178" s="66"/>
      <c r="O178" s="66"/>
      <c r="P178" s="66"/>
    </row>
    <row r="179" spans="1:16" x14ac:dyDescent="0.2">
      <c r="C179" s="66"/>
      <c r="D179" s="66"/>
      <c r="E179" s="66"/>
      <c r="F179" s="66"/>
      <c r="G179" s="104"/>
      <c r="H179" s="104"/>
      <c r="I179" s="66"/>
      <c r="J179" s="66"/>
      <c r="K179" s="66"/>
      <c r="L179" s="66"/>
      <c r="M179" s="66"/>
      <c r="N179" s="66"/>
      <c r="O179" s="66"/>
      <c r="P179" s="66"/>
    </row>
    <row r="180" spans="1:16" x14ac:dyDescent="0.2">
      <c r="C180" s="66" t="s">
        <v>330</v>
      </c>
      <c r="D180" s="105">
        <f>INDEX('10 Brutto utlån og tap'!$C$8:$L$21,MATCH('1.2 APM'!$C$180,'10 Brutto utlån og tap'!$C$8:$C$21,0),MATCH('1.2 APM'!D$10,'10 Brutto utlån og tap'!$C$8:$L$8,0))</f>
        <v>2721.6911735600015</v>
      </c>
      <c r="E180" s="105">
        <f>INDEX('10 Brutto utlån og tap'!$C$8:$L$21,MATCH('1.2 APM'!$C$180,'10 Brutto utlån og tap'!$C$8:$C$21,0),MATCH('1.2 APM'!E$10,'10 Brutto utlån og tap'!$C$8:$L$8,0))</f>
        <v>2708.4655291099994</v>
      </c>
      <c r="F180" s="105">
        <f>INDEX('10 Brutto utlån og tap'!$C$8:$L$21,MATCH('1.2 APM'!$C$180,'10 Brutto utlån og tap'!$C$8:$C$21,0),MATCH('1.2 APM'!F$10,'10 Brutto utlån og tap'!$C$8:$L$8,0))</f>
        <v>2556.7205166899998</v>
      </c>
      <c r="G180" s="105">
        <f>INDEX('10 Brutto utlån og tap'!$C$8:$L$21,MATCH('1.2 APM'!$C$180,'10 Brutto utlån og tap'!$C$8:$C$21,0),MATCH('1.2 APM'!G$10,'10 Brutto utlån og tap'!$C$8:$L$8,0))</f>
        <v>2614.5658485200001</v>
      </c>
      <c r="H180" s="105">
        <f>INDEX('10 Brutto utlån og tap'!$C$8:$L$21,MATCH('1.2 APM'!$C$180,'10 Brutto utlån og tap'!$C$8:$C$21,0),MATCH('1.2 APM'!H$10,'10 Brutto utlån og tap'!$C$8:$L$8,0))</f>
        <v>2616.1227995700001</v>
      </c>
      <c r="I180" s="105">
        <f>INDEX('10 Brutto utlån og tap'!$C$8:$L$21,MATCH('1.2 APM'!$C$180,'10 Brutto utlån og tap'!$C$8:$C$21,0),MATCH('1.2 APM'!I$10,'10 Brutto utlån og tap'!$C$8:$L$8,0))</f>
        <v>2562.0594682399983</v>
      </c>
      <c r="J180" s="105">
        <f>INDEX('10 Brutto utlån og tap'!$C$8:$L$21,MATCH('1.2 APM'!$C$180,'10 Brutto utlån og tap'!$C$8:$C$21,0),MATCH('1.2 APM'!J$10,'10 Brutto utlån og tap'!$C$8:$L$8,0))</f>
        <v>2909.14</v>
      </c>
      <c r="K180" s="105">
        <f>INDEX('10 Brutto utlån og tap'!$C$8:$L$21,MATCH('1.2 APM'!$C$180,'10 Brutto utlån og tap'!$C$8:$C$21,0),MATCH('1.2 APM'!K$10,'10 Brutto utlån og tap'!$C$8:$L$8,0))</f>
        <v>2405.0714422800002</v>
      </c>
      <c r="L180" s="105">
        <f>INDEX('10 Brutto utlån og tap'!$C$8:$L$21,MATCH('1.2 APM'!$C$180,'10 Brutto utlån og tap'!$C$8:$C$21,0),MATCH('1.2 APM'!L$10,'10 Brutto utlån og tap'!$C$8:$L$8,0))</f>
        <v>2422.7186924299999</v>
      </c>
      <c r="M180" s="66"/>
      <c r="N180" s="66"/>
      <c r="O180" s="66"/>
      <c r="P180" s="66"/>
    </row>
    <row r="181" spans="1:16" x14ac:dyDescent="0.2">
      <c r="C181" s="66" t="s">
        <v>303</v>
      </c>
      <c r="D181" s="105">
        <f>INDEX('9 Utlån'!$C$8:$P$30,MATCH("Brutto utlån",'9 Utlån'!$C$8:$C$30,0),MATCH(D$10,'9 Utlån'!$C$8:$P$8,0))</f>
        <v>27018.086775820007</v>
      </c>
      <c r="E181" s="105">
        <f>INDEX('9 Utlån'!$C$8:$P$30,MATCH("Brutto utlån",'9 Utlån'!$C$8:$C$30,0),MATCH(E$10,'9 Utlån'!$C$8:$P$8,0))</f>
        <v>26863.655036150001</v>
      </c>
      <c r="F181" s="105">
        <f>INDEX('9 Utlån'!$C$8:$P$30,MATCH("Brutto utlån",'9 Utlån'!$C$8:$C$30,0),MATCH(F$10,'9 Utlån'!$C$8:$P$8,0))</f>
        <v>26248.834926629999</v>
      </c>
      <c r="G181" s="105">
        <f>INDEX('9 Utlån'!$C$8:$P$30,MATCH("Brutto utlån",'9 Utlån'!$C$8:$C$30,0),MATCH(G$10,'9 Utlån'!$C$8:$P$8,0))</f>
        <v>26201.259767059997</v>
      </c>
      <c r="H181" s="105">
        <f>INDEX('9 Utlån'!$C$8:$P$30,MATCH("Brutto utlån",'9 Utlån'!$C$8:$C$30,0),MATCH(H$10,'9 Utlån'!$C$8:$P$8,0))</f>
        <v>25939.178014309997</v>
      </c>
      <c r="I181" s="105">
        <f>INDEX('9 Utlån'!$C$8:$P$30,MATCH("Brutto utlån",'9 Utlån'!$C$8:$C$30,0),MATCH(I$10,'9 Utlån'!$C$8:$P$8,0))</f>
        <v>25645.847947689996</v>
      </c>
      <c r="J181" s="105">
        <f>INDEX('9 Utlån'!$C$8:$P$30,MATCH("Brutto utlån",'9 Utlån'!$C$8:$C$30,0),MATCH(J$10,'9 Utlån'!$C$8:$P$8,0))</f>
        <v>25912.698074420001</v>
      </c>
      <c r="K181" s="105">
        <f>INDEX('9 Utlån'!$C$8:$P$30,MATCH("Brutto utlån",'9 Utlån'!$C$8:$C$30,0),MATCH(K$10,'9 Utlån'!$C$8:$P$8,0))</f>
        <v>25796.377157820003</v>
      </c>
      <c r="L181" s="105">
        <f>INDEX('9 Utlån'!$C$8:$P$30,MATCH("Brutto utlån",'9 Utlån'!$C$8:$C$30,0),MATCH(L$10,'9 Utlån'!$C$8:$P$8,0))</f>
        <v>25286.665515269997</v>
      </c>
      <c r="M181" s="66"/>
      <c r="N181" s="66"/>
      <c r="O181" s="66"/>
      <c r="P181" s="66"/>
    </row>
    <row r="182" spans="1:16" x14ac:dyDescent="0.2">
      <c r="C182" s="107" t="s">
        <v>49</v>
      </c>
      <c r="D182" s="128">
        <f>D180/D181</f>
        <v>0.10073589577763126</v>
      </c>
      <c r="E182" s="128">
        <f>E180/E181</f>
        <v>0.10082267381208028</v>
      </c>
      <c r="F182" s="128">
        <f t="shared" ref="F182:L182" si="66">F180/F181</f>
        <v>9.7403199945310812E-2</v>
      </c>
      <c r="G182" s="128">
        <f t="shared" si="66"/>
        <v>9.9787791570503423E-2</v>
      </c>
      <c r="H182" s="128">
        <f t="shared" si="66"/>
        <v>0.10085604093262904</v>
      </c>
      <c r="I182" s="128">
        <f t="shared" si="66"/>
        <v>9.9901530784470366E-2</v>
      </c>
      <c r="J182" s="128">
        <f t="shared" si="66"/>
        <v>0.11226696624354177</v>
      </c>
      <c r="K182" s="128">
        <f t="shared" si="66"/>
        <v>9.3232915132461472E-2</v>
      </c>
      <c r="L182" s="128">
        <f t="shared" si="66"/>
        <v>9.5810129293914997E-2</v>
      </c>
      <c r="M182" s="107"/>
      <c r="N182" s="107"/>
      <c r="O182" s="107"/>
      <c r="P182" s="107"/>
    </row>
    <row r="183" spans="1:16" x14ac:dyDescent="0.2">
      <c r="C183" s="66"/>
      <c r="D183" s="66"/>
      <c r="E183" s="66"/>
      <c r="F183" s="66"/>
      <c r="G183" s="104"/>
      <c r="H183" s="104"/>
      <c r="I183" s="66"/>
      <c r="J183" s="66"/>
      <c r="K183" s="66"/>
      <c r="L183" s="66"/>
      <c r="M183" s="66"/>
      <c r="N183" s="66"/>
      <c r="O183" s="66"/>
      <c r="P183" s="66"/>
    </row>
    <row r="184" spans="1:16" x14ac:dyDescent="0.2">
      <c r="C184" s="66"/>
      <c r="D184" s="66"/>
      <c r="E184" s="66"/>
      <c r="F184" s="66"/>
      <c r="G184" s="104"/>
      <c r="H184" s="104"/>
      <c r="I184" s="66"/>
      <c r="J184" s="66"/>
      <c r="K184" s="66"/>
      <c r="L184" s="66"/>
      <c r="M184" s="66"/>
      <c r="N184" s="66"/>
      <c r="O184" s="66"/>
      <c r="P184" s="66"/>
    </row>
    <row r="185" spans="1:16" x14ac:dyDescent="0.2">
      <c r="C185" s="71"/>
      <c r="D185" s="71"/>
      <c r="E185" s="71"/>
      <c r="F185" s="71"/>
      <c r="G185" s="103"/>
      <c r="H185" s="103"/>
      <c r="I185" s="71"/>
      <c r="J185" s="71"/>
      <c r="K185" s="71"/>
      <c r="L185" s="71"/>
      <c r="M185" s="71"/>
      <c r="N185" s="71"/>
      <c r="O185" s="71"/>
      <c r="P185" s="71"/>
    </row>
    <row r="186" spans="1:16" x14ac:dyDescent="0.2">
      <c r="C186" s="71"/>
      <c r="D186" s="71"/>
      <c r="E186" s="71"/>
      <c r="F186" s="71"/>
      <c r="G186" s="103"/>
      <c r="H186" s="103"/>
      <c r="I186" s="71"/>
      <c r="J186" s="71"/>
      <c r="K186" s="71"/>
      <c r="L186" s="71"/>
      <c r="M186" s="71"/>
      <c r="N186" s="71"/>
      <c r="O186" s="71"/>
      <c r="P186" s="71"/>
    </row>
    <row r="187" spans="1:16" x14ac:dyDescent="0.2">
      <c r="C187" s="71" t="s">
        <v>331</v>
      </c>
      <c r="D187" s="106">
        <f>INDEX('10 Brutto utlån og tap'!$C$8:$L$21,MATCH($C$187,'10 Brutto utlån og tap'!$C$8:$C$21,0),MATCH('1.2 APM'!D$10,'10 Brutto utlån og tap'!$C$8:$L$8,0))</f>
        <v>205.80535356999997</v>
      </c>
      <c r="E187" s="106">
        <f>INDEX('10 Brutto utlån og tap'!$C$8:$L$21,MATCH($C$187,'10 Brutto utlån og tap'!$C$8:$C$21,0),MATCH('1.2 APM'!E$10,'10 Brutto utlån og tap'!$C$8:$L$8,0))</f>
        <v>226.54029794000002</v>
      </c>
      <c r="F187" s="106">
        <f>INDEX('10 Brutto utlån og tap'!$C$8:$L$21,MATCH($C$187,'10 Brutto utlån og tap'!$C$8:$C$21,0),MATCH('1.2 APM'!F$10,'10 Brutto utlån og tap'!$C$8:$L$8,0))</f>
        <v>193.45307518000004</v>
      </c>
      <c r="G187" s="106">
        <f>INDEX('10 Brutto utlån og tap'!$C$8:$L$21,MATCH($C$187,'10 Brutto utlån og tap'!$C$8:$C$21,0),MATCH('1.2 APM'!G$10,'10 Brutto utlån og tap'!$C$8:$L$8,0))</f>
        <v>200.91402288000003</v>
      </c>
      <c r="H187" s="106">
        <f>INDEX('10 Brutto utlån og tap'!$C$8:$L$21,MATCH($C$187,'10 Brutto utlån og tap'!$C$8:$C$21,0),MATCH('1.2 APM'!H$10,'10 Brutto utlån og tap'!$C$8:$L$8,0))</f>
        <v>223.92103331000001</v>
      </c>
      <c r="I187" s="106">
        <f>INDEX('10 Brutto utlån og tap'!$C$8:$L$21,MATCH($C$187,'10 Brutto utlån og tap'!$C$8:$C$21,0),MATCH('1.2 APM'!I$10,'10 Brutto utlån og tap'!$C$8:$L$8,0))</f>
        <v>285.26232642000002</v>
      </c>
      <c r="J187" s="106">
        <f>INDEX('10 Brutto utlån og tap'!$C$8:$L$21,MATCH($C$187,'10 Brutto utlån og tap'!$C$8:$C$21,0),MATCH('1.2 APM'!J$10,'10 Brutto utlån og tap'!$C$8:$L$8,0))</f>
        <v>229.15899999999999</v>
      </c>
      <c r="K187" s="106">
        <f>INDEX('10 Brutto utlån og tap'!$C$8:$L$21,MATCH($C$187,'10 Brutto utlån og tap'!$C$8:$C$21,0),MATCH('1.2 APM'!K$10,'10 Brutto utlån og tap'!$C$8:$L$8,0))</f>
        <v>174.32976017999999</v>
      </c>
      <c r="L187" s="106">
        <f>INDEX('10 Brutto utlån og tap'!$C$8:$L$21,MATCH($C$187,'10 Brutto utlån og tap'!$C$8:$C$21,0),MATCH('1.2 APM'!L$10,'10 Brutto utlån og tap'!$C$8:$L$8,0))</f>
        <v>128.02716771999999</v>
      </c>
      <c r="M187" s="71"/>
      <c r="N187" s="71"/>
      <c r="O187" s="71"/>
      <c r="P187" s="71"/>
    </row>
    <row r="188" spans="1:16" x14ac:dyDescent="0.2">
      <c r="C188" s="71" t="s">
        <v>303</v>
      </c>
      <c r="D188" s="106">
        <f>INDEX('9 Utlån'!$C$8:$P$30,MATCH("Brutto utlån",'9 Utlån'!$C$8:$C$30,0),MATCH(D$10,'9 Utlån'!$C$8:$P$8,0))</f>
        <v>27018.086775820007</v>
      </c>
      <c r="E188" s="106">
        <f>INDEX('9 Utlån'!$C$8:$P$30,MATCH("Brutto utlån",'9 Utlån'!$C$8:$C$30,0),MATCH(E$10,'9 Utlån'!$C$8:$P$8,0))</f>
        <v>26863.655036150001</v>
      </c>
      <c r="F188" s="106">
        <f>INDEX('9 Utlån'!$C$8:$P$30,MATCH("Brutto utlån",'9 Utlån'!$C$8:$C$30,0),MATCH(F$10,'9 Utlån'!$C$8:$P$8,0))</f>
        <v>26248.834926629999</v>
      </c>
      <c r="G188" s="106">
        <f>INDEX('9 Utlån'!$C$8:$P$30,MATCH("Brutto utlån",'9 Utlån'!$C$8:$C$30,0),MATCH(G$10,'9 Utlån'!$C$8:$P$8,0))</f>
        <v>26201.259767059997</v>
      </c>
      <c r="H188" s="106">
        <f>INDEX('9 Utlån'!$C$8:$P$30,MATCH("Brutto utlån",'9 Utlån'!$C$8:$C$30,0),MATCH(H$10,'9 Utlån'!$C$8:$P$8,0))</f>
        <v>25939.178014309997</v>
      </c>
      <c r="I188" s="106">
        <f>INDEX('9 Utlån'!$C$8:$P$30,MATCH("Brutto utlån",'9 Utlån'!$C$8:$C$30,0),MATCH(I$10,'9 Utlån'!$C$8:$P$8,0))</f>
        <v>25645.847947689996</v>
      </c>
      <c r="J188" s="106">
        <f>INDEX('9 Utlån'!$C$8:$P$30,MATCH("Brutto utlån",'9 Utlån'!$C$8:$C$30,0),MATCH(J$10,'9 Utlån'!$C$8:$P$8,0))</f>
        <v>25912.698074420001</v>
      </c>
      <c r="K188" s="106">
        <f>INDEX('9 Utlån'!$C$8:$P$30,MATCH("Brutto utlån",'9 Utlån'!$C$8:$C$30,0),MATCH(K$10,'9 Utlån'!$C$8:$P$8,0))</f>
        <v>25796.377157820003</v>
      </c>
      <c r="L188" s="106">
        <f>INDEX('9 Utlån'!$C$8:$P$30,MATCH("Brutto utlån",'9 Utlån'!$C$8:$C$30,0),MATCH(L$10,'9 Utlån'!$C$8:$P$8,0))</f>
        <v>25286.665515269997</v>
      </c>
      <c r="M188" s="71"/>
      <c r="N188" s="71"/>
      <c r="O188" s="71"/>
      <c r="P188" s="71"/>
    </row>
    <row r="189" spans="1:16" x14ac:dyDescent="0.2">
      <c r="C189" s="109" t="s">
        <v>50</v>
      </c>
      <c r="D189" s="137">
        <f>D187/D188</f>
        <v>7.6173178092753275E-3</v>
      </c>
      <c r="E189" s="137">
        <f>E187/E188</f>
        <v>8.4329663121101087E-3</v>
      </c>
      <c r="F189" s="137">
        <f t="shared" ref="F189" si="67">F187/F188</f>
        <v>7.3699680660392966E-3</v>
      </c>
      <c r="G189" s="137">
        <f t="shared" ref="G189" si="68">G187/G188</f>
        <v>7.6681054524174999E-3</v>
      </c>
      <c r="H189" s="137">
        <f t="shared" ref="H189" si="69">H187/H188</f>
        <v>8.6325416012206849E-3</v>
      </c>
      <c r="I189" s="137">
        <f t="shared" ref="I189" si="70">I187/I188</f>
        <v>1.1123138802111417E-2</v>
      </c>
      <c r="J189" s="137">
        <f t="shared" ref="J189" si="71">J187/J188</f>
        <v>8.8435021062595095E-3</v>
      </c>
      <c r="K189" s="137">
        <f t="shared" ref="K189" si="72">K187/K188</f>
        <v>6.7579163970764421E-3</v>
      </c>
      <c r="L189" s="137">
        <f t="shared" ref="L189" si="73">L187/L188</f>
        <v>5.0630308548466991E-3</v>
      </c>
      <c r="M189" s="109"/>
      <c r="N189" s="109"/>
      <c r="O189" s="109"/>
      <c r="P189" s="109"/>
    </row>
    <row r="190" spans="1:16" x14ac:dyDescent="0.2">
      <c r="C190" s="71"/>
      <c r="D190" s="71"/>
      <c r="E190" s="71"/>
      <c r="F190" s="71"/>
      <c r="G190" s="103"/>
      <c r="H190" s="103"/>
      <c r="I190" s="71"/>
      <c r="J190" s="71"/>
      <c r="K190" s="71"/>
      <c r="L190" s="71"/>
      <c r="M190" s="71"/>
      <c r="N190" s="71"/>
      <c r="O190" s="71"/>
      <c r="P190" s="71"/>
    </row>
    <row r="191" spans="1:16" x14ac:dyDescent="0.2">
      <c r="C191" s="71"/>
      <c r="D191" s="71"/>
      <c r="E191" s="71"/>
      <c r="F191" s="71"/>
      <c r="G191" s="103"/>
      <c r="H191" s="103"/>
      <c r="I191" s="71"/>
      <c r="J191" s="71"/>
      <c r="K191" s="71"/>
      <c r="L191" s="71"/>
      <c r="M191" s="71"/>
      <c r="N191" s="71"/>
      <c r="O191" s="71"/>
      <c r="P191" s="71"/>
    </row>
    <row r="192" spans="1:16" x14ac:dyDescent="0.2">
      <c r="A192" s="71"/>
      <c r="C192" s="66"/>
      <c r="D192" s="66"/>
      <c r="E192" s="66"/>
      <c r="F192" s="66"/>
      <c r="G192" s="104"/>
      <c r="H192" s="104"/>
      <c r="I192" s="66"/>
      <c r="J192" s="66"/>
      <c r="K192" s="66"/>
      <c r="L192" s="66"/>
      <c r="M192" s="66"/>
      <c r="N192" s="66"/>
      <c r="O192" s="66"/>
      <c r="P192" s="66"/>
    </row>
    <row r="193" spans="1:16" x14ac:dyDescent="0.2">
      <c r="A193" s="71"/>
      <c r="C193" s="66"/>
      <c r="D193" s="66"/>
      <c r="E193" s="66"/>
      <c r="F193" s="66"/>
      <c r="G193" s="104"/>
      <c r="H193" s="104"/>
      <c r="I193" s="66"/>
      <c r="J193" s="66"/>
      <c r="K193" s="66"/>
      <c r="L193" s="66"/>
      <c r="M193" s="66"/>
      <c r="N193" s="66"/>
      <c r="O193" s="66"/>
      <c r="P193" s="66"/>
    </row>
    <row r="194" spans="1:16" s="64" customFormat="1" x14ac:dyDescent="0.2">
      <c r="A194" s="123"/>
      <c r="C194" s="91" t="s">
        <v>65</v>
      </c>
      <c r="D194" s="119">
        <f>INDEX('4 Balanse'!$C$8:$P$43,MATCH('1.2 APM'!$C194,'4 Balanse'!$C$8:$C$43,0),MATCH('1.2 APM'!D$10,'4 Balanse'!$C$8:$P$8,0))</f>
        <v>1565.0009993599999</v>
      </c>
      <c r="E194" s="119">
        <f>INDEX('4 Balanse'!$C$8:$P$43,MATCH('1.2 APM'!$C194,'4 Balanse'!$C$8:$C$43,0),MATCH('1.2 APM'!E$10,'4 Balanse'!$C$8:$P$8,0))</f>
        <v>1564.9389699200001</v>
      </c>
      <c r="F194" s="119">
        <f>INDEX('4 Balanse'!$C$8:$P$43,MATCH('1.2 APM'!$C194,'4 Balanse'!$C$8:$C$43,0),MATCH('1.2 APM'!F$10,'4 Balanse'!$C$8:$P$8,0))</f>
        <v>1564.8871380200001</v>
      </c>
      <c r="G194" s="119">
        <f>INDEX('4 Balanse'!$C$8:$P$43,MATCH('1.2 APM'!$C194,'4 Balanse'!$C$8:$C$43,0),MATCH('1.2 APM'!G$10,'4 Balanse'!$C$8:$P$8,0))</f>
        <v>1564.95379682</v>
      </c>
      <c r="H194" s="119">
        <f>INDEX('4 Balanse'!$C$8:$P$43,MATCH('1.2 APM'!$C194,'4 Balanse'!$C$8:$C$43,0),MATCH('1.2 APM'!H$10,'4 Balanse'!$C$8:$P$8,0))</f>
        <v>1564.95379682</v>
      </c>
      <c r="I194" s="119">
        <f>INDEX('4 Balanse'!$C$8:$P$43,MATCH('1.2 APM'!$C194,'4 Balanse'!$C$8:$C$43,0),MATCH('1.2 APM'!I$10,'4 Balanse'!$C$8:$P$8,0))</f>
        <v>1564.95258792</v>
      </c>
      <c r="J194" s="119">
        <f>INDEX('4 Balanse'!$C$8:$P$43,MATCH('1.2 APM'!$C194,'4 Balanse'!$C$8:$C$43,0),MATCH('1.2 APM'!J$10,'4 Balanse'!$C$8:$P$8,0))</f>
        <v>1564.96241732</v>
      </c>
      <c r="K194" s="119">
        <f>INDEX('4 Balanse'!$C$8:$P$43,MATCH('1.2 APM'!$C194,'4 Balanse'!$C$8:$C$43,0),MATCH('1.2 APM'!K$10,'4 Balanse'!$C$8:$P$8,0))</f>
        <v>1565.0111661600001</v>
      </c>
      <c r="L194" s="119">
        <f>INDEX('4 Balanse'!$C$8:$P$43,MATCH('1.2 APM'!$C194,'4 Balanse'!$C$8:$C$43,0),MATCH('1.2 APM'!L$10,'4 Balanse'!$C$8:$P$8,0))</f>
        <v>1565.01914616</v>
      </c>
      <c r="M194" s="119">
        <f>INDEX('4 Balanse'!$C$8:$P$43,MATCH('1.2 APM'!$C194,'4 Balanse'!$C$8:$C$43,0),MATCH('1.2 APM'!M$10,'4 Balanse'!$C$8:$P$8,0))</f>
        <v>1565.019331</v>
      </c>
      <c r="N194" s="119">
        <f>INDEX('4 Balanse'!$C$8:$P$43,MATCH('1.2 APM'!$C194,'4 Balanse'!$C$8:$C$43,0),MATCH('1.2 APM'!N$10,'4 Balanse'!$C$8:$P$8,0))</f>
        <v>1565.0093253599998</v>
      </c>
      <c r="O194" s="119">
        <f>INDEX('4 Balanse'!$C$8:$P$43,MATCH('1.2 APM'!$C194,'4 Balanse'!$C$8:$C$43,0),MATCH('1.2 APM'!O$10,'4 Balanse'!$C$8:$P$8,0))</f>
        <v>1564.920302</v>
      </c>
      <c r="P194" s="119">
        <f>INDEX('4 Balanse'!$C$8:$P$43,MATCH('1.2 APM'!$C194,'4 Balanse'!$C$8:$C$43,0),MATCH('1.2 APM'!P$10,'4 Balanse'!$C$8:$P$8,0))</f>
        <v>1565.3261</v>
      </c>
    </row>
    <row r="195" spans="1:16" s="64" customFormat="1" x14ac:dyDescent="0.2">
      <c r="A195" s="123"/>
      <c r="C195" s="91" t="s">
        <v>97</v>
      </c>
      <c r="D195" s="119">
        <f>INDEX('4 Balanse'!$C$8:$P$43,MATCH('1.2 APM'!$C195,'4 Balanse'!$C$8:$C$43,0),MATCH('1.2 APM'!D$10,'4 Balanse'!$C$8:$P$8,0))</f>
        <v>487.77151800000001</v>
      </c>
      <c r="E195" s="119">
        <f>INDEX('4 Balanse'!$C$8:$P$43,MATCH('1.2 APM'!$C195,'4 Balanse'!$C$8:$C$43,0),MATCH('1.2 APM'!E$10,'4 Balanse'!$C$8:$P$8,0))</f>
        <v>487.77151760000004</v>
      </c>
      <c r="F195" s="119">
        <f>INDEX('4 Balanse'!$C$8:$P$43,MATCH('1.2 APM'!$C195,'4 Balanse'!$C$8:$C$43,0),MATCH('1.2 APM'!F$10,'4 Balanse'!$C$8:$P$8,0))</f>
        <v>487.77151800000001</v>
      </c>
      <c r="G195" s="119">
        <f>INDEX('4 Balanse'!$C$8:$P$43,MATCH('1.2 APM'!$C195,'4 Balanse'!$C$8:$C$43,0),MATCH('1.2 APM'!G$10,'4 Balanse'!$C$8:$P$8,0))</f>
        <v>487.77151800000001</v>
      </c>
      <c r="H195" s="119">
        <f>INDEX('4 Balanse'!$C$8:$P$43,MATCH('1.2 APM'!$C195,'4 Balanse'!$C$8:$C$43,0),MATCH('1.2 APM'!H$10,'4 Balanse'!$C$8:$P$8,0))</f>
        <v>487.77151800000001</v>
      </c>
      <c r="I195" s="119">
        <f>INDEX('4 Balanse'!$C$8:$P$43,MATCH('1.2 APM'!$C195,'4 Balanse'!$C$8:$C$43,0),MATCH('1.2 APM'!I$10,'4 Balanse'!$C$8:$P$8,0))</f>
        <v>490.28099700000001</v>
      </c>
      <c r="J195" s="119">
        <f>INDEX('4 Balanse'!$C$8:$P$43,MATCH('1.2 APM'!$C195,'4 Balanse'!$C$8:$C$43,0),MATCH('1.2 APM'!J$10,'4 Balanse'!$C$8:$P$8,0))</f>
        <v>490.28099700000001</v>
      </c>
      <c r="K195" s="119">
        <f>INDEX('4 Balanse'!$C$8:$P$43,MATCH('1.2 APM'!$C195,'4 Balanse'!$C$8:$C$43,0),MATCH('1.2 APM'!K$10,'4 Balanse'!$C$8:$P$8,0))</f>
        <v>490.28099700000001</v>
      </c>
      <c r="L195" s="119">
        <f>INDEX('4 Balanse'!$C$8:$P$43,MATCH('1.2 APM'!$C195,'4 Balanse'!$C$8:$C$43,0),MATCH('1.2 APM'!L$10,'4 Balanse'!$C$8:$P$8,0))</f>
        <v>490.28099700000001</v>
      </c>
      <c r="M195" s="119">
        <f>INDEX('4 Balanse'!$C$8:$P$43,MATCH('1.2 APM'!$C195,'4 Balanse'!$C$8:$C$43,0),MATCH('1.2 APM'!M$10,'4 Balanse'!$C$8:$P$8,0))</f>
        <v>490.28099700000001</v>
      </c>
      <c r="N195" s="119">
        <f>INDEX('4 Balanse'!$C$8:$P$43,MATCH('1.2 APM'!$C195,'4 Balanse'!$C$8:$C$43,0),MATCH('1.2 APM'!N$10,'4 Balanse'!$C$8:$P$8,0))</f>
        <v>490.28099700000001</v>
      </c>
      <c r="O195" s="119">
        <f>INDEX('4 Balanse'!$C$8:$P$43,MATCH('1.2 APM'!$C195,'4 Balanse'!$C$8:$C$43,0),MATCH('1.2 APM'!O$10,'4 Balanse'!$C$8:$P$8,0))</f>
        <v>491.692275</v>
      </c>
      <c r="P195" s="119">
        <f>INDEX('4 Balanse'!$C$8:$P$43,MATCH('1.2 APM'!$C195,'4 Balanse'!$C$8:$C$43,0),MATCH('1.2 APM'!P$10,'4 Balanse'!$C$8:$P$8,0))</f>
        <v>490.28199700000005</v>
      </c>
    </row>
    <row r="196" spans="1:16" s="64" customFormat="1" x14ac:dyDescent="0.2">
      <c r="A196" s="123"/>
      <c r="C196" s="91" t="s">
        <v>98</v>
      </c>
      <c r="D196" s="119">
        <f>INDEX('4 Balanse'!$C$8:$P$43,MATCH('1.2 APM'!$C196,'4 Balanse'!$C$8:$C$43,0),MATCH('1.2 APM'!D$10,'4 Balanse'!$C$8:$P$8,0))</f>
        <v>2096.0118556799998</v>
      </c>
      <c r="E196" s="119">
        <f>INDEX('4 Balanse'!$C$8:$P$43,MATCH('1.2 APM'!$C196,'4 Balanse'!$C$8:$C$43,0),MATCH('1.2 APM'!E$10,'4 Balanse'!$C$8:$P$8,0))</f>
        <v>2096.0118556799998</v>
      </c>
      <c r="F196" s="119">
        <f>INDEX('4 Balanse'!$C$8:$P$43,MATCH('1.2 APM'!$C196,'4 Balanse'!$C$8:$C$43,0),MATCH('1.2 APM'!F$10,'4 Balanse'!$C$8:$P$8,0))</f>
        <v>2148.0814426400002</v>
      </c>
      <c r="G196" s="119">
        <f>INDEX('4 Balanse'!$C$8:$P$43,MATCH('1.2 APM'!$C196,'4 Balanse'!$C$8:$C$43,0),MATCH('1.2 APM'!G$10,'4 Balanse'!$C$8:$P$8,0))</f>
        <v>2148.0814426400002</v>
      </c>
      <c r="H196" s="119">
        <f>INDEX('4 Balanse'!$C$8:$P$43,MATCH('1.2 APM'!$C196,'4 Balanse'!$C$8:$C$43,0),MATCH('1.2 APM'!H$10,'4 Balanse'!$C$8:$P$8,0))</f>
        <v>2148.0814426400002</v>
      </c>
      <c r="I196" s="119">
        <f>INDEX('4 Balanse'!$C$8:$P$43,MATCH('1.2 APM'!$C196,'4 Balanse'!$C$8:$C$43,0),MATCH('1.2 APM'!I$10,'4 Balanse'!$C$8:$P$8,0))</f>
        <v>2148.0814426400002</v>
      </c>
      <c r="J196" s="119">
        <f>INDEX('4 Balanse'!$C$8:$P$43,MATCH('1.2 APM'!$C196,'4 Balanse'!$C$8:$C$43,0),MATCH('1.2 APM'!J$10,'4 Balanse'!$C$8:$P$8,0))</f>
        <v>2014.8400397399998</v>
      </c>
      <c r="K196" s="119">
        <f>INDEX('4 Balanse'!$C$8:$P$43,MATCH('1.2 APM'!$C196,'4 Balanse'!$C$8:$C$43,0),MATCH('1.2 APM'!K$10,'4 Balanse'!$C$8:$P$8,0))</f>
        <v>2014.8400397399998</v>
      </c>
      <c r="L196" s="119">
        <f>INDEX('4 Balanse'!$C$8:$P$43,MATCH('1.2 APM'!$C196,'4 Balanse'!$C$8:$C$43,0),MATCH('1.2 APM'!L$10,'4 Balanse'!$C$8:$P$8,0))</f>
        <v>2014.8400397399998</v>
      </c>
      <c r="M196" s="119">
        <f>INDEX('4 Balanse'!$C$8:$P$43,MATCH('1.2 APM'!$C196,'4 Balanse'!$C$8:$C$43,0),MATCH('1.2 APM'!M$10,'4 Balanse'!$C$8:$P$8,0))</f>
        <v>2014.84003874</v>
      </c>
      <c r="N196" s="119">
        <f>INDEX('4 Balanse'!$C$8:$P$43,MATCH('1.2 APM'!$C196,'4 Balanse'!$C$8:$C$43,0),MATCH('1.2 APM'!N$10,'4 Balanse'!$C$8:$P$8,0))</f>
        <v>1778.9858225799999</v>
      </c>
      <c r="O196" s="119">
        <f>INDEX('4 Balanse'!$C$8:$P$43,MATCH('1.2 APM'!$C196,'4 Balanse'!$C$8:$C$43,0),MATCH('1.2 APM'!O$10,'4 Balanse'!$C$8:$P$8,0))</f>
        <v>1579.8090159599999</v>
      </c>
      <c r="P196" s="119">
        <f>INDEX('4 Balanse'!$C$8:$P$43,MATCH('1.2 APM'!$C196,'4 Balanse'!$C$8:$C$43,0),MATCH('1.2 APM'!P$10,'4 Balanse'!$C$8:$P$8,0))</f>
        <v>1778.9858225799999</v>
      </c>
    </row>
    <row r="197" spans="1:16" s="64" customFormat="1" x14ac:dyDescent="0.2">
      <c r="A197" s="123"/>
      <c r="C197" s="120" t="s">
        <v>332</v>
      </c>
      <c r="D197" s="121">
        <f>SUM(D194:D196)</f>
        <v>4148.78437304</v>
      </c>
      <c r="E197" s="121">
        <f>SUM(E194:E196)</f>
        <v>4148.7223432000001</v>
      </c>
      <c r="F197" s="121">
        <f t="shared" ref="F197:P197" si="74">SUM(F194:F196)</f>
        <v>4200.7400986600005</v>
      </c>
      <c r="G197" s="121">
        <f t="shared" si="74"/>
        <v>4200.80675746</v>
      </c>
      <c r="H197" s="121">
        <f t="shared" si="74"/>
        <v>4200.80675746</v>
      </c>
      <c r="I197" s="121">
        <f t="shared" si="74"/>
        <v>4203.3150275600001</v>
      </c>
      <c r="J197" s="121">
        <f t="shared" si="74"/>
        <v>4070.0834540599999</v>
      </c>
      <c r="K197" s="121">
        <f t="shared" si="74"/>
        <v>4070.1322029000003</v>
      </c>
      <c r="L197" s="121">
        <f t="shared" si="74"/>
        <v>4070.1401828999997</v>
      </c>
      <c r="M197" s="121">
        <f t="shared" si="74"/>
        <v>4070.14036674</v>
      </c>
      <c r="N197" s="121">
        <f t="shared" si="74"/>
        <v>3834.2761449399995</v>
      </c>
      <c r="O197" s="121">
        <f t="shared" si="74"/>
        <v>3636.4215929599995</v>
      </c>
      <c r="P197" s="121">
        <f t="shared" si="74"/>
        <v>3834.5939195800001</v>
      </c>
    </row>
    <row r="198" spans="1:16" s="64" customFormat="1" x14ac:dyDescent="0.2">
      <c r="A198" s="123"/>
      <c r="C198" s="117"/>
      <c r="D198" s="117"/>
      <c r="E198" s="117"/>
      <c r="F198" s="117"/>
      <c r="G198" s="118"/>
      <c r="H198" s="118"/>
      <c r="I198" s="117"/>
      <c r="J198" s="117"/>
      <c r="K198" s="117"/>
      <c r="L198" s="117"/>
      <c r="M198" s="117"/>
      <c r="N198" s="117"/>
      <c r="O198" s="117"/>
      <c r="P198" s="117"/>
    </row>
    <row r="199" spans="1:16" s="64" customFormat="1" x14ac:dyDescent="0.2">
      <c r="A199" s="123"/>
      <c r="C199" s="117" t="s">
        <v>101</v>
      </c>
      <c r="D199" s="119">
        <f>INDEX('4 Balanse'!$C$8:$P$43,MATCH('1.2 APM'!$C199,'4 Balanse'!$C$8:$C$43,0),MATCH('1.2 APM'!D$10,'4 Balanse'!$C$8:$P$8,0))</f>
        <v>108.31844325999998</v>
      </c>
      <c r="E199" s="119">
        <f>INDEX('4 Balanse'!$C$8:$P$43,MATCH('1.2 APM'!$C199,'4 Balanse'!$C$8:$C$43,0),MATCH('1.2 APM'!E$10,'4 Balanse'!$C$8:$P$8,0))</f>
        <v>108.31844325999998</v>
      </c>
      <c r="F199" s="119">
        <f>INDEX('4 Balanse'!$C$8:$P$43,MATCH('1.2 APM'!$C199,'4 Balanse'!$C$8:$C$43,0),MATCH('1.2 APM'!F$10,'4 Balanse'!$C$8:$P$8,0))</f>
        <v>109.74096912</v>
      </c>
      <c r="G199" s="119">
        <f>INDEX('4 Balanse'!$C$8:$P$43,MATCH('1.2 APM'!$C199,'4 Balanse'!$C$8:$C$43,0),MATCH('1.2 APM'!G$10,'4 Balanse'!$C$8:$P$8,0))</f>
        <v>109.74096912</v>
      </c>
      <c r="H199" s="119">
        <f>INDEX('4 Balanse'!$C$8:$P$43,MATCH('1.2 APM'!$C199,'4 Balanse'!$C$8:$C$43,0),MATCH('1.2 APM'!H$10,'4 Balanse'!$C$8:$P$8,0))</f>
        <v>109.74096912</v>
      </c>
      <c r="I199" s="119">
        <f>INDEX('4 Balanse'!$C$8:$P$43,MATCH('1.2 APM'!$C199,'4 Balanse'!$C$8:$C$43,0),MATCH('1.2 APM'!I$10,'4 Balanse'!$C$8:$P$8,0))</f>
        <v>109.74096912</v>
      </c>
      <c r="J199" s="119">
        <f>INDEX('4 Balanse'!$C$8:$P$43,MATCH('1.2 APM'!$C199,'4 Balanse'!$C$8:$C$43,0),MATCH('1.2 APM'!J$10,'4 Balanse'!$C$8:$P$8,0))</f>
        <v>106.10057106999999</v>
      </c>
      <c r="K199" s="119">
        <f>INDEX('4 Balanse'!$C$8:$P$43,MATCH('1.2 APM'!$C199,'4 Balanse'!$C$8:$C$43,0),MATCH('1.2 APM'!K$10,'4 Balanse'!$C$8:$P$8,0))</f>
        <v>106.10057106999999</v>
      </c>
      <c r="L199" s="119">
        <f>INDEX('4 Balanse'!$C$8:$P$43,MATCH('1.2 APM'!$C199,'4 Balanse'!$C$8:$C$43,0),MATCH('1.2 APM'!L$10,'4 Balanse'!$C$8:$P$8,0))</f>
        <v>106.10057106999999</v>
      </c>
      <c r="M199" s="119">
        <f>INDEX('4 Balanse'!$C$8:$P$43,MATCH('1.2 APM'!$C199,'4 Balanse'!$C$8:$C$43,0),MATCH('1.2 APM'!M$10,'4 Balanse'!$C$8:$P$8,0))</f>
        <v>106.10057106999999</v>
      </c>
      <c r="N199" s="119">
        <f>INDEX('4 Balanse'!$C$8:$P$43,MATCH('1.2 APM'!$C199,'4 Balanse'!$C$8:$C$43,0),MATCH('1.2 APM'!N$10,'4 Balanse'!$C$8:$P$8,0))</f>
        <v>99.656765219999997</v>
      </c>
      <c r="O199" s="119">
        <f>INDEX('4 Balanse'!$C$8:$P$43,MATCH('1.2 APM'!$C199,'4 Balanse'!$C$8:$C$43,0),MATCH('1.2 APM'!O$10,'4 Balanse'!$C$8:$P$8,0))</f>
        <v>94.215148589999998</v>
      </c>
      <c r="P199" s="119">
        <f>INDEX('4 Balanse'!$C$8:$P$43,MATCH('1.2 APM'!$C199,'4 Balanse'!$C$8:$C$43,0),MATCH('1.2 APM'!P$10,'4 Balanse'!$C$8:$P$8,0))</f>
        <v>99.656765219999997</v>
      </c>
    </row>
    <row r="200" spans="1:16" s="64" customFormat="1" x14ac:dyDescent="0.2">
      <c r="A200" s="123"/>
      <c r="C200" s="162" t="s">
        <v>102</v>
      </c>
      <c r="D200" s="119">
        <f>INDEX('4 Balanse'!$C$8:$P$43,MATCH('1.2 APM'!$C200,'4 Balanse'!$C$8:$C$43,0),MATCH('1.2 APM'!D$10,'4 Balanse'!$C$8:$P$8,0))</f>
        <v>5.1382810000000001</v>
      </c>
      <c r="E200" s="119">
        <f>INDEX('4 Balanse'!$C$8:$P$43,MATCH('1.2 APM'!$C200,'4 Balanse'!$C$8:$C$43,0),MATCH('1.2 APM'!E$10,'4 Balanse'!$C$8:$P$8,0))</f>
        <v>5.1382810000000001</v>
      </c>
      <c r="F200" s="119">
        <f>INDEX('4 Balanse'!$C$8:$P$43,MATCH('1.2 APM'!$C200,'4 Balanse'!$C$8:$C$43,0),MATCH('1.2 APM'!F$10,'4 Balanse'!$C$8:$P$8,0))</f>
        <v>5.1382810000000001</v>
      </c>
      <c r="G200" s="119">
        <f>INDEX('4 Balanse'!$C$8:$P$43,MATCH('1.2 APM'!$C200,'4 Balanse'!$C$8:$C$43,0),MATCH('1.2 APM'!G$10,'4 Balanse'!$C$8:$P$8,0))</f>
        <v>5.1382810000000001</v>
      </c>
      <c r="H200" s="119">
        <f>INDEX('4 Balanse'!$C$8:$P$43,MATCH('1.2 APM'!$C200,'4 Balanse'!$C$8:$C$43,0),MATCH('1.2 APM'!H$10,'4 Balanse'!$C$8:$P$8,0))</f>
        <v>5.1382810000000001</v>
      </c>
      <c r="I200" s="119">
        <f>INDEX('4 Balanse'!$C$8:$P$43,MATCH('1.2 APM'!$C200,'4 Balanse'!$C$8:$C$43,0),MATCH('1.2 APM'!I$10,'4 Balanse'!$C$8:$P$8,0))</f>
        <v>5.1382810000000001</v>
      </c>
      <c r="J200" s="119">
        <f>INDEX('4 Balanse'!$C$8:$P$43,MATCH('1.2 APM'!$C200,'4 Balanse'!$C$8:$C$43,0),MATCH('1.2 APM'!J$10,'4 Balanse'!$C$8:$P$8,0))</f>
        <v>5.1382810000000001</v>
      </c>
      <c r="K200" s="119">
        <f>INDEX('4 Balanse'!$C$8:$P$43,MATCH('1.2 APM'!$C200,'4 Balanse'!$C$8:$C$43,0),MATCH('1.2 APM'!K$10,'4 Balanse'!$C$8:$P$8,0))</f>
        <v>5.1382810000000001</v>
      </c>
      <c r="L200" s="119">
        <f>INDEX('4 Balanse'!$C$8:$P$43,MATCH('1.2 APM'!$C200,'4 Balanse'!$C$8:$C$43,0),MATCH('1.2 APM'!L$10,'4 Balanse'!$C$8:$P$8,0))</f>
        <v>5.1382810000000001</v>
      </c>
      <c r="M200" s="119">
        <f>INDEX('4 Balanse'!$C$8:$P$43,MATCH('1.2 APM'!$C200,'4 Balanse'!$C$8:$C$43,0),MATCH('1.2 APM'!M$10,'4 Balanse'!$C$8:$P$8,0))</f>
        <v>5.1382810000000001</v>
      </c>
      <c r="N200" s="119">
        <f>INDEX('4 Balanse'!$C$8:$P$43,MATCH('1.2 APM'!$C200,'4 Balanse'!$C$8:$C$43,0),MATCH('1.2 APM'!N$10,'4 Balanse'!$C$8:$P$8,0))</f>
        <v>5.1382810000000001</v>
      </c>
      <c r="O200" s="119">
        <f>INDEX('4 Balanse'!$C$8:$P$43,MATCH('1.2 APM'!$C200,'4 Balanse'!$C$8:$C$43,0),MATCH('1.2 APM'!O$10,'4 Balanse'!$C$8:$P$8,0))</f>
        <v>5.1382810000000001</v>
      </c>
      <c r="P200" s="119">
        <f>INDEX('4 Balanse'!$C$8:$P$43,MATCH('1.2 APM'!$C200,'4 Balanse'!$C$8:$C$43,0),MATCH('1.2 APM'!P$10,'4 Balanse'!$C$8:$P$8,0))</f>
        <v>5.1382810000000001</v>
      </c>
    </row>
    <row r="201" spans="1:16" s="64" customFormat="1" x14ac:dyDescent="0.2">
      <c r="A201" s="123"/>
      <c r="C201" s="120" t="s">
        <v>333</v>
      </c>
      <c r="D201" s="121">
        <f>+D199+D200</f>
        <v>113.45672425999999</v>
      </c>
      <c r="E201" s="121">
        <f>+E199+E200</f>
        <v>113.45672425999999</v>
      </c>
      <c r="F201" s="121">
        <f t="shared" ref="F201:P201" si="75">+F199+F200</f>
        <v>114.87925012000001</v>
      </c>
      <c r="G201" s="121">
        <f t="shared" si="75"/>
        <v>114.87925012000001</v>
      </c>
      <c r="H201" s="121">
        <f t="shared" si="75"/>
        <v>114.87925012000001</v>
      </c>
      <c r="I201" s="121">
        <f t="shared" si="75"/>
        <v>114.87925012000001</v>
      </c>
      <c r="J201" s="121">
        <f t="shared" si="75"/>
        <v>111.23885206999999</v>
      </c>
      <c r="K201" s="121">
        <f t="shared" si="75"/>
        <v>111.23885206999999</v>
      </c>
      <c r="L201" s="121">
        <f t="shared" si="75"/>
        <v>111.23885206999999</v>
      </c>
      <c r="M201" s="121">
        <f t="shared" si="75"/>
        <v>111.23885206999999</v>
      </c>
      <c r="N201" s="121">
        <f t="shared" si="75"/>
        <v>104.79504622</v>
      </c>
      <c r="O201" s="121">
        <f t="shared" si="75"/>
        <v>99.353429590000005</v>
      </c>
      <c r="P201" s="121">
        <f t="shared" si="75"/>
        <v>104.79504622</v>
      </c>
    </row>
    <row r="202" spans="1:16" s="64" customFormat="1" x14ac:dyDescent="0.2">
      <c r="A202" s="123"/>
      <c r="C202" s="117"/>
      <c r="D202" s="117"/>
      <c r="E202" s="117"/>
      <c r="F202" s="117"/>
      <c r="G202" s="118"/>
      <c r="H202" s="118"/>
      <c r="I202" s="117"/>
      <c r="J202" s="117"/>
      <c r="K202" s="117"/>
      <c r="L202" s="117"/>
      <c r="M202" s="117"/>
      <c r="N202" s="117"/>
      <c r="O202" s="117"/>
      <c r="P202" s="117"/>
    </row>
    <row r="203" spans="1:16" s="64" customFormat="1" x14ac:dyDescent="0.2">
      <c r="A203" s="123"/>
      <c r="C203" s="120" t="s">
        <v>334</v>
      </c>
      <c r="D203" s="121">
        <f>D197+D201</f>
        <v>4262.2410972999996</v>
      </c>
      <c r="E203" s="121">
        <f>E197+E201</f>
        <v>4262.1790674599997</v>
      </c>
      <c r="F203" s="121">
        <f t="shared" ref="F203:P203" si="76">F197+F201</f>
        <v>4315.6193487800001</v>
      </c>
      <c r="G203" s="121">
        <f t="shared" si="76"/>
        <v>4315.6860075799996</v>
      </c>
      <c r="H203" s="121">
        <f t="shared" si="76"/>
        <v>4315.6860075799996</v>
      </c>
      <c r="I203" s="121">
        <f t="shared" si="76"/>
        <v>4318.1942776799997</v>
      </c>
      <c r="J203" s="121">
        <f t="shared" si="76"/>
        <v>4181.3223061299996</v>
      </c>
      <c r="K203" s="121">
        <f t="shared" si="76"/>
        <v>4181.3710549699999</v>
      </c>
      <c r="L203" s="121">
        <f t="shared" si="76"/>
        <v>4181.3790349699993</v>
      </c>
      <c r="M203" s="121">
        <f t="shared" si="76"/>
        <v>4181.3792188099997</v>
      </c>
      <c r="N203" s="121">
        <f t="shared" si="76"/>
        <v>3939.0711911599997</v>
      </c>
      <c r="O203" s="121">
        <f t="shared" si="76"/>
        <v>3735.7750225499994</v>
      </c>
      <c r="P203" s="121">
        <f t="shared" si="76"/>
        <v>3939.3889658000003</v>
      </c>
    </row>
    <row r="204" spans="1:16" s="64" customFormat="1" x14ac:dyDescent="0.2">
      <c r="A204" s="123"/>
      <c r="C204" s="117"/>
      <c r="D204" s="117"/>
      <c r="E204" s="117"/>
      <c r="F204" s="117"/>
      <c r="G204" s="118"/>
      <c r="H204" s="118"/>
      <c r="I204" s="117"/>
      <c r="J204" s="117"/>
      <c r="K204" s="117"/>
      <c r="L204" s="117"/>
      <c r="M204" s="117"/>
      <c r="N204" s="117"/>
      <c r="O204" s="117"/>
      <c r="P204" s="117"/>
    </row>
    <row r="205" spans="1:16" s="64" customFormat="1" x14ac:dyDescent="0.2">
      <c r="A205" s="123"/>
      <c r="C205" s="122" t="s">
        <v>66</v>
      </c>
      <c r="D205" s="163">
        <f>D197/D203</f>
        <v>0.97338096985365963</v>
      </c>
      <c r="E205" s="163">
        <f>E197/E203</f>
        <v>0.97338058245224945</v>
      </c>
      <c r="F205" s="163">
        <f t="shared" ref="F205:P205" si="77">F197/F203</f>
        <v>0.97338058785178183</v>
      </c>
      <c r="G205" s="163">
        <f t="shared" si="77"/>
        <v>0.97338099900728936</v>
      </c>
      <c r="H205" s="163">
        <f t="shared" si="77"/>
        <v>0.97338099900728936</v>
      </c>
      <c r="I205" s="163">
        <f t="shared" si="77"/>
        <v>0.97339646094345722</v>
      </c>
      <c r="J205" s="163">
        <f t="shared" si="77"/>
        <v>0.97339625029457344</v>
      </c>
      <c r="K205" s="163">
        <f t="shared" si="77"/>
        <v>0.97339656045646072</v>
      </c>
      <c r="L205" s="163">
        <f t="shared" si="77"/>
        <v>0.97339661122809507</v>
      </c>
      <c r="M205" s="163">
        <f t="shared" si="77"/>
        <v>0.97339661239774911</v>
      </c>
      <c r="N205" s="163">
        <f t="shared" si="77"/>
        <v>0.97339600095190471</v>
      </c>
      <c r="O205" s="163">
        <f t="shared" si="77"/>
        <v>0.97340486806879978</v>
      </c>
      <c r="P205" s="163">
        <f t="shared" si="77"/>
        <v>0.9733981469893469</v>
      </c>
    </row>
    <row r="206" spans="1:16" s="64" customFormat="1" x14ac:dyDescent="0.2">
      <c r="A206" s="123"/>
      <c r="C206" s="117"/>
      <c r="D206" s="117"/>
      <c r="E206" s="117"/>
      <c r="F206" s="117"/>
      <c r="G206" s="118"/>
      <c r="H206" s="118"/>
      <c r="I206" s="117"/>
      <c r="J206" s="117"/>
      <c r="K206" s="117"/>
      <c r="L206" s="117"/>
      <c r="M206" s="117"/>
      <c r="N206" s="117"/>
      <c r="O206" s="117"/>
      <c r="P206" s="117"/>
    </row>
    <row r="207" spans="1:16" x14ac:dyDescent="0.2">
      <c r="A207" s="71"/>
      <c r="C207" s="66"/>
      <c r="D207" s="66"/>
      <c r="E207" s="66"/>
      <c r="F207" s="66"/>
      <c r="G207" s="104"/>
      <c r="H207" s="104"/>
      <c r="I207" s="66"/>
      <c r="J207" s="66"/>
      <c r="K207" s="66"/>
      <c r="L207" s="66"/>
      <c r="M207" s="66"/>
      <c r="N207" s="66"/>
      <c r="O207" s="66"/>
      <c r="P207" s="66"/>
    </row>
    <row r="208" spans="1:16" x14ac:dyDescent="0.2">
      <c r="A208" s="71"/>
      <c r="C208" s="142"/>
      <c r="D208" s="142"/>
      <c r="E208" s="142"/>
      <c r="F208" s="142"/>
      <c r="G208" s="157"/>
      <c r="H208" s="157"/>
      <c r="I208" s="142"/>
      <c r="J208" s="142"/>
      <c r="K208" s="142"/>
      <c r="L208" s="142"/>
      <c r="M208" s="142"/>
      <c r="N208" s="142"/>
      <c r="O208" s="142"/>
      <c r="P208" s="142"/>
    </row>
    <row r="209" spans="1:16" x14ac:dyDescent="0.2">
      <c r="A209" s="71"/>
      <c r="C209" s="142"/>
      <c r="D209" s="142"/>
      <c r="E209" s="142"/>
      <c r="F209" s="142"/>
      <c r="G209" s="157"/>
      <c r="H209" s="157"/>
      <c r="I209" s="142"/>
      <c r="J209" s="142"/>
      <c r="K209" s="142"/>
      <c r="L209" s="142"/>
      <c r="M209" s="142"/>
      <c r="N209" s="142"/>
      <c r="O209" s="142"/>
      <c r="P209" s="142"/>
    </row>
    <row r="210" spans="1:16" s="64" customFormat="1" x14ac:dyDescent="0.2">
      <c r="A210" s="123"/>
      <c r="C210" s="123" t="s">
        <v>106</v>
      </c>
      <c r="D210" s="124">
        <f>INDEX('4 Balanse'!$C$8:$P$43,MATCH('1.2 APM'!$C$210,'4 Balanse'!$C$8:$C$43,0),MATCH('1.2 APM'!D$10,'4 Balanse'!$C$8:$P$8,0))</f>
        <v>4995.9892623274482</v>
      </c>
      <c r="E210" s="124">
        <f>INDEX('4 Balanse'!$C$8:$P$43,MATCH('1.2 APM'!$C$210,'4 Balanse'!$C$8:$C$43,0),MATCH('1.2 APM'!E$10,'4 Balanse'!$C$8:$P$8,0))</f>
        <v>5533.642120761051</v>
      </c>
      <c r="F210" s="124">
        <f>INDEX('4 Balanse'!$C$8:$P$43,MATCH('1.2 APM'!$C$210,'4 Balanse'!$C$8:$C$43,0),MATCH('1.2 APM'!F$10,'4 Balanse'!$C$8:$P$8,0))</f>
        <v>5358.6352423022399</v>
      </c>
      <c r="G210" s="124">
        <f>INDEX('4 Balanse'!$C$8:$P$43,MATCH('1.2 APM'!$C$210,'4 Balanse'!$C$8:$C$43,0),MATCH('1.2 APM'!G$10,'4 Balanse'!$C$8:$P$8,0))</f>
        <v>5194.4118502366027</v>
      </c>
      <c r="H210" s="124">
        <f>INDEX('4 Balanse'!$C$8:$P$43,MATCH('1.2 APM'!$C$210,'4 Balanse'!$C$8:$C$43,0),MATCH('1.2 APM'!H$10,'4 Balanse'!$C$8:$P$8,0))</f>
        <v>4947.8592700823801</v>
      </c>
      <c r="I210" s="124">
        <f>INDEX('4 Balanse'!$C$8:$P$43,MATCH('1.2 APM'!$C$210,'4 Balanse'!$C$8:$C$43,0),MATCH('1.2 APM'!I$10,'4 Balanse'!$C$8:$P$8,0))</f>
        <v>5281.2030221542509</v>
      </c>
      <c r="J210" s="124">
        <f>INDEX('4 Balanse'!$C$8:$P$43,MATCH('1.2 APM'!$C$210,'4 Balanse'!$C$8:$C$43,0),MATCH('1.2 APM'!J$10,'4 Balanse'!$C$8:$P$8,0))</f>
        <v>4965.8482909061549</v>
      </c>
      <c r="K210" s="124">
        <f>INDEX('4 Balanse'!$C$8:$P$43,MATCH('1.2 APM'!$C$210,'4 Balanse'!$C$8:$C$43,0),MATCH('1.2 APM'!K$10,'4 Balanse'!$C$8:$P$8,0))</f>
        <v>4717.1245347057202</v>
      </c>
      <c r="L210" s="124">
        <f>INDEX('4 Balanse'!$C$8:$P$43,MATCH('1.2 APM'!$C$210,'4 Balanse'!$C$8:$C$43,0),MATCH('1.2 APM'!L$10,'4 Balanse'!$C$8:$P$8,0))</f>
        <v>4573.7391090231549</v>
      </c>
      <c r="M210" s="124">
        <f>INDEX('4 Balanse'!$C$8:$P$43,MATCH('1.2 APM'!$C$210,'4 Balanse'!$C$8:$C$43,0),MATCH('1.2 APM'!M$10,'4 Balanse'!$C$8:$P$8,0))</f>
        <v>4753.7578282901541</v>
      </c>
      <c r="N210" s="124">
        <f>INDEX('4 Balanse'!$C$8:$P$43,MATCH('1.2 APM'!$C$210,'4 Balanse'!$C$8:$C$43,0),MATCH('1.2 APM'!N$10,'4 Balanse'!$C$8:$P$8,0))</f>
        <v>4448.2705871300795</v>
      </c>
      <c r="O210" s="124">
        <f>INDEX('4 Balanse'!$C$8:$P$43,MATCH('1.2 APM'!$C$210,'4 Balanse'!$C$8:$C$43,0),MATCH('1.2 APM'!O$10,'4 Balanse'!$C$8:$P$8,0))</f>
        <v>4311.8027876147971</v>
      </c>
      <c r="P210" s="124">
        <f>INDEX('4 Balanse'!$C$8:$P$43,MATCH('1.2 APM'!$C$210,'4 Balanse'!$C$8:$C$43,0),MATCH('1.2 APM'!P$10,'4 Balanse'!$C$8:$P$8,0))</f>
        <v>4210.6610252546607</v>
      </c>
    </row>
    <row r="211" spans="1:16" s="64" customFormat="1" x14ac:dyDescent="0.2">
      <c r="A211" s="123"/>
      <c r="C211" s="168" t="s">
        <v>345</v>
      </c>
      <c r="D211" s="124">
        <f>INDEX('4 Balanse'!$C$8:$P$43,MATCH("Hybridkapital",'4 Balanse'!$C$8:$C$43,0),MATCH('1.2 APM'!D$10,'4 Balanse'!$C$8:$P$8,0))</f>
        <v>343.39077777999995</v>
      </c>
      <c r="E211" s="124">
        <f>INDEX('4 Balanse'!$C$8:$P$43,MATCH("Hybridkapital",'4 Balanse'!$C$8:$C$43,0),MATCH('1.2 APM'!E$10,'4 Balanse'!$C$8:$P$8,0))</f>
        <v>350</v>
      </c>
      <c r="F211" s="124">
        <f>INDEX('4 Balanse'!$C$8:$P$43,MATCH("Hybridkapital",'4 Balanse'!$C$8:$C$43,0),MATCH('1.2 APM'!F$10,'4 Balanse'!$C$8:$P$8,0))</f>
        <v>329.22818067000003</v>
      </c>
      <c r="G211" s="124">
        <f>INDEX('4 Balanse'!$C$8:$P$43,MATCH("Hybridkapital",'4 Balanse'!$C$8:$C$43,0),MATCH('1.2 APM'!G$10,'4 Balanse'!$C$8:$P$8,0))</f>
        <v>336.29813900000005</v>
      </c>
      <c r="H211" s="124">
        <f>INDEX('4 Balanse'!$C$8:$P$43,MATCH("Hybridkapital",'4 Balanse'!$C$8:$C$43,0),MATCH('1.2 APM'!H$10,'4 Balanse'!$C$8:$P$8,0))</f>
        <v>342.97038900000001</v>
      </c>
      <c r="I211" s="124">
        <f>INDEX('4 Balanse'!$C$8:$P$43,MATCH("Hybridkapital",'4 Balanse'!$C$8:$C$43,0),MATCH('1.2 APM'!I$10,'4 Balanse'!$C$8:$P$8,0))</f>
        <v>350.00000011000003</v>
      </c>
      <c r="J211" s="124">
        <f>INDEX('4 Balanse'!$C$8:$P$43,MATCH("Hybridkapital",'4 Balanse'!$C$8:$C$43,0),MATCH('1.2 APM'!J$10,'4 Balanse'!$C$8:$P$8,0))</f>
        <v>187.477</v>
      </c>
      <c r="K211" s="124">
        <f>INDEX('4 Balanse'!$C$8:$P$43,MATCH("Hybridkapital",'4 Balanse'!$C$8:$C$43,0),MATCH('1.2 APM'!K$10,'4 Balanse'!$C$8:$P$8,0))</f>
        <v>191.66811111000004</v>
      </c>
      <c r="L211" s="124">
        <f>INDEX('4 Balanse'!$C$8:$P$43,MATCH("Hybridkapital",'4 Balanse'!$C$8:$C$43,0),MATCH('1.2 APM'!L$10,'4 Balanse'!$C$8:$P$8,0))</f>
        <v>195.77311111000003</v>
      </c>
      <c r="M211" s="124">
        <f>INDEX('4 Balanse'!$C$8:$P$43,MATCH("Hybridkapital",'4 Balanse'!$C$8:$C$43,0),MATCH('1.2 APM'!M$10,'4 Balanse'!$C$8:$P$8,0))</f>
        <v>200</v>
      </c>
      <c r="N211" s="124">
        <f>INDEX('4 Balanse'!$C$8:$P$43,MATCH("Hybridkapital",'4 Balanse'!$C$8:$C$43,0),MATCH('1.2 APM'!N$10,'4 Balanse'!$C$8:$P$8,0))</f>
        <v>0</v>
      </c>
      <c r="O211" s="124">
        <f>INDEX('4 Balanse'!$C$8:$P$43,MATCH("Hybridkapital",'4 Balanse'!$C$8:$C$43,0),MATCH('1.2 APM'!O$10,'4 Balanse'!$C$8:$P$8,0))</f>
        <v>0</v>
      </c>
      <c r="P211" s="124">
        <f>INDEX('4 Balanse'!$C$8:$P$43,MATCH("Hybridkapital",'4 Balanse'!$C$8:$C$43,0),MATCH('1.2 APM'!P$10,'4 Balanse'!$C$8:$P$8,0))</f>
        <v>0</v>
      </c>
    </row>
    <row r="212" spans="1:16" s="64" customFormat="1" x14ac:dyDescent="0.2">
      <c r="A212" s="123"/>
      <c r="C212" s="165" t="s">
        <v>346</v>
      </c>
      <c r="D212" s="166">
        <f>D210-D211</f>
        <v>4652.5984845474486</v>
      </c>
      <c r="E212" s="166">
        <f>E210-E211</f>
        <v>5183.642120761051</v>
      </c>
      <c r="F212" s="166">
        <f t="shared" ref="F212:P212" si="78">F210-F211</f>
        <v>5029.4070616322397</v>
      </c>
      <c r="G212" s="166">
        <f t="shared" si="78"/>
        <v>4858.1137112366023</v>
      </c>
      <c r="H212" s="166">
        <f t="shared" si="78"/>
        <v>4604.8888810823801</v>
      </c>
      <c r="I212" s="166">
        <f t="shared" si="78"/>
        <v>4931.2030220442512</v>
      </c>
      <c r="J212" s="166">
        <f t="shared" si="78"/>
        <v>4778.3712909061551</v>
      </c>
      <c r="K212" s="166">
        <f t="shared" si="78"/>
        <v>4525.4564235957205</v>
      </c>
      <c r="L212" s="166">
        <f t="shared" si="78"/>
        <v>4377.9659979131548</v>
      </c>
      <c r="M212" s="166">
        <f t="shared" si="78"/>
        <v>4553.7578282901541</v>
      </c>
      <c r="N212" s="166">
        <f t="shared" si="78"/>
        <v>4448.2705871300795</v>
      </c>
      <c r="O212" s="166">
        <f t="shared" si="78"/>
        <v>4311.8027876147971</v>
      </c>
      <c r="P212" s="166">
        <f t="shared" si="78"/>
        <v>4210.6610252546607</v>
      </c>
    </row>
    <row r="213" spans="1:16" s="64" customFormat="1" x14ac:dyDescent="0.2">
      <c r="A213" s="123"/>
      <c r="C213" s="123" t="s">
        <v>66</v>
      </c>
      <c r="D213" s="169">
        <f>+D205</f>
        <v>0.97338096985365963</v>
      </c>
      <c r="E213" s="169">
        <f>+E205</f>
        <v>0.97338058245224945</v>
      </c>
      <c r="F213" s="169">
        <f t="shared" ref="F213:P213" si="79">+F205</f>
        <v>0.97338058785178183</v>
      </c>
      <c r="G213" s="169">
        <f t="shared" si="79"/>
        <v>0.97338099900728936</v>
      </c>
      <c r="H213" s="169">
        <f t="shared" si="79"/>
        <v>0.97338099900728936</v>
      </c>
      <c r="I213" s="169">
        <f t="shared" si="79"/>
        <v>0.97339646094345722</v>
      </c>
      <c r="J213" s="169">
        <f t="shared" si="79"/>
        <v>0.97339625029457344</v>
      </c>
      <c r="K213" s="169">
        <f t="shared" si="79"/>
        <v>0.97339656045646072</v>
      </c>
      <c r="L213" s="169">
        <f t="shared" si="79"/>
        <v>0.97339661122809507</v>
      </c>
      <c r="M213" s="169">
        <f t="shared" si="79"/>
        <v>0.97339661239774911</v>
      </c>
      <c r="N213" s="169">
        <f t="shared" si="79"/>
        <v>0.97339600095190471</v>
      </c>
      <c r="O213" s="169">
        <f t="shared" si="79"/>
        <v>0.97340486806879978</v>
      </c>
      <c r="P213" s="169">
        <f t="shared" si="79"/>
        <v>0.9733981469893469</v>
      </c>
    </row>
    <row r="214" spans="1:16" s="64" customFormat="1" x14ac:dyDescent="0.2">
      <c r="A214" s="123"/>
      <c r="C214" s="165" t="s">
        <v>347</v>
      </c>
      <c r="D214" s="167">
        <f>+D212*D213</f>
        <v>4528.7508252284624</v>
      </c>
      <c r="E214" s="167">
        <f>+E212*E213</f>
        <v>5045.6565867304053</v>
      </c>
      <c r="F214" s="167">
        <f t="shared" ref="F214:P214" si="80">+F212*F213</f>
        <v>4895.5272021974924</v>
      </c>
      <c r="G214" s="167">
        <f t="shared" si="80"/>
        <v>4728.7955775344944</v>
      </c>
      <c r="H214" s="167">
        <f t="shared" si="80"/>
        <v>4482.3113393855256</v>
      </c>
      <c r="I214" s="167">
        <f t="shared" si="80"/>
        <v>4800.0155698515555</v>
      </c>
      <c r="J214" s="167">
        <f t="shared" si="80"/>
        <v>4651.2486970832915</v>
      </c>
      <c r="K214" s="167">
        <f t="shared" si="80"/>
        <v>4405.0637172236702</v>
      </c>
      <c r="L214" s="167">
        <f t="shared" si="80"/>
        <v>4261.4972664404904</v>
      </c>
      <c r="M214" s="167">
        <f t="shared" si="80"/>
        <v>4432.6124437373664</v>
      </c>
      <c r="N214" s="167">
        <f t="shared" si="80"/>
        <v>4329.928800664401</v>
      </c>
      <c r="O214" s="167">
        <f t="shared" si="80"/>
        <v>4197.129823616865</v>
      </c>
      <c r="P214" s="167">
        <f t="shared" si="80"/>
        <v>4098.64963958315</v>
      </c>
    </row>
    <row r="215" spans="1:16" s="64" customFormat="1" x14ac:dyDescent="0.2">
      <c r="A215" s="123"/>
      <c r="C215" s="123" t="s">
        <v>338</v>
      </c>
      <c r="D215" s="124">
        <v>15650405</v>
      </c>
      <c r="E215" s="124">
        <v>15650405</v>
      </c>
      <c r="F215" s="124">
        <v>15650406</v>
      </c>
      <c r="G215" s="124">
        <v>15650407</v>
      </c>
      <c r="H215" s="124">
        <v>15650408</v>
      </c>
      <c r="I215" s="124">
        <v>15650409</v>
      </c>
      <c r="J215" s="124">
        <v>15650410</v>
      </c>
      <c r="K215" s="124">
        <v>15650411</v>
      </c>
      <c r="L215" s="124">
        <v>15650412</v>
      </c>
      <c r="M215" s="124">
        <v>15650413</v>
      </c>
      <c r="N215" s="124">
        <v>15650414</v>
      </c>
      <c r="O215" s="124">
        <v>15650415</v>
      </c>
      <c r="P215" s="124">
        <v>15650416</v>
      </c>
    </row>
    <row r="216" spans="1:16" s="64" customFormat="1" x14ac:dyDescent="0.2">
      <c r="A216" s="123"/>
      <c r="C216" s="126" t="s">
        <v>69</v>
      </c>
      <c r="D216" s="170">
        <f>(D214/D215)*1000^2</f>
        <v>289.36956105790637</v>
      </c>
      <c r="E216" s="170">
        <f>(E214/E215)*1000^2</f>
        <v>322.39782847347431</v>
      </c>
      <c r="F216" s="170">
        <f t="shared" ref="F216:P216" si="81">(F214/F215)*1000^2</f>
        <v>312.80512481257625</v>
      </c>
      <c r="G216" s="170">
        <f t="shared" si="81"/>
        <v>302.15160395090652</v>
      </c>
      <c r="H216" s="170">
        <f t="shared" si="81"/>
        <v>286.40220366047487</v>
      </c>
      <c r="I216" s="170">
        <f t="shared" si="81"/>
        <v>306.702244641118</v>
      </c>
      <c r="J216" s="170">
        <f t="shared" si="81"/>
        <v>297.19660360867806</v>
      </c>
      <c r="K216" s="170">
        <f t="shared" si="81"/>
        <v>281.46632808708154</v>
      </c>
      <c r="L216" s="170">
        <f t="shared" si="81"/>
        <v>272.29297646863802</v>
      </c>
      <c r="M216" s="170">
        <f t="shared" si="81"/>
        <v>283.22654767879715</v>
      </c>
      <c r="N216" s="170">
        <f t="shared" si="81"/>
        <v>276.66544799801471</v>
      </c>
      <c r="O216" s="170">
        <f t="shared" si="81"/>
        <v>268.1800976917778</v>
      </c>
      <c r="P216" s="170">
        <f t="shared" si="81"/>
        <v>261.88758430339169</v>
      </c>
    </row>
    <row r="217" spans="1:16" x14ac:dyDescent="0.2">
      <c r="A217" s="71"/>
      <c r="C217" s="142"/>
      <c r="D217" s="142"/>
      <c r="E217" s="142"/>
      <c r="F217" s="142"/>
      <c r="G217" s="157"/>
      <c r="H217" s="157"/>
      <c r="I217" s="142"/>
      <c r="J217" s="142"/>
      <c r="K217" s="142"/>
      <c r="L217" s="142"/>
      <c r="M217" s="142"/>
      <c r="N217" s="142"/>
      <c r="O217" s="142"/>
      <c r="P217" s="142"/>
    </row>
    <row r="218" spans="1:16" x14ac:dyDescent="0.2">
      <c r="A218" s="71"/>
      <c r="C218" s="142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</row>
    <row r="219" spans="1:16" x14ac:dyDescent="0.2">
      <c r="A219" s="71"/>
      <c r="C219" s="66"/>
      <c r="D219" s="66"/>
      <c r="E219" s="66"/>
      <c r="F219" s="66"/>
      <c r="G219" s="104"/>
      <c r="H219" s="104"/>
      <c r="I219" s="66"/>
      <c r="J219" s="66"/>
      <c r="K219" s="66"/>
      <c r="L219" s="66"/>
      <c r="M219" s="66"/>
      <c r="N219" s="66"/>
      <c r="O219" s="66"/>
      <c r="P219" s="66"/>
    </row>
    <row r="220" spans="1:16" x14ac:dyDescent="0.2">
      <c r="A220" s="71"/>
      <c r="C220" s="66"/>
      <c r="D220" s="66"/>
      <c r="E220" s="66"/>
      <c r="F220" s="66"/>
      <c r="G220" s="104"/>
      <c r="H220" s="104"/>
      <c r="I220" s="66"/>
      <c r="J220" s="66"/>
      <c r="K220" s="66"/>
      <c r="L220" s="66"/>
      <c r="M220" s="66"/>
      <c r="N220" s="66"/>
      <c r="O220" s="66"/>
      <c r="P220" s="66"/>
    </row>
    <row r="221" spans="1:16" x14ac:dyDescent="0.2">
      <c r="C221" s="66" t="s">
        <v>15</v>
      </c>
      <c r="D221" s="105">
        <f>INDEX('2 Resultatregnskap'!$C$9:$P$32,MATCH('1.2 APM'!$C$221,'2 Resultatregnskap'!$C$9:$C$32,0),MATCH('1.2 APM'!D$10,'2 Resultatregnskap'!$C$9:$P$9,0))</f>
        <v>164.89901425580018</v>
      </c>
      <c r="E221" s="105">
        <f>INDEX('2 Resultatregnskap'!$C$9:$P$32,MATCH('1.2 APM'!$C$221,'2 Resultatregnskap'!$C$9:$C$32,0),MATCH('1.2 APM'!E$10,'2 Resultatregnskap'!$C$9:$P$9,0))</f>
        <v>183.70665297000033</v>
      </c>
      <c r="F221" s="105">
        <f>INDEX('2 Resultatregnskap'!$C$9:$P$32,MATCH('1.2 APM'!$C$221,'2 Resultatregnskap'!$C$9:$C$32,0),MATCH('1.2 APM'!F$10,'2 Resultatregnskap'!$C$9:$P$9,0))</f>
        <v>160.56176638000059</v>
      </c>
      <c r="G221" s="105">
        <f>INDEX('2 Resultatregnskap'!$C$9:$P$32,MATCH('1.2 APM'!$C$221,'2 Resultatregnskap'!$C$9:$C$32,0),MATCH('1.2 APM'!G$10,'2 Resultatregnskap'!$C$9:$P$9,0))</f>
        <v>243.71063941004317</v>
      </c>
      <c r="H221" s="105">
        <f>INDEX('2 Resultatregnskap'!$C$9:$P$32,MATCH('1.2 APM'!$C$221,'2 Resultatregnskap'!$C$9:$C$32,0),MATCH('1.2 APM'!H$10,'2 Resultatregnskap'!$C$9:$P$9,0))</f>
        <v>147.51770610139798</v>
      </c>
      <c r="I221" s="105">
        <f>INDEX('2 Resultatregnskap'!$C$9:$P$32,MATCH('1.2 APM'!$C$221,'2 Resultatregnskap'!$C$9:$C$32,0),MATCH('1.2 APM'!I$10,'2 Resultatregnskap'!$C$9:$P$9,0))</f>
        <v>168.73502997000003</v>
      </c>
      <c r="J221" s="105">
        <f>INDEX('2 Resultatregnskap'!$C$9:$P$32,MATCH('1.2 APM'!$C$221,'2 Resultatregnskap'!$C$9:$C$32,0),MATCH('1.2 APM'!J$10,'2 Resultatregnskap'!$C$9:$P$9,0))</f>
        <v>248.74061852687953</v>
      </c>
      <c r="K221" s="105">
        <f>INDEX('2 Resultatregnskap'!$C$9:$P$32,MATCH('1.2 APM'!$C$221,'2 Resultatregnskap'!$C$9:$C$32,0),MATCH('1.2 APM'!K$10,'2 Resultatregnskap'!$C$9:$P$9,0))</f>
        <v>141.32448284700024</v>
      </c>
      <c r="L221" s="105">
        <f>INDEX('2 Resultatregnskap'!$C$9:$P$32,MATCH('1.2 APM'!$C$221,'2 Resultatregnskap'!$C$9:$C$32,0),MATCH('1.2 APM'!L$10,'2 Resultatregnskap'!$C$9:$P$9,0))</f>
        <v>144.83897256000006</v>
      </c>
      <c r="M221" s="105">
        <f>INDEX('2 Resultatregnskap'!$C$9:$P$32,MATCH('1.2 APM'!$C$221,'2 Resultatregnskap'!$C$9:$C$32,0),MATCH('1.2 APM'!M$10,'2 Resultatregnskap'!$C$9:$P$9,0))</f>
        <v>98.718334548250766</v>
      </c>
      <c r="N221" s="105">
        <f>INDEX('2 Resultatregnskap'!$C$9:$P$32,MATCH('1.2 APM'!$C$221,'2 Resultatregnskap'!$C$9:$C$32,0),MATCH('1.2 APM'!N$10,'2 Resultatregnskap'!$C$9:$P$9,0))</f>
        <v>136.24113073549969</v>
      </c>
      <c r="O221" s="105">
        <f>INDEX('2 Resultatregnskap'!$C$9:$P$32,MATCH('1.2 APM'!$C$221,'2 Resultatregnskap'!$C$9:$C$32,0),MATCH('1.2 APM'!O$10,'2 Resultatregnskap'!$C$9:$P$9,0))</f>
        <v>106.57708338850014</v>
      </c>
      <c r="P221" s="105">
        <f>INDEX('2 Resultatregnskap'!$C$9:$P$32,MATCH('1.2 APM'!$C$221,'2 Resultatregnskap'!$C$9:$C$32,0),MATCH('1.2 APM'!P$10,'2 Resultatregnskap'!$C$9:$P$9,0))</f>
        <v>119.7391834499999</v>
      </c>
    </row>
    <row r="222" spans="1:16" x14ac:dyDescent="0.2">
      <c r="C222" s="66" t="s">
        <v>66</v>
      </c>
      <c r="D222" s="158">
        <f t="shared" ref="D222" si="82">D205</f>
        <v>0.97338096985365963</v>
      </c>
      <c r="E222" s="158">
        <f t="shared" ref="E222:P222" si="83">E205</f>
        <v>0.97338058245224945</v>
      </c>
      <c r="F222" s="158">
        <f t="shared" si="83"/>
        <v>0.97338058785178183</v>
      </c>
      <c r="G222" s="158">
        <f t="shared" si="83"/>
        <v>0.97338099900728936</v>
      </c>
      <c r="H222" s="158">
        <f t="shared" si="83"/>
        <v>0.97338099900728936</v>
      </c>
      <c r="I222" s="158">
        <f t="shared" si="83"/>
        <v>0.97339646094345722</v>
      </c>
      <c r="J222" s="158">
        <f t="shared" si="83"/>
        <v>0.97339625029457344</v>
      </c>
      <c r="K222" s="158">
        <f t="shared" si="83"/>
        <v>0.97339656045646072</v>
      </c>
      <c r="L222" s="158">
        <f t="shared" si="83"/>
        <v>0.97339661122809507</v>
      </c>
      <c r="M222" s="158">
        <f t="shared" si="83"/>
        <v>0.97339661239774911</v>
      </c>
      <c r="N222" s="158">
        <f t="shared" si="83"/>
        <v>0.97339600095190471</v>
      </c>
      <c r="O222" s="158">
        <f t="shared" si="83"/>
        <v>0.97340486806879978</v>
      </c>
      <c r="P222" s="158">
        <f t="shared" si="83"/>
        <v>0.9733981469893469</v>
      </c>
    </row>
    <row r="223" spans="1:16" x14ac:dyDescent="0.2">
      <c r="C223" s="80" t="s">
        <v>335</v>
      </c>
      <c r="D223" s="147">
        <f>D221*D222</f>
        <v>160.50956242422322</v>
      </c>
      <c r="E223" s="147">
        <f>E221*E222</f>
        <v>178.8164888682922</v>
      </c>
      <c r="F223" s="147">
        <f t="shared" ref="F223:P223" si="84">F221*F222</f>
        <v>156.28770654548543</v>
      </c>
      <c r="G223" s="147">
        <f t="shared" si="84"/>
        <v>237.2233056576531</v>
      </c>
      <c r="H223" s="147">
        <f t="shared" si="84"/>
        <v>143.59093213624246</v>
      </c>
      <c r="I223" s="147">
        <f t="shared" si="84"/>
        <v>164.24608100998623</v>
      </c>
      <c r="J223" s="147">
        <f t="shared" si="84"/>
        <v>242.12318537001744</v>
      </c>
      <c r="K223" s="147">
        <f t="shared" si="84"/>
        <v>137.56476551155811</v>
      </c>
      <c r="L223" s="147">
        <f t="shared" si="84"/>
        <v>140.98576506366311</v>
      </c>
      <c r="M223" s="147">
        <f t="shared" si="84"/>
        <v>96.092092430814972</v>
      </c>
      <c r="N223" s="147">
        <f t="shared" si="84"/>
        <v>132.61657182310103</v>
      </c>
      <c r="O223" s="147">
        <f t="shared" si="84"/>
        <v>103.74265179494046</v>
      </c>
      <c r="P223" s="147">
        <f t="shared" si="84"/>
        <v>116.55389929224738</v>
      </c>
    </row>
    <row r="224" spans="1:16" x14ac:dyDescent="0.2">
      <c r="C224" s="66" t="s">
        <v>336</v>
      </c>
      <c r="D224" s="105">
        <v>15650405</v>
      </c>
      <c r="E224" s="105">
        <v>15650405</v>
      </c>
      <c r="F224" s="105">
        <v>15650405</v>
      </c>
      <c r="G224" s="105">
        <v>15650405</v>
      </c>
      <c r="H224" s="105">
        <v>15650405</v>
      </c>
      <c r="I224" s="105">
        <v>15650405</v>
      </c>
      <c r="J224" s="105">
        <v>15650405</v>
      </c>
      <c r="K224" s="105">
        <v>15650405</v>
      </c>
      <c r="L224" s="105">
        <v>15650405</v>
      </c>
      <c r="M224" s="105">
        <v>15650405</v>
      </c>
      <c r="N224" s="105">
        <v>15650405</v>
      </c>
      <c r="O224" s="105">
        <v>15650405</v>
      </c>
      <c r="P224" s="105">
        <v>15650405</v>
      </c>
    </row>
    <row r="225" spans="3:16" x14ac:dyDescent="0.2">
      <c r="C225" s="107" t="s">
        <v>337</v>
      </c>
      <c r="D225" s="140">
        <f>(D223*1000^2)/D224</f>
        <v>10.255936662611813</v>
      </c>
      <c r="E225" s="140">
        <f>(E223*1000^2)/E224</f>
        <v>11.42567804911708</v>
      </c>
      <c r="F225" s="140">
        <f t="shared" ref="F225:P225" si="85">(F223*1000^2)/F224</f>
        <v>9.986176494824603</v>
      </c>
      <c r="G225" s="140">
        <f t="shared" si="85"/>
        <v>15.157646441587492</v>
      </c>
      <c r="H225" s="140">
        <f t="shared" si="85"/>
        <v>9.1749020000595802</v>
      </c>
      <c r="I225" s="140">
        <f t="shared" si="85"/>
        <v>10.494685665322157</v>
      </c>
      <c r="J225" s="140">
        <f t="shared" si="85"/>
        <v>15.470729694855656</v>
      </c>
      <c r="K225" s="140">
        <f t="shared" si="85"/>
        <v>8.7898533943088442</v>
      </c>
      <c r="L225" s="140">
        <f t="shared" si="85"/>
        <v>9.0084419581258821</v>
      </c>
      <c r="M225" s="140">
        <f t="shared" si="85"/>
        <v>6.1399109116227324</v>
      </c>
      <c r="N225" s="140">
        <f t="shared" si="85"/>
        <v>8.4736830659079452</v>
      </c>
      <c r="O225" s="140">
        <f t="shared" si="85"/>
        <v>6.6287518945957284</v>
      </c>
      <c r="P225" s="140">
        <f t="shared" si="85"/>
        <v>7.4473407743919333</v>
      </c>
    </row>
    <row r="226" spans="3:16" x14ac:dyDescent="0.2">
      <c r="C226" s="66"/>
      <c r="D226" s="66"/>
      <c r="E226" s="66"/>
      <c r="F226" s="66"/>
      <c r="G226" s="104"/>
      <c r="H226" s="104"/>
      <c r="I226" s="66"/>
      <c r="J226" s="66"/>
      <c r="K226" s="66"/>
      <c r="L226" s="66"/>
      <c r="M226" s="66"/>
      <c r="N226" s="66"/>
      <c r="O226" s="66"/>
      <c r="P226" s="66"/>
    </row>
    <row r="227" spans="3:16" x14ac:dyDescent="0.2">
      <c r="C227" s="66"/>
      <c r="D227" s="66"/>
      <c r="E227" s="66"/>
      <c r="F227" s="66"/>
      <c r="G227" s="104"/>
      <c r="H227" s="104"/>
      <c r="I227" s="66"/>
      <c r="J227" s="66"/>
      <c r="K227" s="66"/>
      <c r="L227" s="66"/>
      <c r="M227" s="66"/>
      <c r="N227" s="66"/>
      <c r="O227" s="66"/>
      <c r="P227" s="66"/>
    </row>
    <row r="228" spans="3:16" x14ac:dyDescent="0.2">
      <c r="C228" s="71"/>
      <c r="D228" s="71"/>
      <c r="E228" s="71"/>
      <c r="F228" s="71"/>
      <c r="G228" s="103"/>
      <c r="H228" s="103"/>
      <c r="I228" s="71"/>
      <c r="J228" s="71"/>
      <c r="K228" s="71"/>
      <c r="L228" s="71"/>
      <c r="M228" s="71"/>
      <c r="N228" s="71"/>
      <c r="O228" s="71"/>
      <c r="P228" s="71"/>
    </row>
    <row r="229" spans="3:16" x14ac:dyDescent="0.2">
      <c r="C229" s="71"/>
      <c r="D229" s="71"/>
      <c r="E229" s="71"/>
      <c r="F229" s="71"/>
      <c r="G229" s="103"/>
      <c r="H229" s="103"/>
      <c r="I229" s="71"/>
      <c r="J229" s="71"/>
      <c r="K229" s="71"/>
      <c r="L229" s="71"/>
      <c r="M229" s="71"/>
      <c r="N229" s="71"/>
      <c r="O229" s="71"/>
      <c r="P229" s="71"/>
    </row>
    <row r="230" spans="3:16" x14ac:dyDescent="0.2">
      <c r="C230" s="71" t="s">
        <v>99</v>
      </c>
      <c r="D230" s="106">
        <f>INDEX('4 Balanse'!$C$8:O43,MATCH('1.2 APM'!$C$230,'4 Balanse'!$C$8:$C$43,0),MATCH('1.2 APM'!D$10,'4 Balanse'!$C$8:$P$8,0))</f>
        <v>0</v>
      </c>
      <c r="E230" s="106">
        <f>INDEX('4 Balanse'!$C$8:P43,MATCH('1.2 APM'!$C$230,'4 Balanse'!$C$8:$C$43,0),MATCH('1.2 APM'!E$10,'4 Balanse'!$C$8:$P$8,0))</f>
        <v>688.60633610000002</v>
      </c>
      <c r="F230" s="106">
        <f>INDEX('4 Balanse'!$C$8:Q43,MATCH('1.2 APM'!$C$230,'4 Balanse'!$C$8:$C$43,0),MATCH('1.2 APM'!F$10,'4 Balanse'!$C$8:$P$8,0))</f>
        <v>0</v>
      </c>
      <c r="G230" s="106">
        <f>INDEX('4 Balanse'!$C$8:R43,MATCH('1.2 APM'!$C$230,'4 Balanse'!$C$8:$C$43,0),MATCH('1.2 APM'!G$10,'4 Balanse'!$C$8:$P$8,0))</f>
        <v>0</v>
      </c>
      <c r="H230" s="106">
        <f>INDEX('4 Balanse'!$C$8:S43,MATCH('1.2 APM'!$C$230,'4 Balanse'!$C$8:$C$43,0),MATCH('1.2 APM'!H$10,'4 Balanse'!$C$8:$P$8,0))</f>
        <v>0</v>
      </c>
      <c r="I230" s="106">
        <f>INDEX('4 Balanse'!$C$8:T43,MATCH('1.2 APM'!$C$230,'4 Balanse'!$C$8:$C$43,0),MATCH('1.2 APM'!I$10,'4 Balanse'!$C$8:$P$8,0))</f>
        <v>469.51215000000002</v>
      </c>
      <c r="J230" s="106">
        <f>INDEX('4 Balanse'!$C$8:U43,MATCH('1.2 APM'!$C$230,'4 Balanse'!$C$8:$C$43,0),MATCH('1.2 APM'!J$10,'4 Balanse'!$C$8:$P$8,0))</f>
        <v>0</v>
      </c>
      <c r="K230" s="106">
        <f>INDEX('4 Balanse'!$C$8:V43,MATCH('1.2 APM'!$C$230,'4 Balanse'!$C$8:$C$43,0),MATCH('1.2 APM'!K$10,'4 Balanse'!$C$8:$P$8,0))</f>
        <v>0</v>
      </c>
      <c r="L230" s="106">
        <f>INDEX('4 Balanse'!$C$8:W43,MATCH('1.2 APM'!$C$230,'4 Balanse'!$C$8:$C$43,0),MATCH('1.2 APM'!L$10,'4 Balanse'!$C$8:$P$8,0))</f>
        <v>0</v>
      </c>
      <c r="M230" s="106">
        <f>INDEX('4 Balanse'!$C$8:X43,MATCH('1.2 APM'!$C$230,'4 Balanse'!$C$8:$C$43,0),MATCH('1.2 APM'!M$10,'4 Balanse'!$C$8:$P$8,0))</f>
        <v>313.00799999999998</v>
      </c>
      <c r="N230" s="106">
        <f>INDEX('4 Balanse'!$C$8:Y43,MATCH('1.2 APM'!$C$230,'4 Balanse'!$C$8:$C$43,0),MATCH('1.2 APM'!N$10,'4 Balanse'!$C$8:$P$8,0))</f>
        <v>0</v>
      </c>
      <c r="O230" s="106">
        <f>INDEX('4 Balanse'!$C$8:Z43,MATCH('1.2 APM'!$C$230,'4 Balanse'!$C$8:$C$43,0),MATCH('1.2 APM'!O$10,'4 Balanse'!$C$8:$P$8,0))</f>
        <v>0</v>
      </c>
      <c r="P230" s="106">
        <f>INDEX('4 Balanse'!$C$8:AA43,MATCH('1.2 APM'!$C$230,'4 Balanse'!$C$8:$C$43,0),MATCH('1.2 APM'!P$10,'4 Balanse'!$C$8:$P$8,0))</f>
        <v>0</v>
      </c>
    </row>
    <row r="231" spans="3:16" x14ac:dyDescent="0.2">
      <c r="C231" s="71" t="s">
        <v>338</v>
      </c>
      <c r="D231" s="106">
        <v>15650405</v>
      </c>
      <c r="E231" s="106">
        <v>15650405</v>
      </c>
      <c r="F231" s="106">
        <v>15650405</v>
      </c>
      <c r="G231" s="159">
        <v>15650405</v>
      </c>
      <c r="H231" s="159">
        <v>15650405</v>
      </c>
      <c r="I231" s="106">
        <v>15650405</v>
      </c>
      <c r="J231" s="106">
        <v>15650405</v>
      </c>
      <c r="K231" s="106">
        <v>15650405</v>
      </c>
      <c r="L231" s="106">
        <v>15650405</v>
      </c>
      <c r="M231" s="106">
        <v>15650405</v>
      </c>
      <c r="N231" s="106">
        <v>15650405</v>
      </c>
      <c r="O231" s="106">
        <v>15650405</v>
      </c>
      <c r="P231" s="106">
        <v>15650405</v>
      </c>
    </row>
    <row r="232" spans="3:16" x14ac:dyDescent="0.2">
      <c r="C232" s="109" t="s">
        <v>339</v>
      </c>
      <c r="D232" s="135">
        <f>(D230*1000^2)/D231</f>
        <v>0</v>
      </c>
      <c r="E232" s="135">
        <f>(E230*1000^2)/E231</f>
        <v>43.999266223461952</v>
      </c>
      <c r="F232" s="135">
        <f t="shared" ref="F232:P232" si="86">(F230*1000^2)/F231</f>
        <v>0</v>
      </c>
      <c r="G232" s="135">
        <f t="shared" si="86"/>
        <v>0</v>
      </c>
      <c r="H232" s="135">
        <f t="shared" si="86"/>
        <v>0</v>
      </c>
      <c r="I232" s="135">
        <f t="shared" si="86"/>
        <v>30</v>
      </c>
      <c r="J232" s="135">
        <f t="shared" si="86"/>
        <v>0</v>
      </c>
      <c r="K232" s="135">
        <f t="shared" si="86"/>
        <v>0</v>
      </c>
      <c r="L232" s="135">
        <f t="shared" si="86"/>
        <v>0</v>
      </c>
      <c r="M232" s="135">
        <f t="shared" si="86"/>
        <v>19.999993610388998</v>
      </c>
      <c r="N232" s="135">
        <f t="shared" si="86"/>
        <v>0</v>
      </c>
      <c r="O232" s="135">
        <f t="shared" si="86"/>
        <v>0</v>
      </c>
      <c r="P232" s="135">
        <f t="shared" si="86"/>
        <v>0</v>
      </c>
    </row>
    <row r="233" spans="3:16" x14ac:dyDescent="0.2">
      <c r="C233" s="71"/>
      <c r="D233" s="71"/>
      <c r="E233" s="71"/>
      <c r="F233" s="71"/>
      <c r="G233" s="103"/>
      <c r="H233" s="103"/>
      <c r="I233" s="71"/>
      <c r="J233" s="71"/>
      <c r="K233" s="71"/>
      <c r="L233" s="71"/>
      <c r="M233" s="71"/>
      <c r="N233" s="71"/>
      <c r="O233" s="71"/>
      <c r="P233" s="71"/>
    </row>
    <row r="234" spans="3:16" x14ac:dyDescent="0.2">
      <c r="C234" s="71"/>
      <c r="D234" s="71"/>
      <c r="E234" s="71"/>
      <c r="F234" s="71"/>
      <c r="G234" s="103"/>
      <c r="H234" s="103"/>
      <c r="I234" s="71"/>
      <c r="J234" s="71"/>
      <c r="K234" s="71"/>
      <c r="L234" s="71"/>
      <c r="M234" s="71"/>
      <c r="N234" s="71"/>
      <c r="O234" s="71"/>
      <c r="P234" s="71"/>
    </row>
    <row r="235" spans="3:16" x14ac:dyDescent="0.2">
      <c r="C235" s="66"/>
      <c r="D235" s="66"/>
      <c r="E235" s="66"/>
      <c r="F235" s="66"/>
      <c r="G235" s="104"/>
      <c r="H235" s="104"/>
      <c r="I235" s="66"/>
      <c r="J235" s="66"/>
      <c r="K235" s="66"/>
      <c r="L235" s="66"/>
      <c r="M235" s="66"/>
      <c r="N235" s="66"/>
      <c r="O235" s="66"/>
      <c r="P235" s="66"/>
    </row>
    <row r="236" spans="3:16" x14ac:dyDescent="0.2">
      <c r="C236" s="66"/>
      <c r="D236" s="66"/>
      <c r="E236" s="66"/>
      <c r="F236" s="66"/>
      <c r="G236" s="104"/>
      <c r="H236" s="104"/>
      <c r="I236" s="66"/>
      <c r="J236" s="66"/>
      <c r="K236" s="66"/>
      <c r="L236" s="66"/>
      <c r="M236" s="66"/>
      <c r="N236" s="66"/>
      <c r="O236" s="66"/>
      <c r="P236" s="66"/>
    </row>
    <row r="237" spans="3:16" x14ac:dyDescent="0.2">
      <c r="C237" s="66" t="s">
        <v>340</v>
      </c>
      <c r="D237" s="105">
        <v>448</v>
      </c>
      <c r="E237" s="105">
        <v>415.95</v>
      </c>
      <c r="F237" s="105">
        <v>398</v>
      </c>
      <c r="G237" s="139">
        <v>385</v>
      </c>
      <c r="H237" s="139">
        <v>376</v>
      </c>
      <c r="I237" s="105">
        <v>329</v>
      </c>
      <c r="J237" s="105">
        <v>300.5</v>
      </c>
      <c r="K237" s="105">
        <v>295</v>
      </c>
      <c r="L237" s="105">
        <v>280</v>
      </c>
      <c r="M237" s="105">
        <v>304</v>
      </c>
      <c r="N237" s="66">
        <v>302</v>
      </c>
      <c r="O237" s="66">
        <v>312</v>
      </c>
      <c r="P237" s="66">
        <v>320</v>
      </c>
    </row>
    <row r="238" spans="3:16" x14ac:dyDescent="0.2">
      <c r="C238" s="66"/>
      <c r="D238" s="105"/>
      <c r="E238" s="105"/>
      <c r="F238" s="105"/>
      <c r="G238" s="139"/>
      <c r="H238" s="139"/>
      <c r="I238" s="105"/>
      <c r="J238" s="105"/>
      <c r="K238" s="105"/>
      <c r="L238" s="105"/>
      <c r="M238" s="105"/>
      <c r="N238" s="66"/>
      <c r="O238" s="66"/>
      <c r="P238" s="66"/>
    </row>
    <row r="239" spans="3:16" x14ac:dyDescent="0.2">
      <c r="C239" s="66" t="s">
        <v>341</v>
      </c>
      <c r="D239" s="160">
        <f>D225</f>
        <v>10.255936662611813</v>
      </c>
      <c r="E239" s="160">
        <f>E225</f>
        <v>11.42567804911708</v>
      </c>
      <c r="F239" s="160">
        <f t="shared" ref="F239:P239" si="87">F225</f>
        <v>9.986176494824603</v>
      </c>
      <c r="G239" s="160">
        <f t="shared" si="87"/>
        <v>15.157646441587492</v>
      </c>
      <c r="H239" s="160">
        <f t="shared" si="87"/>
        <v>9.1749020000595802</v>
      </c>
      <c r="I239" s="160">
        <f t="shared" si="87"/>
        <v>10.494685665322157</v>
      </c>
      <c r="J239" s="160">
        <f t="shared" si="87"/>
        <v>15.470729694855656</v>
      </c>
      <c r="K239" s="160">
        <f t="shared" si="87"/>
        <v>8.7898533943088442</v>
      </c>
      <c r="L239" s="160">
        <f t="shared" si="87"/>
        <v>9.0084419581258821</v>
      </c>
      <c r="M239" s="160">
        <f t="shared" si="87"/>
        <v>6.1399109116227324</v>
      </c>
      <c r="N239" s="160">
        <f t="shared" si="87"/>
        <v>8.4736830659079452</v>
      </c>
      <c r="O239" s="160">
        <f t="shared" si="87"/>
        <v>6.6287518945957284</v>
      </c>
      <c r="P239" s="160">
        <f t="shared" si="87"/>
        <v>7.4473407743919333</v>
      </c>
    </row>
    <row r="240" spans="3:16" x14ac:dyDescent="0.2">
      <c r="C240" s="66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</row>
    <row r="241" spans="2:16" x14ac:dyDescent="0.2">
      <c r="C241" s="66" t="s">
        <v>289</v>
      </c>
      <c r="D241" s="77">
        <v>365</v>
      </c>
      <c r="E241" s="77">
        <v>365</v>
      </c>
      <c r="F241" s="77">
        <v>365</v>
      </c>
      <c r="G241" s="77">
        <v>365</v>
      </c>
      <c r="H241" s="77">
        <v>365</v>
      </c>
      <c r="I241" s="77">
        <v>365</v>
      </c>
      <c r="J241" s="77">
        <v>365</v>
      </c>
      <c r="K241" s="77">
        <v>365</v>
      </c>
      <c r="L241" s="77">
        <v>365</v>
      </c>
      <c r="M241" s="77">
        <v>365</v>
      </c>
      <c r="N241" s="77">
        <v>365</v>
      </c>
      <c r="O241" s="77">
        <v>365</v>
      </c>
      <c r="P241" s="77">
        <v>365</v>
      </c>
    </row>
    <row r="242" spans="2:16" x14ac:dyDescent="0.2">
      <c r="C242" s="66" t="s">
        <v>292</v>
      </c>
      <c r="D242" s="77">
        <v>90</v>
      </c>
      <c r="E242" s="77">
        <f>31+30+31</f>
        <v>92</v>
      </c>
      <c r="F242" s="77">
        <f>31+30+31</f>
        <v>92</v>
      </c>
      <c r="G242" s="77">
        <f>30+31+30</f>
        <v>91</v>
      </c>
      <c r="H242" s="77">
        <f>31+28+31</f>
        <v>90</v>
      </c>
      <c r="I242" s="77">
        <f>31+30+31</f>
        <v>92</v>
      </c>
      <c r="J242" s="77">
        <f>31+30+31</f>
        <v>92</v>
      </c>
      <c r="K242" s="77">
        <f>30+31+30</f>
        <v>91</v>
      </c>
      <c r="L242" s="77">
        <f>31+28+31</f>
        <v>90</v>
      </c>
      <c r="M242" s="77">
        <f>31+30+31</f>
        <v>92</v>
      </c>
      <c r="N242" s="77">
        <f>31+30+31</f>
        <v>92</v>
      </c>
      <c r="O242" s="77">
        <f>30+31+30</f>
        <v>91</v>
      </c>
      <c r="P242" s="77">
        <f>31+28+31</f>
        <v>90</v>
      </c>
    </row>
    <row r="243" spans="2:16" x14ac:dyDescent="0.2">
      <c r="C243" s="80" t="s">
        <v>293</v>
      </c>
      <c r="D243" s="88">
        <f>D241/D242</f>
        <v>4.0555555555555554</v>
      </c>
      <c r="E243" s="88">
        <f>E241/E242</f>
        <v>3.9673913043478262</v>
      </c>
      <c r="F243" s="88">
        <f t="shared" ref="F243" si="88">F241/F242</f>
        <v>3.9673913043478262</v>
      </c>
      <c r="G243" s="88">
        <f t="shared" ref="G243" si="89">G241/G242</f>
        <v>4.0109890109890109</v>
      </c>
      <c r="H243" s="88">
        <f t="shared" ref="H243" si="90">H241/H242</f>
        <v>4.0555555555555554</v>
      </c>
      <c r="I243" s="88">
        <f t="shared" ref="I243" si="91">I241/I242</f>
        <v>3.9673913043478262</v>
      </c>
      <c r="J243" s="88">
        <f t="shared" ref="J243" si="92">J241/J242</f>
        <v>3.9673913043478262</v>
      </c>
      <c r="K243" s="88">
        <f t="shared" ref="K243" si="93">K241/K242</f>
        <v>4.0109890109890109</v>
      </c>
      <c r="L243" s="88">
        <f t="shared" ref="L243" si="94">L241/L242</f>
        <v>4.0555555555555554</v>
      </c>
      <c r="M243" s="88">
        <f t="shared" ref="M243" si="95">M241/M242</f>
        <v>3.9673913043478262</v>
      </c>
      <c r="N243" s="88">
        <f t="shared" ref="N243" si="96">N241/N242</f>
        <v>3.9673913043478262</v>
      </c>
      <c r="O243" s="88">
        <f t="shared" ref="O243" si="97">O241/O242</f>
        <v>4.0109890109890109</v>
      </c>
      <c r="P243" s="88">
        <f t="shared" ref="P243" si="98">P241/P242</f>
        <v>4.0555555555555554</v>
      </c>
    </row>
    <row r="244" spans="2:16" x14ac:dyDescent="0.2">
      <c r="C244" s="66"/>
      <c r="D244" s="66"/>
      <c r="E244" s="66"/>
      <c r="F244" s="66"/>
      <c r="G244" s="104"/>
      <c r="H244" s="104"/>
      <c r="I244" s="66"/>
      <c r="J244" s="66"/>
      <c r="K244" s="66"/>
      <c r="L244" s="66"/>
      <c r="M244" s="66"/>
      <c r="N244" s="66"/>
      <c r="O244" s="66"/>
      <c r="P244" s="66"/>
    </row>
    <row r="245" spans="2:16" x14ac:dyDescent="0.2">
      <c r="C245" s="66" t="s">
        <v>342</v>
      </c>
      <c r="D245" s="134">
        <f>D239*D243</f>
        <v>41.593520909481235</v>
      </c>
      <c r="E245" s="134">
        <f>E239*E243</f>
        <v>45.330135738344936</v>
      </c>
      <c r="F245" s="134">
        <f t="shared" ref="F245:P245" si="99">F239*F243</f>
        <v>39.619069789249785</v>
      </c>
      <c r="G245" s="134">
        <f t="shared" si="99"/>
        <v>60.797153309664111</v>
      </c>
      <c r="H245" s="134">
        <f t="shared" si="99"/>
        <v>37.209324778019408</v>
      </c>
      <c r="I245" s="134">
        <f t="shared" si="99"/>
        <v>41.636524650462903</v>
      </c>
      <c r="J245" s="134">
        <f t="shared" si="99"/>
        <v>61.378438463286031</v>
      </c>
      <c r="K245" s="134">
        <f t="shared" si="99"/>
        <v>35.256005372777231</v>
      </c>
      <c r="L245" s="134">
        <f t="shared" si="99"/>
        <v>36.534236830177186</v>
      </c>
      <c r="M245" s="134">
        <f t="shared" si="99"/>
        <v>24.359429160242364</v>
      </c>
      <c r="N245" s="134">
        <f t="shared" si="99"/>
        <v>33.618416511482607</v>
      </c>
      <c r="O245" s="134">
        <f t="shared" si="99"/>
        <v>26.587851005796054</v>
      </c>
      <c r="P245" s="134">
        <f t="shared" si="99"/>
        <v>30.203104251700616</v>
      </c>
    </row>
    <row r="246" spans="2:16" x14ac:dyDescent="0.2">
      <c r="C246" s="66"/>
      <c r="D246" s="66"/>
      <c r="E246" s="66"/>
      <c r="F246" s="66"/>
      <c r="G246" s="104"/>
      <c r="H246" s="104"/>
      <c r="I246" s="66"/>
      <c r="J246" s="66"/>
      <c r="K246" s="66"/>
      <c r="L246" s="66"/>
      <c r="M246" s="66"/>
      <c r="N246" s="66"/>
      <c r="O246" s="66"/>
      <c r="P246" s="66"/>
    </row>
    <row r="247" spans="2:16" x14ac:dyDescent="0.2">
      <c r="B247" s="116"/>
      <c r="C247" s="161" t="s">
        <v>72</v>
      </c>
      <c r="D247" s="140">
        <f>D237/D245</f>
        <v>10.770908309853578</v>
      </c>
      <c r="E247" s="140">
        <f>E237/E245</f>
        <v>9.1760148789527296</v>
      </c>
      <c r="F247" s="140">
        <f t="shared" ref="F247:P247" si="100">F237/F245</f>
        <v>10.045667455523983</v>
      </c>
      <c r="G247" s="140">
        <f t="shared" si="100"/>
        <v>6.3325333348922062</v>
      </c>
      <c r="H247" s="140">
        <f t="shared" si="100"/>
        <v>10.104993902552989</v>
      </c>
      <c r="I247" s="140">
        <f t="shared" si="100"/>
        <v>7.9017161677623893</v>
      </c>
      <c r="J247" s="140">
        <f t="shared" si="100"/>
        <v>4.8958560615670645</v>
      </c>
      <c r="K247" s="140">
        <f t="shared" si="100"/>
        <v>8.3673688179030901</v>
      </c>
      <c r="L247" s="140">
        <f t="shared" si="100"/>
        <v>7.6640440390620315</v>
      </c>
      <c r="M247" s="140">
        <f t="shared" si="100"/>
        <v>12.479766992904992</v>
      </c>
      <c r="N247" s="140">
        <f t="shared" si="100"/>
        <v>8.9831714678426255</v>
      </c>
      <c r="O247" s="140">
        <f t="shared" si="100"/>
        <v>11.734682879484511</v>
      </c>
      <c r="P247" s="140">
        <f t="shared" si="100"/>
        <v>10.594937438656892</v>
      </c>
    </row>
    <row r="248" spans="2:16" x14ac:dyDescent="0.2">
      <c r="C248" s="66"/>
      <c r="D248" s="66"/>
      <c r="E248" s="66"/>
      <c r="F248" s="66"/>
      <c r="G248" s="104"/>
      <c r="H248" s="104"/>
      <c r="I248" s="66"/>
      <c r="J248" s="66"/>
      <c r="K248" s="66"/>
      <c r="L248" s="66"/>
      <c r="M248" s="66"/>
      <c r="N248" s="66"/>
      <c r="O248" s="66"/>
      <c r="P248" s="66"/>
    </row>
    <row r="249" spans="2:16" x14ac:dyDescent="0.2">
      <c r="C249" s="66"/>
      <c r="D249" s="66"/>
      <c r="E249" s="66"/>
      <c r="F249" s="66"/>
      <c r="G249" s="104"/>
      <c r="H249" s="104"/>
      <c r="I249" s="66"/>
      <c r="J249" s="66"/>
      <c r="K249" s="66"/>
      <c r="L249" s="66"/>
      <c r="M249" s="66"/>
      <c r="N249" s="66"/>
      <c r="O249" s="66"/>
      <c r="P249" s="66"/>
    </row>
    <row r="250" spans="2:16" x14ac:dyDescent="0.2">
      <c r="C250" s="71"/>
      <c r="D250" s="71"/>
      <c r="E250" s="71"/>
      <c r="F250" s="71"/>
      <c r="G250" s="103"/>
      <c r="H250" s="103"/>
      <c r="I250" s="71"/>
      <c r="J250" s="71"/>
      <c r="K250" s="71"/>
      <c r="L250" s="71"/>
      <c r="M250" s="71"/>
      <c r="N250" s="71"/>
      <c r="O250" s="71"/>
      <c r="P250" s="71"/>
    </row>
    <row r="251" spans="2:16" x14ac:dyDescent="0.2">
      <c r="C251" s="71"/>
      <c r="D251" s="71"/>
      <c r="E251" s="71"/>
      <c r="F251" s="71"/>
      <c r="G251" s="103"/>
      <c r="H251" s="103"/>
      <c r="I251" s="71"/>
      <c r="J251" s="71"/>
      <c r="K251" s="71"/>
      <c r="L251" s="71"/>
      <c r="M251" s="71"/>
      <c r="N251" s="71"/>
      <c r="O251" s="71"/>
      <c r="P251" s="71"/>
    </row>
    <row r="252" spans="2:16" x14ac:dyDescent="0.2">
      <c r="C252" s="71" t="s">
        <v>340</v>
      </c>
      <c r="D252" s="106">
        <v>448</v>
      </c>
      <c r="E252" s="106">
        <v>415.95</v>
      </c>
      <c r="F252" s="106">
        <v>398</v>
      </c>
      <c r="G252" s="159">
        <v>385</v>
      </c>
      <c r="H252" s="159">
        <v>376</v>
      </c>
      <c r="I252" s="106">
        <v>329</v>
      </c>
      <c r="J252" s="106">
        <v>300.5</v>
      </c>
      <c r="K252" s="106">
        <v>295</v>
      </c>
      <c r="L252" s="106">
        <v>280</v>
      </c>
      <c r="M252" s="106">
        <v>304</v>
      </c>
      <c r="N252" s="71">
        <v>302</v>
      </c>
      <c r="O252" s="71">
        <v>312</v>
      </c>
      <c r="P252" s="71">
        <v>320</v>
      </c>
    </row>
    <row r="253" spans="2:16" x14ac:dyDescent="0.2">
      <c r="C253" s="71" t="s">
        <v>343</v>
      </c>
      <c r="D253" s="106">
        <f>D216</f>
        <v>289.36956105790637</v>
      </c>
      <c r="E253" s="106">
        <f>E216</f>
        <v>322.39782847347431</v>
      </c>
      <c r="F253" s="106">
        <f t="shared" ref="F253:P253" si="101">F216</f>
        <v>312.80512481257625</v>
      </c>
      <c r="G253" s="106">
        <f t="shared" si="101"/>
        <v>302.15160395090652</v>
      </c>
      <c r="H253" s="106">
        <f t="shared" si="101"/>
        <v>286.40220366047487</v>
      </c>
      <c r="I253" s="106">
        <f>I216</f>
        <v>306.702244641118</v>
      </c>
      <c r="J253" s="106">
        <f t="shared" si="101"/>
        <v>297.19660360867806</v>
      </c>
      <c r="K253" s="106">
        <f t="shared" si="101"/>
        <v>281.46632808708154</v>
      </c>
      <c r="L253" s="106">
        <f t="shared" si="101"/>
        <v>272.29297646863802</v>
      </c>
      <c r="M253" s="106">
        <f t="shared" si="101"/>
        <v>283.22654767879715</v>
      </c>
      <c r="N253" s="106">
        <f t="shared" si="101"/>
        <v>276.66544799801471</v>
      </c>
      <c r="O253" s="106">
        <f t="shared" si="101"/>
        <v>268.1800976917778</v>
      </c>
      <c r="P253" s="106">
        <f t="shared" si="101"/>
        <v>261.88758430339169</v>
      </c>
    </row>
    <row r="254" spans="2:16" x14ac:dyDescent="0.2">
      <c r="B254" s="182"/>
      <c r="C254" s="109" t="s">
        <v>344</v>
      </c>
      <c r="D254" s="135">
        <f>D252/D253</f>
        <v>1.5481932459038072</v>
      </c>
      <c r="E254" s="135">
        <f>E252/E253</f>
        <v>1.2901761837835171</v>
      </c>
      <c r="F254" s="135">
        <f t="shared" ref="F254:P254" si="102">F252/F253</f>
        <v>1.2723576707334001</v>
      </c>
      <c r="G254" s="135">
        <f t="shared" si="102"/>
        <v>1.2741947915078904</v>
      </c>
      <c r="H254" s="135">
        <f t="shared" si="102"/>
        <v>1.3128390605742051</v>
      </c>
      <c r="I254" s="135">
        <f t="shared" si="102"/>
        <v>1.0727016373322384</v>
      </c>
      <c r="J254" s="135">
        <f t="shared" si="102"/>
        <v>1.011115188905966</v>
      </c>
      <c r="K254" s="135">
        <f t="shared" si="102"/>
        <v>1.0480827387236578</v>
      </c>
      <c r="L254" s="135">
        <f t="shared" si="102"/>
        <v>1.0283041583786487</v>
      </c>
      <c r="M254" s="135">
        <f t="shared" si="102"/>
        <v>1.0733457103207773</v>
      </c>
      <c r="N254" s="135">
        <f t="shared" si="102"/>
        <v>1.0915710732413795</v>
      </c>
      <c r="O254" s="135">
        <f t="shared" si="102"/>
        <v>1.1633972941518758</v>
      </c>
      <c r="P254" s="135">
        <f t="shared" si="102"/>
        <v>1.2218983227142459</v>
      </c>
    </row>
    <row r="255" spans="2:16" x14ac:dyDescent="0.2">
      <c r="C255" s="71"/>
      <c r="D255" s="71"/>
      <c r="E255" s="71"/>
      <c r="F255" s="71"/>
      <c r="G255" s="103"/>
      <c r="H255" s="103"/>
      <c r="I255" s="71"/>
      <c r="J255" s="71"/>
      <c r="K255" s="71"/>
      <c r="L255" s="71"/>
      <c r="M255" s="71"/>
      <c r="N255" s="71"/>
      <c r="O255" s="71"/>
      <c r="P255" s="71"/>
    </row>
    <row r="256" spans="2:16" x14ac:dyDescent="0.2">
      <c r="C256" s="71"/>
      <c r="D256" s="71"/>
      <c r="E256" s="71"/>
      <c r="F256" s="71"/>
      <c r="G256" s="103"/>
      <c r="H256" s="103"/>
      <c r="I256" s="71"/>
      <c r="J256" s="71"/>
      <c r="K256" s="71"/>
      <c r="L256" s="71"/>
      <c r="M256" s="71"/>
      <c r="N256" s="71"/>
      <c r="O256" s="71"/>
      <c r="P256" s="71"/>
    </row>
    <row r="257" spans="7:8" s="71" customFormat="1" x14ac:dyDescent="0.2">
      <c r="G257" s="103"/>
      <c r="H257" s="103"/>
    </row>
    <row r="258" spans="7:8" s="71" customFormat="1" x14ac:dyDescent="0.2">
      <c r="G258" s="103"/>
      <c r="H258" s="103"/>
    </row>
  </sheetData>
  <hyperlinks>
    <hyperlink ref="C2" location="Forside!A1" display="Tilbake til forsiden" xr:uid="{B1ED8E53-448E-42ED-AEC1-4A2249EDCDD3}"/>
    <hyperlink ref="C4" location="'3 Nøkkeltall'!A1" display="Til &quot;Nøkkeltall&quot;" xr:uid="{FE76FE4E-3A30-4A09-859A-386ADCE37929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7460-0038-4AF0-9003-E768EEB89A33}">
  <sheetPr codeName="Sheet4"/>
  <dimension ref="B2:T88"/>
  <sheetViews>
    <sheetView showGridLines="0" workbookViewId="0">
      <pane xSplit="3" ySplit="9" topLeftCell="D43" activePane="bottomRight" state="frozen"/>
      <selection activeCell="K50" sqref="K50"/>
      <selection pane="topRight" activeCell="K50" sqref="K50"/>
      <selection pane="bottomLeft" activeCell="K50" sqref="K50"/>
      <selection pane="bottomRight" activeCell="D52" sqref="D52"/>
    </sheetView>
  </sheetViews>
  <sheetFormatPr defaultRowHeight="15" x14ac:dyDescent="0.25"/>
  <cols>
    <col min="1" max="1" width="9.140625" style="1"/>
    <col min="2" max="2" width="3.42578125" style="1" bestFit="1" customWidth="1"/>
    <col min="3" max="3" width="56" style="1" bestFit="1" customWidth="1"/>
    <col min="4" max="16" width="11.7109375" style="1" customWidth="1"/>
    <col min="17" max="16384" width="9.140625" style="1"/>
  </cols>
  <sheetData>
    <row r="2" spans="2:20" x14ac:dyDescent="0.25">
      <c r="C2" s="174" t="s">
        <v>349</v>
      </c>
    </row>
    <row r="6" spans="2:20" ht="23.25" x14ac:dyDescent="0.35">
      <c r="B6" s="6" t="s">
        <v>75</v>
      </c>
      <c r="C6" s="3" t="s">
        <v>76</v>
      </c>
    </row>
    <row r="8" spans="2:20" x14ac:dyDescent="0.2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0" x14ac:dyDescent="0.25">
      <c r="C9" s="9" t="s">
        <v>280</v>
      </c>
      <c r="D9" s="43" t="s">
        <v>351</v>
      </c>
      <c r="E9" s="43" t="s">
        <v>16</v>
      </c>
      <c r="F9" s="43" t="s">
        <v>17</v>
      </c>
      <c r="G9" s="43" t="s">
        <v>18</v>
      </c>
      <c r="H9" s="43" t="s">
        <v>19</v>
      </c>
      <c r="I9" s="43" t="s">
        <v>20</v>
      </c>
      <c r="J9" s="43" t="s">
        <v>21</v>
      </c>
      <c r="K9" s="43" t="s">
        <v>22</v>
      </c>
      <c r="L9" s="43" t="s">
        <v>23</v>
      </c>
      <c r="M9" s="43" t="s">
        <v>24</v>
      </c>
      <c r="N9" s="43" t="s">
        <v>25</v>
      </c>
      <c r="O9" s="43" t="s">
        <v>26</v>
      </c>
      <c r="P9" s="43" t="s">
        <v>27</v>
      </c>
      <c r="Q9" s="4"/>
      <c r="R9" s="4"/>
      <c r="S9" s="4"/>
      <c r="T9" s="4"/>
    </row>
    <row r="10" spans="2:20" x14ac:dyDescent="0.25">
      <c r="C10" s="35" t="s">
        <v>228</v>
      </c>
      <c r="D10" s="33">
        <v>424</v>
      </c>
      <c r="E10" s="33">
        <v>436.55469683000024</v>
      </c>
      <c r="F10" s="33">
        <v>452.43747413000062</v>
      </c>
      <c r="G10" s="33">
        <v>456.72282494999979</v>
      </c>
      <c r="H10" s="33">
        <v>446.98839154999996</v>
      </c>
      <c r="I10" s="33">
        <v>463.50984091999987</v>
      </c>
      <c r="J10" s="33">
        <v>465.36464157999922</v>
      </c>
      <c r="K10" s="33">
        <v>455.09335628000025</v>
      </c>
      <c r="L10" s="33">
        <v>440.76850948000009</v>
      </c>
      <c r="M10" s="33">
        <v>434.02670021000063</v>
      </c>
      <c r="N10" s="33">
        <v>406.1054946499998</v>
      </c>
      <c r="O10" s="33">
        <v>354.93910546000012</v>
      </c>
      <c r="P10" s="33">
        <v>327.09655115999993</v>
      </c>
      <c r="Q10" s="4"/>
      <c r="R10" s="4"/>
      <c r="S10" s="4"/>
      <c r="T10" s="4"/>
    </row>
    <row r="11" spans="2:20" x14ac:dyDescent="0.25">
      <c r="C11" s="36" t="s">
        <v>0</v>
      </c>
      <c r="D11" s="33">
        <v>228.54567775999999</v>
      </c>
      <c r="E11" s="33">
        <v>232.91973858000006</v>
      </c>
      <c r="F11" s="33">
        <v>249.5998956599999</v>
      </c>
      <c r="G11" s="33">
        <v>254.54478818999996</v>
      </c>
      <c r="H11" s="33">
        <v>248.59882701000004</v>
      </c>
      <c r="I11" s="33">
        <v>251.17863437</v>
      </c>
      <c r="J11" s="33">
        <v>254.53887178999989</v>
      </c>
      <c r="K11" s="33">
        <v>251.52766940000006</v>
      </c>
      <c r="L11" s="33">
        <v>242.05943806000002</v>
      </c>
      <c r="M11" s="33">
        <v>225.75328168000001</v>
      </c>
      <c r="N11" s="33">
        <v>213.19422919000004</v>
      </c>
      <c r="O11" s="33">
        <v>181.95007764999997</v>
      </c>
      <c r="P11" s="33">
        <v>165.77694593000001</v>
      </c>
      <c r="Q11" s="4"/>
      <c r="R11" s="4"/>
      <c r="S11" s="4"/>
      <c r="T11" s="4"/>
    </row>
    <row r="12" spans="2:20" x14ac:dyDescent="0.25">
      <c r="C12" s="37" t="s">
        <v>1</v>
      </c>
      <c r="D12" s="41">
        <v>195.60660946000013</v>
      </c>
      <c r="E12" s="41">
        <v>203.63495825000018</v>
      </c>
      <c r="F12" s="41">
        <v>202.83757847000072</v>
      </c>
      <c r="G12" s="41">
        <v>202.17803675999983</v>
      </c>
      <c r="H12" s="41">
        <v>198.38956453999992</v>
      </c>
      <c r="I12" s="41">
        <v>212.33120654999988</v>
      </c>
      <c r="J12" s="41">
        <v>210.82576978999933</v>
      </c>
      <c r="K12" s="41">
        <v>203.56568688000019</v>
      </c>
      <c r="L12" s="41">
        <v>198.70907142000007</v>
      </c>
      <c r="M12" s="41">
        <v>208.27341853000061</v>
      </c>
      <c r="N12" s="41">
        <v>192.91126545999975</v>
      </c>
      <c r="O12" s="41">
        <v>172.98902781000015</v>
      </c>
      <c r="P12" s="41">
        <v>161.31960522999992</v>
      </c>
      <c r="Q12" s="4"/>
      <c r="R12" s="4"/>
      <c r="S12" s="4"/>
      <c r="T12" s="4"/>
    </row>
    <row r="13" spans="2:20" x14ac:dyDescent="0.25">
      <c r="C13" s="36" t="s">
        <v>2</v>
      </c>
      <c r="D13" s="33">
        <v>62.286353339999998</v>
      </c>
      <c r="E13" s="33">
        <v>71.39276036000004</v>
      </c>
      <c r="F13" s="33">
        <v>65.358805470000007</v>
      </c>
      <c r="G13" s="33">
        <v>69.052878379999981</v>
      </c>
      <c r="H13" s="33">
        <v>57.064494530000012</v>
      </c>
      <c r="I13" s="33">
        <v>58.637877820000021</v>
      </c>
      <c r="J13" s="33">
        <v>59.199029259999982</v>
      </c>
      <c r="K13" s="33">
        <v>55.982723500000027</v>
      </c>
      <c r="L13" s="33">
        <v>53.353581029999994</v>
      </c>
      <c r="M13" s="33">
        <v>51.952469959999959</v>
      </c>
      <c r="N13" s="33">
        <v>48.945907420000019</v>
      </c>
      <c r="O13" s="33">
        <v>53.565887730000007</v>
      </c>
      <c r="P13" s="33">
        <v>50.627451939999993</v>
      </c>
      <c r="Q13" s="4"/>
      <c r="R13" s="4"/>
      <c r="S13" s="4"/>
      <c r="T13" s="4"/>
    </row>
    <row r="14" spans="2:20" x14ac:dyDescent="0.25">
      <c r="C14" s="36" t="s">
        <v>3</v>
      </c>
      <c r="D14" s="33">
        <v>2.8704516699999996</v>
      </c>
      <c r="E14" s="33">
        <v>5.3985388900000011</v>
      </c>
      <c r="F14" s="33">
        <v>3.9600187299999998</v>
      </c>
      <c r="G14" s="33">
        <v>3.5325890400000004</v>
      </c>
      <c r="H14" s="33">
        <v>4.03199533</v>
      </c>
      <c r="I14" s="33">
        <v>3.3844768799999967</v>
      </c>
      <c r="J14" s="33">
        <v>3.2099275600000001</v>
      </c>
      <c r="K14" s="33">
        <v>4.1598064099999998</v>
      </c>
      <c r="L14" s="33">
        <v>4.1940366999999998</v>
      </c>
      <c r="M14" s="33">
        <v>5.2911611800000014</v>
      </c>
      <c r="N14" s="33">
        <v>2.1877266</v>
      </c>
      <c r="O14" s="33">
        <v>3.4156304600000005</v>
      </c>
      <c r="P14" s="33">
        <v>3.7675372499999993</v>
      </c>
      <c r="Q14" s="4"/>
      <c r="R14" s="4"/>
      <c r="S14" s="4"/>
      <c r="T14" s="4"/>
    </row>
    <row r="15" spans="2:20" x14ac:dyDescent="0.25">
      <c r="C15" s="38" t="s">
        <v>4</v>
      </c>
      <c r="D15" s="33">
        <v>39.161335049999991</v>
      </c>
      <c r="E15" s="33">
        <v>37.125411880000016</v>
      </c>
      <c r="F15" s="33">
        <v>39.730290420000017</v>
      </c>
      <c r="G15" s="33">
        <v>46.861898929999988</v>
      </c>
      <c r="H15" s="33">
        <v>40.418580630000001</v>
      </c>
      <c r="I15" s="33">
        <v>30.910216920000007</v>
      </c>
      <c r="J15" s="33">
        <v>35.281120810000004</v>
      </c>
      <c r="K15" s="33">
        <v>42.10855424999999</v>
      </c>
      <c r="L15" s="33">
        <v>33.194388509999996</v>
      </c>
      <c r="M15" s="33">
        <v>29.680995280000001</v>
      </c>
      <c r="N15" s="33">
        <v>30.576129499999997</v>
      </c>
      <c r="O15" s="33">
        <v>39.993170610000007</v>
      </c>
      <c r="P15" s="33">
        <v>35.915244170000001</v>
      </c>
      <c r="Q15" s="4"/>
      <c r="R15" s="4"/>
      <c r="S15" s="4"/>
      <c r="T15" s="4"/>
    </row>
    <row r="16" spans="2:20" x14ac:dyDescent="0.25">
      <c r="C16" s="37" t="s">
        <v>269</v>
      </c>
      <c r="D16" s="41">
        <v>98.577236719999988</v>
      </c>
      <c r="E16" s="41">
        <v>103.11963335000006</v>
      </c>
      <c r="F16" s="41">
        <v>101.12907716000002</v>
      </c>
      <c r="G16" s="41">
        <v>112.38218826999997</v>
      </c>
      <c r="H16" s="41">
        <v>93.451079830000012</v>
      </c>
      <c r="I16" s="41">
        <v>86.163617860000031</v>
      </c>
      <c r="J16" s="41">
        <v>91.270222509999996</v>
      </c>
      <c r="K16" s="41">
        <v>93.931471340000016</v>
      </c>
      <c r="L16" s="41">
        <v>82.353932839999999</v>
      </c>
      <c r="M16" s="41">
        <v>76.342304059999961</v>
      </c>
      <c r="N16" s="41">
        <v>77.334310320000014</v>
      </c>
      <c r="O16" s="41">
        <v>90.143427880000019</v>
      </c>
      <c r="P16" s="41">
        <v>82.775158860000005</v>
      </c>
      <c r="Q16" s="4"/>
      <c r="R16" s="4"/>
      <c r="S16" s="4"/>
      <c r="T16" s="4"/>
    </row>
    <row r="17" spans="3:20" x14ac:dyDescent="0.25">
      <c r="C17" s="36" t="s">
        <v>270</v>
      </c>
      <c r="D17" s="33">
        <v>22.22337508</v>
      </c>
      <c r="E17" s="33">
        <v>1.788966710000004</v>
      </c>
      <c r="F17" s="33">
        <v>6.3134550000000047</v>
      </c>
      <c r="G17" s="33">
        <v>35.465691730000003</v>
      </c>
      <c r="H17" s="33">
        <v>19.780888079999997</v>
      </c>
      <c r="I17" s="33">
        <v>0.49431418999999732</v>
      </c>
      <c r="J17" s="33">
        <v>1.9194679999999935</v>
      </c>
      <c r="K17" s="33">
        <v>5.2933684100000029</v>
      </c>
      <c r="L17" s="33">
        <v>27.806468280000001</v>
      </c>
      <c r="M17" s="33">
        <v>1.7000000000000001E-2</v>
      </c>
      <c r="N17" s="33">
        <v>4.6158610499999995</v>
      </c>
      <c r="O17" s="33">
        <v>1.4799130399999976</v>
      </c>
      <c r="P17" s="33">
        <v>16.104754660000001</v>
      </c>
      <c r="Q17" s="4"/>
      <c r="R17" s="4"/>
      <c r="S17" s="4"/>
      <c r="T17" s="4"/>
    </row>
    <row r="18" spans="3:20" x14ac:dyDescent="0.25">
      <c r="C18" s="36" t="s">
        <v>6</v>
      </c>
      <c r="D18" s="33">
        <v>16.037447800000002</v>
      </c>
      <c r="E18" s="33">
        <v>22.461824699999994</v>
      </c>
      <c r="F18" s="33">
        <v>23.390103000000003</v>
      </c>
      <c r="G18" s="33">
        <v>19.9183074</v>
      </c>
      <c r="H18" s="33">
        <v>12.608753031397999</v>
      </c>
      <c r="I18" s="33">
        <v>14.043876999999993</v>
      </c>
      <c r="J18" s="33">
        <v>75.724895033000024</v>
      </c>
      <c r="K18" s="33">
        <v>-2.0562832999999954E-2</v>
      </c>
      <c r="L18" s="33">
        <v>6.8816975999999999</v>
      </c>
      <c r="M18" s="33">
        <v>-9.553096291749986</v>
      </c>
      <c r="N18" s="33">
        <v>-2.3971148945000023</v>
      </c>
      <c r="O18" s="33">
        <v>-0.15838004150000778</v>
      </c>
      <c r="P18" s="33">
        <v>6.7375737000000004</v>
      </c>
      <c r="Q18" s="4"/>
      <c r="R18" s="4"/>
      <c r="S18" s="4"/>
      <c r="T18" s="4"/>
    </row>
    <row r="19" spans="3:20" x14ac:dyDescent="0.25">
      <c r="C19" s="39" t="s">
        <v>271</v>
      </c>
      <c r="D19" s="33">
        <v>0.41999175000000383</v>
      </c>
      <c r="E19" s="33">
        <v>22.04656823000002</v>
      </c>
      <c r="F19" s="33">
        <v>2.635547709999976</v>
      </c>
      <c r="G19" s="33">
        <v>60.975609310043318</v>
      </c>
      <c r="H19" s="33">
        <v>1.7989252000000016</v>
      </c>
      <c r="I19" s="33">
        <v>9.6835243500000221</v>
      </c>
      <c r="J19" s="33">
        <v>63.243361443880275</v>
      </c>
      <c r="K19" s="33">
        <v>2.1491812400000088</v>
      </c>
      <c r="L19" s="33">
        <v>2.1557572999999977</v>
      </c>
      <c r="M19" s="33">
        <v>-3.322015869999996</v>
      </c>
      <c r="N19" s="33">
        <v>14.626777350000001</v>
      </c>
      <c r="O19" s="33">
        <v>-5.7439019499999961</v>
      </c>
      <c r="P19" s="33">
        <v>-3.5860180899999992</v>
      </c>
      <c r="Q19" s="4"/>
      <c r="R19" s="4"/>
      <c r="S19" s="4"/>
      <c r="T19" s="4"/>
    </row>
    <row r="20" spans="3:20" x14ac:dyDescent="0.25">
      <c r="C20" s="37" t="s">
        <v>272</v>
      </c>
      <c r="D20" s="41">
        <v>38.680814630000008</v>
      </c>
      <c r="E20" s="41">
        <v>46.297359640000018</v>
      </c>
      <c r="F20" s="41">
        <v>32.339105709999984</v>
      </c>
      <c r="G20" s="41">
        <v>116.35960844004333</v>
      </c>
      <c r="H20" s="41">
        <v>34.188566311397992</v>
      </c>
      <c r="I20" s="41">
        <v>24.221715540000012</v>
      </c>
      <c r="J20" s="41">
        <v>140.88772447688029</v>
      </c>
      <c r="K20" s="41">
        <v>7.4219868170000121</v>
      </c>
      <c r="L20" s="41">
        <v>36.843923179999997</v>
      </c>
      <c r="M20" s="41">
        <v>-12.858112161749983</v>
      </c>
      <c r="N20" s="41">
        <v>16.845523505499997</v>
      </c>
      <c r="O20" s="41">
        <v>-4.4223689515000064</v>
      </c>
      <c r="P20" s="41">
        <v>19.256310270000004</v>
      </c>
      <c r="Q20" s="4"/>
      <c r="R20" s="4"/>
      <c r="S20" s="4"/>
      <c r="T20" s="4"/>
    </row>
    <row r="21" spans="3:20" x14ac:dyDescent="0.25">
      <c r="C21" s="37" t="s">
        <v>7</v>
      </c>
      <c r="D21" s="41">
        <v>332.86466081000015</v>
      </c>
      <c r="E21" s="41">
        <v>353.05195124000028</v>
      </c>
      <c r="F21" s="41">
        <v>336.30576134000069</v>
      </c>
      <c r="G21" s="41">
        <v>430.91983347004316</v>
      </c>
      <c r="H21" s="41">
        <v>326.02921068139796</v>
      </c>
      <c r="I21" s="41">
        <v>322.71653994999991</v>
      </c>
      <c r="J21" s="41">
        <v>442.98371677687965</v>
      </c>
      <c r="K21" s="41">
        <v>304.91914503700019</v>
      </c>
      <c r="L21" s="41">
        <v>317.90692744000006</v>
      </c>
      <c r="M21" s="41">
        <v>271.75761042825059</v>
      </c>
      <c r="N21" s="41">
        <v>287.09109928549975</v>
      </c>
      <c r="O21" s="41">
        <v>258.71008673850014</v>
      </c>
      <c r="P21" s="41">
        <v>263.35107435999993</v>
      </c>
      <c r="Q21" s="4"/>
      <c r="R21" s="4"/>
      <c r="S21" s="4"/>
      <c r="T21" s="4"/>
    </row>
    <row r="22" spans="3:20" x14ac:dyDescent="0.25">
      <c r="C22" s="36" t="s">
        <v>8</v>
      </c>
      <c r="D22" s="33">
        <v>79.248910979999991</v>
      </c>
      <c r="E22" s="33">
        <v>78.051616349999989</v>
      </c>
      <c r="F22" s="33">
        <v>77.824259269999999</v>
      </c>
      <c r="G22" s="33">
        <v>78.28335318000002</v>
      </c>
      <c r="H22" s="33">
        <v>77.26589946</v>
      </c>
      <c r="I22" s="33">
        <v>47.179098319999987</v>
      </c>
      <c r="J22" s="33">
        <v>72.191774350000046</v>
      </c>
      <c r="K22" s="33">
        <v>71.985065839999962</v>
      </c>
      <c r="L22" s="33">
        <v>70.510583669999988</v>
      </c>
      <c r="M22" s="33">
        <v>65.529828179999924</v>
      </c>
      <c r="N22" s="33">
        <v>65.936990100000031</v>
      </c>
      <c r="O22" s="33">
        <v>64.86258414000001</v>
      </c>
      <c r="P22" s="33">
        <v>63.934595849999994</v>
      </c>
      <c r="Q22" s="4"/>
      <c r="R22" s="4"/>
      <c r="S22" s="4"/>
      <c r="T22" s="4"/>
    </row>
    <row r="23" spans="3:20" x14ac:dyDescent="0.25">
      <c r="C23" s="36" t="s">
        <v>273</v>
      </c>
      <c r="D23" s="33">
        <v>5.1846107199999993</v>
      </c>
      <c r="E23" s="33">
        <v>4.201366049999999</v>
      </c>
      <c r="F23" s="33">
        <v>3.6985448499999984</v>
      </c>
      <c r="G23" s="33">
        <v>3.7242295499999991</v>
      </c>
      <c r="H23" s="33">
        <v>3.73932215</v>
      </c>
      <c r="I23" s="33">
        <v>3.7090120899999985</v>
      </c>
      <c r="J23" s="33">
        <v>6.5494392399999999</v>
      </c>
      <c r="K23" s="33">
        <v>2.2922332200000004</v>
      </c>
      <c r="L23" s="33">
        <v>2.2200671099999996</v>
      </c>
      <c r="M23" s="33">
        <v>2.0876028900000039</v>
      </c>
      <c r="N23" s="33">
        <v>2.0663479699999994</v>
      </c>
      <c r="O23" s="33">
        <v>0.52379113999999982</v>
      </c>
      <c r="P23" s="33">
        <v>3.4504659299999996</v>
      </c>
      <c r="Q23" s="4"/>
      <c r="R23" s="4"/>
      <c r="S23" s="4"/>
      <c r="T23" s="4"/>
    </row>
    <row r="24" spans="3:20" x14ac:dyDescent="0.25">
      <c r="C24" s="36" t="s">
        <v>9</v>
      </c>
      <c r="D24" s="33">
        <v>56.431684400000009</v>
      </c>
      <c r="E24" s="33">
        <v>52.140259739999919</v>
      </c>
      <c r="F24" s="33">
        <v>49.887905260000096</v>
      </c>
      <c r="G24" s="33">
        <v>63.785309789999978</v>
      </c>
      <c r="H24" s="33">
        <v>52.051247789999984</v>
      </c>
      <c r="I24" s="33">
        <v>49.021861809999884</v>
      </c>
      <c r="J24" s="33">
        <v>46.432125070000041</v>
      </c>
      <c r="K24" s="33">
        <v>53.600804209999993</v>
      </c>
      <c r="L24" s="33">
        <v>52.34089161</v>
      </c>
      <c r="M24" s="33">
        <v>52.730975859999916</v>
      </c>
      <c r="N24" s="33">
        <v>40.585990940000016</v>
      </c>
      <c r="O24" s="33">
        <v>47.63477258999999</v>
      </c>
      <c r="P24" s="33">
        <v>45.467286530000024</v>
      </c>
      <c r="Q24" s="4"/>
      <c r="R24" s="4"/>
      <c r="S24" s="4"/>
      <c r="T24" s="4"/>
    </row>
    <row r="25" spans="3:20" x14ac:dyDescent="0.25">
      <c r="C25" s="37" t="s">
        <v>10</v>
      </c>
      <c r="D25" s="41">
        <v>140.86520609999999</v>
      </c>
      <c r="E25" s="41">
        <v>134.39324213999993</v>
      </c>
      <c r="F25" s="41">
        <v>131.4107093800001</v>
      </c>
      <c r="G25" s="41">
        <v>145.79289252000001</v>
      </c>
      <c r="H25" s="41">
        <v>133.0564694</v>
      </c>
      <c r="I25" s="41">
        <v>99.909972219999872</v>
      </c>
      <c r="J25" s="41">
        <v>125.17333866000008</v>
      </c>
      <c r="K25" s="41">
        <v>127.87810326999995</v>
      </c>
      <c r="L25" s="41">
        <v>125.07154238999999</v>
      </c>
      <c r="M25" s="41">
        <v>120.34840692999984</v>
      </c>
      <c r="N25" s="41">
        <v>108.58932901000004</v>
      </c>
      <c r="O25" s="41">
        <v>113.02114786999999</v>
      </c>
      <c r="P25" s="41">
        <v>112.85234831000001</v>
      </c>
      <c r="Q25" s="4"/>
      <c r="R25" s="4"/>
      <c r="S25" s="4"/>
      <c r="T25" s="4"/>
    </row>
    <row r="26" spans="3:20" x14ac:dyDescent="0.25">
      <c r="C26" s="37" t="s">
        <v>274</v>
      </c>
      <c r="D26" s="42">
        <v>191.99945471000018</v>
      </c>
      <c r="E26" s="42">
        <v>218.65870910000035</v>
      </c>
      <c r="F26" s="42">
        <v>204.89505196000059</v>
      </c>
      <c r="G26" s="42">
        <v>285.12694095004315</v>
      </c>
      <c r="H26" s="42">
        <v>192.97274128139796</v>
      </c>
      <c r="I26" s="42">
        <v>222.80656773000004</v>
      </c>
      <c r="J26" s="42">
        <v>317.81037811687958</v>
      </c>
      <c r="K26" s="42">
        <v>177.04104176700025</v>
      </c>
      <c r="L26" s="42">
        <v>192.83538505000007</v>
      </c>
      <c r="M26" s="42">
        <v>151.40920349825075</v>
      </c>
      <c r="N26" s="42">
        <v>178.50177027549972</v>
      </c>
      <c r="O26" s="42">
        <v>145.68893886850014</v>
      </c>
      <c r="P26" s="42">
        <v>150.4987260499999</v>
      </c>
      <c r="Q26" s="4"/>
      <c r="R26" s="4"/>
      <c r="S26" s="4"/>
      <c r="T26" s="4"/>
    </row>
    <row r="27" spans="3:20" x14ac:dyDescent="0.25">
      <c r="C27" s="38" t="s">
        <v>12</v>
      </c>
      <c r="D27" s="34">
        <v>-21.629564839999997</v>
      </c>
      <c r="E27" s="34">
        <v>-5.9718378700000034</v>
      </c>
      <c r="F27" s="34">
        <v>1.7065965799999989</v>
      </c>
      <c r="G27" s="34">
        <v>-4.7086036299999998</v>
      </c>
      <c r="H27" s="34">
        <v>4.4658511800000005</v>
      </c>
      <c r="I27" s="34">
        <v>21.559930760000004</v>
      </c>
      <c r="J27" s="34">
        <v>11.114254590000003</v>
      </c>
      <c r="K27" s="34">
        <v>0.5354484899999975</v>
      </c>
      <c r="L27" s="34">
        <v>0.18106949000000022</v>
      </c>
      <c r="M27" s="34">
        <v>17.533356419999997</v>
      </c>
      <c r="N27" s="34">
        <v>2.204837840000001</v>
      </c>
      <c r="O27" s="34">
        <v>-2.3528545100000025</v>
      </c>
      <c r="P27" s="34">
        <v>-2.9895243399999987</v>
      </c>
      <c r="Q27" s="4"/>
      <c r="R27" s="4"/>
      <c r="S27" s="4"/>
      <c r="T27" s="4"/>
    </row>
    <row r="28" spans="3:20" x14ac:dyDescent="0.25">
      <c r="C28" s="37" t="s">
        <v>13</v>
      </c>
      <c r="D28" s="42">
        <v>213.62901955000018</v>
      </c>
      <c r="E28" s="42">
        <v>224.63054697000035</v>
      </c>
      <c r="F28" s="42">
        <v>203.18845538000059</v>
      </c>
      <c r="G28" s="42">
        <v>289.83554458004318</v>
      </c>
      <c r="H28" s="42">
        <v>188.50689010139797</v>
      </c>
      <c r="I28" s="42">
        <v>201.24663697000003</v>
      </c>
      <c r="J28" s="42">
        <v>306.69612352687955</v>
      </c>
      <c r="K28" s="42">
        <v>176.50559327700026</v>
      </c>
      <c r="L28" s="42">
        <v>192.65431556000007</v>
      </c>
      <c r="M28" s="42">
        <v>133.87584707825076</v>
      </c>
      <c r="N28" s="42">
        <v>176.29693243549971</v>
      </c>
      <c r="O28" s="42">
        <v>148.04179337850016</v>
      </c>
      <c r="P28" s="42">
        <v>153.48825038999991</v>
      </c>
      <c r="Q28" s="4"/>
      <c r="R28" s="4"/>
      <c r="S28" s="4"/>
      <c r="T28" s="4"/>
    </row>
    <row r="29" spans="3:20" x14ac:dyDescent="0.25">
      <c r="C29" s="40" t="s">
        <v>14</v>
      </c>
      <c r="D29" s="34">
        <v>48.730005294199998</v>
      </c>
      <c r="E29" s="34">
        <v>40.923894000000018</v>
      </c>
      <c r="F29" s="34">
        <v>42.626688999999999</v>
      </c>
      <c r="G29" s="34">
        <v>46.124905169999998</v>
      </c>
      <c r="H29" s="34">
        <v>40.989184000000002</v>
      </c>
      <c r="I29" s="34">
        <v>32.511606999999991</v>
      </c>
      <c r="J29" s="34">
        <v>57.955505000000016</v>
      </c>
      <c r="K29" s="34">
        <v>35.181110430000011</v>
      </c>
      <c r="L29" s="34">
        <v>47.815342999999999</v>
      </c>
      <c r="M29" s="34">
        <v>35.157512529999991</v>
      </c>
      <c r="N29" s="34">
        <v>40.055801700000011</v>
      </c>
      <c r="O29" s="34">
        <v>41.46470999000001</v>
      </c>
      <c r="P29" s="34">
        <v>33.749066939999999</v>
      </c>
      <c r="Q29" s="4"/>
      <c r="R29" s="4"/>
      <c r="S29" s="4"/>
      <c r="T29" s="4"/>
    </row>
    <row r="30" spans="3:20" x14ac:dyDescent="0.25">
      <c r="C30" s="37" t="s">
        <v>15</v>
      </c>
      <c r="D30" s="41">
        <v>164.89901425580018</v>
      </c>
      <c r="E30" s="41">
        <v>183.70665297000033</v>
      </c>
      <c r="F30" s="41">
        <v>160.56176638000059</v>
      </c>
      <c r="G30" s="41">
        <v>243.71063941004317</v>
      </c>
      <c r="H30" s="41">
        <v>147.51770610139798</v>
      </c>
      <c r="I30" s="41">
        <v>168.73502997000003</v>
      </c>
      <c r="J30" s="41">
        <v>248.74061852687953</v>
      </c>
      <c r="K30" s="41">
        <v>141.32448284700024</v>
      </c>
      <c r="L30" s="41">
        <v>144.83897256000006</v>
      </c>
      <c r="M30" s="41">
        <v>98.718334548250766</v>
      </c>
      <c r="N30" s="41">
        <v>136.24113073549969</v>
      </c>
      <c r="O30" s="41">
        <v>106.57708338850014</v>
      </c>
      <c r="P30" s="41">
        <v>119.7391834499999</v>
      </c>
      <c r="Q30" s="4"/>
      <c r="R30" s="4"/>
      <c r="S30" s="4"/>
      <c r="T30" s="4"/>
    </row>
    <row r="31" spans="3:20" x14ac:dyDescent="0.25">
      <c r="C31" s="33" t="s">
        <v>275</v>
      </c>
      <c r="D31" s="33">
        <v>-0.82530115684500005</v>
      </c>
      <c r="E31" s="33">
        <v>11.173873128809998</v>
      </c>
      <c r="F31" s="33">
        <v>0.36102479563799994</v>
      </c>
      <c r="G31" s="33">
        <v>0.74021172737850005</v>
      </c>
      <c r="H31" s="33">
        <v>0.36210778448100006</v>
      </c>
      <c r="I31" s="33">
        <v>21</v>
      </c>
      <c r="J31" s="33">
        <v>-1.4185223065649999</v>
      </c>
      <c r="K31" s="33">
        <v>1.1096429695649996</v>
      </c>
      <c r="L31" s="33">
        <v>-5.375700000001871E-5</v>
      </c>
      <c r="M31" s="33">
        <v>10.510554542573749</v>
      </c>
      <c r="N31" s="33">
        <v>0.20342176128250017</v>
      </c>
      <c r="O31" s="33">
        <v>-2.0119133138624998</v>
      </c>
      <c r="P31" s="33">
        <v>0.19892507466000001</v>
      </c>
    </row>
    <row r="32" spans="3:20" x14ac:dyDescent="0.25">
      <c r="C32" s="41" t="s">
        <v>276</v>
      </c>
      <c r="D32" s="41">
        <v>164.07371309895515</v>
      </c>
      <c r="E32" s="41">
        <v>194.88052609881032</v>
      </c>
      <c r="F32" s="41">
        <v>160.92279117563859</v>
      </c>
      <c r="G32" s="41">
        <v>244.45085113742167</v>
      </c>
      <c r="H32" s="41">
        <v>147.87981388587897</v>
      </c>
      <c r="I32" s="41">
        <v>189.73502997000003</v>
      </c>
      <c r="J32" s="41">
        <v>247.32209622031453</v>
      </c>
      <c r="K32" s="41">
        <v>142.43412581656523</v>
      </c>
      <c r="L32" s="41">
        <v>144.83891880300007</v>
      </c>
      <c r="M32" s="41">
        <v>109.22888909082451</v>
      </c>
      <c r="N32" s="41">
        <v>136.44455249678219</v>
      </c>
      <c r="O32" s="41">
        <v>104.56517007463765</v>
      </c>
      <c r="P32" s="41">
        <v>119.9381085246599</v>
      </c>
    </row>
    <row r="36" spans="3:16" x14ac:dyDescent="0.25">
      <c r="C36" s="9" t="s">
        <v>348</v>
      </c>
      <c r="D36" s="43" t="s">
        <v>351</v>
      </c>
      <c r="E36" s="43" t="s">
        <v>16</v>
      </c>
      <c r="F36" s="43" t="s">
        <v>17</v>
      </c>
      <c r="G36" s="43" t="s">
        <v>18</v>
      </c>
      <c r="H36" s="43" t="s">
        <v>19</v>
      </c>
      <c r="I36" s="43" t="s">
        <v>20</v>
      </c>
      <c r="J36" s="43" t="s">
        <v>21</v>
      </c>
      <c r="K36" s="43" t="s">
        <v>22</v>
      </c>
      <c r="L36" s="43" t="s">
        <v>23</v>
      </c>
      <c r="M36" s="43" t="s">
        <v>24</v>
      </c>
      <c r="N36" s="43" t="s">
        <v>25</v>
      </c>
      <c r="O36" s="43" t="s">
        <v>26</v>
      </c>
      <c r="P36" s="43" t="s">
        <v>27</v>
      </c>
    </row>
    <row r="37" spans="3:16" x14ac:dyDescent="0.25">
      <c r="C37" s="35" t="s">
        <v>228</v>
      </c>
      <c r="D37" s="33">
        <v>424</v>
      </c>
      <c r="E37" s="33">
        <v>437</v>
      </c>
      <c r="F37" s="33">
        <v>452</v>
      </c>
      <c r="G37" s="33">
        <v>457</v>
      </c>
      <c r="H37" s="33">
        <v>447</v>
      </c>
      <c r="I37" s="33">
        <v>463</v>
      </c>
      <c r="J37" s="33">
        <v>465</v>
      </c>
      <c r="K37" s="33">
        <v>455</v>
      </c>
      <c r="L37" s="33">
        <v>441</v>
      </c>
      <c r="M37" s="33">
        <v>434</v>
      </c>
      <c r="N37" s="33">
        <v>406</v>
      </c>
      <c r="O37" s="33">
        <v>355</v>
      </c>
      <c r="P37" s="33">
        <v>327</v>
      </c>
    </row>
    <row r="38" spans="3:16" x14ac:dyDescent="0.25">
      <c r="C38" s="36" t="s">
        <v>0</v>
      </c>
      <c r="D38" s="33">
        <v>228.30166376</v>
      </c>
      <c r="E38" s="33">
        <v>232.15352858</v>
      </c>
      <c r="F38" s="33">
        <v>249.41242965999999</v>
      </c>
      <c r="G38" s="33">
        <v>254.22622719</v>
      </c>
      <c r="H38" s="33">
        <v>248.75082700999999</v>
      </c>
      <c r="I38" s="33">
        <v>250.92790137</v>
      </c>
      <c r="J38" s="33">
        <v>254.21750978999998</v>
      </c>
      <c r="K38" s="33">
        <v>251.2156554</v>
      </c>
      <c r="L38" s="33">
        <v>241.26579206000019</v>
      </c>
      <c r="M38" s="33">
        <v>225.49702967999991</v>
      </c>
      <c r="N38" s="33">
        <v>212.95896018999974</v>
      </c>
      <c r="O38" s="33">
        <v>181.7312596500002</v>
      </c>
      <c r="P38" s="33">
        <v>165.03989293000012</v>
      </c>
    </row>
    <row r="39" spans="3:16" x14ac:dyDescent="0.25">
      <c r="C39" s="37" t="s">
        <v>1</v>
      </c>
      <c r="D39" s="41">
        <f>D37-D38</f>
        <v>195.69833624</v>
      </c>
      <c r="E39" s="41">
        <f t="shared" ref="E39:P39" si="0">E37-E38</f>
        <v>204.84647142</v>
      </c>
      <c r="F39" s="41">
        <f t="shared" si="0"/>
        <v>202.58757034000001</v>
      </c>
      <c r="G39" s="41">
        <f t="shared" si="0"/>
        <v>202.77377281</v>
      </c>
      <c r="H39" s="41">
        <f t="shared" si="0"/>
        <v>198.24917299000001</v>
      </c>
      <c r="I39" s="41">
        <f t="shared" si="0"/>
        <v>212.07209863</v>
      </c>
      <c r="J39" s="41">
        <f t="shared" si="0"/>
        <v>210.78249021000002</v>
      </c>
      <c r="K39" s="41">
        <f t="shared" si="0"/>
        <v>203.7843446</v>
      </c>
      <c r="L39" s="41">
        <f t="shared" si="0"/>
        <v>199.73420793999981</v>
      </c>
      <c r="M39" s="41">
        <f t="shared" si="0"/>
        <v>208.50297032000009</v>
      </c>
      <c r="N39" s="41">
        <f t="shared" si="0"/>
        <v>193.04103981000026</v>
      </c>
      <c r="O39" s="41">
        <f t="shared" si="0"/>
        <v>173.2687403499998</v>
      </c>
      <c r="P39" s="41">
        <f t="shared" si="0"/>
        <v>161.96010706999988</v>
      </c>
    </row>
    <row r="40" spans="3:16" x14ac:dyDescent="0.25">
      <c r="C40" s="36" t="s">
        <v>2</v>
      </c>
      <c r="D40" s="33">
        <v>62.286353340000005</v>
      </c>
      <c r="E40" s="33">
        <v>71.392760359999997</v>
      </c>
      <c r="F40" s="33">
        <v>65.358805469999993</v>
      </c>
      <c r="G40" s="33">
        <v>69.052878379999996</v>
      </c>
      <c r="H40" s="33">
        <v>57.064494530000005</v>
      </c>
      <c r="I40" s="33">
        <v>58.63787782</v>
      </c>
      <c r="J40" s="33">
        <v>59.199029259999996</v>
      </c>
      <c r="K40" s="33">
        <v>55.982723499999999</v>
      </c>
      <c r="L40" s="33">
        <v>53.353581029999908</v>
      </c>
      <c r="M40" s="33">
        <v>51.952469959999974</v>
      </c>
      <c r="N40" s="33">
        <v>48.94590741999999</v>
      </c>
      <c r="O40" s="33">
        <v>53.565887729999986</v>
      </c>
      <c r="P40" s="33">
        <v>50.627451939999993</v>
      </c>
    </row>
    <row r="41" spans="3:16" x14ac:dyDescent="0.25">
      <c r="C41" s="36" t="s">
        <v>3</v>
      </c>
      <c r="D41" s="33">
        <v>2.87045167</v>
      </c>
      <c r="E41" s="33">
        <v>5.3985388899999993</v>
      </c>
      <c r="F41" s="33">
        <v>3.9600187299999998</v>
      </c>
      <c r="G41" s="33">
        <v>3.53258904</v>
      </c>
      <c r="H41" s="33">
        <v>4.03199533</v>
      </c>
      <c r="I41" s="33">
        <v>3.3844768799999998</v>
      </c>
      <c r="J41" s="33">
        <v>3.2099275600000001</v>
      </c>
      <c r="K41" s="33">
        <v>4.1598064099999998</v>
      </c>
      <c r="L41" s="33">
        <v>4.1940366999999998</v>
      </c>
      <c r="M41" s="33">
        <v>5.2911611799999987</v>
      </c>
      <c r="N41" s="33">
        <v>2.1877266</v>
      </c>
      <c r="O41" s="33">
        <v>3.41563046</v>
      </c>
      <c r="P41" s="33">
        <v>3.7675372500000002</v>
      </c>
    </row>
    <row r="42" spans="3:16" x14ac:dyDescent="0.25">
      <c r="C42" s="38" t="s">
        <v>4</v>
      </c>
      <c r="D42" s="33">
        <v>0.67464776999999998</v>
      </c>
      <c r="E42" s="33">
        <v>3</v>
      </c>
      <c r="F42" s="33">
        <v>0.71808742000000003</v>
      </c>
      <c r="G42" s="33">
        <v>0.69450293000000007</v>
      </c>
      <c r="H42" s="33">
        <v>40.418580630000001</v>
      </c>
      <c r="I42" s="33">
        <v>0.64773592000000002</v>
      </c>
      <c r="J42" s="33">
        <v>0.66019481000000002</v>
      </c>
      <c r="K42" s="33">
        <v>0.64860724999999997</v>
      </c>
      <c r="L42" s="33">
        <v>0.77664051000000001</v>
      </c>
      <c r="M42" s="33">
        <v>0.61245228000000018</v>
      </c>
      <c r="N42" s="33">
        <v>0.63919049999999999</v>
      </c>
      <c r="O42" s="33">
        <v>1.2670186099999998</v>
      </c>
      <c r="P42" s="33">
        <v>0.55450816999999997</v>
      </c>
    </row>
    <row r="43" spans="3:16" x14ac:dyDescent="0.25">
      <c r="C43" s="37" t="s">
        <v>269</v>
      </c>
      <c r="D43" s="41">
        <f>D40-D41+D42</f>
        <v>60.090549440000004</v>
      </c>
      <c r="E43" s="41">
        <f t="shared" ref="E43:P43" si="1">E40-E41+E42</f>
        <v>68.994221469999999</v>
      </c>
      <c r="F43" s="41">
        <f t="shared" si="1"/>
        <v>62.116874159999995</v>
      </c>
      <c r="G43" s="41">
        <f t="shared" si="1"/>
        <v>66.21479226999999</v>
      </c>
      <c r="H43" s="41">
        <f t="shared" si="1"/>
        <v>93.451079829999998</v>
      </c>
      <c r="I43" s="41">
        <f t="shared" si="1"/>
        <v>55.901136860000001</v>
      </c>
      <c r="J43" s="41">
        <f t="shared" si="1"/>
        <v>56.649296509999999</v>
      </c>
      <c r="K43" s="41">
        <f t="shared" si="1"/>
        <v>52.471524339999995</v>
      </c>
      <c r="L43" s="41">
        <f t="shared" si="1"/>
        <v>49.93618483999991</v>
      </c>
      <c r="M43" s="41">
        <f t="shared" si="1"/>
        <v>47.273761059999977</v>
      </c>
      <c r="N43" s="41">
        <f t="shared" si="1"/>
        <v>47.397371319999991</v>
      </c>
      <c r="O43" s="41">
        <f t="shared" si="1"/>
        <v>51.417275879999984</v>
      </c>
      <c r="P43" s="41">
        <f t="shared" si="1"/>
        <v>47.414422859999995</v>
      </c>
    </row>
    <row r="44" spans="3:16" x14ac:dyDescent="0.25">
      <c r="C44" s="36" t="s">
        <v>270</v>
      </c>
      <c r="D44" s="33">
        <v>22.156557420000002</v>
      </c>
      <c r="E44" s="33">
        <v>1.78896671</v>
      </c>
      <c r="F44" s="33">
        <v>6.3104550000000001</v>
      </c>
      <c r="G44" s="33">
        <v>35.450691729999996</v>
      </c>
      <c r="H44" s="33">
        <v>19.780888079999997</v>
      </c>
      <c r="I44" s="33">
        <v>0.47531419000000003</v>
      </c>
      <c r="J44" s="33">
        <v>1.919468</v>
      </c>
      <c r="K44" s="33">
        <v>5.2933684100000002</v>
      </c>
      <c r="L44" s="33">
        <v>27.806468279999997</v>
      </c>
      <c r="M44" s="33">
        <v>0</v>
      </c>
      <c r="N44" s="33">
        <v>4.6158610499999995</v>
      </c>
      <c r="O44" s="33">
        <v>1.47991304</v>
      </c>
      <c r="P44" s="33">
        <v>16.104754660000001</v>
      </c>
    </row>
    <row r="45" spans="3:16" x14ac:dyDescent="0.25">
      <c r="C45" s="36" t="s">
        <v>6</v>
      </c>
      <c r="D45" s="33">
        <v>15.623091000000001</v>
      </c>
      <c r="E45" s="33">
        <v>22.461824699999998</v>
      </c>
      <c r="F45" s="33">
        <v>0</v>
      </c>
      <c r="G45" s="33">
        <v>0</v>
      </c>
      <c r="H45" s="33">
        <v>12.608753029999999</v>
      </c>
      <c r="I45" s="33">
        <v>7.1400000000000001E-4</v>
      </c>
      <c r="J45" s="33">
        <v>0</v>
      </c>
      <c r="K45" s="33">
        <v>3.769171</v>
      </c>
      <c r="L45" s="33">
        <v>0</v>
      </c>
      <c r="M45" s="33">
        <v>0</v>
      </c>
      <c r="N45" s="33">
        <v>-6.3604999999999998E-4</v>
      </c>
      <c r="O45" s="33">
        <v>82.78637470999999</v>
      </c>
      <c r="P45" s="33">
        <v>6.21</v>
      </c>
    </row>
    <row r="46" spans="3:16" x14ac:dyDescent="0.25">
      <c r="C46" s="39" t="s">
        <v>271</v>
      </c>
      <c r="D46" s="33">
        <v>0.41999175</v>
      </c>
      <c r="E46" s="33">
        <v>22.046568230000002</v>
      </c>
      <c r="F46" s="33">
        <v>2.63554771</v>
      </c>
      <c r="G46" s="33">
        <v>77.15798298</v>
      </c>
      <c r="H46" s="33">
        <v>1.7989252</v>
      </c>
      <c r="I46" s="33">
        <v>9.683524349999999</v>
      </c>
      <c r="J46" s="33">
        <v>66.07404185</v>
      </c>
      <c r="K46" s="33">
        <v>2.1491812400000003</v>
      </c>
      <c r="L46" s="33">
        <v>2.155757300000027</v>
      </c>
      <c r="M46" s="33">
        <v>-3.3220158700000288</v>
      </c>
      <c r="N46" s="33">
        <v>14.626777350000006</v>
      </c>
      <c r="O46" s="33">
        <v>-5.7439019500000139</v>
      </c>
      <c r="P46" s="33">
        <v>-3.5860180899999774</v>
      </c>
    </row>
    <row r="47" spans="3:16" x14ac:dyDescent="0.25">
      <c r="C47" s="37" t="s">
        <v>272</v>
      </c>
      <c r="D47" s="41">
        <f>D44+D45+D46</f>
        <v>38.199640170000002</v>
      </c>
      <c r="E47" s="41">
        <f t="shared" ref="E47:P47" si="2">E44+E45+E46</f>
        <v>46.297359639999996</v>
      </c>
      <c r="F47" s="41">
        <f t="shared" si="2"/>
        <v>8.9460027100000001</v>
      </c>
      <c r="G47" s="41">
        <f t="shared" si="2"/>
        <v>112.60867471</v>
      </c>
      <c r="H47" s="41">
        <f t="shared" si="2"/>
        <v>34.188566309999999</v>
      </c>
      <c r="I47" s="41">
        <f t="shared" si="2"/>
        <v>10.159552539999998</v>
      </c>
      <c r="J47" s="41">
        <f t="shared" si="2"/>
        <v>67.993509849999995</v>
      </c>
      <c r="K47" s="41">
        <f t="shared" si="2"/>
        <v>11.21172065</v>
      </c>
      <c r="L47" s="41">
        <f t="shared" si="2"/>
        <v>29.962225580000023</v>
      </c>
      <c r="M47" s="41">
        <f t="shared" si="2"/>
        <v>-3.3220158700000288</v>
      </c>
      <c r="N47" s="41">
        <f t="shared" si="2"/>
        <v>19.242002350000007</v>
      </c>
      <c r="O47" s="41">
        <f t="shared" si="2"/>
        <v>78.522385799999981</v>
      </c>
      <c r="P47" s="41">
        <f t="shared" si="2"/>
        <v>18.728736570000024</v>
      </c>
    </row>
    <row r="48" spans="3:16" x14ac:dyDescent="0.25">
      <c r="C48" s="37" t="s">
        <v>7</v>
      </c>
      <c r="D48" s="41">
        <f>D39+D43+D47</f>
        <v>293.98852585000003</v>
      </c>
      <c r="E48" s="41">
        <f t="shared" ref="E48:P48" si="3">E39+E43+E47</f>
        <v>320.13805252999998</v>
      </c>
      <c r="F48" s="41">
        <f t="shared" si="3"/>
        <v>273.65044721000004</v>
      </c>
      <c r="G48" s="41">
        <f t="shared" si="3"/>
        <v>381.59723979</v>
      </c>
      <c r="H48" s="41">
        <f t="shared" si="3"/>
        <v>325.88881913</v>
      </c>
      <c r="I48" s="41">
        <f t="shared" si="3"/>
        <v>278.13278802999997</v>
      </c>
      <c r="J48" s="41">
        <f t="shared" si="3"/>
        <v>335.42529657</v>
      </c>
      <c r="K48" s="41">
        <f t="shared" si="3"/>
        <v>267.46758958999999</v>
      </c>
      <c r="L48" s="41">
        <f t="shared" si="3"/>
        <v>279.6326183599997</v>
      </c>
      <c r="M48" s="41">
        <f t="shared" si="3"/>
        <v>252.45471551000003</v>
      </c>
      <c r="N48" s="41">
        <f t="shared" si="3"/>
        <v>259.68041348000025</v>
      </c>
      <c r="O48" s="41">
        <f t="shared" si="3"/>
        <v>303.20840202999977</v>
      </c>
      <c r="P48" s="41">
        <f t="shared" si="3"/>
        <v>228.1032664999999</v>
      </c>
    </row>
    <row r="49" spans="3:16" x14ac:dyDescent="0.25">
      <c r="C49" s="36" t="s">
        <v>8</v>
      </c>
      <c r="D49" s="33">
        <v>50.970659759999997</v>
      </c>
      <c r="E49" s="33">
        <v>78.051616349999989</v>
      </c>
      <c r="F49" s="33">
        <v>50.61736535</v>
      </c>
      <c r="G49" s="33">
        <v>47.179616179999996</v>
      </c>
      <c r="H49" s="33">
        <v>77.413586459999991</v>
      </c>
      <c r="I49" s="33">
        <v>16.400054319999999</v>
      </c>
      <c r="J49" s="33">
        <v>46.163336350000002</v>
      </c>
      <c r="K49" s="33">
        <v>43.15313184</v>
      </c>
      <c r="L49" s="33">
        <v>43.332483669999988</v>
      </c>
      <c r="M49" s="33">
        <v>37.424272179999981</v>
      </c>
      <c r="N49" s="33">
        <v>41.862959099999976</v>
      </c>
      <c r="O49" s="33">
        <v>38.542702140000003</v>
      </c>
      <c r="P49" s="33">
        <v>37.18220585000001</v>
      </c>
    </row>
    <row r="50" spans="3:16" x14ac:dyDescent="0.25">
      <c r="C50" s="36" t="s">
        <v>273</v>
      </c>
      <c r="D50" s="33">
        <v>3.7539253399999999</v>
      </c>
      <c r="E50" s="33">
        <v>4.2013656500000005</v>
      </c>
      <c r="F50" s="33">
        <v>2.31584455</v>
      </c>
      <c r="G50" s="33">
        <v>2.34233885</v>
      </c>
      <c r="H50" s="33">
        <v>3.73932215</v>
      </c>
      <c r="I50" s="33">
        <v>2.36963999</v>
      </c>
      <c r="J50" s="33">
        <v>2.3804093399999999</v>
      </c>
      <c r="K50" s="33">
        <v>2.3754912200000002</v>
      </c>
      <c r="L50" s="33">
        <v>2.3895211099999973</v>
      </c>
      <c r="M50" s="33">
        <v>2.3940008899999996</v>
      </c>
      <c r="N50" s="33">
        <v>2.4152493700000002</v>
      </c>
      <c r="O50" s="33">
        <v>2.4142977399999994</v>
      </c>
      <c r="P50" s="33">
        <v>2.3443239300000003</v>
      </c>
    </row>
    <row r="51" spans="3:16" x14ac:dyDescent="0.25">
      <c r="C51" s="36" t="s">
        <v>9</v>
      </c>
      <c r="D51" s="33">
        <v>50.426645560000004</v>
      </c>
      <c r="E51" s="33">
        <v>52.14025934</v>
      </c>
      <c r="F51" s="33">
        <v>43.274080749999996</v>
      </c>
      <c r="G51" s="33">
        <v>56.237650250000002</v>
      </c>
      <c r="H51" s="33">
        <v>52.139370569999997</v>
      </c>
      <c r="I51" s="33">
        <v>42.667885810000001</v>
      </c>
      <c r="J51" s="33">
        <v>40.636595069999998</v>
      </c>
      <c r="K51" s="33">
        <v>48.100021210000001</v>
      </c>
      <c r="L51" s="33">
        <v>45.056613610000007</v>
      </c>
      <c r="M51" s="33">
        <v>45.589845860000011</v>
      </c>
      <c r="N51" s="33">
        <v>36.25147093999999</v>
      </c>
      <c r="O51" s="33">
        <v>40.065794590000003</v>
      </c>
      <c r="P51" s="33">
        <v>40.091420530000001</v>
      </c>
    </row>
    <row r="52" spans="3:16" x14ac:dyDescent="0.25">
      <c r="C52" s="37" t="s">
        <v>10</v>
      </c>
      <c r="D52" s="41">
        <f>D49+D50+D51</f>
        <v>105.15123066000001</v>
      </c>
      <c r="E52" s="41">
        <f t="shared" ref="E52:P52" si="4">E49+E50+E51</f>
        <v>134.39324133999997</v>
      </c>
      <c r="F52" s="41">
        <f t="shared" si="4"/>
        <v>96.207290650000004</v>
      </c>
      <c r="G52" s="41">
        <f t="shared" si="4"/>
        <v>105.75960527999999</v>
      </c>
      <c r="H52" s="41">
        <f t="shared" si="4"/>
        <v>133.29227917999998</v>
      </c>
      <c r="I52" s="41">
        <f t="shared" si="4"/>
        <v>61.43758012</v>
      </c>
      <c r="J52" s="41">
        <f t="shared" si="4"/>
        <v>89.180340760000007</v>
      </c>
      <c r="K52" s="41">
        <f t="shared" si="4"/>
        <v>93.628644269999995</v>
      </c>
      <c r="L52" s="41">
        <f t="shared" si="4"/>
        <v>90.778618389999991</v>
      </c>
      <c r="M52" s="41">
        <f t="shared" si="4"/>
        <v>85.408118930000001</v>
      </c>
      <c r="N52" s="41">
        <f t="shared" si="4"/>
        <v>80.529679409999972</v>
      </c>
      <c r="O52" s="41">
        <f t="shared" si="4"/>
        <v>81.022794470000008</v>
      </c>
      <c r="P52" s="41">
        <f t="shared" si="4"/>
        <v>79.617950310000012</v>
      </c>
    </row>
    <row r="53" spans="3:16" x14ac:dyDescent="0.25">
      <c r="C53" s="37" t="s">
        <v>274</v>
      </c>
      <c r="D53" s="42">
        <f>D48-D52</f>
        <v>188.83729519000002</v>
      </c>
      <c r="E53" s="42">
        <f t="shared" ref="E53:P53" si="5">E48-E52</f>
        <v>185.74481119000001</v>
      </c>
      <c r="F53" s="42">
        <f t="shared" si="5"/>
        <v>177.44315656000003</v>
      </c>
      <c r="G53" s="42">
        <f t="shared" si="5"/>
        <v>275.83763451000004</v>
      </c>
      <c r="H53" s="42">
        <f t="shared" si="5"/>
        <v>192.59653995000002</v>
      </c>
      <c r="I53" s="42">
        <f t="shared" si="5"/>
        <v>216.69520790999997</v>
      </c>
      <c r="J53" s="42">
        <f t="shared" si="5"/>
        <v>246.24495580999999</v>
      </c>
      <c r="K53" s="42">
        <f t="shared" si="5"/>
        <v>173.83894531999999</v>
      </c>
      <c r="L53" s="42">
        <f t="shared" si="5"/>
        <v>188.85399996999971</v>
      </c>
      <c r="M53" s="42">
        <f t="shared" si="5"/>
        <v>167.04659658000003</v>
      </c>
      <c r="N53" s="42">
        <f t="shared" si="5"/>
        <v>179.15073407000028</v>
      </c>
      <c r="O53" s="42">
        <f t="shared" si="5"/>
        <v>222.18560755999977</v>
      </c>
      <c r="P53" s="42">
        <f t="shared" si="5"/>
        <v>148.48531618999988</v>
      </c>
    </row>
    <row r="54" spans="3:16" x14ac:dyDescent="0.25">
      <c r="C54" s="38" t="s">
        <v>12</v>
      </c>
      <c r="D54" s="34">
        <v>-21.62956484</v>
      </c>
      <c r="E54" s="34">
        <v>-5.9718378699999999</v>
      </c>
      <c r="F54" s="34">
        <v>1.70659658</v>
      </c>
      <c r="G54" s="34">
        <v>-4.7086036299999998</v>
      </c>
      <c r="H54" s="34">
        <v>4.4658511799999996</v>
      </c>
      <c r="I54" s="34">
        <v>21.55993076</v>
      </c>
      <c r="J54" s="34">
        <v>11.11425459</v>
      </c>
      <c r="K54" s="34">
        <v>0.53544848999999994</v>
      </c>
      <c r="L54" s="34">
        <v>0.18106948999996483</v>
      </c>
      <c r="M54" s="34">
        <v>17.533356419999986</v>
      </c>
      <c r="N54" s="34">
        <v>2.2048378399999451</v>
      </c>
      <c r="O54" s="34">
        <v>-2.3528545099999927</v>
      </c>
      <c r="P54" s="34">
        <v>-2.9895243399999858</v>
      </c>
    </row>
    <row r="55" spans="3:16" x14ac:dyDescent="0.25">
      <c r="C55" s="37" t="s">
        <v>13</v>
      </c>
      <c r="D55" s="42">
        <f>D53-D54</f>
        <v>210.46686003000002</v>
      </c>
      <c r="E55" s="42">
        <f t="shared" ref="E55:P55" si="6">E53-E54</f>
        <v>191.71664906000001</v>
      </c>
      <c r="F55" s="42">
        <f t="shared" si="6"/>
        <v>175.73655998000004</v>
      </c>
      <c r="G55" s="42">
        <f t="shared" si="6"/>
        <v>280.54623814000007</v>
      </c>
      <c r="H55" s="42">
        <f t="shared" si="6"/>
        <v>188.13068877000003</v>
      </c>
      <c r="I55" s="42">
        <f t="shared" si="6"/>
        <v>195.13527714999998</v>
      </c>
      <c r="J55" s="42">
        <f t="shared" si="6"/>
        <v>235.13070121999999</v>
      </c>
      <c r="K55" s="42">
        <f t="shared" si="6"/>
        <v>173.30349683</v>
      </c>
      <c r="L55" s="42">
        <f t="shared" si="6"/>
        <v>188.67293047999974</v>
      </c>
      <c r="M55" s="42">
        <f t="shared" si="6"/>
        <v>149.51324016000004</v>
      </c>
      <c r="N55" s="42">
        <f t="shared" si="6"/>
        <v>176.94589623000033</v>
      </c>
      <c r="O55" s="42">
        <f t="shared" si="6"/>
        <v>224.53846206999975</v>
      </c>
      <c r="P55" s="42">
        <f t="shared" si="6"/>
        <v>151.47484052999985</v>
      </c>
    </row>
    <row r="56" spans="3:16" x14ac:dyDescent="0.25">
      <c r="C56" s="40" t="s">
        <v>14</v>
      </c>
      <c r="D56" s="34">
        <v>47.698441000000003</v>
      </c>
      <c r="E56" s="34">
        <v>40.735106999999999</v>
      </c>
      <c r="F56" s="34">
        <v>41.358694999999997</v>
      </c>
      <c r="G56" s="34">
        <v>44.144359170000001</v>
      </c>
      <c r="H56" s="34">
        <v>40.989184000000002</v>
      </c>
      <c r="I56" s="34">
        <v>32.954943</v>
      </c>
      <c r="J56" s="34">
        <v>57.182183999999999</v>
      </c>
      <c r="K56" s="34">
        <v>33.823095430000002</v>
      </c>
      <c r="L56" s="34">
        <v>47.808343000000001</v>
      </c>
      <c r="M56" s="34">
        <v>36.477283710000002</v>
      </c>
      <c r="N56" s="34">
        <v>39.589582519999993</v>
      </c>
      <c r="O56" s="34">
        <v>39.797134990000004</v>
      </c>
      <c r="P56" s="34">
        <v>33.159721939999997</v>
      </c>
    </row>
    <row r="57" spans="3:16" x14ac:dyDescent="0.25">
      <c r="C57" s="37" t="s">
        <v>15</v>
      </c>
      <c r="D57" s="41">
        <f>D55-D56</f>
        <v>162.76841903000002</v>
      </c>
      <c r="E57" s="41">
        <f t="shared" ref="E57:P57" si="7">E55-E56</f>
        <v>150.98154206000001</v>
      </c>
      <c r="F57" s="41">
        <f t="shared" si="7"/>
        <v>134.37786498000003</v>
      </c>
      <c r="G57" s="41">
        <f t="shared" si="7"/>
        <v>236.40187897000007</v>
      </c>
      <c r="H57" s="41">
        <f t="shared" si="7"/>
        <v>147.14150477000004</v>
      </c>
      <c r="I57" s="41">
        <f t="shared" si="7"/>
        <v>162.18033414999996</v>
      </c>
      <c r="J57" s="41">
        <f t="shared" si="7"/>
        <v>177.94851721999999</v>
      </c>
      <c r="K57" s="41">
        <f t="shared" si="7"/>
        <v>139.48040140000001</v>
      </c>
      <c r="L57" s="41">
        <f t="shared" si="7"/>
        <v>140.86458747999973</v>
      </c>
      <c r="M57" s="41">
        <f t="shared" si="7"/>
        <v>113.03595645000004</v>
      </c>
      <c r="N57" s="41">
        <f t="shared" si="7"/>
        <v>137.35631371000034</v>
      </c>
      <c r="O57" s="41">
        <f t="shared" si="7"/>
        <v>184.74132707999973</v>
      </c>
      <c r="P57" s="41">
        <f t="shared" si="7"/>
        <v>118.31511858999986</v>
      </c>
    </row>
    <row r="58" spans="3:16" x14ac:dyDescent="0.25">
      <c r="C58" s="33" t="s">
        <v>275</v>
      </c>
      <c r="D58" s="33">
        <v>3.1820929999999997E-2</v>
      </c>
      <c r="E58" s="33">
        <v>9.6129221699999992</v>
      </c>
      <c r="F58" s="33">
        <v>0.23377501999999997</v>
      </c>
      <c r="G58" s="33">
        <v>-0.18595247000000001</v>
      </c>
      <c r="H58" s="33">
        <v>7.7151730000000002E-2</v>
      </c>
      <c r="I58" s="33">
        <v>22.725634240000002</v>
      </c>
      <c r="J58" s="33">
        <v>0.13179178</v>
      </c>
      <c r="K58" s="33">
        <v>-0.22388006999999996</v>
      </c>
      <c r="L58" s="33">
        <v>0.11279851999999999</v>
      </c>
      <c r="M58" s="33">
        <v>7.8577980000000016</v>
      </c>
      <c r="N58" s="33">
        <v>-9.2603999999997912E-4</v>
      </c>
      <c r="O58" s="33">
        <v>-2.0371204000000001</v>
      </c>
      <c r="P58" s="33">
        <v>9.0362739999999997E-2</v>
      </c>
    </row>
    <row r="59" spans="3:16" x14ac:dyDescent="0.25">
      <c r="C59" s="41" t="s">
        <v>276</v>
      </c>
      <c r="D59" s="41">
        <f>D57+D58</f>
        <v>162.80023996000003</v>
      </c>
      <c r="E59" s="41">
        <f t="shared" ref="E59:P59" si="8">E57+E58</f>
        <v>160.59446423</v>
      </c>
      <c r="F59" s="41">
        <f t="shared" si="8"/>
        <v>134.61164000000002</v>
      </c>
      <c r="G59" s="41">
        <f t="shared" si="8"/>
        <v>236.21592650000008</v>
      </c>
      <c r="H59" s="41">
        <f t="shared" si="8"/>
        <v>147.21865650000004</v>
      </c>
      <c r="I59" s="41">
        <f t="shared" si="8"/>
        <v>184.90596838999997</v>
      </c>
      <c r="J59" s="41">
        <f t="shared" si="8"/>
        <v>178.08030899999997</v>
      </c>
      <c r="K59" s="41">
        <f t="shared" si="8"/>
        <v>139.25652133</v>
      </c>
      <c r="L59" s="41">
        <f t="shared" si="8"/>
        <v>140.97738599999974</v>
      </c>
      <c r="M59" s="41">
        <f t="shared" si="8"/>
        <v>120.89375445000005</v>
      </c>
      <c r="N59" s="41">
        <f t="shared" si="8"/>
        <v>137.35538767000034</v>
      </c>
      <c r="O59" s="41">
        <f t="shared" si="8"/>
        <v>182.70420667999974</v>
      </c>
      <c r="P59" s="41">
        <f t="shared" si="8"/>
        <v>118.40548132999986</v>
      </c>
    </row>
    <row r="88" spans="3:3" x14ac:dyDescent="0.25">
      <c r="C88" s="7"/>
    </row>
  </sheetData>
  <hyperlinks>
    <hyperlink ref="C2" location="Forside!A1" display="Tilbake til forsiden" xr:uid="{95262B9C-7B16-4EF0-AD45-B7B229ECE95B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3699-6AF9-4C80-9783-BF3062B40C9F}">
  <sheetPr codeName="Sheet5"/>
  <dimension ref="B2:Q68"/>
  <sheetViews>
    <sheetView showGridLines="0" workbookViewId="0">
      <pane xSplit="3" ySplit="9" topLeftCell="D43" activePane="bottomRight" state="frozen"/>
      <selection activeCell="K50" sqref="K50"/>
      <selection pane="topRight" activeCell="K50" sqref="K50"/>
      <selection pane="bottomLeft" activeCell="K50" sqref="K50"/>
      <selection pane="bottomRight" activeCell="S66" sqref="S66"/>
    </sheetView>
  </sheetViews>
  <sheetFormatPr defaultRowHeight="15" x14ac:dyDescent="0.25"/>
  <cols>
    <col min="2" max="2" width="3.42578125" bestFit="1" customWidth="1"/>
    <col min="3" max="3" width="60.28515625" customWidth="1"/>
    <col min="4" max="5" width="10.7109375" bestFit="1" customWidth="1"/>
    <col min="6" max="6" width="10.42578125" bestFit="1" customWidth="1"/>
    <col min="7" max="7" width="10.5703125" bestFit="1" customWidth="1"/>
    <col min="8" max="8" width="10.42578125" bestFit="1" customWidth="1"/>
    <col min="9" max="9" width="10.28515625" bestFit="1" customWidth="1"/>
    <col min="10" max="10" width="10.5703125" bestFit="1" customWidth="1"/>
    <col min="11" max="11" width="10.42578125" bestFit="1" customWidth="1"/>
    <col min="12" max="12" width="10.7109375" bestFit="1" customWidth="1"/>
    <col min="13" max="14" width="10.42578125" bestFit="1" customWidth="1"/>
    <col min="15" max="15" width="10.7109375" bestFit="1" customWidth="1"/>
    <col min="16" max="16" width="10.5703125" bestFit="1" customWidth="1"/>
  </cols>
  <sheetData>
    <row r="2" spans="2:17" x14ac:dyDescent="0.25">
      <c r="C2" s="174" t="s">
        <v>349</v>
      </c>
    </row>
    <row r="6" spans="2:17" s="1" customFormat="1" ht="23.25" x14ac:dyDescent="0.35">
      <c r="B6" s="6" t="s">
        <v>74</v>
      </c>
      <c r="C6" s="3" t="s">
        <v>28</v>
      </c>
    </row>
    <row r="7" spans="2:17" s="1" customFormat="1" ht="23.25" x14ac:dyDescent="0.35">
      <c r="B7" s="6"/>
      <c r="C7" s="177" t="s">
        <v>354</v>
      </c>
    </row>
    <row r="8" spans="2:17" s="1" customFormat="1" x14ac:dyDescent="0.25"/>
    <row r="9" spans="2:17" s="1" customFormat="1" x14ac:dyDescent="0.25">
      <c r="C9" s="9"/>
      <c r="D9" s="43" t="s">
        <v>351</v>
      </c>
      <c r="E9" s="43" t="s">
        <v>16</v>
      </c>
      <c r="F9" s="43" t="s">
        <v>17</v>
      </c>
      <c r="G9" s="43" t="s">
        <v>18</v>
      </c>
      <c r="H9" s="43" t="s">
        <v>19</v>
      </c>
      <c r="I9" s="43" t="s">
        <v>20</v>
      </c>
      <c r="J9" s="43" t="s">
        <v>21</v>
      </c>
      <c r="K9" s="43" t="s">
        <v>22</v>
      </c>
      <c r="L9" s="43" t="s">
        <v>23</v>
      </c>
      <c r="M9" s="43" t="s">
        <v>24</v>
      </c>
      <c r="N9" s="43" t="s">
        <v>25</v>
      </c>
      <c r="O9" s="43" t="s">
        <v>26</v>
      </c>
      <c r="P9" s="43" t="s">
        <v>27</v>
      </c>
      <c r="Q9" s="4"/>
    </row>
    <row r="10" spans="2:17" s="1" customFormat="1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s="1" customFormat="1" x14ac:dyDescent="0.25">
      <c r="C11" s="8" t="s">
        <v>29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4"/>
    </row>
    <row r="12" spans="2:17" s="1" customFormat="1" x14ac:dyDescent="0.25">
      <c r="C12" s="178" t="s">
        <v>285</v>
      </c>
      <c r="D12" s="45">
        <v>0.13014899021544371</v>
      </c>
      <c r="E12" s="45">
        <v>0.13723437063667748</v>
      </c>
      <c r="F12" s="45">
        <v>0.12317867756845513</v>
      </c>
      <c r="G12" s="45">
        <v>0.20094412752316471</v>
      </c>
      <c r="H12" s="45">
        <v>0.11982811984051323</v>
      </c>
      <c r="I12" s="45">
        <v>0.13446738912428377</v>
      </c>
      <c r="J12" s="45">
        <v>0.20856448760607027</v>
      </c>
      <c r="K12" s="45">
        <v>0.12363917304615316</v>
      </c>
      <c r="L12" s="45">
        <v>0.12759147182005753</v>
      </c>
      <c r="M12" s="45">
        <v>8.701466913735495E-2</v>
      </c>
      <c r="N12" s="45">
        <v>0.12340578765763563</v>
      </c>
      <c r="O12" s="45">
        <v>0.10031829285071592</v>
      </c>
      <c r="P12" s="45">
        <v>0.11543594422932554</v>
      </c>
      <c r="Q12" s="4"/>
    </row>
    <row r="13" spans="2:17" s="1" customFormat="1" x14ac:dyDescent="0.25">
      <c r="C13" s="178" t="s">
        <v>364</v>
      </c>
      <c r="D13" s="45">
        <v>0.12946843453854354</v>
      </c>
      <c r="E13" s="45">
        <v>0.14591564227170511</v>
      </c>
      <c r="F13" s="45">
        <v>0.12346840168995554</v>
      </c>
      <c r="G13" s="45">
        <v>0.20157161992324715</v>
      </c>
      <c r="H13" s="45">
        <v>0.12013611776083115</v>
      </c>
      <c r="I13" s="45">
        <v>0.15162884537477672</v>
      </c>
      <c r="J13" s="45">
        <v>0.20735469885314287</v>
      </c>
      <c r="K13" s="45">
        <v>0.12463896066631465</v>
      </c>
      <c r="L13" s="45">
        <v>0.12759142300204565</v>
      </c>
      <c r="M13" s="45">
        <v>9.6279132827482947E-2</v>
      </c>
      <c r="N13" s="45">
        <v>0.12359004495601716</v>
      </c>
      <c r="O13" s="45">
        <v>9.8424530114926037E-2</v>
      </c>
      <c r="P13" s="45">
        <v>0.11562772024752309</v>
      </c>
      <c r="Q13" s="4"/>
    </row>
    <row r="14" spans="2:17" s="1" customFormat="1" x14ac:dyDescent="0.25">
      <c r="C14" s="178" t="s">
        <v>30</v>
      </c>
      <c r="D14" s="45">
        <v>0.35748602705798571</v>
      </c>
      <c r="E14" s="45">
        <v>0.38066320941180704</v>
      </c>
      <c r="F14" s="45">
        <v>0.35106648362394943</v>
      </c>
      <c r="G14" s="45">
        <v>0.27794447699941194</v>
      </c>
      <c r="H14" s="45">
        <v>0.40902608348053016</v>
      </c>
      <c r="I14" s="45">
        <v>0.22035758298697405</v>
      </c>
      <c r="J14" s="45">
        <v>0.26554079680850945</v>
      </c>
      <c r="K14" s="45">
        <v>0.34987329368198511</v>
      </c>
      <c r="L14" s="45">
        <v>0.32490091943056859</v>
      </c>
      <c r="M14" s="45">
        <v>0.33812554479574997</v>
      </c>
      <c r="N14" s="45">
        <v>0.30961060388725981</v>
      </c>
      <c r="O14" s="45">
        <v>0.26739828324399412</v>
      </c>
      <c r="P14" s="45">
        <v>0.34909994735213667</v>
      </c>
      <c r="Q14" s="4"/>
    </row>
    <row r="15" spans="2:17" s="1" customFormat="1" x14ac:dyDescent="0.25">
      <c r="C15" s="178" t="s">
        <v>31</v>
      </c>
      <c r="D15" s="45">
        <v>0.41084140339188052</v>
      </c>
      <c r="E15" s="45">
        <v>0.43811564767044447</v>
      </c>
      <c r="F15" s="45">
        <v>0.36291169189153077</v>
      </c>
      <c r="G15" s="45">
        <v>0.39440747038337948</v>
      </c>
      <c r="H15" s="45">
        <v>0.45696766656065624</v>
      </c>
      <c r="I15" s="45">
        <v>0.22869685009614846</v>
      </c>
      <c r="J15" s="45">
        <v>0.33294793951417073</v>
      </c>
      <c r="K15" s="45">
        <v>0.36517262833231456</v>
      </c>
      <c r="L15" s="45">
        <v>0.36392707867695184</v>
      </c>
      <c r="M15" s="45">
        <v>0.33373635813540498</v>
      </c>
      <c r="N15" s="45">
        <v>0.33434914964541002</v>
      </c>
      <c r="O15" s="45">
        <v>0.36093260441489383</v>
      </c>
      <c r="P15" s="45">
        <v>0.38033384309397711</v>
      </c>
      <c r="Q15" s="4"/>
    </row>
    <row r="16" spans="2:17" s="1" customFormat="1" x14ac:dyDescent="0.25">
      <c r="C16" s="178" t="s">
        <v>32</v>
      </c>
      <c r="D16" s="45">
        <v>0.42319063176371907</v>
      </c>
      <c r="E16" s="45">
        <v>0.38066137764705649</v>
      </c>
      <c r="F16" s="45">
        <v>0.3907477197428848</v>
      </c>
      <c r="G16" s="45">
        <v>0.33832950167547882</v>
      </c>
      <c r="H16" s="45">
        <v>0.40811211094218597</v>
      </c>
      <c r="I16" s="45">
        <v>0.30959049150526785</v>
      </c>
      <c r="J16" s="45">
        <v>0.28256871284288521</v>
      </c>
      <c r="K16" s="45">
        <v>0.4193836476042942</v>
      </c>
      <c r="L16" s="45">
        <v>0.3934218841884321</v>
      </c>
      <c r="M16" s="45">
        <v>0.44285202074138125</v>
      </c>
      <c r="N16" s="45">
        <v>0.37823997079760602</v>
      </c>
      <c r="O16" s="45">
        <v>0.43686409484389332</v>
      </c>
      <c r="P16" s="45">
        <v>0.42852435132173139</v>
      </c>
      <c r="Q16" s="4"/>
    </row>
    <row r="17" spans="3:17" s="1" customFormat="1" x14ac:dyDescent="0.25">
      <c r="C17" s="178" t="s">
        <v>33</v>
      </c>
      <c r="D17" s="45">
        <v>5.9283550994225177E-3</v>
      </c>
      <c r="E17" s="45">
        <v>6.2524680652882572E-3</v>
      </c>
      <c r="F17" s="45">
        <v>6.2617080707136168E-3</v>
      </c>
      <c r="G17" s="45">
        <v>6.3060544524021723E-3</v>
      </c>
      <c r="H17" s="45">
        <v>6.2718910860901419E-3</v>
      </c>
      <c r="I17" s="45">
        <v>6.7400424822410326E-3</v>
      </c>
      <c r="J17" s="45">
        <v>6.7182683386494716E-3</v>
      </c>
      <c r="K17" s="45">
        <v>6.5699954778652703E-3</v>
      </c>
      <c r="L17" s="45">
        <v>6.5180116987532191E-3</v>
      </c>
      <c r="M17" s="45">
        <v>6.8473718319029073E-3</v>
      </c>
      <c r="N17" s="45">
        <v>6.341545493503368E-3</v>
      </c>
      <c r="O17" s="45">
        <v>5.7284519394373316E-3</v>
      </c>
      <c r="P17" s="45">
        <v>5.4039381660096588E-3</v>
      </c>
      <c r="Q17" s="4"/>
    </row>
    <row r="18" spans="3:17" s="1" customFormat="1" x14ac:dyDescent="0.25">
      <c r="C18" s="178" t="s">
        <v>34</v>
      </c>
      <c r="D18" s="45">
        <v>6.3854333636751727E-3</v>
      </c>
      <c r="E18" s="45">
        <v>6.8060996545621236E-3</v>
      </c>
      <c r="F18" s="45">
        <v>6.8740413241491867E-3</v>
      </c>
      <c r="G18" s="45">
        <v>6.9727375935857523E-3</v>
      </c>
      <c r="H18" s="45">
        <v>6.8605193958661262E-3</v>
      </c>
      <c r="I18" s="45">
        <v>7.1984818698011648E-3</v>
      </c>
      <c r="J18" s="45">
        <v>7.1901027659954236E-3</v>
      </c>
      <c r="K18" s="45">
        <v>7.081122975170228E-3</v>
      </c>
      <c r="L18" s="45">
        <v>6.9747844058990725E-3</v>
      </c>
      <c r="M18" s="45">
        <v>6.8473718319029073E-3</v>
      </c>
      <c r="N18" s="45">
        <v>6.341545493503368E-3</v>
      </c>
      <c r="O18" s="45">
        <v>5.7284519394373316E-3</v>
      </c>
      <c r="P18" s="45">
        <v>5.4039381660096588E-3</v>
      </c>
      <c r="Q18" s="4"/>
    </row>
    <row r="19" spans="3:17" s="1" customFormat="1" x14ac:dyDescent="0.25">
      <c r="C19" s="7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3:17" s="1" customFormat="1" x14ac:dyDescent="0.25">
      <c r="C20" s="7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3:17" s="1" customFormat="1" x14ac:dyDescent="0.25">
      <c r="C21" s="8" t="s">
        <v>35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4"/>
    </row>
    <row r="22" spans="3:17" s="1" customFormat="1" x14ac:dyDescent="0.25">
      <c r="C22" s="7" t="s">
        <v>36</v>
      </c>
      <c r="D22" s="33">
        <v>27018.08677582</v>
      </c>
      <c r="E22" s="33">
        <v>26863.655036150001</v>
      </c>
      <c r="F22" s="33">
        <v>26248.334926630003</v>
      </c>
      <c r="G22" s="33">
        <v>26201.259767059997</v>
      </c>
      <c r="H22" s="33">
        <v>25939.178014309997</v>
      </c>
      <c r="I22" s="33">
        <v>25645.847947689996</v>
      </c>
      <c r="J22" s="33">
        <v>25912.698074420001</v>
      </c>
      <c r="K22" s="33">
        <v>25796.377157820003</v>
      </c>
      <c r="L22" s="33">
        <v>25286.665515269997</v>
      </c>
      <c r="M22" s="33">
        <v>25054.706600009999</v>
      </c>
      <c r="N22" s="33">
        <v>24941.52490768001</v>
      </c>
      <c r="O22" s="33">
        <v>25026.960116440005</v>
      </c>
      <c r="P22" s="33">
        <v>24750.741046549996</v>
      </c>
      <c r="Q22" s="4"/>
    </row>
    <row r="23" spans="3:17" s="1" customFormat="1" x14ac:dyDescent="0.25">
      <c r="C23" s="7" t="s">
        <v>37</v>
      </c>
      <c r="D23" s="33">
        <v>40602.023759739997</v>
      </c>
      <c r="E23" s="33">
        <v>40326.505405399999</v>
      </c>
      <c r="F23" s="33">
        <v>39777.117969040002</v>
      </c>
      <c r="G23" s="33">
        <v>39709.450760799999</v>
      </c>
      <c r="H23" s="33">
        <v>39448.696014309993</v>
      </c>
      <c r="I23" s="33">
        <v>39114.127947689994</v>
      </c>
      <c r="J23" s="33">
        <v>39136.824074420001</v>
      </c>
      <c r="K23" s="33">
        <v>38833.071157819999</v>
      </c>
      <c r="L23" s="33">
        <v>38367.432515269997</v>
      </c>
      <c r="M23" s="33">
        <v>37949.382110009996</v>
      </c>
      <c r="N23" s="33">
        <v>37836.076828680016</v>
      </c>
      <c r="O23" s="33">
        <v>37787.695116440002</v>
      </c>
      <c r="P23" s="33">
        <v>37299.809046549992</v>
      </c>
      <c r="Q23" s="4"/>
    </row>
    <row r="24" spans="3:17" s="1" customFormat="1" x14ac:dyDescent="0.25">
      <c r="C24" s="7" t="s">
        <v>38</v>
      </c>
      <c r="D24" s="33">
        <v>22650.130873890001</v>
      </c>
      <c r="E24" s="33">
        <v>22461.574347109996</v>
      </c>
      <c r="F24" s="33">
        <v>22335.192570159998</v>
      </c>
      <c r="G24" s="33">
        <v>22408.119910150002</v>
      </c>
      <c r="H24" s="33">
        <v>21503.797545879988</v>
      </c>
      <c r="I24" s="33">
        <v>21014.082068080003</v>
      </c>
      <c r="J24" s="33">
        <v>20898.457865269997</v>
      </c>
      <c r="K24" s="33">
        <v>21053.84502819</v>
      </c>
      <c r="L24" s="33">
        <v>20096.32090581</v>
      </c>
      <c r="M24" s="33">
        <v>19349.679914590004</v>
      </c>
      <c r="N24" s="33">
        <v>19688.015005760004</v>
      </c>
      <c r="O24" s="33">
        <v>19948.973228880004</v>
      </c>
      <c r="P24" s="33">
        <v>19410.673414989997</v>
      </c>
      <c r="Q24" s="4"/>
    </row>
    <row r="25" spans="3:17" s="1" customFormat="1" x14ac:dyDescent="0.25">
      <c r="C25" s="178" t="s">
        <v>39</v>
      </c>
      <c r="D25" s="44">
        <v>0.838332153635722</v>
      </c>
      <c r="E25" s="44">
        <v>0.83613247403913604</v>
      </c>
      <c r="F25" s="44">
        <v>0.85091845378352116</v>
      </c>
      <c r="G25" s="44">
        <v>0.85523063048751957</v>
      </c>
      <c r="H25" s="44">
        <v>0.82900844174849642</v>
      </c>
      <c r="I25" s="44">
        <v>0.81939509705206726</v>
      </c>
      <c r="J25" s="44">
        <v>0.80649486229688039</v>
      </c>
      <c r="K25" s="44">
        <v>0.81615510966460125</v>
      </c>
      <c r="L25" s="44">
        <v>0.79473985582141404</v>
      </c>
      <c r="M25" s="44">
        <v>0.77229720640920541</v>
      </c>
      <c r="N25" s="44">
        <v>0.78936693240025824</v>
      </c>
      <c r="O25" s="44">
        <v>0.79709933352136075</v>
      </c>
      <c r="P25" s="44">
        <v>0.78424615159939415</v>
      </c>
      <c r="Q25" s="4"/>
    </row>
    <row r="26" spans="3:17" s="1" customFormat="1" x14ac:dyDescent="0.25">
      <c r="C26" s="178" t="s">
        <v>40</v>
      </c>
      <c r="D26" s="44">
        <v>0.55785718977755328</v>
      </c>
      <c r="E26" s="44">
        <v>0.55699282943823436</v>
      </c>
      <c r="F26" s="44">
        <v>0.56150856850776121</v>
      </c>
      <c r="G26" s="44">
        <v>0.56430193520255478</v>
      </c>
      <c r="H26" s="44">
        <v>0.54510794318979505</v>
      </c>
      <c r="I26" s="44">
        <v>0.53725043023287078</v>
      </c>
      <c r="J26" s="44">
        <v>0.53398451099483368</v>
      </c>
      <c r="K26" s="44">
        <v>0.54216275974222783</v>
      </c>
      <c r="L26" s="44">
        <v>0.52378591915974027</v>
      </c>
      <c r="M26" s="44">
        <v>0.50988129025389572</v>
      </c>
      <c r="N26" s="44">
        <v>0.52035032846841955</v>
      </c>
      <c r="O26" s="44">
        <v>0.52792246702024859</v>
      </c>
      <c r="P26" s="44">
        <v>0.52039605325500637</v>
      </c>
      <c r="Q26" s="4"/>
    </row>
    <row r="27" spans="3:17" s="1" customFormat="1" x14ac:dyDescent="0.25">
      <c r="C27" s="178" t="s">
        <v>41</v>
      </c>
      <c r="D27" s="45">
        <v>4.1593791480778471E-2</v>
      </c>
      <c r="E27" s="45">
        <v>4.7485545845236808E-2</v>
      </c>
      <c r="F27" s="45">
        <v>1.2952601510119453E-2</v>
      </c>
      <c r="G27" s="45">
        <v>1.5695328330910859E-2</v>
      </c>
      <c r="H27" s="45">
        <v>2.5804608308120487E-2</v>
      </c>
      <c r="I27" s="45">
        <v>2.3594023953956867E-2</v>
      </c>
      <c r="J27" s="45">
        <v>3.4244722482986892E-2</v>
      </c>
      <c r="K27" s="45">
        <v>2.960204522250157E-2</v>
      </c>
      <c r="L27" s="45">
        <v>9.2580974490400047E-3</v>
      </c>
      <c r="M27" s="45">
        <v>4.5378818155235355E-3</v>
      </c>
      <c r="N27" s="45">
        <v>2.3819643056659373E-2</v>
      </c>
      <c r="O27" s="45">
        <v>3.3195473810398238E-2</v>
      </c>
      <c r="P27" s="45">
        <v>4.0626250112787074E-2</v>
      </c>
      <c r="Q27" s="4"/>
    </row>
    <row r="28" spans="3:17" s="1" customFormat="1" x14ac:dyDescent="0.25">
      <c r="C28" s="179" t="s">
        <v>42</v>
      </c>
      <c r="D28" s="45">
        <v>2.9236143699442819E-2</v>
      </c>
      <c r="E28" s="45">
        <v>3.09958964017145E-2</v>
      </c>
      <c r="F28" s="45">
        <v>1.6360394839460158E-2</v>
      </c>
      <c r="G28" s="45">
        <v>2.2567867460658437E-2</v>
      </c>
      <c r="H28" s="45">
        <v>2.8181804935987324E-2</v>
      </c>
      <c r="I28" s="45">
        <v>3.069208964466304E-2</v>
      </c>
      <c r="J28" s="45">
        <v>3.1290152787409709E-2</v>
      </c>
      <c r="K28" s="45">
        <v>2.3285993043267769E-2</v>
      </c>
      <c r="L28" s="45">
        <v>1.1016000314527669E-2</v>
      </c>
      <c r="M28" s="45">
        <v>2.9946360940913898E-3</v>
      </c>
      <c r="N28" s="45">
        <v>3.7946741918986601E-2</v>
      </c>
      <c r="O28" s="45">
        <v>5.9653983059861117E-2</v>
      </c>
      <c r="P28" s="45">
        <v>6.6891686554383295E-2</v>
      </c>
      <c r="Q28" s="4"/>
    </row>
    <row r="29" spans="3:17" s="1" customFormat="1" x14ac:dyDescent="0.25">
      <c r="C29" s="178" t="s">
        <v>43</v>
      </c>
      <c r="D29" s="45">
        <v>5.3308413342537428E-2</v>
      </c>
      <c r="E29" s="45">
        <v>6.8882013230009559E-2</v>
      </c>
      <c r="F29" s="45">
        <v>6.8748360005913722E-2</v>
      </c>
      <c r="G29" s="45">
        <v>6.4324349312284687E-2</v>
      </c>
      <c r="H29" s="45">
        <v>7.0036532889115835E-2</v>
      </c>
      <c r="I29" s="45">
        <v>8.6017038051105416E-2</v>
      </c>
      <c r="J29" s="45">
        <v>6.1481203623415595E-2</v>
      </c>
      <c r="K29" s="45">
        <v>5.5384895585025913E-2</v>
      </c>
      <c r="L29" s="45">
        <v>3.5323220176921244E-2</v>
      </c>
      <c r="M29" s="45">
        <v>1.2136356318216633E-2</v>
      </c>
      <c r="N29" s="45">
        <v>2.6523868133360013E-2</v>
      </c>
      <c r="O29" s="45">
        <v>6.7011248810550216E-3</v>
      </c>
      <c r="P29" s="45">
        <v>4.5104175393025948E-2</v>
      </c>
      <c r="Q29" s="4"/>
    </row>
    <row r="30" spans="3:17" s="1" customFormat="1" x14ac:dyDescent="0.25">
      <c r="C30" s="7" t="s">
        <v>45</v>
      </c>
      <c r="D30" s="33">
        <v>33246.408706617447</v>
      </c>
      <c r="E30" s="33">
        <v>32743.771091841052</v>
      </c>
      <c r="F30" s="33">
        <v>32393.693385752242</v>
      </c>
      <c r="G30" s="33">
        <v>32392.967435656599</v>
      </c>
      <c r="H30" s="33">
        <v>31728.913618822382</v>
      </c>
      <c r="I30" s="33">
        <v>31534.16343938424</v>
      </c>
      <c r="J30" s="33">
        <v>31471.732179066144</v>
      </c>
      <c r="K30" s="33">
        <v>31290.205618845703</v>
      </c>
      <c r="L30" s="33">
        <v>30678.082659533131</v>
      </c>
      <c r="M30" s="33">
        <v>30294.213986700142</v>
      </c>
      <c r="N30" s="33">
        <v>30538.883336750081</v>
      </c>
      <c r="O30" s="33">
        <v>30301.574453114798</v>
      </c>
      <c r="P30" s="33">
        <v>30094.857126964667</v>
      </c>
      <c r="Q30" s="4"/>
    </row>
    <row r="31" spans="3:17" s="1" customFormat="1" x14ac:dyDescent="0.25">
      <c r="C31" s="178" t="s">
        <v>44</v>
      </c>
      <c r="D31" s="33">
        <v>32995.08989922925</v>
      </c>
      <c r="E31" s="33">
        <v>32568.732238796649</v>
      </c>
      <c r="F31" s="33">
        <v>32393.330410704421</v>
      </c>
      <c r="G31" s="33">
        <v>32060.940527239491</v>
      </c>
      <c r="H31" s="33">
        <v>31631.538529103309</v>
      </c>
      <c r="I31" s="33">
        <v>31502.947809225192</v>
      </c>
      <c r="J31" s="33">
        <v>31380.968898955922</v>
      </c>
      <c r="K31" s="33">
        <v>30984.144139189419</v>
      </c>
      <c r="L31" s="33">
        <v>30486.148323116635</v>
      </c>
      <c r="M31" s="33">
        <v>30416.548661725112</v>
      </c>
      <c r="N31" s="33">
        <v>30420.228894932439</v>
      </c>
      <c r="O31" s="33">
        <v>30198.215790039732</v>
      </c>
      <c r="P31" s="33">
        <v>29852.23003562243</v>
      </c>
      <c r="Q31" s="4"/>
    </row>
    <row r="32" spans="3:17" s="1" customFormat="1" x14ac:dyDescent="0.25">
      <c r="C32" s="178" t="s">
        <v>46</v>
      </c>
      <c r="D32" s="33">
        <v>46830.345690537448</v>
      </c>
      <c r="E32" s="33">
        <v>46206.621461091054</v>
      </c>
      <c r="F32" s="33">
        <v>45922.476428162241</v>
      </c>
      <c r="G32" s="33">
        <v>45901.158429396601</v>
      </c>
      <c r="H32" s="33">
        <v>45238.431618822382</v>
      </c>
      <c r="I32" s="33">
        <v>45002.443439384238</v>
      </c>
      <c r="J32" s="33">
        <v>44695.858179066141</v>
      </c>
      <c r="K32" s="33">
        <v>44326.899618845702</v>
      </c>
      <c r="L32" s="33">
        <v>43758.849659533131</v>
      </c>
      <c r="M32" s="33">
        <v>43188.88949670014</v>
      </c>
      <c r="N32" s="33">
        <v>43433.435257750083</v>
      </c>
      <c r="O32" s="33">
        <v>43062.309453114794</v>
      </c>
      <c r="P32" s="33">
        <v>42643.925126964663</v>
      </c>
      <c r="Q32" s="4"/>
    </row>
    <row r="33" spans="3:17" s="1" customFormat="1" x14ac:dyDescent="0.25">
      <c r="C33" s="178" t="s">
        <v>352</v>
      </c>
      <c r="D33" s="33">
        <v>46518.483575814251</v>
      </c>
      <c r="E33" s="33">
        <v>46064.548944626644</v>
      </c>
      <c r="F33" s="33">
        <v>45911.817428779425</v>
      </c>
      <c r="G33" s="33">
        <v>45569.795024109495</v>
      </c>
      <c r="H33" s="33">
        <v>45120.437529103307</v>
      </c>
      <c r="I33" s="33">
        <v>44849.15080922519</v>
      </c>
      <c r="J33" s="33">
        <v>44511.378898955925</v>
      </c>
      <c r="K33" s="33">
        <v>44042.874639189416</v>
      </c>
      <c r="L33" s="33">
        <v>43473.869578116632</v>
      </c>
      <c r="M33" s="33">
        <v>43311.162377225111</v>
      </c>
      <c r="N33" s="33">
        <v>43247.872355432439</v>
      </c>
      <c r="O33" s="33">
        <v>42853.117290039729</v>
      </c>
      <c r="P33" s="33">
        <v>42318.764035622429</v>
      </c>
      <c r="Q33" s="4"/>
    </row>
    <row r="34" spans="3:17" s="1" customFormat="1" x14ac:dyDescent="0.25">
      <c r="C34" s="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s="1" customFormat="1" x14ac:dyDescent="0.25">
      <c r="C35" s="8" t="s">
        <v>47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4"/>
    </row>
    <row r="36" spans="3:17" s="1" customFormat="1" x14ac:dyDescent="0.25">
      <c r="C36" s="178" t="s">
        <v>48</v>
      </c>
      <c r="D36" s="45">
        <v>4.537077699538164E-3</v>
      </c>
      <c r="E36" s="45">
        <v>5.370967116976033E-3</v>
      </c>
      <c r="F36" s="45">
        <v>5.7746674429387723E-3</v>
      </c>
      <c r="G36" s="45">
        <v>5.7125389431107055E-3</v>
      </c>
      <c r="H36" s="45">
        <v>5.9766123116085125E-3</v>
      </c>
      <c r="I36" s="45">
        <v>5.8230838664197152E-3</v>
      </c>
      <c r="J36" s="45">
        <v>5.0417669139918844E-3</v>
      </c>
      <c r="K36" s="45">
        <v>4.664431581041511E-3</v>
      </c>
      <c r="L36" s="45">
        <v>4.7191556997277315E-3</v>
      </c>
      <c r="M36" s="45"/>
      <c r="N36" s="45"/>
      <c r="O36" s="45"/>
      <c r="P36" s="45"/>
      <c r="Q36" s="4"/>
    </row>
    <row r="37" spans="3:17" s="1" customFormat="1" x14ac:dyDescent="0.25">
      <c r="C37" s="178" t="s">
        <v>49</v>
      </c>
      <c r="D37" s="45">
        <v>0.10073734374698137</v>
      </c>
      <c r="E37" s="45">
        <v>0.10082201521079319</v>
      </c>
      <c r="F37" s="45">
        <v>9.7403370605260414E-2</v>
      </c>
      <c r="G37" s="45">
        <v>9.9787791570503423E-2</v>
      </c>
      <c r="H37" s="45">
        <v>0.10085604093262904</v>
      </c>
      <c r="I37" s="45">
        <v>9.9900938479294946E-2</v>
      </c>
      <c r="J37" s="45">
        <v>0.11227476963242575</v>
      </c>
      <c r="K37" s="45">
        <v>9.3232344935412492E-2</v>
      </c>
      <c r="L37" s="45">
        <v>9.5810491545493676E-2</v>
      </c>
      <c r="M37" s="45"/>
      <c r="N37" s="45"/>
      <c r="O37" s="45"/>
      <c r="P37" s="45"/>
      <c r="Q37" s="4"/>
    </row>
    <row r="38" spans="3:17" s="1" customFormat="1" x14ac:dyDescent="0.25">
      <c r="C38" s="178" t="s">
        <v>50</v>
      </c>
      <c r="D38" s="45">
        <v>7.6174272999651434E-3</v>
      </c>
      <c r="E38" s="45">
        <v>8.4329112256671772E-3</v>
      </c>
      <c r="F38" s="45">
        <v>7.3699809789454368E-3</v>
      </c>
      <c r="G38" s="45">
        <v>7.6681054524174999E-3</v>
      </c>
      <c r="H38" s="45">
        <v>8.6325416012206849E-3</v>
      </c>
      <c r="I38" s="45">
        <v>1.1123072854246277E-2</v>
      </c>
      <c r="J38" s="45">
        <v>8.8441167954093139E-3</v>
      </c>
      <c r="K38" s="45">
        <v>6.7578750667803616E-3</v>
      </c>
      <c r="L38" s="45">
        <v>5.0630499978218061E-3</v>
      </c>
      <c r="M38" s="45"/>
      <c r="N38" s="45"/>
      <c r="O38" s="45"/>
      <c r="P38" s="45"/>
      <c r="Q38" s="4"/>
    </row>
    <row r="39" spans="3:17" s="1" customFormat="1" x14ac:dyDescent="0.25">
      <c r="C39" s="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3:17" s="1" customFormat="1" x14ac:dyDescent="0.25">
      <c r="C40" s="8" t="s">
        <v>264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4"/>
    </row>
    <row r="41" spans="3:17" s="1" customFormat="1" x14ac:dyDescent="0.25">
      <c r="C41" s="7" t="s">
        <v>51</v>
      </c>
      <c r="D41" s="45">
        <v>0.21848770628924935</v>
      </c>
      <c r="E41" s="45">
        <v>0.21933952011832453</v>
      </c>
      <c r="F41" s="45">
        <v>0.22547486435628622</v>
      </c>
      <c r="G41" s="45">
        <v>0.23541804696987537</v>
      </c>
      <c r="H41" s="45">
        <v>0.20460050954590184</v>
      </c>
      <c r="I41" s="45">
        <v>0.20301999803834317</v>
      </c>
      <c r="J41" s="45">
        <v>0.20924227138468526</v>
      </c>
      <c r="K41" s="45">
        <v>0.20705825022223803</v>
      </c>
      <c r="L41" s="45">
        <v>0.20704688848741359</v>
      </c>
      <c r="M41" s="45">
        <v>0.20379799260747064</v>
      </c>
      <c r="N41" s="45">
        <v>0.20266912087079261</v>
      </c>
      <c r="O41" s="45">
        <v>0.19647501151648086</v>
      </c>
      <c r="P41" s="45">
        <v>0.19454499692163893</v>
      </c>
      <c r="Q41" s="4"/>
    </row>
    <row r="42" spans="3:17" s="1" customFormat="1" x14ac:dyDescent="0.25">
      <c r="C42" s="7" t="s">
        <v>52</v>
      </c>
      <c r="D42" s="45">
        <v>0.19754620064185693</v>
      </c>
      <c r="E42" s="45">
        <v>0.19832208258365916</v>
      </c>
      <c r="F42" s="45">
        <v>0.20311488613829018</v>
      </c>
      <c r="G42" s="45">
        <v>0.21274158528724682</v>
      </c>
      <c r="H42" s="45">
        <v>0.18469679382200507</v>
      </c>
      <c r="I42" s="45">
        <v>0.18300400962322838</v>
      </c>
      <c r="J42" s="45">
        <v>0.18843707166427034</v>
      </c>
      <c r="K42" s="45">
        <v>0.18629839430909334</v>
      </c>
      <c r="L42" s="45">
        <v>0.18672851340277749</v>
      </c>
      <c r="M42" s="45">
        <v>0.18998008176334374</v>
      </c>
      <c r="N42" s="45">
        <v>0.18517218989906092</v>
      </c>
      <c r="O42" s="45">
        <v>0.18243088832494653</v>
      </c>
      <c r="P42" s="45">
        <v>0.18017111808925321</v>
      </c>
      <c r="Q42" s="4"/>
    </row>
    <row r="43" spans="3:17" s="1" customFormat="1" x14ac:dyDescent="0.25">
      <c r="C43" s="7" t="s">
        <v>53</v>
      </c>
      <c r="D43" s="45">
        <v>0.18011635657621752</v>
      </c>
      <c r="E43" s="45">
        <v>0.18055030942943595</v>
      </c>
      <c r="F43" s="45">
        <v>0.18587238054627483</v>
      </c>
      <c r="G43" s="45">
        <v>0.19461874639863014</v>
      </c>
      <c r="H43" s="45">
        <v>0.16837864693459884</v>
      </c>
      <c r="I43" s="45">
        <v>0.16630085730041033</v>
      </c>
      <c r="J43" s="45">
        <v>0.17888288118814491</v>
      </c>
      <c r="K43" s="45">
        <v>0.1765892960210822</v>
      </c>
      <c r="L43" s="45">
        <v>0.17667893040889976</v>
      </c>
      <c r="M43" s="45">
        <v>0.17945576301222285</v>
      </c>
      <c r="N43" s="45">
        <v>0.18332824401231643</v>
      </c>
      <c r="O43" s="45">
        <v>0.18058513732249551</v>
      </c>
      <c r="P43" s="45">
        <v>0.17828202591013687</v>
      </c>
      <c r="Q43" s="4"/>
    </row>
    <row r="44" spans="3:17" s="1" customFormat="1" x14ac:dyDescent="0.25">
      <c r="C44" s="7" t="s">
        <v>54</v>
      </c>
      <c r="D44" s="45">
        <v>0.22966022317328072</v>
      </c>
      <c r="E44" s="45">
        <v>0.23186220116915296</v>
      </c>
      <c r="F44" s="45">
        <v>0.24161545971528572</v>
      </c>
      <c r="G44" s="45">
        <v>0.24339247749926712</v>
      </c>
      <c r="H44" s="45">
        <v>0.20811243287318418</v>
      </c>
      <c r="I44" s="45">
        <v>0.20648734785464634</v>
      </c>
      <c r="J44" s="45">
        <v>0.22189824755462442</v>
      </c>
      <c r="K44" s="45">
        <v>0.2172903564656396</v>
      </c>
      <c r="L44" s="45">
        <v>0.18079999999999999</v>
      </c>
      <c r="M44" s="45">
        <v>0.185837758241819</v>
      </c>
      <c r="N44" s="45">
        <v>0.18718811028913895</v>
      </c>
      <c r="O44" s="45">
        <v>0.18344618465916562</v>
      </c>
      <c r="P44" s="45">
        <v>0.1833128235501523</v>
      </c>
      <c r="Q44" s="4"/>
    </row>
    <row r="45" spans="3:17" s="1" customFormat="1" x14ac:dyDescent="0.25">
      <c r="C45" s="7" t="s">
        <v>55</v>
      </c>
      <c r="D45" s="33">
        <v>4858.4065620000001</v>
      </c>
      <c r="E45" s="33">
        <v>4864.1390000000001</v>
      </c>
      <c r="F45" s="33">
        <v>4905.0332689999996</v>
      </c>
      <c r="G45" s="33">
        <v>5083.259</v>
      </c>
      <c r="H45" s="33">
        <v>4963.1377709999997</v>
      </c>
      <c r="I45" s="33">
        <v>4897.3429999999998</v>
      </c>
      <c r="J45" s="33">
        <v>4971.6651860000002</v>
      </c>
      <c r="K45" s="33">
        <v>4930.5339999999997</v>
      </c>
      <c r="L45" s="33">
        <v>4852.9889999999996</v>
      </c>
      <c r="M45" s="33">
        <v>4643.2157580000003</v>
      </c>
      <c r="N45" s="33">
        <v>4560.1890409999996</v>
      </c>
      <c r="O45" s="33">
        <v>4416.4939999999997</v>
      </c>
      <c r="P45" s="33">
        <v>4272.7782219999999</v>
      </c>
      <c r="Q45" s="4"/>
    </row>
    <row r="46" spans="3:17" s="1" customFormat="1" x14ac:dyDescent="0.25">
      <c r="C46" s="7" t="s">
        <v>56</v>
      </c>
      <c r="D46" s="33">
        <v>4392.740323</v>
      </c>
      <c r="E46" s="33">
        <v>4398.05</v>
      </c>
      <c r="F46" s="33">
        <v>4418.6090400000003</v>
      </c>
      <c r="G46" s="33">
        <v>4593.6180000000004</v>
      </c>
      <c r="H46" s="33">
        <v>4480.319407</v>
      </c>
      <c r="I46" s="33">
        <v>4414.5079999999998</v>
      </c>
      <c r="J46" s="33">
        <v>4477.3267980000001</v>
      </c>
      <c r="K46" s="33">
        <v>4436.1940000000004</v>
      </c>
      <c r="L46" s="33">
        <v>4376.7449399999996</v>
      </c>
      <c r="M46" s="33">
        <v>4328.3964580000002</v>
      </c>
      <c r="N46" s="33">
        <v>4166.4965410000004</v>
      </c>
      <c r="O46" s="33">
        <v>4100.8010000000004</v>
      </c>
      <c r="P46" s="33">
        <v>3957.0857219999998</v>
      </c>
      <c r="Q46" s="4"/>
    </row>
    <row r="47" spans="3:17" s="1" customFormat="1" x14ac:dyDescent="0.25">
      <c r="C47" s="7" t="s">
        <v>57</v>
      </c>
      <c r="D47" s="33">
        <v>4005.1612220000002</v>
      </c>
      <c r="E47" s="33">
        <v>4003.9378270000002</v>
      </c>
      <c r="F47" s="33">
        <v>4043.5115150000001</v>
      </c>
      <c r="G47" s="33">
        <v>4202.3010000000004</v>
      </c>
      <c r="H47" s="33">
        <v>4084.4786960000001</v>
      </c>
      <c r="I47" s="33">
        <v>4011.5867760000001</v>
      </c>
      <c r="J47" s="33">
        <v>4250.3160900000003</v>
      </c>
      <c r="K47" s="33">
        <v>4204.9979999999996</v>
      </c>
      <c r="L47" s="33">
        <v>4141.1919399999997</v>
      </c>
      <c r="M47" s="33">
        <v>4088.616458</v>
      </c>
      <c r="N47" s="33">
        <v>4125.0065409999997</v>
      </c>
      <c r="O47" s="33">
        <v>4059.3110000000001</v>
      </c>
      <c r="P47" s="33">
        <v>3915.595722</v>
      </c>
      <c r="Q47" s="4"/>
    </row>
    <row r="48" spans="3:17" s="1" customFormat="1" x14ac:dyDescent="0.25">
      <c r="C48" s="7" t="s">
        <v>58</v>
      </c>
      <c r="D48" s="45">
        <v>8.5400000000000004E-2</v>
      </c>
      <c r="E48" s="45">
        <v>8.5999999999999993E-2</v>
      </c>
      <c r="F48" s="45">
        <v>8.5999999999999993E-2</v>
      </c>
      <c r="G48" s="45">
        <v>8.9800000000000005E-2</v>
      </c>
      <c r="H48" s="45">
        <v>9.1300000000000006E-2</v>
      </c>
      <c r="I48" s="45">
        <v>8.9800000000000005E-2</v>
      </c>
      <c r="J48" s="45">
        <v>9.0899999999999995E-2</v>
      </c>
      <c r="K48" s="45">
        <v>9.1399999999999995E-2</v>
      </c>
      <c r="L48" s="45">
        <v>9.0800000000000006E-2</v>
      </c>
      <c r="M48" s="45">
        <v>9.0999999999999998E-2</v>
      </c>
      <c r="N48" s="45">
        <v>8.7999999999999995E-2</v>
      </c>
      <c r="O48" s="45">
        <v>8.6999999999999994E-2</v>
      </c>
      <c r="P48" s="45">
        <v>8.5000000000000006E-2</v>
      </c>
      <c r="Q48" s="4"/>
    </row>
    <row r="49" spans="3:17" s="1" customFormat="1" x14ac:dyDescent="0.25">
      <c r="C49" s="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3:17" s="1" customFormat="1" x14ac:dyDescent="0.25">
      <c r="C50" s="8" t="s">
        <v>59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4"/>
    </row>
    <row r="51" spans="3:17" s="1" customFormat="1" x14ac:dyDescent="0.25">
      <c r="C51" s="7" t="s">
        <v>60</v>
      </c>
      <c r="D51" s="44">
        <v>1.4574</v>
      </c>
      <c r="E51" s="44">
        <v>1.5940000000000001</v>
      </c>
      <c r="F51" s="44">
        <v>1.97</v>
      </c>
      <c r="G51" s="44">
        <v>1.94</v>
      </c>
      <c r="H51" s="44">
        <v>1.65</v>
      </c>
      <c r="I51" s="44">
        <v>2.2200000000000002</v>
      </c>
      <c r="J51" s="44">
        <v>2.2799999999999998</v>
      </c>
      <c r="K51" s="44">
        <v>3.16</v>
      </c>
      <c r="L51" s="44">
        <v>3.41</v>
      </c>
      <c r="M51" s="44">
        <v>3.3977118518631775</v>
      </c>
      <c r="N51" s="44">
        <v>3.3428421007928217</v>
      </c>
      <c r="O51" s="44">
        <v>2.3882321451089972</v>
      </c>
      <c r="P51" s="44">
        <v>2.8107489069268978</v>
      </c>
      <c r="Q51" s="4"/>
    </row>
    <row r="52" spans="3:17" s="1" customFormat="1" x14ac:dyDescent="0.25">
      <c r="C52" s="7" t="s">
        <v>61</v>
      </c>
      <c r="D52" s="44">
        <v>1.25</v>
      </c>
      <c r="E52" s="44">
        <v>1.26</v>
      </c>
      <c r="F52" s="44">
        <v>1.27</v>
      </c>
      <c r="G52" s="44">
        <v>1.31</v>
      </c>
      <c r="H52" s="44">
        <v>1.28</v>
      </c>
      <c r="I52" s="44">
        <v>1.32</v>
      </c>
      <c r="J52" s="44">
        <v>1.31</v>
      </c>
      <c r="K52" s="44">
        <v>1.36</v>
      </c>
      <c r="L52" s="44">
        <v>1.33</v>
      </c>
      <c r="M52" s="44">
        <v>1.3</v>
      </c>
      <c r="N52" s="44">
        <v>1.4067141135498471</v>
      </c>
      <c r="O52" s="44">
        <v>1.3151523533182783</v>
      </c>
      <c r="P52" s="44">
        <v>1.330289132405045</v>
      </c>
      <c r="Q52" s="4"/>
    </row>
    <row r="53" spans="3:17" s="1" customFormat="1" x14ac:dyDescent="0.25">
      <c r="C53" s="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3:17" s="1" customFormat="1" x14ac:dyDescent="0.25">
      <c r="C54" s="8" t="s">
        <v>62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4"/>
    </row>
    <row r="55" spans="3:17" s="1" customFormat="1" x14ac:dyDescent="0.25">
      <c r="C55" s="7" t="s">
        <v>63</v>
      </c>
      <c r="D55" s="4">
        <v>4</v>
      </c>
      <c r="E55" s="4">
        <v>4</v>
      </c>
      <c r="F55" s="4">
        <v>4</v>
      </c>
      <c r="G55" s="4">
        <v>4</v>
      </c>
      <c r="H55" s="4">
        <v>4</v>
      </c>
      <c r="I55" s="4">
        <v>4</v>
      </c>
      <c r="J55" s="4">
        <v>4</v>
      </c>
      <c r="K55" s="4">
        <v>4</v>
      </c>
      <c r="L55" s="4">
        <v>4</v>
      </c>
      <c r="M55" s="4">
        <v>4</v>
      </c>
      <c r="N55" s="4">
        <v>4</v>
      </c>
      <c r="O55" s="4">
        <v>4</v>
      </c>
      <c r="P55" s="4">
        <v>4</v>
      </c>
      <c r="Q55" s="4"/>
    </row>
    <row r="56" spans="3:17" s="1" customFormat="1" x14ac:dyDescent="0.25">
      <c r="C56" s="7" t="s">
        <v>64</v>
      </c>
      <c r="D56" s="46">
        <v>266.39999999999998</v>
      </c>
      <c r="E56" s="46">
        <v>266.28999999999996</v>
      </c>
      <c r="F56" s="46">
        <v>265.04999999999995</v>
      </c>
      <c r="G56" s="46">
        <v>272.75</v>
      </c>
      <c r="H56" s="46">
        <v>277.60000000000002</v>
      </c>
      <c r="I56" s="46">
        <v>270.10000000000002</v>
      </c>
      <c r="J56" s="46">
        <v>266.39999999999998</v>
      </c>
      <c r="K56" s="46">
        <v>262.69</v>
      </c>
      <c r="L56" s="46">
        <v>260.34000000000003</v>
      </c>
      <c r="M56" s="46">
        <v>253.18</v>
      </c>
      <c r="N56" s="46">
        <v>255.18</v>
      </c>
      <c r="O56" s="46">
        <v>241.89</v>
      </c>
      <c r="P56" s="46">
        <v>248.43</v>
      </c>
      <c r="Q56" s="4"/>
    </row>
    <row r="57" spans="3:17" s="1" customFormat="1" x14ac:dyDescent="0.25">
      <c r="C57" s="7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3:17" s="1" customFormat="1" x14ac:dyDescent="0.25">
      <c r="C58" s="8" t="s">
        <v>65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4"/>
    </row>
    <row r="59" spans="3:17" s="1" customFormat="1" x14ac:dyDescent="0.25">
      <c r="C59" s="178" t="s">
        <v>66</v>
      </c>
      <c r="D59" s="47">
        <v>0.97340543370485511</v>
      </c>
      <c r="E59" s="47">
        <v>0.97340504701768837</v>
      </c>
      <c r="F59" s="47">
        <v>0.97340474974030711</v>
      </c>
      <c r="G59" s="47">
        <v>0.97340516014976441</v>
      </c>
      <c r="H59" s="47">
        <v>0.97340516014976441</v>
      </c>
      <c r="I59" s="47">
        <v>0.97340515270683892</v>
      </c>
      <c r="J59" s="47">
        <v>0.97340522655039308</v>
      </c>
      <c r="K59" s="47">
        <v>0.97340553650301609</v>
      </c>
      <c r="L59" s="47">
        <v>0.9734055872403955</v>
      </c>
      <c r="M59" s="47">
        <v>0.97340558840926028</v>
      </c>
      <c r="N59" s="47">
        <v>0.97340552913503009</v>
      </c>
      <c r="O59" s="47">
        <v>0.97340563049063555</v>
      </c>
      <c r="P59" s="47">
        <v>0.97340573953223475</v>
      </c>
      <c r="Q59" s="4"/>
    </row>
    <row r="60" spans="3:17" s="1" customFormat="1" x14ac:dyDescent="0.25">
      <c r="C60" s="7" t="s">
        <v>67</v>
      </c>
      <c r="D60" s="33">
        <v>447.85</v>
      </c>
      <c r="E60" s="33">
        <v>415.95</v>
      </c>
      <c r="F60" s="33">
        <v>398</v>
      </c>
      <c r="G60" s="33">
        <v>385</v>
      </c>
      <c r="H60" s="33">
        <v>376</v>
      </c>
      <c r="I60" s="33">
        <v>329</v>
      </c>
      <c r="J60" s="33">
        <v>300.5</v>
      </c>
      <c r="K60" s="33">
        <v>295</v>
      </c>
      <c r="L60" s="33">
        <v>280</v>
      </c>
      <c r="M60" s="33">
        <v>304</v>
      </c>
      <c r="N60" s="33">
        <v>302</v>
      </c>
      <c r="O60" s="33">
        <v>312</v>
      </c>
      <c r="P60" s="33">
        <v>320</v>
      </c>
      <c r="Q60" s="4"/>
    </row>
    <row r="61" spans="3:17" s="1" customFormat="1" x14ac:dyDescent="0.25">
      <c r="C61" s="7" t="s">
        <v>68</v>
      </c>
      <c r="D61" s="33">
        <v>7009.0338792499997</v>
      </c>
      <c r="E61" s="33">
        <v>6509.7859597500001</v>
      </c>
      <c r="F61" s="33">
        <v>6228.8611899999996</v>
      </c>
      <c r="G61" s="33">
        <v>6025.405925</v>
      </c>
      <c r="H61" s="33">
        <v>5884.5522799999999</v>
      </c>
      <c r="I61" s="33">
        <v>5148.9832450000004</v>
      </c>
      <c r="J61" s="33">
        <v>4702.9467025000004</v>
      </c>
      <c r="K61" s="33">
        <v>4616.8694750000004</v>
      </c>
      <c r="L61" s="33">
        <v>4382.1134000000002</v>
      </c>
      <c r="M61" s="33">
        <v>4757.7231199999997</v>
      </c>
      <c r="N61" s="33">
        <v>4726.3990560000002</v>
      </c>
      <c r="O61" s="33">
        <v>4882.9176239999997</v>
      </c>
      <c r="P61" s="33">
        <v>5008.1296000000002</v>
      </c>
      <c r="Q61" s="4"/>
    </row>
    <row r="62" spans="3:17" s="1" customFormat="1" x14ac:dyDescent="0.25">
      <c r="C62" s="178" t="s">
        <v>69</v>
      </c>
      <c r="D62" s="33">
        <v>289.36956105790637</v>
      </c>
      <c r="E62" s="33">
        <v>322.39782847347431</v>
      </c>
      <c r="F62" s="33">
        <v>312.80512481257625</v>
      </c>
      <c r="G62" s="33">
        <v>302.15160395090652</v>
      </c>
      <c r="H62" s="33">
        <v>286.40220366047487</v>
      </c>
      <c r="I62" s="33">
        <v>306.702244641118</v>
      </c>
      <c r="J62" s="33">
        <v>297.19660360867806</v>
      </c>
      <c r="K62" s="33">
        <v>281.46632808708154</v>
      </c>
      <c r="L62" s="33">
        <v>272.29297646863802</v>
      </c>
      <c r="M62" s="33">
        <v>283.22654767879715</v>
      </c>
      <c r="N62" s="33">
        <v>276.66544799801471</v>
      </c>
      <c r="O62" s="33">
        <v>268.1800976917778</v>
      </c>
      <c r="P62" s="33">
        <v>261.88758430339169</v>
      </c>
      <c r="Q62" s="4"/>
    </row>
    <row r="63" spans="3:17" s="1" customFormat="1" x14ac:dyDescent="0.25">
      <c r="C63" s="178" t="s">
        <v>70</v>
      </c>
      <c r="D63" s="32">
        <v>10.256194423669564</v>
      </c>
      <c r="E63" s="32">
        <v>11.422120025105004</v>
      </c>
      <c r="F63" s="32">
        <v>9.9754828953592636</v>
      </c>
      <c r="G63" s="32">
        <v>15.13859625768302</v>
      </c>
      <c r="H63" s="32">
        <v>9.170573822503389</v>
      </c>
      <c r="I63" s="32">
        <v>10.496248202928049</v>
      </c>
      <c r="J63" s="32">
        <v>15.461891737588791</v>
      </c>
      <c r="K63" s="32">
        <v>8.7761537092203916</v>
      </c>
      <c r="L63" s="32">
        <v>9.0084339095938475</v>
      </c>
      <c r="M63" s="32">
        <v>6.145310710211584</v>
      </c>
      <c r="N63" s="32">
        <v>8.4684353381090229</v>
      </c>
      <c r="O63" s="32">
        <v>6.6154182599512463</v>
      </c>
      <c r="P63" s="32">
        <v>7.4456202333345898</v>
      </c>
      <c r="Q63" s="4"/>
    </row>
    <row r="64" spans="3:17" s="1" customFormat="1" x14ac:dyDescent="0.25">
      <c r="C64" s="178" t="s">
        <v>71</v>
      </c>
      <c r="D64" s="33">
        <v>0</v>
      </c>
      <c r="E64" s="33">
        <v>43.999266223461952</v>
      </c>
      <c r="F64" s="33">
        <v>0</v>
      </c>
      <c r="G64" s="33">
        <v>0</v>
      </c>
      <c r="H64" s="33">
        <v>0</v>
      </c>
      <c r="I64" s="33">
        <v>30</v>
      </c>
      <c r="J64" s="33">
        <v>0</v>
      </c>
      <c r="K64" s="33">
        <v>0</v>
      </c>
      <c r="L64" s="33">
        <v>0</v>
      </c>
      <c r="M64" s="33">
        <v>19.999993610388998</v>
      </c>
      <c r="N64" s="33">
        <v>0</v>
      </c>
      <c r="O64" s="33">
        <v>0</v>
      </c>
      <c r="P64" s="33">
        <v>0</v>
      </c>
      <c r="Q64" s="4"/>
    </row>
    <row r="65" spans="3:17" s="1" customFormat="1" x14ac:dyDescent="0.25">
      <c r="C65" s="178" t="s">
        <v>72</v>
      </c>
      <c r="D65" s="32">
        <v>10.76703137261485</v>
      </c>
      <c r="E65" s="32">
        <v>9.1788732345997293</v>
      </c>
      <c r="F65" s="32">
        <v>10.056436292006209</v>
      </c>
      <c r="G65" s="32">
        <v>6.3405021004605242</v>
      </c>
      <c r="H65" s="32">
        <v>10.109763092427146</v>
      </c>
      <c r="I65" s="32">
        <v>7.9005398685338921</v>
      </c>
      <c r="J65" s="32">
        <v>4.8986545138775064</v>
      </c>
      <c r="K65" s="32">
        <v>8.3804303846921684</v>
      </c>
      <c r="L65" s="32">
        <v>7.6640508864568817</v>
      </c>
      <c r="M65" s="32">
        <v>12.367153360319401</v>
      </c>
      <c r="N65" s="32">
        <v>8.9154604109971203</v>
      </c>
      <c r="O65" s="32">
        <v>11.790637709515716</v>
      </c>
      <c r="P65" s="32">
        <v>10.744571639825802</v>
      </c>
      <c r="Q65" s="4"/>
    </row>
    <row r="66" spans="3:17" s="1" customFormat="1" x14ac:dyDescent="0.25">
      <c r="C66" s="178" t="s">
        <v>73</v>
      </c>
      <c r="D66" s="32">
        <v>1.5481932459038072</v>
      </c>
      <c r="E66" s="32">
        <v>1.2901761837835171</v>
      </c>
      <c r="F66" s="32">
        <v>1.2723576707334001</v>
      </c>
      <c r="G66" s="32">
        <v>1.2741947915078904</v>
      </c>
      <c r="H66" s="32">
        <v>1.3128390605742051</v>
      </c>
      <c r="I66" s="32">
        <v>1.0727016373322384</v>
      </c>
      <c r="J66" s="32">
        <v>1.011115188905966</v>
      </c>
      <c r="K66" s="32">
        <v>1.0480827387236578</v>
      </c>
      <c r="L66" s="32">
        <v>1.0283041583786487</v>
      </c>
      <c r="M66" s="32">
        <v>1.0733457103207773</v>
      </c>
      <c r="N66" s="32">
        <v>1.0915710732413795</v>
      </c>
      <c r="O66" s="32">
        <v>1.1633972941518758</v>
      </c>
      <c r="P66" s="32">
        <v>1.2218983227142459</v>
      </c>
      <c r="Q66" s="4"/>
    </row>
    <row r="67" spans="3:17" x14ac:dyDescent="0.25">
      <c r="C67" s="4"/>
    </row>
    <row r="68" spans="3:17" x14ac:dyDescent="0.25">
      <c r="C68" s="4"/>
    </row>
  </sheetData>
  <hyperlinks>
    <hyperlink ref="C2" location="Forside!A1" display="Tilbake til forsiden" xr:uid="{669E7B76-7718-42FE-99B8-A1E13B084D8B}"/>
    <hyperlink ref="C12" location="'1.2 APM'!C28" display="Egenkapitalavkastning eks. hybridkapital" xr:uid="{BAB191F1-3A2C-4F3D-B698-C22DAA3B0626}"/>
    <hyperlink ref="C13" location="'1.2 APM'!C45" display="Egenkapitalavkastning (totalresultat) eks. hybridkapital" xr:uid="{F4C771AF-A327-4CBD-A84A-46F15BA6A569}"/>
    <hyperlink ref="C14" location="'1.2 APM'!C52" display="Kostnadsprosent (morbank)" xr:uid="{6C2C217A-0ADE-4D9D-BFCF-8AE14E67AAB5}"/>
    <hyperlink ref="C15" location="'1.2 APM'!C61" display="Kostnadsprosent (morbank) eks. finans" xr:uid="{0C308764-1683-421E-8A54-CF966C17351C}"/>
    <hyperlink ref="C16" location="'1.2 APM'!C68" display="Kostnadsprosent  (konsern)" xr:uid="{9611F3B3-C48C-4ED4-A717-84CF3DC4CB34}"/>
    <hyperlink ref="C17" location="'1.2 APM'!C78" display="Netto renteinntekter i % av gj. Forvaltningskapital" xr:uid="{E0A4BD03-8502-4489-BB94-1E3AB0C7F9C9}"/>
    <hyperlink ref="C18" location="'1.2 APM'!C90" display="Netto renteinntekter i % av gj. Forvaltningskapital (ink. Prov. KF)" xr:uid="{8DDC4FE5-3484-470F-A86F-A080BB1DD3AB}"/>
    <hyperlink ref="C25" location="'1.2 APM'!C97" display="Innskuddsdekning" xr:uid="{B58FCBF4-20C7-4D91-A26B-0E71328B1D51}"/>
    <hyperlink ref="C26" location="'1.2 APM'!C108" display="Innskuddsdekning inkl. overført til kredittforetak" xr:uid="{57ED8F2B-2C91-4045-8182-6CDD2127C92F}"/>
    <hyperlink ref="C27" location="'1.2 APM'!C116" display="Utlånsvekst siste 12 måneder" xr:uid="{B25CA310-D636-4137-A8E0-32588CF63149}"/>
    <hyperlink ref="C28" location="'1.2 APM'!C131" display="Utlånsvekst inkl. overført til kredittforetak" xr:uid="{F05A7FC3-6FC0-4A62-8E4A-C74C0E664035}"/>
    <hyperlink ref="C29" location="'1.2 APM'!C139" display="Innskuddsvekst siste 12 måneder" xr:uid="{BB03AE06-B2E6-437F-8D2C-D019C0933ACE}"/>
    <hyperlink ref="C31" location="'1.2 APM'!C146" display="Gjennomsnittlig forvaltningskapital" xr:uid="{5DFE89E8-0874-40B3-8C31-E177C0FDADAE}"/>
    <hyperlink ref="C32" location="'1.2 APM'!C153" display="Forvaltningskapital inkl. overført til kredittforetak" xr:uid="{A9BE0B7D-1945-4C7B-823B-36420ABC3C46}"/>
    <hyperlink ref="C33" location="'1.2 APM'!C166" display="Gjennomsnittlig forvaltningskapital inkl. overført til kredittforetak" xr:uid="{F4F848DD-806E-48C3-A41E-C9F367F9A922}"/>
    <hyperlink ref="C36" location="'1.2 APM'!C173" display="Sum tapsavsetninger som andel av brutto utlån" xr:uid="{B6646524-F02B-4149-9D0F-6D8ACA9583D9}"/>
    <hyperlink ref="C37" location="'1.2 APM'!C180" display="Andel utlån trinn 2 av brutto utlån" xr:uid="{1992D740-BDC2-4D6B-924C-AD464F12C73E}"/>
    <hyperlink ref="C38" location="'1.2 APM'!C187" display="Andel utlån trinn 3 av brutto utlån" xr:uid="{07DBD48C-544F-4208-B3D0-1069B03CCD0B}"/>
    <hyperlink ref="C59" location="'1.2 APM'!C203" display="Egenkapitalbevisbrøk" xr:uid="{EF2EA7DE-0EFB-4D6B-ABA8-782985B9BAE8}"/>
    <hyperlink ref="C62" location="'1.2 APM'!C214" display="Bokført egenkapital per egenkapitalbevis (NOK)" xr:uid="{266CB369-E970-4243-8BDE-1DB0E3B9E21E}"/>
    <hyperlink ref="C63" location="'1.2 APM'!C223" display="Resultat per egenkapitalbevis (NOK) (konsern) " xr:uid="{4DE3BA09-9D59-4F04-8381-7B7B39333247}"/>
    <hyperlink ref="C64" location="'1.2 APM'!C230" display="Utbytte per egenkapitalbevis (NOK)" xr:uid="{FD60D762-457B-40C5-89DC-4CBF06A98140}"/>
    <hyperlink ref="C65" location="'1.2 APM'!C245" display="Pris / Resultat per egenkapitalbevis annualisert" xr:uid="{B637D896-2BD3-47B9-9B96-FC860B46D3C9}"/>
    <hyperlink ref="C66" location="'1.2 APM'!C252" display="Pris / Bokført egenkapital " xr:uid="{6932FBF3-7624-4261-841E-B6194161409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0034-4B87-4250-B9EC-DAED244EC8FC}">
  <sheetPr codeName="Sheet6"/>
  <dimension ref="B2:P82"/>
  <sheetViews>
    <sheetView showGridLines="0" workbookViewId="0">
      <pane xSplit="3" ySplit="8" topLeftCell="D9" activePane="bottomRight" state="frozen"/>
      <selection activeCell="K50" sqref="K50"/>
      <selection pane="topRight" activeCell="K50" sqref="K50"/>
      <selection pane="bottomLeft" activeCell="K50" sqref="K50"/>
      <selection pane="bottomRight" activeCell="C2" sqref="C2"/>
    </sheetView>
  </sheetViews>
  <sheetFormatPr defaultRowHeight="15" x14ac:dyDescent="0.25"/>
  <cols>
    <col min="1" max="1" width="9.140625" style="1"/>
    <col min="2" max="2" width="3.7109375" style="1" bestFit="1" customWidth="1"/>
    <col min="3" max="3" width="43.85546875" style="1" bestFit="1" customWidth="1"/>
    <col min="4" max="5" width="10.28515625" style="1" bestFit="1" customWidth="1"/>
    <col min="6" max="7" width="9.7109375" style="1" bestFit="1" customWidth="1"/>
    <col min="8" max="8" width="9.28515625" style="1" bestFit="1" customWidth="1"/>
    <col min="9" max="10" width="9.5703125" style="1" bestFit="1" customWidth="1"/>
    <col min="11" max="11" width="9.42578125" style="1" bestFit="1" customWidth="1"/>
    <col min="12" max="12" width="9.5703125" style="1" bestFit="1" customWidth="1"/>
    <col min="13" max="13" width="9.7109375" style="1" bestFit="1" customWidth="1"/>
    <col min="14" max="14" width="9.5703125" style="1" bestFit="1" customWidth="1"/>
    <col min="15" max="15" width="9.7109375" style="1" bestFit="1" customWidth="1"/>
    <col min="16" max="16" width="9.5703125" style="1" bestFit="1" customWidth="1"/>
    <col min="17" max="16384" width="9.140625" style="1"/>
  </cols>
  <sheetData>
    <row r="2" spans="2:16" x14ac:dyDescent="0.25">
      <c r="C2" s="174" t="s">
        <v>349</v>
      </c>
    </row>
    <row r="6" spans="2:16" ht="23.25" x14ac:dyDescent="0.35">
      <c r="B6" s="3">
        <v>4</v>
      </c>
      <c r="C6" s="3" t="s">
        <v>77</v>
      </c>
    </row>
    <row r="8" spans="2:16" x14ac:dyDescent="0.25">
      <c r="C8" s="9" t="s">
        <v>280</v>
      </c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  <c r="M8" s="43" t="s">
        <v>24</v>
      </c>
      <c r="N8" s="43" t="s">
        <v>25</v>
      </c>
      <c r="O8" s="43" t="s">
        <v>26</v>
      </c>
      <c r="P8" s="43" t="s">
        <v>27</v>
      </c>
    </row>
    <row r="9" spans="2:16" x14ac:dyDescent="0.25">
      <c r="C9" s="10" t="s">
        <v>78</v>
      </c>
      <c r="D9" s="33">
        <v>105.76627463</v>
      </c>
      <c r="E9" s="33">
        <v>101.50309118</v>
      </c>
      <c r="F9" s="33">
        <v>109.02772547000001</v>
      </c>
      <c r="G9" s="33">
        <v>109.06417769999999</v>
      </c>
      <c r="H9" s="33">
        <v>104.41114252999999</v>
      </c>
      <c r="I9" s="33">
        <v>110.23162616999998</v>
      </c>
      <c r="J9" s="33">
        <v>103.35625083999999</v>
      </c>
      <c r="K9" s="33">
        <v>115.38029933000001</v>
      </c>
      <c r="L9" s="33">
        <v>102.92546325000001</v>
      </c>
      <c r="M9" s="33">
        <v>103.41296758999997</v>
      </c>
      <c r="N9" s="33">
        <v>90.379708119999989</v>
      </c>
      <c r="O9" s="33">
        <v>94.143786909999989</v>
      </c>
      <c r="P9" s="33">
        <v>95.274238680000011</v>
      </c>
    </row>
    <row r="10" spans="2:16" x14ac:dyDescent="0.25">
      <c r="C10" s="10" t="s">
        <v>79</v>
      </c>
      <c r="D10" s="33">
        <v>1185.6005731299999</v>
      </c>
      <c r="E10" s="33">
        <v>822.11725356000011</v>
      </c>
      <c r="F10" s="33">
        <v>1052.2642406000002</v>
      </c>
      <c r="G10" s="33">
        <v>1117.9036321799997</v>
      </c>
      <c r="H10" s="33">
        <v>975.42796469000007</v>
      </c>
      <c r="I10" s="33">
        <v>855.55296753000016</v>
      </c>
      <c r="J10" s="33">
        <v>997.7320243800001</v>
      </c>
      <c r="K10" s="33">
        <v>1194.1552730500005</v>
      </c>
      <c r="L10" s="33">
        <v>1165.0748109600001</v>
      </c>
      <c r="M10" s="33">
        <v>1294.3586788999999</v>
      </c>
      <c r="N10" s="33">
        <v>1302.6284886300002</v>
      </c>
      <c r="O10" s="33">
        <v>1138.5936323599997</v>
      </c>
      <c r="P10" s="33">
        <v>1100.1960845000001</v>
      </c>
    </row>
    <row r="11" spans="2:16" x14ac:dyDescent="0.25">
      <c r="C11" s="10" t="s">
        <v>80</v>
      </c>
      <c r="D11" s="33">
        <v>26837.251801779999</v>
      </c>
      <c r="E11" s="33">
        <v>26689.147800000002</v>
      </c>
      <c r="F11" s="33">
        <v>26030.176653000002</v>
      </c>
      <c r="G11" s="33">
        <v>26006.601497</v>
      </c>
      <c r="H11" s="33">
        <v>25731.636460000002</v>
      </c>
      <c r="I11" s="33">
        <v>25451.352418999999</v>
      </c>
      <c r="J11" s="33">
        <v>25723.581386999998</v>
      </c>
      <c r="K11" s="33">
        <v>25611.822687049986</v>
      </c>
      <c r="L11" s="33">
        <v>25106.028508549978</v>
      </c>
      <c r="M11" s="33">
        <v>24943.355604449993</v>
      </c>
      <c r="N11" s="33">
        <v>24846.430786560002</v>
      </c>
      <c r="O11" s="33">
        <v>24934.940143799999</v>
      </c>
      <c r="P11" s="33">
        <v>24656.215066270001</v>
      </c>
    </row>
    <row r="12" spans="2:16" x14ac:dyDescent="0.25">
      <c r="C12" s="10" t="s">
        <v>81</v>
      </c>
      <c r="D12" s="33">
        <v>2800.9511553799998</v>
      </c>
      <c r="E12" s="33">
        <v>2839.3494948899997</v>
      </c>
      <c r="F12" s="33">
        <v>2928.2950250999993</v>
      </c>
      <c r="G12" s="33">
        <v>2889.0389859199995</v>
      </c>
      <c r="H12" s="33">
        <v>2686.8517805100005</v>
      </c>
      <c r="I12" s="33">
        <v>2918.6535595200003</v>
      </c>
      <c r="J12" s="33">
        <v>2601.3346756400001</v>
      </c>
      <c r="K12" s="33">
        <v>2506.3051518099996</v>
      </c>
      <c r="L12" s="33">
        <v>2422.5161055600006</v>
      </c>
      <c r="M12" s="33">
        <v>2135.9858494199998</v>
      </c>
      <c r="N12" s="33">
        <v>2156.3889312300007</v>
      </c>
      <c r="O12" s="33">
        <v>2196.22995292</v>
      </c>
      <c r="P12" s="33">
        <v>2368.8314771999999</v>
      </c>
    </row>
    <row r="13" spans="2:16" x14ac:dyDescent="0.25">
      <c r="C13" s="10" t="s">
        <v>82</v>
      </c>
      <c r="D13" s="33">
        <v>74.816400369999997</v>
      </c>
      <c r="E13" s="33">
        <v>78.704462530000001</v>
      </c>
      <c r="F13" s="33">
        <v>53.991846030000005</v>
      </c>
      <c r="G13" s="33">
        <v>84.055690380000001</v>
      </c>
      <c r="H13" s="33">
        <v>74.93783535</v>
      </c>
      <c r="I13" s="33">
        <v>88.039916910000002</v>
      </c>
      <c r="J13" s="33">
        <v>70.975955530000007</v>
      </c>
      <c r="K13" s="33">
        <v>86.243146819999993</v>
      </c>
      <c r="L13" s="33">
        <v>85.528395549999985</v>
      </c>
      <c r="M13" s="33">
        <v>66.258862339999993</v>
      </c>
      <c r="N13" s="33">
        <v>71.898677169999985</v>
      </c>
      <c r="O13" s="33">
        <v>84.847109069999988</v>
      </c>
      <c r="P13" s="33">
        <v>69.667137220000001</v>
      </c>
    </row>
    <row r="14" spans="2:16" x14ac:dyDescent="0.25">
      <c r="C14" s="10" t="s">
        <v>83</v>
      </c>
      <c r="D14" s="33">
        <v>1370.0520766899997</v>
      </c>
      <c r="E14" s="33">
        <v>1367.33109227</v>
      </c>
      <c r="F14" s="33">
        <v>1377.1120969900001</v>
      </c>
      <c r="G14" s="33">
        <v>1364.8861092999998</v>
      </c>
      <c r="H14" s="33">
        <v>1240.87745333</v>
      </c>
      <c r="I14" s="33">
        <v>1241.4474941899998</v>
      </c>
      <c r="J14" s="33">
        <v>1157.9561827799998</v>
      </c>
      <c r="K14" s="33">
        <v>1158.4295581699998</v>
      </c>
      <c r="L14" s="33">
        <v>1162.1598548899999</v>
      </c>
      <c r="M14" s="33">
        <v>1101.3338233800002</v>
      </c>
      <c r="N14" s="33">
        <v>1122.7116847300001</v>
      </c>
      <c r="O14" s="33">
        <v>1116.4811925699998</v>
      </c>
      <c r="P14" s="33">
        <v>1117.5473616299996</v>
      </c>
    </row>
    <row r="15" spans="2:16" x14ac:dyDescent="0.25">
      <c r="C15" s="10" t="s">
        <v>84</v>
      </c>
      <c r="D15" s="33">
        <v>586.05205885744806</v>
      </c>
      <c r="E15" s="33">
        <v>570.83726057105105</v>
      </c>
      <c r="F15" s="33">
        <v>549.04589323224104</v>
      </c>
      <c r="G15" s="33">
        <v>524.77470501660298</v>
      </c>
      <c r="H15" s="33">
        <v>613.16410616237931</v>
      </c>
      <c r="I15" s="33">
        <v>599.9127230542498</v>
      </c>
      <c r="J15" s="33">
        <v>356.95736649615378</v>
      </c>
      <c r="K15" s="33">
        <v>324.49639750571879</v>
      </c>
      <c r="L15" s="33">
        <v>326.4283777931538</v>
      </c>
      <c r="M15" s="33">
        <v>319.30037985015377</v>
      </c>
      <c r="N15" s="33">
        <v>328.58916584008</v>
      </c>
      <c r="O15" s="33">
        <v>331.1787922047975</v>
      </c>
      <c r="P15" s="33">
        <v>337.34446883466001</v>
      </c>
    </row>
    <row r="16" spans="2:16" x14ac:dyDescent="0.25">
      <c r="C16" s="10" t="s">
        <v>85</v>
      </c>
      <c r="D16" s="33">
        <v>0</v>
      </c>
      <c r="E16" s="33">
        <v>0</v>
      </c>
      <c r="F16" s="33">
        <v>3.9165000000502913E-4</v>
      </c>
      <c r="G16" s="33">
        <v>3.9165000000502913E-4</v>
      </c>
      <c r="H16" s="33">
        <v>3.9165000000502913E-4</v>
      </c>
      <c r="I16" s="33">
        <v>3.9165000000502913E-4</v>
      </c>
      <c r="J16" s="33">
        <v>3.9165000000502913E-4</v>
      </c>
      <c r="K16" s="33">
        <v>3.9165000000502913E-4</v>
      </c>
      <c r="L16" s="33">
        <v>3.9165000000502913E-4</v>
      </c>
      <c r="M16" s="33">
        <v>3.9165000000502913E-4</v>
      </c>
      <c r="N16" s="33">
        <v>3.9165000000502913E-4</v>
      </c>
      <c r="O16" s="33">
        <v>3.9165000000502913E-4</v>
      </c>
      <c r="P16" s="33">
        <v>0</v>
      </c>
    </row>
    <row r="17" spans="3:16" x14ac:dyDescent="0.25">
      <c r="C17" s="10" t="s">
        <v>86</v>
      </c>
      <c r="D17" s="33">
        <v>120.25677926</v>
      </c>
      <c r="E17" s="33">
        <v>123.92046522000005</v>
      </c>
      <c r="F17" s="33">
        <v>119.90640033000004</v>
      </c>
      <c r="G17" s="33">
        <v>91.197603540000046</v>
      </c>
      <c r="H17" s="33">
        <v>94.78764039000005</v>
      </c>
      <c r="I17" s="33">
        <v>96.373520429999957</v>
      </c>
      <c r="J17" s="33">
        <v>99.548048750000021</v>
      </c>
      <c r="K17" s="33">
        <v>102.16103821</v>
      </c>
      <c r="L17" s="33">
        <v>104.82513564</v>
      </c>
      <c r="M17" s="33">
        <v>107.08513101000003</v>
      </c>
      <c r="N17" s="33">
        <v>108.09694588000001</v>
      </c>
      <c r="O17" s="33">
        <v>111.23072825000001</v>
      </c>
      <c r="P17" s="33">
        <v>110.76599247999998</v>
      </c>
    </row>
    <row r="18" spans="3:16" x14ac:dyDescent="0.25">
      <c r="C18" s="4" t="s">
        <v>87</v>
      </c>
      <c r="D18" s="33">
        <v>-1.0257043000000001</v>
      </c>
      <c r="E18" s="33">
        <v>-1.0193401099999995</v>
      </c>
      <c r="F18" s="33">
        <v>7.8071916800000007</v>
      </c>
      <c r="G18" s="33">
        <v>7.8071916800000007</v>
      </c>
      <c r="H18" s="33">
        <v>7.7452075100000011</v>
      </c>
      <c r="I18" s="33">
        <v>7.6320468599999991</v>
      </c>
      <c r="J18" s="33">
        <v>24.270012550000001</v>
      </c>
      <c r="K18" s="33">
        <v>24.296370909999997</v>
      </c>
      <c r="L18" s="33">
        <v>24.221744179999998</v>
      </c>
      <c r="M18" s="33">
        <v>24.184144659999987</v>
      </c>
      <c r="N18" s="33">
        <v>36.060798619999993</v>
      </c>
      <c r="O18" s="33">
        <v>36.060489939999989</v>
      </c>
      <c r="P18" s="33">
        <v>36.327937809999995</v>
      </c>
    </row>
    <row r="19" spans="3:16" x14ac:dyDescent="0.25">
      <c r="C19" s="10" t="s">
        <v>88</v>
      </c>
      <c r="D19" s="33">
        <v>66.536111000000005</v>
      </c>
      <c r="E19" s="33">
        <v>66.926111000000006</v>
      </c>
      <c r="F19" s="33">
        <v>67.314937999999998</v>
      </c>
      <c r="G19" s="33">
        <v>67.703765000000004</v>
      </c>
      <c r="H19" s="33">
        <v>68.09259200000001</v>
      </c>
      <c r="I19" s="33">
        <v>68.481418999999988</v>
      </c>
      <c r="J19" s="33">
        <v>68.86981200000001</v>
      </c>
      <c r="K19" s="33">
        <v>69.258203999999992</v>
      </c>
      <c r="L19" s="33">
        <v>69.646595000000005</v>
      </c>
      <c r="M19" s="33">
        <v>68.622141999999997</v>
      </c>
      <c r="N19" s="33">
        <v>69.017386999999999</v>
      </c>
      <c r="O19" s="33">
        <v>69.367243999999999</v>
      </c>
      <c r="P19" s="33">
        <v>56.900042999999997</v>
      </c>
    </row>
    <row r="20" spans="3:16" x14ac:dyDescent="0.25">
      <c r="C20" s="10" t="s">
        <v>89</v>
      </c>
      <c r="D20" s="33">
        <v>100.15117982</v>
      </c>
      <c r="E20" s="33">
        <v>84.953400729999998</v>
      </c>
      <c r="F20" s="33">
        <v>98.750983669999997</v>
      </c>
      <c r="G20" s="33">
        <v>129.93368629000003</v>
      </c>
      <c r="H20" s="33">
        <v>130.98104470000001</v>
      </c>
      <c r="I20" s="33">
        <v>96.485355070000011</v>
      </c>
      <c r="J20" s="33">
        <v>267.15007144999993</v>
      </c>
      <c r="K20" s="33">
        <v>97.65710034</v>
      </c>
      <c r="L20" s="33">
        <v>108.72727651</v>
      </c>
      <c r="M20" s="33">
        <v>130.28051745000005</v>
      </c>
      <c r="N20" s="33">
        <v>406.68037132000018</v>
      </c>
      <c r="O20" s="33">
        <v>188.50098943999998</v>
      </c>
      <c r="P20" s="33">
        <v>145.78731934000001</v>
      </c>
    </row>
    <row r="21" spans="3:16" s="50" customFormat="1" x14ac:dyDescent="0.25">
      <c r="C21" s="13" t="s">
        <v>90</v>
      </c>
      <c r="D21" s="49">
        <v>33246.408706617447</v>
      </c>
      <c r="E21" s="49">
        <v>32743.771091841052</v>
      </c>
      <c r="F21" s="49">
        <v>32393.693385752242</v>
      </c>
      <c r="G21" s="49">
        <v>32392.967435656599</v>
      </c>
      <c r="H21" s="49">
        <v>31728.913618822382</v>
      </c>
      <c r="I21" s="49">
        <v>31534.16343938424</v>
      </c>
      <c r="J21" s="49">
        <v>31471.732179066144</v>
      </c>
      <c r="K21" s="49">
        <v>31290.205618845703</v>
      </c>
      <c r="L21" s="49">
        <v>30678.082659533131</v>
      </c>
      <c r="M21" s="49">
        <v>30294.213986700142</v>
      </c>
      <c r="N21" s="49">
        <v>30538.883336750081</v>
      </c>
      <c r="O21" s="49">
        <v>30301.574453114798</v>
      </c>
      <c r="P21" s="49">
        <v>30094.857126964667</v>
      </c>
    </row>
    <row r="22" spans="3:16" s="50" customFormat="1" x14ac:dyDescent="0.25">
      <c r="C22" s="1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3:16" x14ac:dyDescent="0.25">
      <c r="C23" s="10" t="s">
        <v>91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</row>
    <row r="24" spans="3:16" x14ac:dyDescent="0.25">
      <c r="C24" s="10" t="s">
        <v>92</v>
      </c>
      <c r="D24" s="33">
        <v>22650.130873890001</v>
      </c>
      <c r="E24" s="33">
        <v>22461.574347109996</v>
      </c>
      <c r="F24" s="33">
        <v>22335.192570159998</v>
      </c>
      <c r="G24" s="33">
        <v>22408.119910150002</v>
      </c>
      <c r="H24" s="33">
        <v>21503.797545879988</v>
      </c>
      <c r="I24" s="33">
        <v>21014.082068080003</v>
      </c>
      <c r="J24" s="33">
        <v>20898.457865269997</v>
      </c>
      <c r="K24" s="33">
        <v>21053.84502819</v>
      </c>
      <c r="L24" s="33">
        <v>20096.32090581</v>
      </c>
      <c r="M24" s="33">
        <v>19349.679914590004</v>
      </c>
      <c r="N24" s="33">
        <v>19688.015005760004</v>
      </c>
      <c r="O24" s="33">
        <v>19948.973228880004</v>
      </c>
      <c r="P24" s="33">
        <v>19410.673414989997</v>
      </c>
    </row>
    <row r="25" spans="3:16" x14ac:dyDescent="0.25">
      <c r="C25" s="10" t="s">
        <v>93</v>
      </c>
      <c r="D25" s="33">
        <v>4203.8390703099994</v>
      </c>
      <c r="E25" s="33">
        <v>3988.5424400500006</v>
      </c>
      <c r="F25" s="33">
        <v>3957.1111047200002</v>
      </c>
      <c r="G25" s="33">
        <v>4092.6154865900003</v>
      </c>
      <c r="H25" s="33">
        <v>4073.4423464799997</v>
      </c>
      <c r="I25" s="33">
        <v>4460.5485155699998</v>
      </c>
      <c r="J25" s="33">
        <v>4629.7684548000007</v>
      </c>
      <c r="K25" s="33">
        <v>4747.2207671599999</v>
      </c>
      <c r="L25" s="33">
        <v>4936.6704757299995</v>
      </c>
      <c r="M25" s="33">
        <v>5476.7923051199987</v>
      </c>
      <c r="N25" s="33">
        <v>5363.3932859999995</v>
      </c>
      <c r="O25" s="33">
        <v>5342.8841628299997</v>
      </c>
      <c r="P25" s="33">
        <v>5628.7382153300005</v>
      </c>
    </row>
    <row r="26" spans="3:16" x14ac:dyDescent="0.25">
      <c r="C26" s="10" t="s">
        <v>82</v>
      </c>
      <c r="D26" s="33">
        <v>110.22618906999999</v>
      </c>
      <c r="E26" s="33">
        <v>76.695135100000002</v>
      </c>
      <c r="F26" s="33">
        <v>80.166925889999987</v>
      </c>
      <c r="G26" s="33">
        <v>62.560401799999994</v>
      </c>
      <c r="H26" s="33">
        <v>95.76622635999999</v>
      </c>
      <c r="I26" s="33">
        <v>87.206056589999989</v>
      </c>
      <c r="J26" s="33">
        <v>59.937748519999985</v>
      </c>
      <c r="K26" s="33">
        <v>94.781809879999997</v>
      </c>
      <c r="L26" s="33">
        <v>103.62904225</v>
      </c>
      <c r="M26" s="33">
        <v>93.572728670000004</v>
      </c>
      <c r="N26" s="33">
        <v>146.53778646999999</v>
      </c>
      <c r="O26" s="33">
        <v>134.16140419999999</v>
      </c>
      <c r="P26" s="33">
        <v>89.685392190000016</v>
      </c>
    </row>
    <row r="27" spans="3:16" x14ac:dyDescent="0.25">
      <c r="C27" s="10" t="s">
        <v>94</v>
      </c>
      <c r="D27" s="33">
        <v>884.4401450100014</v>
      </c>
      <c r="E27" s="33">
        <v>281.56840394000187</v>
      </c>
      <c r="F27" s="33">
        <v>260.80504391000301</v>
      </c>
      <c r="G27" s="33">
        <v>233.34789880000091</v>
      </c>
      <c r="H27" s="33">
        <v>706.05004185999928</v>
      </c>
      <c r="I27" s="33">
        <v>288.96437621000433</v>
      </c>
      <c r="J27" s="33">
        <v>515.79604277000442</v>
      </c>
      <c r="K27" s="33">
        <v>275.30493860000234</v>
      </c>
      <c r="L27" s="33">
        <v>565.76937069000428</v>
      </c>
      <c r="M27" s="33">
        <v>369.39271471000961</v>
      </c>
      <c r="N27" s="33">
        <v>563.11316841000064</v>
      </c>
      <c r="O27" s="33">
        <v>312.51443181000337</v>
      </c>
      <c r="P27" s="33">
        <v>503.98599310000691</v>
      </c>
    </row>
    <row r="28" spans="3:16" x14ac:dyDescent="0.25">
      <c r="C28" s="10" t="s">
        <v>95</v>
      </c>
      <c r="D28" s="33">
        <v>401.78362499999997</v>
      </c>
      <c r="E28" s="33">
        <v>401.74958333000001</v>
      </c>
      <c r="F28" s="33">
        <v>401.72181945</v>
      </c>
      <c r="G28" s="33">
        <v>401.89795832999999</v>
      </c>
      <c r="H28" s="33">
        <v>401.83426387999998</v>
      </c>
      <c r="I28" s="33">
        <v>401.95888889000003</v>
      </c>
      <c r="J28" s="33">
        <v>401.92377777999997</v>
      </c>
      <c r="K28" s="33">
        <v>401.93258333</v>
      </c>
      <c r="L28" s="33">
        <v>401.96204167000002</v>
      </c>
      <c r="M28" s="33">
        <v>251.02041666999997</v>
      </c>
      <c r="N28" s="33">
        <v>329.55461444999997</v>
      </c>
      <c r="O28" s="33">
        <v>251.24077777000002</v>
      </c>
      <c r="P28" s="33">
        <v>251.11522221999999</v>
      </c>
    </row>
    <row r="29" spans="3:16" s="50" customFormat="1" x14ac:dyDescent="0.25">
      <c r="C29" s="13" t="s">
        <v>96</v>
      </c>
      <c r="D29" s="49">
        <v>28250.419903280006</v>
      </c>
      <c r="E29" s="49">
        <v>27210.129909529998</v>
      </c>
      <c r="F29" s="49">
        <v>27034.99746413</v>
      </c>
      <c r="G29" s="49">
        <v>27198.541655670007</v>
      </c>
      <c r="H29" s="49">
        <v>26780.890424459991</v>
      </c>
      <c r="I29" s="49">
        <v>26252.759905340004</v>
      </c>
      <c r="J29" s="49">
        <v>26505.883889140005</v>
      </c>
      <c r="K29" s="49">
        <v>26573.085127160004</v>
      </c>
      <c r="L29" s="49">
        <v>26104.351836149999</v>
      </c>
      <c r="M29" s="49">
        <v>25540.45807976001</v>
      </c>
      <c r="N29" s="49">
        <v>26090.613861090002</v>
      </c>
      <c r="O29" s="49">
        <v>25989.774005490006</v>
      </c>
      <c r="P29" s="49">
        <v>25884.198237830002</v>
      </c>
    </row>
    <row r="30" spans="3:16" s="50" customFormat="1" x14ac:dyDescent="0.25">
      <c r="C30" s="1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3:16" x14ac:dyDescent="0.25">
      <c r="C31" s="10" t="s">
        <v>65</v>
      </c>
      <c r="D31" s="33">
        <v>1565.0009993599999</v>
      </c>
      <c r="E31" s="33">
        <v>1564.9389699200001</v>
      </c>
      <c r="F31" s="33">
        <v>1564.8871380200001</v>
      </c>
      <c r="G31" s="33">
        <v>1564.95379682</v>
      </c>
      <c r="H31" s="33">
        <v>1564.95379682</v>
      </c>
      <c r="I31" s="33">
        <v>1564.95258792</v>
      </c>
      <c r="J31" s="33">
        <v>1564.96241732</v>
      </c>
      <c r="K31" s="33">
        <v>1565.0111661600001</v>
      </c>
      <c r="L31" s="33">
        <v>1565.01914616</v>
      </c>
      <c r="M31" s="33">
        <v>1565.019331</v>
      </c>
      <c r="N31" s="33">
        <v>1565.0093253599998</v>
      </c>
      <c r="O31" s="33">
        <v>1564.920302</v>
      </c>
      <c r="P31" s="33">
        <v>1565.3261</v>
      </c>
    </row>
    <row r="32" spans="3:16" x14ac:dyDescent="0.25">
      <c r="C32" s="10" t="s">
        <v>97</v>
      </c>
      <c r="D32" s="33">
        <v>487.77151800000001</v>
      </c>
      <c r="E32" s="33">
        <v>487.77151760000004</v>
      </c>
      <c r="F32" s="33">
        <v>487.77151800000001</v>
      </c>
      <c r="G32" s="33">
        <v>487.77151800000001</v>
      </c>
      <c r="H32" s="33">
        <v>487.77151800000001</v>
      </c>
      <c r="I32" s="33">
        <v>490.28099700000001</v>
      </c>
      <c r="J32" s="33">
        <v>490.28099700000001</v>
      </c>
      <c r="K32" s="33">
        <v>490.28099700000001</v>
      </c>
      <c r="L32" s="33">
        <v>490.28099700000001</v>
      </c>
      <c r="M32" s="33">
        <v>490.28099700000001</v>
      </c>
      <c r="N32" s="33">
        <v>490.28099700000001</v>
      </c>
      <c r="O32" s="33">
        <v>491.692275</v>
      </c>
      <c r="P32" s="33">
        <v>490.28199700000005</v>
      </c>
    </row>
    <row r="33" spans="3:16" x14ac:dyDescent="0.25">
      <c r="C33" s="10" t="s">
        <v>98</v>
      </c>
      <c r="D33" s="33">
        <v>2096.0118556799998</v>
      </c>
      <c r="E33" s="33">
        <v>2096.0118556799998</v>
      </c>
      <c r="F33" s="33">
        <v>2148.0814426400002</v>
      </c>
      <c r="G33" s="33">
        <v>2148.0814426400002</v>
      </c>
      <c r="H33" s="33">
        <v>2148.0814426400002</v>
      </c>
      <c r="I33" s="33">
        <v>2148.0814426400002</v>
      </c>
      <c r="J33" s="33">
        <v>2014.8400397399998</v>
      </c>
      <c r="K33" s="33">
        <v>2014.8400397399998</v>
      </c>
      <c r="L33" s="33">
        <v>2014.8400397399998</v>
      </c>
      <c r="M33" s="33">
        <v>2014.84003874</v>
      </c>
      <c r="N33" s="33">
        <v>1778.9858225799999</v>
      </c>
      <c r="O33" s="33">
        <v>1579.8090159599999</v>
      </c>
      <c r="P33" s="33">
        <v>1778.9858225799999</v>
      </c>
    </row>
    <row r="34" spans="3:16" x14ac:dyDescent="0.25">
      <c r="C34" s="10" t="s">
        <v>99</v>
      </c>
      <c r="D34" s="33">
        <v>0</v>
      </c>
      <c r="E34" s="33">
        <v>688.60633610000002</v>
      </c>
      <c r="F34" s="33">
        <v>0</v>
      </c>
      <c r="G34" s="33">
        <v>0</v>
      </c>
      <c r="H34" s="33">
        <v>0</v>
      </c>
      <c r="I34" s="33">
        <v>469.51215000000002</v>
      </c>
      <c r="J34" s="33">
        <v>0</v>
      </c>
      <c r="K34" s="33">
        <v>0</v>
      </c>
      <c r="L34" s="33">
        <v>0</v>
      </c>
      <c r="M34" s="33">
        <v>313.00799999999998</v>
      </c>
      <c r="N34" s="33">
        <v>0</v>
      </c>
      <c r="O34" s="33">
        <v>0</v>
      </c>
      <c r="P34" s="33">
        <v>0</v>
      </c>
    </row>
    <row r="35" spans="3:16" x14ac:dyDescent="0.25">
      <c r="C35" s="10" t="s">
        <v>100</v>
      </c>
      <c r="D35" s="33">
        <v>0</v>
      </c>
      <c r="E35" s="33">
        <v>18.813337700000002</v>
      </c>
      <c r="F35" s="33">
        <v>0</v>
      </c>
      <c r="G35" s="33">
        <v>0</v>
      </c>
      <c r="H35" s="33">
        <v>0</v>
      </c>
      <c r="I35" s="33">
        <v>12.827489</v>
      </c>
      <c r="J35" s="33">
        <v>0</v>
      </c>
      <c r="K35" s="33">
        <v>0</v>
      </c>
      <c r="L35" s="33">
        <v>0</v>
      </c>
      <c r="M35" s="33">
        <v>8.5516596699999994</v>
      </c>
      <c r="N35" s="33">
        <v>0</v>
      </c>
      <c r="O35" s="33">
        <v>0</v>
      </c>
      <c r="P35" s="33">
        <v>0</v>
      </c>
    </row>
    <row r="36" spans="3:16" x14ac:dyDescent="0.25">
      <c r="C36" s="10" t="s">
        <v>101</v>
      </c>
      <c r="D36" s="33">
        <v>108.31844325999998</v>
      </c>
      <c r="E36" s="33">
        <v>108.31844325999998</v>
      </c>
      <c r="F36" s="33">
        <v>109.74096912</v>
      </c>
      <c r="G36" s="33">
        <v>109.74096912</v>
      </c>
      <c r="H36" s="33">
        <v>109.74096912</v>
      </c>
      <c r="I36" s="33">
        <v>109.74096912</v>
      </c>
      <c r="J36" s="33">
        <v>106.10057106999999</v>
      </c>
      <c r="K36" s="33">
        <v>106.10057106999999</v>
      </c>
      <c r="L36" s="33">
        <v>106.10057106999999</v>
      </c>
      <c r="M36" s="33">
        <v>106.10057106999999</v>
      </c>
      <c r="N36" s="33">
        <v>99.656765219999997</v>
      </c>
      <c r="O36" s="33">
        <v>94.215148589999998</v>
      </c>
      <c r="P36" s="33">
        <v>99.656765219999997</v>
      </c>
    </row>
    <row r="37" spans="3:16" x14ac:dyDescent="0.25">
      <c r="C37" s="10" t="s">
        <v>102</v>
      </c>
      <c r="D37" s="33">
        <v>5.1382810000000001</v>
      </c>
      <c r="E37" s="33">
        <v>5.1382810000000001</v>
      </c>
      <c r="F37" s="33">
        <v>5.1382810000000001</v>
      </c>
      <c r="G37" s="33">
        <v>5.1382810000000001</v>
      </c>
      <c r="H37" s="33">
        <v>5.1382810000000001</v>
      </c>
      <c r="I37" s="33">
        <v>5.1382810000000001</v>
      </c>
      <c r="J37" s="33">
        <v>5.1382810000000001</v>
      </c>
      <c r="K37" s="33">
        <v>5.1382810000000001</v>
      </c>
      <c r="L37" s="33">
        <v>5.1382810000000001</v>
      </c>
      <c r="M37" s="33">
        <v>5.1382810000000001</v>
      </c>
      <c r="N37" s="33">
        <v>5.1382810000000001</v>
      </c>
      <c r="O37" s="33">
        <v>5.1382810000000001</v>
      </c>
      <c r="P37" s="33">
        <v>5.1382810000000001</v>
      </c>
    </row>
    <row r="38" spans="3:16" x14ac:dyDescent="0.25">
      <c r="C38" s="10" t="s">
        <v>103</v>
      </c>
      <c r="D38" s="33">
        <v>343.39077777999995</v>
      </c>
      <c r="E38" s="33">
        <v>350</v>
      </c>
      <c r="F38" s="33">
        <v>329.22818067000003</v>
      </c>
      <c r="G38" s="33">
        <v>336.29813900000005</v>
      </c>
      <c r="H38" s="33">
        <v>342.97038900000001</v>
      </c>
      <c r="I38" s="33">
        <v>350.00000011000003</v>
      </c>
      <c r="J38" s="33">
        <v>187.477</v>
      </c>
      <c r="K38" s="33">
        <v>191.66811111000004</v>
      </c>
      <c r="L38" s="33">
        <v>195.77311111000003</v>
      </c>
      <c r="M38" s="33">
        <v>200</v>
      </c>
      <c r="N38" s="33">
        <v>0</v>
      </c>
      <c r="O38" s="33">
        <v>0</v>
      </c>
      <c r="P38" s="33">
        <v>0</v>
      </c>
    </row>
    <row r="39" spans="3:16" x14ac:dyDescent="0.25">
      <c r="C39" s="10" t="s">
        <v>104</v>
      </c>
      <c r="D39" s="33">
        <v>390.35748581887657</v>
      </c>
      <c r="E39" s="33">
        <v>214.04347807247967</v>
      </c>
      <c r="F39" s="33">
        <v>712.77973702366955</v>
      </c>
      <c r="G39" s="33">
        <v>541.59564502803164</v>
      </c>
      <c r="H39" s="33">
        <v>288.68315287380784</v>
      </c>
      <c r="I39" s="33">
        <v>129.79602673567831</v>
      </c>
      <c r="J39" s="33">
        <v>596.15229034758238</v>
      </c>
      <c r="K39" s="33">
        <v>343.33306459714743</v>
      </c>
      <c r="L39" s="33">
        <v>195.83559651458231</v>
      </c>
      <c r="M39" s="33">
        <v>50.18927053158238</v>
      </c>
      <c r="N39" s="33">
        <v>508.48381070150862</v>
      </c>
      <c r="O39" s="33">
        <v>372.0873697462261</v>
      </c>
      <c r="P39" s="33">
        <v>270.85750238608858</v>
      </c>
    </row>
    <row r="40" spans="3:16" x14ac:dyDescent="0.25">
      <c r="C40" s="10" t="s">
        <v>105</v>
      </c>
      <c r="D40" s="33">
        <v>-9.8571428571176515E-5</v>
      </c>
      <c r="E40" s="33">
        <v>-9.8571428571176515E-5</v>
      </c>
      <c r="F40" s="33">
        <v>1.0079758285714289</v>
      </c>
      <c r="G40" s="33">
        <v>0.83205862857142887</v>
      </c>
      <c r="H40" s="33">
        <v>0.51972062857142898</v>
      </c>
      <c r="I40" s="33">
        <v>0.87307862857142893</v>
      </c>
      <c r="J40" s="33">
        <v>0.89669442857142878</v>
      </c>
      <c r="K40" s="33">
        <v>0.75230402857142897</v>
      </c>
      <c r="L40" s="33">
        <v>0.75136642857142888</v>
      </c>
      <c r="M40" s="33">
        <v>0.62967766857142893</v>
      </c>
      <c r="N40" s="33">
        <v>0.71558526857142901</v>
      </c>
      <c r="O40" s="33">
        <v>0.62920886857142888</v>
      </c>
      <c r="P40" s="33">
        <v>0.41455706857142888</v>
      </c>
    </row>
    <row r="41" spans="3:16" s="50" customFormat="1" x14ac:dyDescent="0.25">
      <c r="C41" s="14" t="s">
        <v>106</v>
      </c>
      <c r="D41" s="49">
        <v>4995.9892623274482</v>
      </c>
      <c r="E41" s="49">
        <v>5533.642120761051</v>
      </c>
      <c r="F41" s="49">
        <v>5358.6352423022399</v>
      </c>
      <c r="G41" s="49">
        <v>5194.4118502366027</v>
      </c>
      <c r="H41" s="49">
        <v>4947.8592700823801</v>
      </c>
      <c r="I41" s="49">
        <v>5281.2030221542509</v>
      </c>
      <c r="J41" s="49">
        <v>4965.8482909061549</v>
      </c>
      <c r="K41" s="49">
        <v>4717.1245347057202</v>
      </c>
      <c r="L41" s="49">
        <v>4573.7391090231549</v>
      </c>
      <c r="M41" s="49">
        <v>4753.7578282901541</v>
      </c>
      <c r="N41" s="49">
        <v>4448.2705871300795</v>
      </c>
      <c r="O41" s="49">
        <v>4311.8027876147971</v>
      </c>
      <c r="P41" s="49">
        <v>4210.6610252546607</v>
      </c>
    </row>
    <row r="42" spans="3:16" s="50" customFormat="1" x14ac:dyDescent="0.25">
      <c r="C42" s="14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spans="3:16" s="50" customFormat="1" x14ac:dyDescent="0.25">
      <c r="C43" s="11" t="s">
        <v>107</v>
      </c>
      <c r="D43" s="41">
        <v>33246.409165607452</v>
      </c>
      <c r="E43" s="41">
        <v>32743.77202889105</v>
      </c>
      <c r="F43" s="41">
        <v>32393.63270643224</v>
      </c>
      <c r="G43" s="41">
        <v>32392.953505906607</v>
      </c>
      <c r="H43" s="41">
        <v>31728.74969454237</v>
      </c>
      <c r="I43" s="41">
        <v>31533.962927494256</v>
      </c>
      <c r="J43" s="41">
        <v>31471.732180046161</v>
      </c>
      <c r="K43" s="41">
        <v>31290.209661865727</v>
      </c>
      <c r="L43" s="41">
        <v>30678.090945173153</v>
      </c>
      <c r="M43" s="41">
        <v>30294.215908050166</v>
      </c>
      <c r="N43" s="41">
        <v>30538.88444822008</v>
      </c>
      <c r="O43" s="41">
        <v>30301.576793104803</v>
      </c>
      <c r="P43" s="41">
        <v>30094.859263084662</v>
      </c>
    </row>
    <row r="44" spans="3:16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7" spans="3:16" x14ac:dyDescent="0.25">
      <c r="C47" s="9" t="s">
        <v>348</v>
      </c>
      <c r="D47" s="43" t="s">
        <v>351</v>
      </c>
      <c r="E47" s="43" t="s">
        <v>16</v>
      </c>
      <c r="F47" s="43" t="s">
        <v>17</v>
      </c>
      <c r="G47" s="43" t="s">
        <v>18</v>
      </c>
      <c r="H47" s="43" t="s">
        <v>19</v>
      </c>
      <c r="I47" s="43" t="s">
        <v>20</v>
      </c>
      <c r="J47" s="43" t="s">
        <v>21</v>
      </c>
      <c r="K47" s="43" t="s">
        <v>22</v>
      </c>
      <c r="L47" s="43" t="s">
        <v>23</v>
      </c>
      <c r="M47" s="43" t="s">
        <v>24</v>
      </c>
      <c r="N47" s="43" t="s">
        <v>25</v>
      </c>
      <c r="O47" s="43" t="s">
        <v>26</v>
      </c>
      <c r="P47" s="43" t="s">
        <v>27</v>
      </c>
    </row>
    <row r="48" spans="3:16" x14ac:dyDescent="0.25">
      <c r="C48" s="10" t="s">
        <v>78</v>
      </c>
      <c r="D48" s="33">
        <v>105.76627463</v>
      </c>
      <c r="E48" s="33">
        <v>101.50309118000001</v>
      </c>
      <c r="F48" s="33">
        <v>109.02772546999999</v>
      </c>
      <c r="G48" s="33">
        <v>109.0761777</v>
      </c>
      <c r="H48" s="33">
        <v>104.41114253000001</v>
      </c>
      <c r="I48" s="33">
        <v>110.23362617000001</v>
      </c>
      <c r="J48" s="33">
        <v>103.35625084</v>
      </c>
      <c r="K48" s="33">
        <v>115.38229933</v>
      </c>
      <c r="L48" s="33">
        <v>102.92746324999997</v>
      </c>
      <c r="M48" s="33">
        <v>103.41296759000002</v>
      </c>
      <c r="N48" s="33">
        <v>90.379708120000032</v>
      </c>
      <c r="O48" s="33">
        <v>94.143786910000031</v>
      </c>
      <c r="P48" s="33">
        <v>95.274238680000025</v>
      </c>
    </row>
    <row r="49" spans="3:16" x14ac:dyDescent="0.25">
      <c r="C49" s="10" t="s">
        <v>79</v>
      </c>
      <c r="D49" s="33">
        <v>1185.80158377</v>
      </c>
      <c r="E49" s="33">
        <v>822.27241255999991</v>
      </c>
      <c r="F49" s="33">
        <v>1052.2248116000001</v>
      </c>
      <c r="G49" s="33">
        <v>1117.85559018</v>
      </c>
      <c r="H49" s="33">
        <v>975.42796469000007</v>
      </c>
      <c r="I49" s="33">
        <v>855.76727853</v>
      </c>
      <c r="J49" s="33">
        <v>997.87812038000004</v>
      </c>
      <c r="K49" s="33">
        <v>1194.0514810499999</v>
      </c>
      <c r="L49" s="33">
        <v>1164.8376529599996</v>
      </c>
      <c r="M49" s="33">
        <v>1294.0771679000009</v>
      </c>
      <c r="N49" s="33">
        <v>1302.5229376299992</v>
      </c>
      <c r="O49" s="33">
        <v>1135.5645733599997</v>
      </c>
      <c r="P49" s="33">
        <v>1098.7145845000002</v>
      </c>
    </row>
    <row r="50" spans="3:16" x14ac:dyDescent="0.25">
      <c r="C50" s="10" t="s">
        <v>80</v>
      </c>
      <c r="D50" s="33">
        <v>26837.251800990001</v>
      </c>
      <c r="E50" s="33">
        <v>26689.14780028</v>
      </c>
      <c r="F50" s="33">
        <v>26030.176653300001</v>
      </c>
      <c r="G50" s="33">
        <v>26007.41949692</v>
      </c>
      <c r="H50" s="33">
        <v>25733.414460430002</v>
      </c>
      <c r="I50" s="33">
        <v>25451.352419160001</v>
      </c>
      <c r="J50" s="33">
        <v>25725.382386959998</v>
      </c>
      <c r="K50" s="33">
        <v>25612.385687049999</v>
      </c>
      <c r="L50" s="33">
        <v>25106.591508550162</v>
      </c>
      <c r="M50" s="33">
        <v>24944.06260445001</v>
      </c>
      <c r="N50" s="33">
        <v>24850.14978656001</v>
      </c>
      <c r="O50" s="33">
        <v>24935.548143800006</v>
      </c>
      <c r="P50" s="33">
        <v>24656.215066270008</v>
      </c>
    </row>
    <row r="51" spans="3:16" x14ac:dyDescent="0.25">
      <c r="C51" s="10" t="s">
        <v>81</v>
      </c>
      <c r="D51" s="33">
        <v>2800.9511553800003</v>
      </c>
      <c r="E51" s="33">
        <v>2839.3494948899997</v>
      </c>
      <c r="F51" s="33">
        <v>2928.2950250999997</v>
      </c>
      <c r="G51" s="33">
        <v>2889.03898592</v>
      </c>
      <c r="H51" s="33">
        <v>2686.85178051</v>
      </c>
      <c r="I51" s="33">
        <v>2918.6535595199998</v>
      </c>
      <c r="J51" s="33">
        <v>2601.3346756399997</v>
      </c>
      <c r="K51" s="33">
        <v>2506.3051518100001</v>
      </c>
      <c r="L51" s="33">
        <v>2422.5161055599983</v>
      </c>
      <c r="M51" s="33">
        <v>2135.9858494200002</v>
      </c>
      <c r="N51" s="33">
        <v>2156.3889312300007</v>
      </c>
      <c r="O51" s="33">
        <v>2196.22995292</v>
      </c>
      <c r="P51" s="33">
        <v>2368.8314772000008</v>
      </c>
    </row>
    <row r="52" spans="3:16" x14ac:dyDescent="0.25">
      <c r="C52" s="10" t="s">
        <v>82</v>
      </c>
      <c r="D52" s="33">
        <v>74.816400370000011</v>
      </c>
      <c r="E52" s="33">
        <v>78.704462530000001</v>
      </c>
      <c r="F52" s="33">
        <v>53.991846029999998</v>
      </c>
      <c r="G52" s="33">
        <v>84.055690380000001</v>
      </c>
      <c r="H52" s="33">
        <v>74.93783535</v>
      </c>
      <c r="I52" s="33">
        <v>88.039916910000002</v>
      </c>
      <c r="J52" s="33">
        <v>70.975955530000007</v>
      </c>
      <c r="K52" s="33">
        <v>86.243146819999993</v>
      </c>
      <c r="L52" s="33">
        <v>85.528395550000582</v>
      </c>
      <c r="M52" s="33">
        <v>66.258862339999993</v>
      </c>
      <c r="N52" s="33">
        <v>71.898677170000056</v>
      </c>
      <c r="O52" s="33">
        <v>84.847109070000059</v>
      </c>
      <c r="P52" s="33">
        <v>69.667137220000086</v>
      </c>
    </row>
    <row r="53" spans="3:16" x14ac:dyDescent="0.25">
      <c r="C53" s="10" t="s">
        <v>83</v>
      </c>
      <c r="D53" s="33">
        <v>1370.0330766900001</v>
      </c>
      <c r="E53" s="33">
        <v>1367.31209227</v>
      </c>
      <c r="F53" s="33">
        <v>1377.09309699</v>
      </c>
      <c r="G53" s="33">
        <v>1363.4411092999999</v>
      </c>
      <c r="H53" s="33">
        <v>1256.7070532400001</v>
      </c>
      <c r="I53" s="33">
        <v>1257.2580940999999</v>
      </c>
      <c r="J53" s="33">
        <v>1157.9376046899999</v>
      </c>
      <c r="K53" s="33">
        <v>1156.9845581700001</v>
      </c>
      <c r="L53" s="33">
        <v>1158.1190588900001</v>
      </c>
      <c r="M53" s="33">
        <v>1101.31482338</v>
      </c>
      <c r="N53" s="33">
        <v>1122.6926847300001</v>
      </c>
      <c r="O53" s="33">
        <v>1116.4621925700001</v>
      </c>
      <c r="P53" s="33">
        <v>1103.1665566300001</v>
      </c>
    </row>
    <row r="54" spans="3:16" x14ac:dyDescent="0.25">
      <c r="C54" s="10" t="s">
        <v>84</v>
      </c>
      <c r="D54" s="33">
        <v>417.92484187999997</v>
      </c>
      <c r="E54" s="33">
        <v>417.92484187999997</v>
      </c>
      <c r="F54" s="33">
        <v>417.92484187999997</v>
      </c>
      <c r="G54" s="33">
        <v>427.28948345999999</v>
      </c>
      <c r="H54" s="33">
        <v>597.26903501000004</v>
      </c>
      <c r="I54" s="33">
        <v>510.11960963999996</v>
      </c>
      <c r="J54" s="33">
        <v>278.75702963999998</v>
      </c>
      <c r="K54" s="33">
        <v>319.79476175000002</v>
      </c>
      <c r="L54" s="33">
        <v>326.55570510999996</v>
      </c>
      <c r="M54" s="33">
        <v>322.53390961000002</v>
      </c>
      <c r="N54" s="33">
        <v>322.53270660999999</v>
      </c>
      <c r="O54" s="33">
        <v>322.53270660999999</v>
      </c>
      <c r="P54" s="33">
        <v>243.87273066</v>
      </c>
    </row>
    <row r="55" spans="3:16" x14ac:dyDescent="0.25">
      <c r="C55" s="10" t="s">
        <v>85</v>
      </c>
      <c r="D55" s="33">
        <v>80.666388349999991</v>
      </c>
      <c r="E55" s="33">
        <v>80.666392000000002</v>
      </c>
      <c r="F55" s="33">
        <v>77.166391650000008</v>
      </c>
      <c r="G55" s="33">
        <v>77.166391650000008</v>
      </c>
      <c r="H55" s="33">
        <v>3.9164999999999995E-4</v>
      </c>
      <c r="I55" s="33">
        <v>77.166391650000008</v>
      </c>
      <c r="J55" s="33">
        <v>77.166391650000008</v>
      </c>
      <c r="K55" s="33">
        <v>77.166391650000008</v>
      </c>
      <c r="L55" s="33">
        <v>77.166391650000008</v>
      </c>
      <c r="M55" s="33">
        <v>77.166391650000008</v>
      </c>
      <c r="N55" s="33">
        <v>77.166391650000008</v>
      </c>
      <c r="O55" s="33">
        <v>77.166391650000008</v>
      </c>
      <c r="P55" s="33">
        <v>77.166391650000008</v>
      </c>
    </row>
    <row r="56" spans="3:16" x14ac:dyDescent="0.25">
      <c r="C56" s="10" t="s">
        <v>86</v>
      </c>
      <c r="D56" s="33">
        <v>102.69644023000001</v>
      </c>
      <c r="E56" s="33">
        <v>106.93672022000001</v>
      </c>
      <c r="F56" s="33">
        <v>101.28585233000001</v>
      </c>
      <c r="G56" s="33">
        <v>97.199208200000001</v>
      </c>
      <c r="H56" s="33">
        <v>103.26390509999999</v>
      </c>
      <c r="I56" s="33">
        <v>82.034166889999995</v>
      </c>
      <c r="J56" s="33">
        <v>79.095234879999992</v>
      </c>
      <c r="K56" s="33">
        <v>78.985026209999972</v>
      </c>
      <c r="L56" s="33">
        <v>80.463060640000009</v>
      </c>
      <c r="M56" s="33">
        <v>82.860783009999992</v>
      </c>
      <c r="N56" s="33">
        <v>84.691318879999983</v>
      </c>
      <c r="O56" s="33">
        <v>87.021761249999997</v>
      </c>
      <c r="P56" s="33">
        <v>86.231000479999977</v>
      </c>
    </row>
    <row r="57" spans="3:16" x14ac:dyDescent="0.25">
      <c r="C57" s="4" t="s">
        <v>87</v>
      </c>
      <c r="D57" s="33">
        <v>-1.9726233</v>
      </c>
      <c r="E57" s="33">
        <v>-1.9662591100000002</v>
      </c>
      <c r="F57" s="33">
        <v>7.5149396799999995</v>
      </c>
      <c r="G57" s="33">
        <v>7.5616946799999996</v>
      </c>
      <c r="H57" s="33">
        <v>7.7452075100000002</v>
      </c>
      <c r="I57" s="33">
        <v>7.5151408600000007</v>
      </c>
      <c r="J57" s="33">
        <v>24.216106549999999</v>
      </c>
      <c r="K57" s="33">
        <v>24.242464909999999</v>
      </c>
      <c r="L57" s="33">
        <v>24.16783818</v>
      </c>
      <c r="M57" s="33">
        <v>24.130238659999996</v>
      </c>
      <c r="N57" s="33">
        <v>36.060629619999993</v>
      </c>
      <c r="O57" s="33">
        <v>36.060320939999997</v>
      </c>
      <c r="P57" s="33">
        <v>36.327768809999995</v>
      </c>
    </row>
    <row r="58" spans="3:16" x14ac:dyDescent="0.25">
      <c r="C58" s="10" t="s">
        <v>88</v>
      </c>
      <c r="D58" s="33">
        <v>0</v>
      </c>
      <c r="E58" s="33">
        <v>0</v>
      </c>
      <c r="F58" s="33">
        <v>0</v>
      </c>
      <c r="G58" s="33">
        <v>0</v>
      </c>
      <c r="H58" s="33">
        <v>68.092591999999996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</row>
    <row r="59" spans="3:16" x14ac:dyDescent="0.25">
      <c r="C59" s="10" t="s">
        <v>89</v>
      </c>
      <c r="D59" s="33">
        <v>71.587889129999994</v>
      </c>
      <c r="E59" s="33">
        <v>54.923057360000001</v>
      </c>
      <c r="F59" s="33">
        <v>53.646858109999997</v>
      </c>
      <c r="G59" s="33">
        <v>55.24877347999999</v>
      </c>
      <c r="H59" s="33">
        <v>121.56489033999999</v>
      </c>
      <c r="I59" s="33">
        <v>56.784390549999998</v>
      </c>
      <c r="J59" s="33">
        <v>220.59887818999999</v>
      </c>
      <c r="K59" s="33">
        <v>52.795633309999999</v>
      </c>
      <c r="L59" s="33">
        <v>77.55413659999958</v>
      </c>
      <c r="M59" s="33">
        <v>99.065636449999943</v>
      </c>
      <c r="N59" s="33">
        <v>360.93942731999994</v>
      </c>
      <c r="O59" s="33">
        <v>145.14644944000011</v>
      </c>
      <c r="P59" s="33">
        <v>114.21989734</v>
      </c>
    </row>
    <row r="60" spans="3:16" x14ac:dyDescent="0.25">
      <c r="C60" s="13" t="s">
        <v>90</v>
      </c>
      <c r="D60" s="49">
        <v>33045.523228120001</v>
      </c>
      <c r="E60" s="49">
        <v>32556.774106059998</v>
      </c>
      <c r="F60" s="49">
        <v>32208.348042139998</v>
      </c>
      <c r="G60" s="49">
        <v>32235.352601869999</v>
      </c>
      <c r="H60" s="49">
        <v>31729.686258360001</v>
      </c>
      <c r="I60" s="49">
        <v>31414.924593979998</v>
      </c>
      <c r="J60" s="49">
        <v>31336.69863495</v>
      </c>
      <c r="K60" s="49">
        <v>31224.336602060001</v>
      </c>
      <c r="L60" s="49">
        <v>30626.427316940157</v>
      </c>
      <c r="M60" s="49">
        <v>30250.869234459991</v>
      </c>
      <c r="N60" s="49">
        <v>30475.423199519977</v>
      </c>
      <c r="O60" s="49">
        <v>30230.723388519986</v>
      </c>
      <c r="P60" s="49">
        <v>29949.686849439986</v>
      </c>
    </row>
    <row r="61" spans="3:16" x14ac:dyDescent="0.25">
      <c r="C61" s="12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  <row r="62" spans="3:16" x14ac:dyDescent="0.25">
      <c r="C62" s="10" t="s">
        <v>91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-1.4901161193847656E-14</v>
      </c>
      <c r="M62" s="33">
        <v>1.4901161193847656E-14</v>
      </c>
      <c r="N62" s="33">
        <v>0</v>
      </c>
      <c r="O62" s="33">
        <v>0</v>
      </c>
      <c r="P62" s="33">
        <v>1.4901161193847656E-14</v>
      </c>
    </row>
    <row r="63" spans="3:16" x14ac:dyDescent="0.25">
      <c r="C63" s="10" t="s">
        <v>92</v>
      </c>
      <c r="D63" s="33">
        <v>22672.47106874</v>
      </c>
      <c r="E63" s="33">
        <v>22488.631697110002</v>
      </c>
      <c r="F63" s="33">
        <v>22359.21318716</v>
      </c>
      <c r="G63" s="33">
        <v>22422.93870015</v>
      </c>
      <c r="H63" s="33">
        <v>21503.797545880003</v>
      </c>
      <c r="I63" s="33">
        <v>21027.590537080003</v>
      </c>
      <c r="J63" s="33">
        <v>20908.879350269999</v>
      </c>
      <c r="K63" s="33">
        <v>21064.53542819</v>
      </c>
      <c r="L63" s="33">
        <v>20104.018459809977</v>
      </c>
      <c r="M63" s="33">
        <v>19363.03842759</v>
      </c>
      <c r="N63" s="33">
        <v>19698.935108760004</v>
      </c>
      <c r="O63" s="33">
        <v>19956.050071880003</v>
      </c>
      <c r="P63" s="33">
        <v>19422.17210299</v>
      </c>
    </row>
    <row r="64" spans="3:16" x14ac:dyDescent="0.25">
      <c r="C64" s="10" t="s">
        <v>93</v>
      </c>
      <c r="D64" s="33">
        <v>4203.8390703100004</v>
      </c>
      <c r="E64" s="33">
        <v>3988.5424400500001</v>
      </c>
      <c r="F64" s="33">
        <v>3957.1111047199997</v>
      </c>
      <c r="G64" s="33">
        <v>4092.6154865900003</v>
      </c>
      <c r="H64" s="33">
        <v>4073.4423464800002</v>
      </c>
      <c r="I64" s="33">
        <v>4460.5485155699998</v>
      </c>
      <c r="J64" s="33">
        <v>4629.7684547999997</v>
      </c>
      <c r="K64" s="33">
        <v>4747.2207671599999</v>
      </c>
      <c r="L64" s="33">
        <v>4936.6704757299985</v>
      </c>
      <c r="M64" s="33">
        <v>5476.7923051200005</v>
      </c>
      <c r="N64" s="33">
        <v>5363.3932860000014</v>
      </c>
      <c r="O64" s="33">
        <v>5342.8841628299997</v>
      </c>
      <c r="P64" s="33">
        <v>5628.7382153299995</v>
      </c>
    </row>
    <row r="65" spans="3:16" x14ac:dyDescent="0.25">
      <c r="C65" s="10" t="s">
        <v>82</v>
      </c>
      <c r="D65" s="33">
        <v>110.22618906999999</v>
      </c>
      <c r="E65" s="33">
        <v>76.695135099999987</v>
      </c>
      <c r="F65" s="33">
        <v>80.166925890000002</v>
      </c>
      <c r="G65" s="33">
        <v>62.560401799999994</v>
      </c>
      <c r="H65" s="33">
        <v>95.766226360000005</v>
      </c>
      <c r="I65" s="33">
        <v>87.206056590000003</v>
      </c>
      <c r="J65" s="33">
        <v>59.937748520000007</v>
      </c>
      <c r="K65" s="33">
        <v>94.781809879999997</v>
      </c>
      <c r="L65" s="33">
        <v>103.62904224999754</v>
      </c>
      <c r="M65" s="33">
        <v>93.572728669999861</v>
      </c>
      <c r="N65" s="33">
        <v>146.5377864699999</v>
      </c>
      <c r="O65" s="33">
        <v>134.16140419999994</v>
      </c>
      <c r="P65" s="33">
        <v>89.685392189999902</v>
      </c>
    </row>
    <row r="66" spans="3:16" x14ac:dyDescent="0.25">
      <c r="C66" s="10" t="s">
        <v>94</v>
      </c>
      <c r="D66" s="33">
        <v>828.17227688000003</v>
      </c>
      <c r="E66" s="33">
        <v>220.28318093999999</v>
      </c>
      <c r="F66" s="33">
        <v>195.94716372000002</v>
      </c>
      <c r="G66" s="33">
        <v>168.96155180000002</v>
      </c>
      <c r="H66" s="33">
        <v>706.12631264000004</v>
      </c>
      <c r="I66" s="33">
        <v>229.09197521000002</v>
      </c>
      <c r="J66" s="33">
        <v>458.16556277000001</v>
      </c>
      <c r="K66" s="33">
        <v>212.04892459999999</v>
      </c>
      <c r="L66" s="33">
        <v>511.61336868999149</v>
      </c>
      <c r="M66" s="33">
        <v>312.64785271000261</v>
      </c>
      <c r="N66" s="33">
        <v>506.19454941000816</v>
      </c>
      <c r="O66" s="33">
        <v>253.33894889000797</v>
      </c>
      <c r="P66" s="33">
        <v>447.41171010000255</v>
      </c>
    </row>
    <row r="67" spans="3:16" x14ac:dyDescent="0.25">
      <c r="C67" s="10" t="s">
        <v>95</v>
      </c>
      <c r="D67" s="33">
        <v>401.78362499999997</v>
      </c>
      <c r="E67" s="33">
        <v>401.74958333000001</v>
      </c>
      <c r="F67" s="33">
        <v>401.72181945</v>
      </c>
      <c r="G67" s="33">
        <v>401.89795832999999</v>
      </c>
      <c r="H67" s="33">
        <v>401.83426387999998</v>
      </c>
      <c r="I67" s="33">
        <v>401.95888888999997</v>
      </c>
      <c r="J67" s="33">
        <v>401.92377777999997</v>
      </c>
      <c r="K67" s="33">
        <v>401.93258333</v>
      </c>
      <c r="L67" s="33">
        <v>401.96204167000008</v>
      </c>
      <c r="M67" s="33">
        <v>251.02041667</v>
      </c>
      <c r="N67" s="33">
        <v>329.55461444999997</v>
      </c>
      <c r="O67" s="33">
        <v>251.24077777000002</v>
      </c>
      <c r="P67" s="33">
        <v>251.11522221999999</v>
      </c>
    </row>
    <row r="68" spans="3:16" x14ac:dyDescent="0.25">
      <c r="C68" s="13" t="s">
        <v>96</v>
      </c>
      <c r="D68" s="49">
        <v>28216.49223</v>
      </c>
      <c r="E68" s="49">
        <v>27178.902036529998</v>
      </c>
      <c r="F68" s="49">
        <v>26994.160200939998</v>
      </c>
      <c r="G68" s="49">
        <v>27148.974098669998</v>
      </c>
      <c r="H68" s="49">
        <v>26780.96669524</v>
      </c>
      <c r="I68" s="49">
        <v>26206.395973340001</v>
      </c>
      <c r="J68" s="49">
        <v>26458.67489414</v>
      </c>
      <c r="K68" s="49">
        <v>26520.519513160001</v>
      </c>
      <c r="L68" s="49">
        <v>26057.893388149958</v>
      </c>
      <c r="M68" s="49">
        <v>25497.07173076001</v>
      </c>
      <c r="N68" s="49">
        <v>26044.615345090027</v>
      </c>
      <c r="O68" s="49">
        <v>25937.675365570023</v>
      </c>
      <c r="P68" s="49">
        <v>25839.122642830014</v>
      </c>
    </row>
    <row r="69" spans="3:16" x14ac:dyDescent="0.25">
      <c r="C69" s="12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</row>
    <row r="70" spans="3:16" x14ac:dyDescent="0.25">
      <c r="C70" s="10" t="s">
        <v>65</v>
      </c>
      <c r="D70" s="33">
        <v>1565.0009993599999</v>
      </c>
      <c r="E70" s="33">
        <v>1564.9389699200001</v>
      </c>
      <c r="F70" s="33">
        <v>1564.8871380200001</v>
      </c>
      <c r="G70" s="33">
        <v>1564.95379682</v>
      </c>
      <c r="H70" s="33">
        <v>1564.95379682</v>
      </c>
      <c r="I70" s="33">
        <v>1564.95258792</v>
      </c>
      <c r="J70" s="33">
        <v>1564.96241732</v>
      </c>
      <c r="K70" s="33">
        <v>1565.0111661600001</v>
      </c>
      <c r="L70" s="33">
        <v>1565.0191461599998</v>
      </c>
      <c r="M70" s="33">
        <v>1565.0193311199998</v>
      </c>
      <c r="N70" s="33">
        <v>1565.0093253599998</v>
      </c>
      <c r="O70" s="33">
        <v>1565.0243432</v>
      </c>
      <c r="P70" s="33">
        <v>1565.0405000000001</v>
      </c>
    </row>
    <row r="71" spans="3:16" x14ac:dyDescent="0.25">
      <c r="C71" s="10" t="s">
        <v>97</v>
      </c>
      <c r="D71" s="33">
        <v>491.692275</v>
      </c>
      <c r="E71" s="33">
        <v>491.692275</v>
      </c>
      <c r="F71" s="33">
        <v>491.692275</v>
      </c>
      <c r="G71" s="33">
        <v>491.692275</v>
      </c>
      <c r="H71" s="33">
        <v>487.77151800000001</v>
      </c>
      <c r="I71" s="33">
        <v>491.692275</v>
      </c>
      <c r="J71" s="33">
        <v>491.692275</v>
      </c>
      <c r="K71" s="33">
        <v>491.692275</v>
      </c>
      <c r="L71" s="33">
        <v>491.692275</v>
      </c>
      <c r="M71" s="33">
        <v>491.692275</v>
      </c>
      <c r="N71" s="33">
        <v>491.692275</v>
      </c>
      <c r="O71" s="33">
        <v>491.692275</v>
      </c>
      <c r="P71" s="33">
        <v>491.692275</v>
      </c>
    </row>
    <row r="72" spans="3:16" x14ac:dyDescent="0.25">
      <c r="C72" s="10" t="s">
        <v>98</v>
      </c>
      <c r="D72" s="33">
        <v>2096.0118556800003</v>
      </c>
      <c r="E72" s="33">
        <v>2096.0118556800003</v>
      </c>
      <c r="F72" s="33">
        <v>2148.0814426399998</v>
      </c>
      <c r="G72" s="33">
        <v>2148.0814426399998</v>
      </c>
      <c r="H72" s="33">
        <v>2148.0814426399998</v>
      </c>
      <c r="I72" s="33">
        <v>2148.0814426399998</v>
      </c>
      <c r="J72" s="33">
        <v>2014.8400397400001</v>
      </c>
      <c r="K72" s="33">
        <v>2014.8400397400001</v>
      </c>
      <c r="L72" s="33">
        <v>2014.8400397400003</v>
      </c>
      <c r="M72" s="33">
        <v>2014.8400397400003</v>
      </c>
      <c r="N72" s="33">
        <v>1778.9858225799999</v>
      </c>
      <c r="O72" s="33">
        <v>1778.9858225799999</v>
      </c>
      <c r="P72" s="33">
        <v>1778.9858225800001</v>
      </c>
    </row>
    <row r="73" spans="3:16" x14ac:dyDescent="0.25">
      <c r="C73" s="10" t="s">
        <v>99</v>
      </c>
      <c r="D73" s="33">
        <v>0</v>
      </c>
      <c r="E73" s="33">
        <v>688.60633610000002</v>
      </c>
      <c r="F73" s="33">
        <v>1.0000000000000001E-7</v>
      </c>
      <c r="G73" s="33">
        <v>1.0000000000000001E-7</v>
      </c>
      <c r="H73" s="33">
        <v>1.0000000000000001E-7</v>
      </c>
      <c r="I73" s="33">
        <v>469.51215010000004</v>
      </c>
      <c r="J73" s="33">
        <v>1.0000000000000001E-7</v>
      </c>
      <c r="K73" s="33">
        <v>1.0000000000000001E-7</v>
      </c>
      <c r="L73" s="33">
        <v>1.0000002384185791E-7</v>
      </c>
      <c r="M73" s="33">
        <v>313.00810010000004</v>
      </c>
      <c r="N73" s="33">
        <v>0</v>
      </c>
      <c r="O73" s="33">
        <v>0</v>
      </c>
      <c r="P73" s="33">
        <v>0</v>
      </c>
    </row>
    <row r="74" spans="3:16" x14ac:dyDescent="0.25">
      <c r="C74" s="10" t="s">
        <v>100</v>
      </c>
      <c r="D74" s="33">
        <v>0</v>
      </c>
      <c r="E74" s="33">
        <v>18.813337699999998</v>
      </c>
      <c r="F74" s="33">
        <v>1.0000000000000001E-7</v>
      </c>
      <c r="G74" s="33">
        <v>1.0000000000000001E-7</v>
      </c>
      <c r="H74" s="33">
        <v>1.8E-7</v>
      </c>
      <c r="I74" s="33">
        <v>12.827489179999999</v>
      </c>
      <c r="J74" s="33">
        <v>1.0000000000000001E-7</v>
      </c>
      <c r="K74" s="33">
        <v>1.0000000000000001E-7</v>
      </c>
      <c r="L74" s="33">
        <v>-3.3000000007450583E-7</v>
      </c>
      <c r="M74" s="33">
        <v>8.5516596699999994</v>
      </c>
      <c r="N74" s="33">
        <v>0</v>
      </c>
      <c r="O74" s="33">
        <v>0</v>
      </c>
      <c r="P74" s="33">
        <v>0</v>
      </c>
    </row>
    <row r="75" spans="3:16" x14ac:dyDescent="0.25">
      <c r="C75" s="10" t="s">
        <v>101</v>
      </c>
      <c r="D75" s="33">
        <v>108.31844326000001</v>
      </c>
      <c r="E75" s="33">
        <v>108.31844326000001</v>
      </c>
      <c r="F75" s="33">
        <v>109.74096912</v>
      </c>
      <c r="G75" s="33">
        <v>109.74096912</v>
      </c>
      <c r="H75" s="33">
        <v>109.74096912</v>
      </c>
      <c r="I75" s="33">
        <v>109.74096912</v>
      </c>
      <c r="J75" s="33">
        <v>106.10057106999999</v>
      </c>
      <c r="K75" s="33">
        <v>106.10057106999999</v>
      </c>
      <c r="L75" s="33">
        <v>106.10057106999999</v>
      </c>
      <c r="M75" s="33">
        <v>106.10057106999999</v>
      </c>
      <c r="N75" s="33">
        <v>99.656765219999997</v>
      </c>
      <c r="O75" s="33">
        <v>99.656765219999997</v>
      </c>
      <c r="P75" s="33">
        <v>99.656765219999997</v>
      </c>
    </row>
    <row r="76" spans="3:16" x14ac:dyDescent="0.25">
      <c r="C76" s="10" t="s">
        <v>102</v>
      </c>
      <c r="D76" s="33">
        <v>5.1382810000000001</v>
      </c>
      <c r="E76" s="33">
        <v>5.1382810000000001</v>
      </c>
      <c r="F76" s="33">
        <v>5.1382810000000001</v>
      </c>
      <c r="G76" s="33">
        <v>5.1382810000000001</v>
      </c>
      <c r="H76" s="33">
        <v>5.1382810000000001</v>
      </c>
      <c r="I76" s="33">
        <v>5.1382810000000001</v>
      </c>
      <c r="J76" s="33">
        <v>5.1382810000000001</v>
      </c>
      <c r="K76" s="33">
        <v>5.1382810000000001</v>
      </c>
      <c r="L76" s="33">
        <v>5.1382810000000001</v>
      </c>
      <c r="M76" s="33">
        <v>5.1382810000000001</v>
      </c>
      <c r="N76" s="33">
        <v>5.1382810000000001</v>
      </c>
      <c r="O76" s="33">
        <v>5.1382810000000001</v>
      </c>
      <c r="P76" s="33">
        <v>5.1382810000000001</v>
      </c>
    </row>
    <row r="77" spans="3:16" x14ac:dyDescent="0.25">
      <c r="C77" s="10" t="s">
        <v>103</v>
      </c>
      <c r="D77" s="33">
        <v>343.39077777999995</v>
      </c>
      <c r="E77" s="33">
        <v>350</v>
      </c>
      <c r="F77" s="33">
        <v>329.22818067000003</v>
      </c>
      <c r="G77" s="33">
        <v>336.29813899999999</v>
      </c>
      <c r="H77" s="33">
        <v>342.97038900000001</v>
      </c>
      <c r="I77" s="33">
        <v>350.00000011000003</v>
      </c>
      <c r="J77" s="33">
        <v>187.477</v>
      </c>
      <c r="K77" s="33">
        <v>191.66811111000001</v>
      </c>
      <c r="L77" s="33">
        <v>195.77311111000009</v>
      </c>
      <c r="M77" s="33">
        <v>200</v>
      </c>
      <c r="N77" s="33">
        <v>0</v>
      </c>
      <c r="O77" s="33">
        <v>0</v>
      </c>
      <c r="P77" s="33">
        <v>0</v>
      </c>
    </row>
    <row r="78" spans="3:16" x14ac:dyDescent="0.25">
      <c r="C78" s="10" t="s">
        <v>104</v>
      </c>
      <c r="D78" s="33">
        <v>219.47843831</v>
      </c>
      <c r="E78" s="33">
        <v>56.538643230000005</v>
      </c>
      <c r="F78" s="33">
        <v>565.41141249999998</v>
      </c>
      <c r="G78" s="33">
        <v>430.47267055999998</v>
      </c>
      <c r="H78" s="33">
        <v>288.12123248</v>
      </c>
      <c r="I78" s="33">
        <v>56.583496339999996</v>
      </c>
      <c r="J78" s="33">
        <v>507.81322772999999</v>
      </c>
      <c r="K78" s="33">
        <v>329.36671587000001</v>
      </c>
      <c r="L78" s="33">
        <v>189.97049326000024</v>
      </c>
      <c r="M78" s="33">
        <v>49.447316480000225</v>
      </c>
      <c r="N78" s="33">
        <v>490.32545673999988</v>
      </c>
      <c r="O78" s="33">
        <v>352.55060741999978</v>
      </c>
      <c r="P78" s="33">
        <v>170.05063428</v>
      </c>
    </row>
    <row r="79" spans="3:16" x14ac:dyDescent="0.25">
      <c r="C79" s="10" t="s">
        <v>105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</row>
    <row r="80" spans="3:16" x14ac:dyDescent="0.25">
      <c r="C80" s="14" t="s">
        <v>106</v>
      </c>
      <c r="D80" s="49">
        <v>4829.0310703900004</v>
      </c>
      <c r="E80" s="49">
        <v>5380.0581418900001</v>
      </c>
      <c r="F80" s="49">
        <v>5214.1796992299996</v>
      </c>
      <c r="G80" s="49">
        <v>5086.3775744200002</v>
      </c>
      <c r="H80" s="49">
        <v>4946.7776293400002</v>
      </c>
      <c r="I80" s="49">
        <v>5208.5286914099997</v>
      </c>
      <c r="J80" s="49">
        <v>4878.0238116299997</v>
      </c>
      <c r="K80" s="49">
        <v>4703.8171597199998</v>
      </c>
      <c r="L80" s="49">
        <v>4568.5339171100013</v>
      </c>
      <c r="M80" s="49">
        <v>4753.7975741800001</v>
      </c>
      <c r="N80" s="49">
        <v>4430.8079258999996</v>
      </c>
      <c r="O80" s="49">
        <v>4293.0480944199999</v>
      </c>
      <c r="P80" s="49">
        <v>4110.5642780800008</v>
      </c>
    </row>
    <row r="81" spans="3:16" x14ac:dyDescent="0.25">
      <c r="C81" s="14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</row>
    <row r="82" spans="3:16" x14ac:dyDescent="0.25">
      <c r="C82" s="11" t="s">
        <v>107</v>
      </c>
      <c r="D82" s="41">
        <v>33045.523300389999</v>
      </c>
      <c r="E82" s="41">
        <v>32558.960178419999</v>
      </c>
      <c r="F82" s="41">
        <v>32208.339900169998</v>
      </c>
      <c r="G82" s="41">
        <v>32235.351673090001</v>
      </c>
      <c r="H82" s="41">
        <v>31727.744324580002</v>
      </c>
      <c r="I82" s="41">
        <v>31414.92466475</v>
      </c>
      <c r="J82" s="41">
        <v>31336.698705769999</v>
      </c>
      <c r="K82" s="41">
        <v>31224.336672880003</v>
      </c>
      <c r="L82" s="41">
        <v>30626.427305259938</v>
      </c>
      <c r="M82" s="41">
        <v>30250.869304940017</v>
      </c>
      <c r="N82" s="41">
        <v>30475.423270990032</v>
      </c>
      <c r="O82" s="41">
        <v>30230.723459990033</v>
      </c>
      <c r="P82" s="41">
        <v>29949.686920910019</v>
      </c>
    </row>
  </sheetData>
  <hyperlinks>
    <hyperlink ref="C2" location="Forside!A1" display="Tilbake til forsiden" xr:uid="{4ED99D2C-F63B-4D63-98FB-EEB5EE2171DC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3FEA-73FA-47EC-9B85-6C5DBDAB76E7}">
  <sheetPr codeName="Sheet7"/>
  <dimension ref="B2:P87"/>
  <sheetViews>
    <sheetView showGridLines="0" workbookViewId="0">
      <pane xSplit="3" ySplit="8" topLeftCell="D9" activePane="bottomRight" state="frozen"/>
      <selection activeCell="K50" sqref="K50"/>
      <selection pane="topRight" activeCell="K50" sqref="K50"/>
      <selection pane="bottomLeft" activeCell="K50" sqref="K50"/>
      <selection pane="bottomRight" activeCell="C2" sqref="C2"/>
    </sheetView>
  </sheetViews>
  <sheetFormatPr defaultRowHeight="15" x14ac:dyDescent="0.25"/>
  <cols>
    <col min="1" max="1" width="9.140625" style="1"/>
    <col min="2" max="2" width="3.7109375" style="1" bestFit="1" customWidth="1"/>
    <col min="3" max="3" width="84.5703125" style="1" bestFit="1" customWidth="1"/>
    <col min="4" max="5" width="10.140625" style="1" bestFit="1" customWidth="1"/>
    <col min="6" max="7" width="10" style="1" bestFit="1" customWidth="1"/>
    <col min="8" max="9" width="10.28515625" style="1" bestFit="1" customWidth="1"/>
    <col min="10" max="10" width="10.42578125" style="1" bestFit="1" customWidth="1"/>
    <col min="11" max="11" width="10.140625" style="1" bestFit="1" customWidth="1"/>
    <col min="12" max="12" width="10.42578125" style="1" bestFit="1" customWidth="1"/>
    <col min="13" max="13" width="10.140625" style="1" bestFit="1" customWidth="1"/>
    <col min="14" max="14" width="10.7109375" style="1" bestFit="1" customWidth="1"/>
    <col min="15" max="15" width="10.42578125" style="1" bestFit="1" customWidth="1"/>
    <col min="16" max="16" width="10.28515625" style="1" bestFit="1" customWidth="1"/>
    <col min="17" max="16384" width="9.140625" style="1"/>
  </cols>
  <sheetData>
    <row r="2" spans="2:16" x14ac:dyDescent="0.25">
      <c r="C2" s="174" t="s">
        <v>349</v>
      </c>
    </row>
    <row r="6" spans="2:16" ht="23.25" x14ac:dyDescent="0.35">
      <c r="B6" s="3">
        <v>5</v>
      </c>
      <c r="C6" s="3" t="s">
        <v>108</v>
      </c>
    </row>
    <row r="8" spans="2:16" x14ac:dyDescent="0.25">
      <c r="C8" s="9"/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  <c r="M8" s="43" t="s">
        <v>24</v>
      </c>
      <c r="N8" s="43" t="s">
        <v>25</v>
      </c>
      <c r="O8" s="43" t="s">
        <v>26</v>
      </c>
      <c r="P8" s="43" t="s">
        <v>27</v>
      </c>
    </row>
    <row r="9" spans="2:16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2:16" x14ac:dyDescent="0.25">
      <c r="C10" s="15" t="s">
        <v>115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2:16" x14ac:dyDescent="0.25">
      <c r="C11" s="16" t="s">
        <v>57</v>
      </c>
      <c r="D11" s="33">
        <v>4005.1612220000002</v>
      </c>
      <c r="E11" s="33">
        <v>4003.9378270000002</v>
      </c>
      <c r="F11" s="33">
        <v>4043.5115150000001</v>
      </c>
      <c r="G11" s="33">
        <v>4202.3010000000004</v>
      </c>
      <c r="H11" s="33">
        <v>4084.4786960000001</v>
      </c>
      <c r="I11" s="33">
        <v>4011.5867760000001</v>
      </c>
      <c r="J11" s="33">
        <v>4250.3160900000003</v>
      </c>
      <c r="K11" s="33">
        <v>4204.9979999999996</v>
      </c>
      <c r="L11" s="33">
        <v>4141.1919399999997</v>
      </c>
      <c r="M11" s="33">
        <v>4088.616458</v>
      </c>
      <c r="N11" s="33">
        <v>4125.0065409999997</v>
      </c>
      <c r="O11" s="33">
        <v>4059.3110000000001</v>
      </c>
      <c r="P11" s="33">
        <v>3915.595722</v>
      </c>
    </row>
    <row r="12" spans="2:16" x14ac:dyDescent="0.25">
      <c r="C12" s="16" t="s">
        <v>109</v>
      </c>
      <c r="D12" s="33">
        <v>4392.740323</v>
      </c>
      <c r="E12" s="33">
        <v>4398.05</v>
      </c>
      <c r="F12" s="33">
        <v>4418.6090400000003</v>
      </c>
      <c r="G12" s="33">
        <v>4593.6180000000004</v>
      </c>
      <c r="H12" s="33">
        <v>4480.319407</v>
      </c>
      <c r="I12" s="33">
        <v>4414.5079999999998</v>
      </c>
      <c r="J12" s="33">
        <v>4477.3267980000001</v>
      </c>
      <c r="K12" s="33">
        <v>4436.1940000000004</v>
      </c>
      <c r="L12" s="33">
        <v>4376.7449399999996</v>
      </c>
      <c r="M12" s="33">
        <v>4328.3964580000002</v>
      </c>
      <c r="N12" s="33">
        <v>4166.4965410000004</v>
      </c>
      <c r="O12" s="33">
        <v>4100.8010000000004</v>
      </c>
      <c r="P12" s="33">
        <v>3957.0857219999998</v>
      </c>
    </row>
    <row r="13" spans="2:16" x14ac:dyDescent="0.25">
      <c r="C13" s="16" t="s">
        <v>110</v>
      </c>
      <c r="D13" s="33">
        <v>4858.4065620000001</v>
      </c>
      <c r="E13" s="33">
        <v>4864.1390000000001</v>
      </c>
      <c r="F13" s="33">
        <v>4905.0332689999996</v>
      </c>
      <c r="G13" s="33">
        <v>5083.259</v>
      </c>
      <c r="H13" s="33">
        <v>4963.1377709999997</v>
      </c>
      <c r="I13" s="33">
        <v>4897.3429999999998</v>
      </c>
      <c r="J13" s="33">
        <v>4971.6651860000002</v>
      </c>
      <c r="K13" s="33">
        <v>4930.5339999999997</v>
      </c>
      <c r="L13" s="33">
        <v>4852.9889999999996</v>
      </c>
      <c r="M13" s="33">
        <v>4643.2157580000003</v>
      </c>
      <c r="N13" s="33">
        <v>4560.1890409999996</v>
      </c>
      <c r="O13" s="33">
        <v>4416.4939999999997</v>
      </c>
      <c r="P13" s="33">
        <v>4272.7782219999999</v>
      </c>
    </row>
    <row r="14" spans="2:16" x14ac:dyDescent="0.25">
      <c r="C14" s="17" t="s">
        <v>111</v>
      </c>
      <c r="D14" s="33">
        <v>22236.521424999999</v>
      </c>
      <c r="E14" s="33">
        <v>22176.3</v>
      </c>
      <c r="F14" s="33">
        <v>21754.235369000002</v>
      </c>
      <c r="G14" s="33">
        <v>21592.477999999999</v>
      </c>
      <c r="H14" s="33">
        <v>24257.699954</v>
      </c>
      <c r="I14" s="33">
        <v>24122.466</v>
      </c>
      <c r="J14" s="33">
        <v>23760.328891000001</v>
      </c>
      <c r="K14" s="33">
        <v>23812.304</v>
      </c>
      <c r="L14" s="33">
        <v>23439.082014</v>
      </c>
      <c r="M14" s="33">
        <v>22783.422439999998</v>
      </c>
      <c r="N14" s="33">
        <v>22500.660295000001</v>
      </c>
      <c r="O14" s="33">
        <v>22478.654999999999</v>
      </c>
      <c r="P14" s="33">
        <v>21962.930374</v>
      </c>
    </row>
    <row r="15" spans="2:16" x14ac:dyDescent="0.25">
      <c r="C15" s="18" t="s">
        <v>112</v>
      </c>
      <c r="D15" s="48">
        <v>0.18011635657621752</v>
      </c>
      <c r="E15" s="48">
        <v>0.18055030942943595</v>
      </c>
      <c r="F15" s="48">
        <v>0.18587238054627483</v>
      </c>
      <c r="G15" s="48">
        <v>0.19461874639863014</v>
      </c>
      <c r="H15" s="48">
        <v>0.16837864693459884</v>
      </c>
      <c r="I15" s="48">
        <v>0.16630085730041033</v>
      </c>
      <c r="J15" s="48">
        <v>0.17888288118814491</v>
      </c>
      <c r="K15" s="48">
        <v>0.1765892960210822</v>
      </c>
      <c r="L15" s="48">
        <v>0.17667893040889976</v>
      </c>
      <c r="M15" s="48">
        <v>0.17945576301222285</v>
      </c>
      <c r="N15" s="48">
        <v>0.18332824401231643</v>
      </c>
      <c r="O15" s="48">
        <v>0.18058513732249551</v>
      </c>
      <c r="P15" s="48">
        <v>0.17828202591013687</v>
      </c>
    </row>
    <row r="16" spans="2:16" x14ac:dyDescent="0.25">
      <c r="C16" s="17" t="s">
        <v>113</v>
      </c>
      <c r="D16" s="45">
        <v>0.19754620064185693</v>
      </c>
      <c r="E16" s="45">
        <v>0.19832208258365916</v>
      </c>
      <c r="F16" s="45">
        <v>0.20311488613829018</v>
      </c>
      <c r="G16" s="45">
        <v>0.21274158528724682</v>
      </c>
      <c r="H16" s="45">
        <v>0.18469679382200507</v>
      </c>
      <c r="I16" s="45">
        <v>0.18300400962322838</v>
      </c>
      <c r="J16" s="45">
        <v>0.18843707166427034</v>
      </c>
      <c r="K16" s="45">
        <v>0.18629839430909334</v>
      </c>
      <c r="L16" s="45">
        <v>0.18672851340277749</v>
      </c>
      <c r="M16" s="45">
        <v>0.18998008176334374</v>
      </c>
      <c r="N16" s="45">
        <v>0.18517218989906092</v>
      </c>
      <c r="O16" s="45">
        <v>0.18243088832494653</v>
      </c>
      <c r="P16" s="45">
        <v>0.18017111808925321</v>
      </c>
    </row>
    <row r="17" spans="3:16" x14ac:dyDescent="0.25">
      <c r="C17" s="18" t="s">
        <v>108</v>
      </c>
      <c r="D17" s="48">
        <v>0.21848770628924935</v>
      </c>
      <c r="E17" s="48">
        <v>0.21933952011832453</v>
      </c>
      <c r="F17" s="48">
        <v>0.22547486435628622</v>
      </c>
      <c r="G17" s="48">
        <v>0.23541804696987537</v>
      </c>
      <c r="H17" s="48">
        <v>0.20460050954590184</v>
      </c>
      <c r="I17" s="48">
        <v>0.20301999803834317</v>
      </c>
      <c r="J17" s="48">
        <v>0.20924227138468526</v>
      </c>
      <c r="K17" s="48">
        <v>0.20705825022223803</v>
      </c>
      <c r="L17" s="48">
        <v>0.20704688848741359</v>
      </c>
      <c r="M17" s="48">
        <v>0.20379799260747064</v>
      </c>
      <c r="N17" s="48">
        <v>0.20266912087079261</v>
      </c>
      <c r="O17" s="48">
        <v>0.19647501151648086</v>
      </c>
      <c r="P17" s="48">
        <v>0.19454499692163893</v>
      </c>
    </row>
    <row r="18" spans="3:16" x14ac:dyDescent="0.25">
      <c r="C18" s="18" t="s">
        <v>114</v>
      </c>
      <c r="D18" s="48">
        <v>8.5400000000000004E-2</v>
      </c>
      <c r="E18" s="48">
        <v>8.5999999999999993E-2</v>
      </c>
      <c r="F18" s="48">
        <v>8.5999999999999993E-2</v>
      </c>
      <c r="G18" s="48">
        <v>8.9800000000000005E-2</v>
      </c>
      <c r="H18" s="48">
        <v>9.1300000000000006E-2</v>
      </c>
      <c r="I18" s="48">
        <v>8.9800000000000005E-2</v>
      </c>
      <c r="J18" s="48">
        <v>9.0899999999999995E-2</v>
      </c>
      <c r="K18" s="48">
        <v>9.1399999999999995E-2</v>
      </c>
      <c r="L18" s="48">
        <v>9.0800000000000006E-2</v>
      </c>
      <c r="M18" s="48">
        <v>9.0999999999999998E-2</v>
      </c>
      <c r="N18" s="48">
        <v>8.7999999999999995E-2</v>
      </c>
      <c r="O18" s="48">
        <v>8.6999999999999994E-2</v>
      </c>
      <c r="P18" s="48">
        <v>8.5000000000000006E-2</v>
      </c>
    </row>
    <row r="19" spans="3:16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3:16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3:16" x14ac:dyDescent="0.25">
      <c r="C21" s="15" t="s">
        <v>129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3:16" x14ac:dyDescent="0.25">
      <c r="C22" s="19" t="s">
        <v>65</v>
      </c>
      <c r="D22" s="33">
        <v>1565.0009993599999</v>
      </c>
      <c r="E22" s="33">
        <v>1564.9389699999999</v>
      </c>
      <c r="F22" s="33">
        <v>1564.8871380200001</v>
      </c>
      <c r="G22" s="33">
        <v>1564.95379682</v>
      </c>
      <c r="H22" s="33">
        <v>1564.954</v>
      </c>
      <c r="I22" s="33">
        <v>1564.96241732</v>
      </c>
      <c r="J22" s="33">
        <v>1564.96241732</v>
      </c>
      <c r="K22" s="33">
        <v>1565.011</v>
      </c>
      <c r="L22" s="33">
        <v>1565.019</v>
      </c>
      <c r="M22" s="33">
        <v>1565.0405000000001</v>
      </c>
      <c r="N22" s="33">
        <v>1565.0093253599998</v>
      </c>
      <c r="O22" s="33">
        <v>1565.0243432</v>
      </c>
      <c r="P22" s="33">
        <v>1565.0405000000001</v>
      </c>
    </row>
    <row r="23" spans="3:16" x14ac:dyDescent="0.25">
      <c r="C23" s="19" t="s">
        <v>97</v>
      </c>
      <c r="D23" s="33">
        <v>491.692275</v>
      </c>
      <c r="E23" s="33">
        <v>491.692275</v>
      </c>
      <c r="F23" s="33">
        <v>491.692275</v>
      </c>
      <c r="G23" s="33">
        <v>491.692275</v>
      </c>
      <c r="H23" s="33">
        <v>496.83100000000002</v>
      </c>
      <c r="I23" s="33">
        <v>491.83100000000002</v>
      </c>
      <c r="J23" s="33">
        <v>496.83100000000002</v>
      </c>
      <c r="K23" s="33">
        <v>491.83100000000002</v>
      </c>
      <c r="L23" s="33">
        <v>496.83100000000002</v>
      </c>
      <c r="M23" s="33">
        <v>497</v>
      </c>
      <c r="N23" s="33">
        <v>491.692275</v>
      </c>
      <c r="O23" s="33">
        <v>491.692275</v>
      </c>
      <c r="P23" s="33">
        <v>491.692275</v>
      </c>
    </row>
    <row r="24" spans="3:16" x14ac:dyDescent="0.25">
      <c r="C24" s="19" t="s">
        <v>116</v>
      </c>
      <c r="D24" s="33">
        <v>2209.4685800000002</v>
      </c>
      <c r="E24" s="33">
        <v>2209.4685800000002</v>
      </c>
      <c r="F24" s="33">
        <v>2262.9606927600003</v>
      </c>
      <c r="G24" s="33">
        <v>2262.9606927600003</v>
      </c>
      <c r="H24" s="33">
        <v>2257.8000000000002</v>
      </c>
      <c r="I24" s="33">
        <v>2262.8000000000002</v>
      </c>
      <c r="J24" s="33">
        <v>2120.9409999999998</v>
      </c>
      <c r="K24" s="33">
        <v>2125.9409999999998</v>
      </c>
      <c r="L24" s="33">
        <v>2120.9406098099998</v>
      </c>
      <c r="M24" s="33">
        <v>2120.9406098099998</v>
      </c>
      <c r="N24" s="33">
        <v>1883.7808687999998</v>
      </c>
      <c r="O24" s="33">
        <v>1883.7808687999998</v>
      </c>
      <c r="P24" s="33">
        <v>1883.7808687999998</v>
      </c>
    </row>
    <row r="25" spans="3:16" x14ac:dyDescent="0.25">
      <c r="C25" s="19" t="s">
        <v>117</v>
      </c>
      <c r="D25" s="33">
        <v>95.044702999999998</v>
      </c>
      <c r="E25" s="33">
        <v>72.911333999999997</v>
      </c>
      <c r="F25" s="33">
        <v>67.97</v>
      </c>
      <c r="G25" s="33">
        <v>73.531999999999996</v>
      </c>
      <c r="H25" s="33">
        <v>73.531999999999996</v>
      </c>
      <c r="I25" s="33">
        <v>72.415000000000006</v>
      </c>
      <c r="J25" s="33">
        <v>66.254000000000005</v>
      </c>
      <c r="K25" s="33">
        <v>75.638000000000005</v>
      </c>
      <c r="L25" s="33">
        <v>76.644000000000005</v>
      </c>
      <c r="M25" s="33">
        <v>66</v>
      </c>
      <c r="N25" s="33">
        <v>77.819999999999993</v>
      </c>
      <c r="O25" s="33">
        <v>71.77</v>
      </c>
      <c r="P25" s="33">
        <v>71.77</v>
      </c>
    </row>
    <row r="26" spans="3:16" x14ac:dyDescent="0.25">
      <c r="C26" s="19" t="s">
        <v>118</v>
      </c>
      <c r="D26" s="33">
        <v>0</v>
      </c>
      <c r="E26" s="33">
        <v>707.41967399999999</v>
      </c>
      <c r="F26" s="33">
        <v>0</v>
      </c>
      <c r="G26" s="33">
        <v>0</v>
      </c>
      <c r="H26" s="33">
        <v>0</v>
      </c>
      <c r="I26" s="33">
        <v>482.339</v>
      </c>
      <c r="J26" s="33">
        <v>0</v>
      </c>
      <c r="K26" s="33">
        <v>0</v>
      </c>
      <c r="L26" s="33">
        <v>0</v>
      </c>
      <c r="M26" s="33">
        <v>322</v>
      </c>
      <c r="N26" s="33">
        <v>0</v>
      </c>
      <c r="O26" s="33">
        <v>0</v>
      </c>
      <c r="P26" s="33">
        <v>0</v>
      </c>
    </row>
    <row r="27" spans="3:16" x14ac:dyDescent="0.25">
      <c r="C27" s="19" t="s">
        <v>103</v>
      </c>
      <c r="D27" s="33">
        <v>343.39077777999995</v>
      </c>
      <c r="E27" s="33">
        <v>350</v>
      </c>
      <c r="F27" s="33">
        <v>329.22818067000003</v>
      </c>
      <c r="G27" s="33">
        <v>336.29813899999999</v>
      </c>
      <c r="H27" s="33">
        <v>342.97</v>
      </c>
      <c r="I27" s="33">
        <v>350</v>
      </c>
      <c r="J27" s="33">
        <v>187.477</v>
      </c>
      <c r="K27" s="33">
        <v>191.66800000000001</v>
      </c>
      <c r="L27" s="33">
        <v>195.773</v>
      </c>
      <c r="M27" s="33"/>
      <c r="N27" s="33"/>
      <c r="O27" s="33"/>
      <c r="P27" s="33"/>
    </row>
    <row r="28" spans="3:16" x14ac:dyDescent="0.25">
      <c r="C28" s="19" t="s">
        <v>104</v>
      </c>
      <c r="D28" s="33">
        <v>124.433735</v>
      </c>
      <c r="E28" s="33">
        <v>-16.372961</v>
      </c>
      <c r="F28" s="33">
        <v>497.44141249999996</v>
      </c>
      <c r="G28" s="33">
        <v>356.94067056</v>
      </c>
      <c r="H28" s="33">
        <v>121.202</v>
      </c>
      <c r="I28" s="33">
        <v>-15.831</v>
      </c>
      <c r="J28" s="33">
        <v>441.55839431000095</v>
      </c>
      <c r="K28" s="33">
        <v>254</v>
      </c>
      <c r="L28" s="33">
        <v>113.76</v>
      </c>
      <c r="M28" s="33">
        <v>-17</v>
      </c>
      <c r="N28" s="33">
        <v>412.69753084000013</v>
      </c>
      <c r="O28" s="33">
        <v>280.7806074199998</v>
      </c>
      <c r="P28" s="33">
        <v>98.280356200000369</v>
      </c>
    </row>
    <row r="29" spans="3:16" x14ac:dyDescent="0.25">
      <c r="C29" s="21" t="s">
        <v>119</v>
      </c>
      <c r="D29" s="34">
        <v>4829.0310701399985</v>
      </c>
      <c r="E29" s="34">
        <v>5380.0578720000003</v>
      </c>
      <c r="F29" s="34">
        <v>5214.1796989500017</v>
      </c>
      <c r="G29" s="34">
        <v>5086.3775741400013</v>
      </c>
      <c r="H29" s="34">
        <v>4857.2890000000007</v>
      </c>
      <c r="I29" s="34">
        <v>5208.5164173200001</v>
      </c>
      <c r="J29" s="34">
        <v>4878.0238116300006</v>
      </c>
      <c r="K29" s="34">
        <v>4704.088999999999</v>
      </c>
      <c r="L29" s="34">
        <v>4568.9676098099999</v>
      </c>
      <c r="M29" s="34">
        <v>4553.9811098099999</v>
      </c>
      <c r="N29" s="34">
        <v>4431</v>
      </c>
      <c r="O29" s="34">
        <v>4293.048094419999</v>
      </c>
      <c r="P29" s="34">
        <v>4110.5640000000003</v>
      </c>
    </row>
    <row r="30" spans="3:16" x14ac:dyDescent="0.25">
      <c r="C30" s="20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3:16" x14ac:dyDescent="0.25">
      <c r="C31" s="19" t="s">
        <v>120</v>
      </c>
      <c r="D31" s="33">
        <v>-508.218591</v>
      </c>
      <c r="E31" s="33">
        <v>-1058.4190000000001</v>
      </c>
      <c r="F31" s="33">
        <v>-879.22818067000003</v>
      </c>
      <c r="G31" s="33">
        <v>-653.29813899999999</v>
      </c>
      <c r="H31" s="33">
        <v>-431.47</v>
      </c>
      <c r="I31" s="33">
        <v>-839.33899999999994</v>
      </c>
      <c r="J31" s="33">
        <v>-455.13099999999997</v>
      </c>
      <c r="K31" s="33">
        <v>-335.10997770350014</v>
      </c>
      <c r="L31" s="33">
        <v>-269.1925</v>
      </c>
      <c r="M31" s="33">
        <v>-322</v>
      </c>
      <c r="N31" s="33">
        <v>-178.37869878699999</v>
      </c>
      <c r="O31" s="33">
        <v>-113</v>
      </c>
      <c r="P31" s="33">
        <v>-59.87</v>
      </c>
    </row>
    <row r="32" spans="3:16" x14ac:dyDescent="0.25">
      <c r="C32" s="19" t="s">
        <v>121</v>
      </c>
      <c r="D32" s="33">
        <v>-18.400680000000001</v>
      </c>
      <c r="E32" s="33">
        <v>-18.227180000000001</v>
      </c>
      <c r="F32" s="33">
        <v>-18.123277000000002</v>
      </c>
      <c r="G32" s="33">
        <v>-17.946839000000001</v>
      </c>
      <c r="H32" s="33">
        <v>-17.318185</v>
      </c>
      <c r="I32" s="33">
        <v>-18.2</v>
      </c>
      <c r="J32" s="33">
        <v>-17.888000000000002</v>
      </c>
      <c r="K32" s="33">
        <v>-18.625299999999999</v>
      </c>
      <c r="L32" s="33">
        <v>-17.344000000000001</v>
      </c>
      <c r="M32" s="33">
        <v>-17</v>
      </c>
      <c r="N32" s="33">
        <v>-17.192</v>
      </c>
      <c r="O32" s="33">
        <v>-17.224</v>
      </c>
      <c r="P32" s="33">
        <v>-17.356000000000002</v>
      </c>
    </row>
    <row r="33" spans="3:16" x14ac:dyDescent="0.25">
      <c r="C33" s="19" t="s">
        <v>122</v>
      </c>
      <c r="D33" s="33">
        <v>-31.626000000000001</v>
      </c>
      <c r="E33" s="33">
        <v>-31.626000000000001</v>
      </c>
      <c r="F33" s="33">
        <v>-31.626000000000001</v>
      </c>
      <c r="G33" s="33">
        <v>-31.626000000000001</v>
      </c>
      <c r="H33" s="33">
        <v>-40.9</v>
      </c>
      <c r="I33" s="33">
        <v>-41.9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</row>
    <row r="34" spans="3:16" x14ac:dyDescent="0.25">
      <c r="C34" s="19" t="s">
        <v>123</v>
      </c>
      <c r="D34" s="33">
        <v>-125.299781</v>
      </c>
      <c r="E34" s="33">
        <v>-113.56414100000001</v>
      </c>
      <c r="F34" s="33">
        <v>-88.836139000000003</v>
      </c>
      <c r="G34" s="33">
        <v>-34.766531999999998</v>
      </c>
      <c r="H34" s="33">
        <v>-132.015805</v>
      </c>
      <c r="I34" s="33">
        <v>-127.39400000000001</v>
      </c>
      <c r="J34" s="33">
        <v>0</v>
      </c>
      <c r="K34" s="33">
        <v>0</v>
      </c>
      <c r="L34" s="33">
        <v>-906.88199999999995</v>
      </c>
      <c r="M34" s="33">
        <v>-846.6</v>
      </c>
      <c r="N34" s="33">
        <v>-869.3</v>
      </c>
      <c r="O34" s="33">
        <v>-870.23400000000004</v>
      </c>
      <c r="P34" s="33">
        <v>-806.59299999999996</v>
      </c>
    </row>
    <row r="35" spans="3:16" x14ac:dyDescent="0.25">
      <c r="C35" s="19" t="s">
        <v>124</v>
      </c>
      <c r="D35" s="33">
        <v>-59.268926999999998</v>
      </c>
      <c r="E35" s="33">
        <v>-59.268926999999998</v>
      </c>
      <c r="F35" s="33">
        <v>-60.936965000000001</v>
      </c>
      <c r="G35" s="33">
        <v>-61.562490999999994</v>
      </c>
      <c r="H35" s="33">
        <v>-59.563648000000001</v>
      </c>
      <c r="I35" s="33">
        <v>-59.268000000000001</v>
      </c>
      <c r="J35" s="33">
        <v>-53.131</v>
      </c>
      <c r="K35" s="33">
        <v>-53.131861000000001</v>
      </c>
      <c r="L35" s="33">
        <v>-53.131861000000001</v>
      </c>
      <c r="M35" s="33">
        <v>-53.1</v>
      </c>
      <c r="N35" s="33">
        <v>-55.68</v>
      </c>
      <c r="O35" s="33">
        <v>-58.879999999999995</v>
      </c>
      <c r="P35" s="33">
        <v>-60.521000000000001</v>
      </c>
    </row>
    <row r="36" spans="3:16" x14ac:dyDescent="0.25">
      <c r="C36" s="21" t="s">
        <v>57</v>
      </c>
      <c r="D36" s="34">
        <v>4086.217091139999</v>
      </c>
      <c r="E36" s="34">
        <v>4098.9526239999996</v>
      </c>
      <c r="F36" s="34">
        <v>4135.4291372800017</v>
      </c>
      <c r="G36" s="34">
        <v>4287.1775731400012</v>
      </c>
      <c r="H36" s="34">
        <v>4176.0213620000004</v>
      </c>
      <c r="I36" s="34">
        <v>4122.4154173200004</v>
      </c>
      <c r="J36" s="34">
        <v>4351.873811630001</v>
      </c>
      <c r="K36" s="34">
        <v>4297.2218612964989</v>
      </c>
      <c r="L36" s="34">
        <v>3322.4172488099998</v>
      </c>
      <c r="M36" s="34">
        <v>3315.2811098100001</v>
      </c>
      <c r="N36" s="34">
        <v>3310.4493012129997</v>
      </c>
      <c r="O36" s="34">
        <v>3233.7100944199988</v>
      </c>
      <c r="P36" s="34">
        <v>3166.2240000000002</v>
      </c>
    </row>
    <row r="37" spans="3:16" x14ac:dyDescent="0.25">
      <c r="C37" s="19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3:16" x14ac:dyDescent="0.25">
      <c r="C38" s="19" t="s">
        <v>125</v>
      </c>
      <c r="D38" s="33">
        <v>343.39077777999995</v>
      </c>
      <c r="E38" s="33">
        <v>350</v>
      </c>
      <c r="F38" s="33">
        <v>329.22818067000003</v>
      </c>
      <c r="G38" s="33">
        <v>336.29813899999999</v>
      </c>
      <c r="H38" s="33">
        <v>342.97038900000001</v>
      </c>
      <c r="I38" s="33">
        <v>350</v>
      </c>
      <c r="J38" s="33">
        <v>187.477</v>
      </c>
      <c r="K38" s="33">
        <v>191.66800000000001</v>
      </c>
      <c r="L38" s="33">
        <v>195.773</v>
      </c>
      <c r="M38" s="33">
        <v>200</v>
      </c>
      <c r="N38" s="33">
        <v>0</v>
      </c>
      <c r="O38" s="33">
        <v>0</v>
      </c>
      <c r="P38" s="33">
        <v>0</v>
      </c>
    </row>
    <row r="39" spans="3:16" x14ac:dyDescent="0.25">
      <c r="C39" s="19" t="s">
        <v>126</v>
      </c>
      <c r="D39" s="33">
        <v>-1.8125869999999999</v>
      </c>
      <c r="E39" s="33">
        <v>-1.818751</v>
      </c>
      <c r="F39" s="33">
        <v>-1.3910720000000001</v>
      </c>
      <c r="G39" s="33">
        <v>-0.604576</v>
      </c>
      <c r="H39" s="33">
        <v>-1.8569929999999999</v>
      </c>
      <c r="I39" s="33">
        <v>-2</v>
      </c>
      <c r="J39" s="33">
        <v>0</v>
      </c>
      <c r="K39" s="33">
        <v>0</v>
      </c>
      <c r="L39" s="33">
        <v>-5.0709999999999997</v>
      </c>
      <c r="M39" s="33">
        <v>-5</v>
      </c>
      <c r="N39" s="33">
        <v>0</v>
      </c>
      <c r="O39" s="33">
        <v>0</v>
      </c>
      <c r="P39" s="33">
        <v>0</v>
      </c>
    </row>
    <row r="40" spans="3:16" x14ac:dyDescent="0.25">
      <c r="C40" s="21" t="s">
        <v>109</v>
      </c>
      <c r="D40" s="34">
        <v>4427.7952819199982</v>
      </c>
      <c r="E40" s="34">
        <v>4447.1338729999998</v>
      </c>
      <c r="F40" s="34">
        <v>4463.2662459500016</v>
      </c>
      <c r="G40" s="34">
        <v>4622.8711361400019</v>
      </c>
      <c r="H40" s="34">
        <v>4517.1347580000001</v>
      </c>
      <c r="I40" s="34">
        <v>4470.4154173200004</v>
      </c>
      <c r="J40" s="34">
        <v>4539.3508116300009</v>
      </c>
      <c r="K40" s="34">
        <v>4488.8898612964986</v>
      </c>
      <c r="L40" s="34">
        <v>190.702</v>
      </c>
      <c r="M40" s="34">
        <v>3510.2811098100001</v>
      </c>
      <c r="N40" s="34">
        <v>3310.4493012129997</v>
      </c>
      <c r="O40" s="34">
        <v>3233.7100944199988</v>
      </c>
      <c r="P40" s="34">
        <v>3166.2240000000002</v>
      </c>
    </row>
    <row r="41" spans="3:16" x14ac:dyDescent="0.25">
      <c r="C41" s="20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3:16" x14ac:dyDescent="0.25">
      <c r="C42" s="19" t="s">
        <v>127</v>
      </c>
      <c r="D42" s="33">
        <v>400</v>
      </c>
      <c r="E42" s="33">
        <v>400</v>
      </c>
      <c r="F42" s="33">
        <v>400</v>
      </c>
      <c r="G42" s="33">
        <v>400</v>
      </c>
      <c r="H42" s="33">
        <v>400</v>
      </c>
      <c r="I42" s="33">
        <v>400</v>
      </c>
      <c r="J42" s="33">
        <v>400</v>
      </c>
      <c r="K42" s="33">
        <v>400</v>
      </c>
      <c r="L42" s="33">
        <v>400</v>
      </c>
      <c r="M42" s="33">
        <v>250</v>
      </c>
      <c r="N42" s="33">
        <v>328</v>
      </c>
      <c r="O42" s="33">
        <v>250</v>
      </c>
      <c r="P42" s="33">
        <v>250</v>
      </c>
    </row>
    <row r="43" spans="3:16" x14ac:dyDescent="0.25">
      <c r="C43" s="19" t="s">
        <v>128</v>
      </c>
      <c r="D43" s="33">
        <v>-8.310905</v>
      </c>
      <c r="E43" s="33">
        <v>-8.3125529999999994</v>
      </c>
      <c r="F43" s="33">
        <v>-6.3451440000000003</v>
      </c>
      <c r="G43" s="33">
        <v>-2.7582719999999998</v>
      </c>
      <c r="H43" s="33">
        <v>-8.4523740000000007</v>
      </c>
      <c r="I43" s="33">
        <v>-8.3119999999999994</v>
      </c>
      <c r="J43" s="33">
        <v>0</v>
      </c>
      <c r="K43" s="33">
        <v>0</v>
      </c>
      <c r="L43" s="33">
        <v>-23.2</v>
      </c>
      <c r="M43" s="33">
        <v>-22.7</v>
      </c>
      <c r="N43" s="33">
        <v>-22.9</v>
      </c>
      <c r="O43" s="33">
        <v>-22.736999999999998</v>
      </c>
      <c r="P43" s="33">
        <v>-22.484999999999999</v>
      </c>
    </row>
    <row r="44" spans="3:16" x14ac:dyDescent="0.25">
      <c r="C44" s="21" t="s">
        <v>110</v>
      </c>
      <c r="D44" s="34">
        <v>4819.4843769199979</v>
      </c>
      <c r="E44" s="34">
        <v>4838.82132</v>
      </c>
      <c r="F44" s="34">
        <v>4856.9211019500017</v>
      </c>
      <c r="G44" s="34">
        <v>5020.1128641400019</v>
      </c>
      <c r="H44" s="34">
        <v>4908.6823839999997</v>
      </c>
      <c r="I44" s="34">
        <v>4862.1034173200005</v>
      </c>
      <c r="J44" s="34">
        <v>4939.3508116300009</v>
      </c>
      <c r="K44" s="34">
        <v>4888.8898612964986</v>
      </c>
      <c r="L44" s="34"/>
      <c r="M44" s="34">
        <v>3737.5811098100003</v>
      </c>
      <c r="N44" s="34">
        <v>3615.5493012129996</v>
      </c>
      <c r="O44" s="34">
        <v>3460.9730944199987</v>
      </c>
      <c r="P44" s="34">
        <v>3393.739</v>
      </c>
    </row>
    <row r="45" spans="3:16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3:16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3:16" x14ac:dyDescent="0.25">
      <c r="C47" s="15" t="s">
        <v>130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3:16" x14ac:dyDescent="0.25">
      <c r="C48" s="19" t="s">
        <v>131</v>
      </c>
      <c r="D48" s="33">
        <v>0</v>
      </c>
      <c r="E48" s="33">
        <v>6.0418849999999997</v>
      </c>
      <c r="F48" s="33">
        <v>6</v>
      </c>
      <c r="G48" s="33"/>
      <c r="H48" s="33">
        <v>0</v>
      </c>
      <c r="I48" s="33">
        <v>10.131</v>
      </c>
      <c r="J48" s="33"/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</row>
    <row r="49" spans="3:16" x14ac:dyDescent="0.25">
      <c r="C49" s="22" t="s">
        <v>132</v>
      </c>
      <c r="D49" s="33">
        <v>54.394187000000002</v>
      </c>
      <c r="E49" s="33">
        <v>46.246837999999997</v>
      </c>
      <c r="F49" s="33">
        <v>62.6</v>
      </c>
      <c r="G49" s="33">
        <v>63.522690999999995</v>
      </c>
      <c r="H49" s="33">
        <v>27.988489999999999</v>
      </c>
      <c r="I49" s="33">
        <v>72.772999999999996</v>
      </c>
      <c r="J49" s="33">
        <v>15.844881000000001</v>
      </c>
      <c r="K49" s="33">
        <v>32.94</v>
      </c>
      <c r="L49" s="33">
        <v>25.103999999999999</v>
      </c>
      <c r="M49" s="33">
        <v>0</v>
      </c>
      <c r="N49" s="33">
        <v>4.0000000000000001E-3</v>
      </c>
      <c r="O49" s="33">
        <v>15.214</v>
      </c>
      <c r="P49" s="33">
        <v>51.33</v>
      </c>
    </row>
    <row r="50" spans="3:16" x14ac:dyDescent="0.25">
      <c r="C50" s="22" t="s">
        <v>133</v>
      </c>
      <c r="D50" s="33">
        <v>137.91011700000001</v>
      </c>
      <c r="E50" s="33">
        <v>155.108903</v>
      </c>
      <c r="F50" s="33">
        <v>170</v>
      </c>
      <c r="G50" s="33">
        <v>75.049029000000004</v>
      </c>
      <c r="H50" s="33">
        <v>129.488</v>
      </c>
      <c r="I50" s="33">
        <v>97.137</v>
      </c>
      <c r="J50" s="33">
        <v>178.15298200000001</v>
      </c>
      <c r="K50" s="33">
        <v>97.843000000000004</v>
      </c>
      <c r="L50" s="33">
        <v>155.346</v>
      </c>
      <c r="M50" s="33">
        <v>0</v>
      </c>
      <c r="N50" s="33">
        <v>25.97</v>
      </c>
      <c r="O50" s="33">
        <v>0</v>
      </c>
      <c r="P50" s="33">
        <v>0</v>
      </c>
    </row>
    <row r="51" spans="3:16" x14ac:dyDescent="0.25">
      <c r="C51" s="22" t="s">
        <v>134</v>
      </c>
      <c r="D51" s="33">
        <v>268.956433</v>
      </c>
      <c r="E51" s="33">
        <v>195.30585300000001</v>
      </c>
      <c r="F51" s="33">
        <v>241.49</v>
      </c>
      <c r="G51" s="33">
        <v>251.20638199999999</v>
      </c>
      <c r="H51" s="33">
        <v>216.3</v>
      </c>
      <c r="I51" s="33">
        <v>192.715</v>
      </c>
      <c r="J51" s="33">
        <v>221.71982299999999</v>
      </c>
      <c r="K51" s="33">
        <v>259.31200000000001</v>
      </c>
      <c r="L51" s="33">
        <v>253.80500000000001</v>
      </c>
      <c r="M51" s="33">
        <v>282</v>
      </c>
      <c r="N51" s="33">
        <v>291.52262000000002</v>
      </c>
      <c r="O51" s="33">
        <v>258.63600000000002</v>
      </c>
      <c r="P51" s="33">
        <v>286.44600000000003</v>
      </c>
    </row>
    <row r="52" spans="3:16" x14ac:dyDescent="0.25">
      <c r="C52" s="22" t="s">
        <v>135</v>
      </c>
      <c r="D52" s="33">
        <v>873.01101300000005</v>
      </c>
      <c r="E52" s="33">
        <v>969.76354100000003</v>
      </c>
      <c r="F52" s="33">
        <v>923.36</v>
      </c>
      <c r="G52" s="33">
        <v>951.21876299999997</v>
      </c>
      <c r="H52" s="33">
        <v>5818.086663</v>
      </c>
      <c r="I52" s="33">
        <v>5696.518</v>
      </c>
      <c r="J52" s="33">
        <v>5399.6226239999996</v>
      </c>
      <c r="K52" s="33">
        <v>5323.3410000000003</v>
      </c>
      <c r="L52" s="33">
        <v>5338.6360000000004</v>
      </c>
      <c r="M52" s="33">
        <v>5255</v>
      </c>
      <c r="N52" s="33">
        <v>5087.5003559999996</v>
      </c>
      <c r="O52" s="33">
        <v>5083.7529999999997</v>
      </c>
      <c r="P52" s="33">
        <v>5035.4340000000002</v>
      </c>
    </row>
    <row r="53" spans="3:16" x14ac:dyDescent="0.25">
      <c r="C53" s="22" t="s">
        <v>136</v>
      </c>
      <c r="D53" s="33">
        <v>3048.75234</v>
      </c>
      <c r="E53" s="33">
        <v>250.68088599999999</v>
      </c>
      <c r="F53" s="33">
        <v>248.9</v>
      </c>
      <c r="G53" s="33">
        <v>260.35966300000001</v>
      </c>
      <c r="H53" s="33">
        <v>2364.027</v>
      </c>
      <c r="I53" s="33">
        <v>2386.0529999999999</v>
      </c>
      <c r="J53" s="33">
        <v>2413.9129760000001</v>
      </c>
      <c r="K53" s="33">
        <v>2467.3310000000001</v>
      </c>
      <c r="L53" s="33">
        <v>2676.3159999999998</v>
      </c>
      <c r="M53" s="33">
        <v>2597</v>
      </c>
      <c r="N53" s="33">
        <v>2585.123564</v>
      </c>
      <c r="O53" s="33">
        <v>2606.125</v>
      </c>
      <c r="P53" s="33">
        <v>2649.59</v>
      </c>
    </row>
    <row r="54" spans="3:16" x14ac:dyDescent="0.25">
      <c r="C54" s="22" t="s">
        <v>137</v>
      </c>
      <c r="D54" s="33">
        <v>0</v>
      </c>
      <c r="E54" s="33"/>
      <c r="F54" s="33"/>
      <c r="G54" s="33"/>
      <c r="H54" s="33">
        <v>6150.1142440000003</v>
      </c>
      <c r="I54" s="33">
        <v>6023.8019999999997</v>
      </c>
      <c r="J54" s="33">
        <v>6475.5413140000001</v>
      </c>
      <c r="K54" s="33">
        <v>6696.6850000000004</v>
      </c>
      <c r="L54" s="33">
        <v>6046.4016920000004</v>
      </c>
      <c r="M54" s="33">
        <v>6025</v>
      </c>
      <c r="N54" s="33">
        <v>6085.0865309999999</v>
      </c>
      <c r="O54" s="33">
        <v>6113.942</v>
      </c>
      <c r="P54" s="33">
        <v>6145.0029999999997</v>
      </c>
    </row>
    <row r="55" spans="3:16" x14ac:dyDescent="0.25">
      <c r="C55" s="22" t="s">
        <v>138</v>
      </c>
      <c r="D55" s="33">
        <v>2675.7995510000001</v>
      </c>
      <c r="E55" s="33">
        <v>5060.1420619999999</v>
      </c>
      <c r="F55" s="33">
        <v>4565.3999999999996</v>
      </c>
      <c r="G55" s="33">
        <v>4459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</row>
    <row r="56" spans="3:16" x14ac:dyDescent="0.25">
      <c r="C56" s="22" t="s">
        <v>139</v>
      </c>
      <c r="D56" s="33">
        <v>723.83227499999998</v>
      </c>
      <c r="E56" s="33">
        <v>671.794083</v>
      </c>
      <c r="F56" s="33">
        <v>684.3</v>
      </c>
      <c r="G56" s="33">
        <v>791.48497499999996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</row>
    <row r="57" spans="3:16" x14ac:dyDescent="0.25">
      <c r="C57" s="22" t="s">
        <v>140</v>
      </c>
      <c r="D57" s="33">
        <v>117.22381999999999</v>
      </c>
      <c r="E57" s="33">
        <v>158.342151</v>
      </c>
      <c r="F57" s="33">
        <v>143.46</v>
      </c>
      <c r="G57" s="33">
        <v>138.56683800000002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</row>
    <row r="58" spans="3:16" x14ac:dyDescent="0.25">
      <c r="C58" s="22" t="s">
        <v>141</v>
      </c>
      <c r="D58" s="33">
        <v>4405.4821270000002</v>
      </c>
      <c r="E58" s="33">
        <v>4715.3693839999996</v>
      </c>
      <c r="F58" s="33">
        <v>4634.2269999999999</v>
      </c>
      <c r="G58" s="33">
        <v>4832.0027479999999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</row>
    <row r="59" spans="3:16" x14ac:dyDescent="0.25">
      <c r="C59" s="22" t="s">
        <v>142</v>
      </c>
      <c r="D59" s="33">
        <v>1373.5882959999999</v>
      </c>
      <c r="E59" s="33">
        <v>1313.809788</v>
      </c>
      <c r="F59" s="33">
        <v>1475.47</v>
      </c>
      <c r="G59" s="33">
        <v>1825.316994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</row>
    <row r="60" spans="3:16" x14ac:dyDescent="0.25">
      <c r="C60" s="22" t="s">
        <v>143</v>
      </c>
      <c r="D60" s="33">
        <v>282.53420799999998</v>
      </c>
      <c r="E60" s="33">
        <v>265.11853500000001</v>
      </c>
      <c r="F60" s="33">
        <v>235.1</v>
      </c>
      <c r="G60" s="33">
        <v>200.56063700000001</v>
      </c>
      <c r="H60" s="33">
        <v>274.89828999999997</v>
      </c>
      <c r="I60" s="33">
        <v>375.464</v>
      </c>
      <c r="J60" s="33">
        <v>346.71003200000001</v>
      </c>
      <c r="K60" s="33">
        <v>252.797</v>
      </c>
      <c r="L60" s="33">
        <v>173.999</v>
      </c>
      <c r="M60" s="33">
        <v>164</v>
      </c>
      <c r="N60" s="33">
        <v>162.22786500000001</v>
      </c>
      <c r="O60" s="33">
        <v>157.16999999999999</v>
      </c>
      <c r="P60" s="33">
        <v>152.792</v>
      </c>
    </row>
    <row r="61" spans="3:16" x14ac:dyDescent="0.25">
      <c r="C61" s="22" t="s">
        <v>144</v>
      </c>
      <c r="D61" s="33">
        <v>0</v>
      </c>
      <c r="E61" s="33"/>
      <c r="F61" s="33">
        <v>0</v>
      </c>
      <c r="G61" s="33">
        <v>0</v>
      </c>
      <c r="H61" s="33">
        <v>1018.005712</v>
      </c>
      <c r="I61" s="33">
        <v>992.577</v>
      </c>
      <c r="J61" s="33">
        <v>855.65677700000003</v>
      </c>
      <c r="K61" s="33">
        <v>816.33699999999999</v>
      </c>
      <c r="L61" s="33">
        <v>845.61300000000006</v>
      </c>
      <c r="M61" s="33">
        <v>837</v>
      </c>
      <c r="N61" s="33">
        <v>860.66414499999996</v>
      </c>
      <c r="O61" s="33">
        <v>845.53700000000003</v>
      </c>
      <c r="P61" s="33">
        <v>492.42500000000001</v>
      </c>
    </row>
    <row r="62" spans="3:16" x14ac:dyDescent="0.25">
      <c r="C62" s="22" t="s">
        <v>145</v>
      </c>
      <c r="D62" s="33">
        <v>39.607183999999997</v>
      </c>
      <c r="E62" s="33">
        <v>40.518980999999997</v>
      </c>
      <c r="F62" s="33">
        <v>0.3</v>
      </c>
      <c r="G62" s="33">
        <v>0.324633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/>
      <c r="P62" s="33"/>
    </row>
    <row r="63" spans="3:16" x14ac:dyDescent="0.25">
      <c r="C63" s="22" t="s">
        <v>146</v>
      </c>
      <c r="D63" s="33">
        <v>148.74590900000001</v>
      </c>
      <c r="E63" s="33">
        <v>146.302739</v>
      </c>
      <c r="F63" s="33">
        <v>150.47</v>
      </c>
      <c r="G63" s="33">
        <v>132.27681899999999</v>
      </c>
      <c r="H63" s="33">
        <v>140.80846199999999</v>
      </c>
      <c r="I63" s="33">
        <v>144.99100000000001</v>
      </c>
      <c r="J63" s="33">
        <v>161.04311799999999</v>
      </c>
      <c r="K63" s="33">
        <v>153.77000000000001</v>
      </c>
      <c r="L63" s="33">
        <v>195.75834599999999</v>
      </c>
      <c r="M63" s="33">
        <v>169</v>
      </c>
      <c r="N63" s="33">
        <v>174.18183400000001</v>
      </c>
      <c r="O63" s="33">
        <v>165.899</v>
      </c>
      <c r="P63" s="33">
        <v>144.61000000000001</v>
      </c>
    </row>
    <row r="64" spans="3:16" x14ac:dyDescent="0.25">
      <c r="C64" s="22" t="s">
        <v>147</v>
      </c>
      <c r="D64" s="33">
        <v>1846.5579249999998</v>
      </c>
      <c r="E64" s="33">
        <v>1841.928085</v>
      </c>
      <c r="F64" s="33">
        <v>1902.3</v>
      </c>
      <c r="G64" s="33">
        <v>1895.8261599999998</v>
      </c>
      <c r="H64" s="33">
        <v>1753.6695870000001</v>
      </c>
      <c r="I64" s="33">
        <v>1786.0410000000002</v>
      </c>
      <c r="J64" s="33">
        <v>1611.1124030000001</v>
      </c>
      <c r="K64" s="33">
        <v>1617.1569999999999</v>
      </c>
      <c r="L64" s="33">
        <v>673.09660699999995</v>
      </c>
      <c r="M64" s="33">
        <v>649</v>
      </c>
      <c r="N64" s="33">
        <v>654.12537499999996</v>
      </c>
      <c r="O64" s="33">
        <v>729.173</v>
      </c>
      <c r="P64" s="33">
        <v>606.84100000000001</v>
      </c>
    </row>
    <row r="65" spans="3:16" x14ac:dyDescent="0.25">
      <c r="C65" s="22" t="s">
        <v>148</v>
      </c>
      <c r="D65" s="33">
        <v>259.58422999999999</v>
      </c>
      <c r="E65" s="33">
        <v>305.46858500000002</v>
      </c>
      <c r="F65" s="33">
        <v>246.4</v>
      </c>
      <c r="G65" s="33">
        <v>311.17688700000002</v>
      </c>
      <c r="H65" s="33">
        <v>222.907692</v>
      </c>
      <c r="I65" s="33">
        <v>237.81200000000001</v>
      </c>
      <c r="J65" s="33">
        <v>194.77885499999999</v>
      </c>
      <c r="K65" s="33">
        <v>328.60199999999998</v>
      </c>
      <c r="L65" s="33">
        <v>257.316844</v>
      </c>
      <c r="M65" s="33">
        <v>129</v>
      </c>
      <c r="N65" s="33">
        <v>248.64384799999999</v>
      </c>
      <c r="O65" s="33">
        <v>139.863</v>
      </c>
      <c r="P65" s="33">
        <v>198.184</v>
      </c>
    </row>
    <row r="66" spans="3:16" x14ac:dyDescent="0.25">
      <c r="C66" s="24" t="s">
        <v>149</v>
      </c>
      <c r="D66" s="34">
        <v>16255.979614999998</v>
      </c>
      <c r="E66" s="34">
        <v>16141.942299</v>
      </c>
      <c r="F66" s="34">
        <v>15689.776999999998</v>
      </c>
      <c r="G66" s="34">
        <v>16187.893219000003</v>
      </c>
      <c r="H66" s="34">
        <v>18116.294140000002</v>
      </c>
      <c r="I66" s="34">
        <v>18016.014000000003</v>
      </c>
      <c r="J66" s="34">
        <v>17874.095785000001</v>
      </c>
      <c r="K66" s="34">
        <v>18046.115000000002</v>
      </c>
      <c r="L66" s="34">
        <v>16641.392489000002</v>
      </c>
      <c r="M66" s="34">
        <v>16107</v>
      </c>
      <c r="N66" s="34">
        <v>16175.050138000002</v>
      </c>
      <c r="O66" s="34">
        <v>16115.312</v>
      </c>
      <c r="P66" s="34">
        <v>15762.654999999999</v>
      </c>
    </row>
    <row r="67" spans="3:16" x14ac:dyDescent="0.25">
      <c r="C67" s="2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3:16" x14ac:dyDescent="0.25">
      <c r="C68" s="22" t="s">
        <v>150</v>
      </c>
      <c r="D68" s="33">
        <v>1527.3935750000001</v>
      </c>
      <c r="E68" s="33">
        <v>1527.3935750000001</v>
      </c>
      <c r="F68" s="33">
        <v>1417.024238</v>
      </c>
      <c r="G68" s="33">
        <v>1417.024238</v>
      </c>
      <c r="H68" s="33">
        <v>1922.456275</v>
      </c>
      <c r="I68" s="33">
        <v>1922.4559999999999</v>
      </c>
      <c r="J68" s="33">
        <v>1706.6529379999999</v>
      </c>
      <c r="K68" s="33">
        <v>1706.6529379999999</v>
      </c>
      <c r="L68" s="33">
        <v>1706.6529379999999</v>
      </c>
      <c r="M68" s="33">
        <v>1706.6529379999999</v>
      </c>
      <c r="N68" s="33">
        <v>1479.7372379999999</v>
      </c>
      <c r="O68" s="33">
        <v>1479.7370000000001</v>
      </c>
      <c r="P68" s="33">
        <v>1479.7370000000001</v>
      </c>
    </row>
    <row r="69" spans="3:16" x14ac:dyDescent="0.25">
      <c r="C69" s="22" t="s">
        <v>151</v>
      </c>
      <c r="D69" s="33">
        <v>9.0726879999999994</v>
      </c>
      <c r="E69" s="33">
        <v>9.0636379999999992</v>
      </c>
      <c r="F69" s="33">
        <v>8.9459999999999997</v>
      </c>
      <c r="G69" s="33">
        <v>9.3392250000000008</v>
      </c>
      <c r="H69" s="33">
        <v>27.428737999999999</v>
      </c>
      <c r="I69" s="33">
        <v>26.024000000000001</v>
      </c>
      <c r="J69" s="33">
        <v>31.275524999999998</v>
      </c>
      <c r="K69" s="33">
        <v>23.635999999999999</v>
      </c>
      <c r="L69" s="33">
        <v>24.751000000000001</v>
      </c>
      <c r="M69" s="33">
        <v>26</v>
      </c>
      <c r="N69" s="33">
        <v>30.359912999999999</v>
      </c>
      <c r="O69" s="33">
        <v>32.518999999999998</v>
      </c>
      <c r="P69" s="33">
        <v>29.853000000000002</v>
      </c>
    </row>
    <row r="70" spans="3:16" x14ac:dyDescent="0.25">
      <c r="C70" s="24" t="s">
        <v>111</v>
      </c>
      <c r="D70" s="34">
        <v>17792.445877999999</v>
      </c>
      <c r="E70" s="34">
        <v>17678.399512</v>
      </c>
      <c r="F70" s="34">
        <v>17115.747238</v>
      </c>
      <c r="G70" s="34">
        <v>17614.256682000003</v>
      </c>
      <c r="H70" s="34">
        <v>20066.179153000001</v>
      </c>
      <c r="I70" s="34">
        <v>19964.494000000002</v>
      </c>
      <c r="J70" s="34">
        <v>19612.024248000002</v>
      </c>
      <c r="K70" s="34">
        <v>19776.403937999999</v>
      </c>
      <c r="L70" s="34">
        <v>18372.796427000001</v>
      </c>
      <c r="M70" s="34">
        <v>17839.652937999999</v>
      </c>
      <c r="N70" s="34">
        <v>17685.147289000004</v>
      </c>
      <c r="O70" s="34">
        <v>17627.567999999999</v>
      </c>
      <c r="P70" s="34">
        <v>17272.244999999999</v>
      </c>
    </row>
    <row r="71" spans="3:16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3:16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3:16" x14ac:dyDescent="0.25">
      <c r="C73" s="15" t="s">
        <v>108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3:16" x14ac:dyDescent="0.25">
      <c r="C74" s="4" t="s">
        <v>152</v>
      </c>
      <c r="D74" s="45">
        <v>0.22966022317328072</v>
      </c>
      <c r="E74" s="45">
        <v>0.23186220116915296</v>
      </c>
      <c r="F74" s="45">
        <v>0.24161545971528572</v>
      </c>
      <c r="G74" s="45">
        <v>0.24339247749926712</v>
      </c>
      <c r="H74" s="45">
        <v>0.20811243287318418</v>
      </c>
      <c r="I74" s="45">
        <v>0.20648734785464634</v>
      </c>
      <c r="J74" s="45">
        <v>0.22189824755462442</v>
      </c>
      <c r="K74" s="45">
        <v>0.2172903564656396</v>
      </c>
      <c r="L74" s="45">
        <v>0.18079999999999999</v>
      </c>
      <c r="M74" s="45">
        <v>0.185837758241819</v>
      </c>
      <c r="N74" s="45">
        <v>0.18718811028913895</v>
      </c>
      <c r="O74" s="45">
        <v>0.18344618465916562</v>
      </c>
      <c r="P74" s="45">
        <v>0.1833128235501523</v>
      </c>
    </row>
    <row r="75" spans="3:16" x14ac:dyDescent="0.25">
      <c r="C75" s="4" t="s">
        <v>153</v>
      </c>
      <c r="D75" s="45">
        <v>0.24885815656153704</v>
      </c>
      <c r="E75" s="45">
        <v>0.25155749365101232</v>
      </c>
      <c r="F75" s="45">
        <v>0.26076958159564062</v>
      </c>
      <c r="G75" s="45">
        <v>0.26245053762978887</v>
      </c>
      <c r="H75" s="45">
        <v>0.22511185231417932</v>
      </c>
      <c r="I75" s="45">
        <v>0.22391829301158345</v>
      </c>
      <c r="J75" s="45">
        <v>0.23145753616396408</v>
      </c>
      <c r="K75" s="45">
        <v>0.22698210834332619</v>
      </c>
      <c r="L75" s="45">
        <v>0.19120000000000001</v>
      </c>
      <c r="M75" s="45">
        <v>0.19676846416293214</v>
      </c>
      <c r="N75" s="45">
        <v>0.18718811028913895</v>
      </c>
      <c r="O75" s="45">
        <v>0.18344618465916562</v>
      </c>
      <c r="P75" s="45">
        <v>0.1833128235501523</v>
      </c>
    </row>
    <row r="76" spans="3:16" x14ac:dyDescent="0.25">
      <c r="C76" s="4" t="s">
        <v>154</v>
      </c>
      <c r="D76" s="45">
        <v>0.27087250454302031</v>
      </c>
      <c r="E76" s="45">
        <v>0.27371376671940439</v>
      </c>
      <c r="F76" s="45">
        <v>0.28376915330735747</v>
      </c>
      <c r="G76" s="45">
        <v>0.28500282213271322</v>
      </c>
      <c r="H76" s="45">
        <v>0.24462466653827944</v>
      </c>
      <c r="I76" s="45">
        <v>0.24353752303063628</v>
      </c>
      <c r="J76" s="45">
        <v>0.25185318706373244</v>
      </c>
      <c r="K76" s="45">
        <v>0.2472082324280698</v>
      </c>
      <c r="L76" s="45">
        <v>0.2117</v>
      </c>
      <c r="M76" s="45">
        <v>0.20950974342379891</v>
      </c>
      <c r="N76" s="45">
        <v>0.20443987500527278</v>
      </c>
      <c r="O76" s="45">
        <v>0.19633866080788903</v>
      </c>
      <c r="P76" s="45">
        <v>0.19648511238695376</v>
      </c>
    </row>
    <row r="77" spans="3:16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3:16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3:16" x14ac:dyDescent="0.25">
      <c r="C79" s="15" t="s">
        <v>155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3:16" x14ac:dyDescent="0.25">
      <c r="C80" s="4" t="s">
        <v>156</v>
      </c>
      <c r="D80" s="33">
        <v>444.81114694999997</v>
      </c>
      <c r="E80" s="33">
        <v>441.95998780000002</v>
      </c>
      <c r="F80" s="33">
        <v>427.89368095000003</v>
      </c>
      <c r="G80" s="33">
        <v>440.35641705000012</v>
      </c>
      <c r="H80" s="33">
        <v>501.65447882500007</v>
      </c>
      <c r="I80" s="33">
        <v>499.11235000000011</v>
      </c>
      <c r="J80" s="33">
        <v>490.30060620000006</v>
      </c>
      <c r="K80" s="33">
        <v>494.41009845000002</v>
      </c>
      <c r="L80" s="33">
        <v>459.31991067500007</v>
      </c>
      <c r="M80" s="33">
        <v>445.99132344999998</v>
      </c>
      <c r="N80" s="33">
        <v>442.12868222500015</v>
      </c>
      <c r="O80" s="33">
        <v>440.68920000000003</v>
      </c>
      <c r="P80" s="33">
        <v>431.80612500000001</v>
      </c>
    </row>
    <row r="81" spans="3:16" x14ac:dyDescent="0.25">
      <c r="C81" s="4" t="s">
        <v>157</v>
      </c>
      <c r="D81" s="33">
        <v>444.81114694999997</v>
      </c>
      <c r="E81" s="33">
        <v>441.95998780000002</v>
      </c>
      <c r="F81" s="33">
        <v>427.89368095000003</v>
      </c>
      <c r="G81" s="33">
        <v>440.35641705000012</v>
      </c>
      <c r="H81" s="33">
        <v>501.65447882500007</v>
      </c>
      <c r="I81" s="33">
        <v>499.11235000000011</v>
      </c>
      <c r="J81" s="33">
        <v>490.30060620000006</v>
      </c>
      <c r="K81" s="33">
        <v>494.41009845000002</v>
      </c>
      <c r="L81" s="33">
        <v>459.31991067500007</v>
      </c>
      <c r="M81" s="33">
        <v>356.79305876000001</v>
      </c>
      <c r="N81" s="33">
        <v>265.27720933500007</v>
      </c>
      <c r="O81" s="33">
        <v>264.41352000000001</v>
      </c>
      <c r="P81" s="33">
        <v>259.08367499999997</v>
      </c>
    </row>
    <row r="82" spans="3:16" x14ac:dyDescent="0.25">
      <c r="C82" s="4" t="s">
        <v>158</v>
      </c>
      <c r="D82" s="33">
        <v>800.66006450999987</v>
      </c>
      <c r="E82" s="33">
        <v>795.52797803999999</v>
      </c>
      <c r="F82" s="33">
        <v>770.20862570999998</v>
      </c>
      <c r="G82" s="33">
        <v>792.64155069000014</v>
      </c>
      <c r="H82" s="33">
        <v>902.97806188499999</v>
      </c>
      <c r="I82" s="33">
        <v>898.40223000000003</v>
      </c>
      <c r="J82" s="33">
        <v>882.54109116000006</v>
      </c>
      <c r="K82" s="33">
        <v>889.93817720999994</v>
      </c>
      <c r="L82" s="33">
        <v>826.77583921500002</v>
      </c>
      <c r="M82" s="33">
        <v>802.78438220999999</v>
      </c>
      <c r="N82" s="33">
        <v>530.55441867000013</v>
      </c>
      <c r="O82" s="33">
        <v>528.82704000000001</v>
      </c>
      <c r="P82" s="33">
        <v>518.16734999999994</v>
      </c>
    </row>
    <row r="83" spans="3:16" x14ac:dyDescent="0.25">
      <c r="C83" s="5" t="s">
        <v>159</v>
      </c>
      <c r="D83" s="34">
        <v>1690.2823584099997</v>
      </c>
      <c r="E83" s="34">
        <v>1679.4479536399999</v>
      </c>
      <c r="F83" s="34">
        <v>1625.9959876100002</v>
      </c>
      <c r="G83" s="34">
        <v>1673.3543847900005</v>
      </c>
      <c r="H83" s="34">
        <v>1906.2870195350001</v>
      </c>
      <c r="I83" s="34">
        <v>1896.6269300000004</v>
      </c>
      <c r="J83" s="34">
        <v>1863.1423035600001</v>
      </c>
      <c r="K83" s="34">
        <v>1878.75837411</v>
      </c>
      <c r="L83" s="34">
        <v>1745.4156605650001</v>
      </c>
      <c r="M83" s="34">
        <v>1605.56876442</v>
      </c>
      <c r="N83" s="34">
        <v>1237.9603102300002</v>
      </c>
      <c r="O83" s="34">
        <v>1233.92976</v>
      </c>
      <c r="P83" s="34">
        <v>1209.0571499999999</v>
      </c>
    </row>
    <row r="84" spans="3:16" x14ac:dyDescent="0.25">
      <c r="C84" s="4" t="s">
        <v>160</v>
      </c>
      <c r="D84" s="33">
        <v>800.66006450999987</v>
      </c>
      <c r="E84" s="33">
        <v>795.52797803999999</v>
      </c>
      <c r="F84" s="33">
        <v>770.20862570999998</v>
      </c>
      <c r="G84" s="33">
        <v>792.64155069000014</v>
      </c>
      <c r="H84" s="33">
        <v>902.97806188499999</v>
      </c>
      <c r="I84" s="33">
        <v>898.40223000000003</v>
      </c>
      <c r="J84" s="33">
        <v>882.54109116000006</v>
      </c>
      <c r="K84" s="33">
        <v>889.93817720999994</v>
      </c>
      <c r="L84" s="33">
        <v>826.77583921500002</v>
      </c>
      <c r="M84" s="33">
        <v>802.78438220999999</v>
      </c>
      <c r="N84" s="33">
        <v>795.8316280050002</v>
      </c>
      <c r="O84" s="33">
        <v>793.24055999999996</v>
      </c>
      <c r="P84" s="33">
        <v>777.25102499999991</v>
      </c>
    </row>
    <row r="85" spans="3:16" x14ac:dyDescent="0.25">
      <c r="C85" s="5" t="s">
        <v>161</v>
      </c>
      <c r="D85" s="34">
        <v>1595.2746682199991</v>
      </c>
      <c r="E85" s="34">
        <v>1623.9766923199995</v>
      </c>
      <c r="F85" s="34">
        <v>1739.2245239600015</v>
      </c>
      <c r="G85" s="34">
        <v>1821.1816376600004</v>
      </c>
      <c r="H85" s="34">
        <v>1366.7562805800003</v>
      </c>
      <c r="I85" s="34">
        <v>1327.3862573199999</v>
      </c>
      <c r="J85" s="34">
        <v>1606.1904169100007</v>
      </c>
      <c r="K85" s="34">
        <v>1528.5253099764991</v>
      </c>
      <c r="L85" s="34">
        <v>750.22574902999975</v>
      </c>
      <c r="M85" s="34">
        <v>906.92796318000012</v>
      </c>
      <c r="N85" s="34">
        <v>1276.6573629779991</v>
      </c>
      <c r="O85" s="34">
        <v>1206.5397744199988</v>
      </c>
      <c r="P85" s="34">
        <v>1179.9158250000005</v>
      </c>
    </row>
    <row r="86" spans="3:16" x14ac:dyDescent="0.25">
      <c r="C86" s="5" t="s">
        <v>162</v>
      </c>
      <c r="D86" s="48">
        <v>0.1273</v>
      </c>
      <c r="E86" s="48">
        <v>0.12959999999999999</v>
      </c>
      <c r="F86" s="48">
        <v>0.1308</v>
      </c>
      <c r="G86" s="48">
        <v>0.1356</v>
      </c>
      <c r="H86" s="48">
        <v>0.1376</v>
      </c>
      <c r="I86" s="48">
        <v>0.13669999999999999</v>
      </c>
      <c r="J86" s="48">
        <v>0.1389</v>
      </c>
      <c r="K86" s="48">
        <v>0.13719999999999999</v>
      </c>
      <c r="L86" s="48">
        <v>0.11310000000000001</v>
      </c>
      <c r="M86" s="48">
        <v>0.1143</v>
      </c>
      <c r="N86" s="48">
        <v>0.1071</v>
      </c>
      <c r="O86" s="48">
        <v>0.105</v>
      </c>
      <c r="P86" s="48">
        <v>0.10390000000000001</v>
      </c>
    </row>
    <row r="87" spans="3:16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</sheetData>
  <hyperlinks>
    <hyperlink ref="C2" location="Forside!A1" display="Tilbake til forsiden" xr:uid="{AB5FC11D-22F9-4FC7-923E-7C4A9A195FF0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13AA-4B57-4BFE-98A9-21C8FE2046E6}">
  <sheetPr codeName="Sheet8"/>
  <dimension ref="B2:P117"/>
  <sheetViews>
    <sheetView showGridLines="0" workbookViewId="0">
      <pane xSplit="3" ySplit="8" topLeftCell="D9" activePane="bottomRight" state="frozen"/>
      <selection activeCell="K50" sqref="K50"/>
      <selection pane="topRight" activeCell="K50" sqref="K50"/>
      <selection pane="bottomLeft" activeCell="K50" sqref="K50"/>
      <selection pane="bottomRight" activeCell="C2" sqref="C2"/>
    </sheetView>
  </sheetViews>
  <sheetFormatPr defaultRowHeight="15" x14ac:dyDescent="0.25"/>
  <cols>
    <col min="1" max="1" width="9.140625" style="1"/>
    <col min="2" max="2" width="3.5703125" style="1" bestFit="1" customWidth="1"/>
    <col min="3" max="3" width="57.85546875" style="1" bestFit="1" customWidth="1"/>
    <col min="4" max="5" width="10" style="1" bestFit="1" customWidth="1"/>
    <col min="6" max="8" width="9.140625" style="1"/>
    <col min="9" max="9" width="10" style="1" bestFit="1" customWidth="1"/>
    <col min="10" max="12" width="9.140625" style="1"/>
    <col min="13" max="13" width="10.28515625" style="1" bestFit="1" customWidth="1"/>
    <col min="14" max="16384" width="9.140625" style="1"/>
  </cols>
  <sheetData>
    <row r="2" spans="2:16" x14ac:dyDescent="0.25">
      <c r="C2" s="174" t="s">
        <v>349</v>
      </c>
    </row>
    <row r="5" spans="2:16" x14ac:dyDescent="0.25">
      <c r="D5" s="52"/>
      <c r="E5" s="52"/>
    </row>
    <row r="6" spans="2:16" ht="23.25" x14ac:dyDescent="0.35">
      <c r="B6" s="6" t="s">
        <v>163</v>
      </c>
      <c r="C6" s="3" t="s">
        <v>164</v>
      </c>
      <c r="D6" s="52"/>
      <c r="E6" s="52"/>
    </row>
    <row r="8" spans="2:16" x14ac:dyDescent="0.25">
      <c r="C8" s="9" t="s">
        <v>279</v>
      </c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  <c r="M8" s="43" t="s">
        <v>24</v>
      </c>
      <c r="N8" s="43" t="s">
        <v>25</v>
      </c>
      <c r="O8" s="43" t="s">
        <v>26</v>
      </c>
      <c r="P8" s="43" t="s">
        <v>27</v>
      </c>
    </row>
    <row r="9" spans="2:16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2:16" x14ac:dyDescent="0.25">
      <c r="C10" s="25" t="s">
        <v>178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2:16" x14ac:dyDescent="0.2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2:16" x14ac:dyDescent="0.25">
      <c r="C12" s="9" t="s">
        <v>165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16" x14ac:dyDescent="0.25">
      <c r="C13" s="4" t="s">
        <v>166</v>
      </c>
      <c r="D13" s="33">
        <v>87.117713379999998</v>
      </c>
      <c r="E13" s="33">
        <v>354.98209636000001</v>
      </c>
      <c r="F13" s="33">
        <v>268.69548580999998</v>
      </c>
      <c r="G13" s="33">
        <v>179.17975701999998</v>
      </c>
      <c r="H13" s="33">
        <v>86.97291592000002</v>
      </c>
      <c r="I13" s="33">
        <v>355.76808295999996</v>
      </c>
      <c r="J13" s="33">
        <v>263.35601844000001</v>
      </c>
      <c r="K13" s="33">
        <v>177.44291329000004</v>
      </c>
      <c r="L13" s="33">
        <v>87.277336230000017</v>
      </c>
      <c r="M13" s="33">
        <v>328.01443938999989</v>
      </c>
      <c r="N13" s="33">
        <v>354.98209636000001</v>
      </c>
      <c r="O13" s="33">
        <v>153.50123921999989</v>
      </c>
      <c r="P13" s="33">
        <v>74.807726109999976</v>
      </c>
    </row>
    <row r="14" spans="2:16" x14ac:dyDescent="0.25">
      <c r="C14" s="4" t="s">
        <v>167</v>
      </c>
      <c r="D14" s="33">
        <v>27.322912129999999</v>
      </c>
      <c r="E14" s="33">
        <v>111.01873719999998</v>
      </c>
      <c r="F14" s="33">
        <v>78.729110079999998</v>
      </c>
      <c r="G14" s="33">
        <v>49.559640170000002</v>
      </c>
      <c r="H14" s="33">
        <v>22.829993999999999</v>
      </c>
      <c r="I14" s="33">
        <v>107.33197515000001</v>
      </c>
      <c r="J14" s="33">
        <v>79.241895700000001</v>
      </c>
      <c r="K14" s="33">
        <v>50.028871980000005</v>
      </c>
      <c r="L14" s="33">
        <v>23.48701964</v>
      </c>
      <c r="M14" s="33">
        <v>104.97530386</v>
      </c>
      <c r="N14" s="33">
        <v>111.01873719999998</v>
      </c>
      <c r="O14" s="33">
        <v>47.885804299999997</v>
      </c>
      <c r="P14" s="33">
        <v>23.552647069999995</v>
      </c>
    </row>
    <row r="15" spans="2:16" x14ac:dyDescent="0.25">
      <c r="C15" s="4" t="s">
        <v>168</v>
      </c>
      <c r="D15" s="33">
        <v>-0.46827151</v>
      </c>
      <c r="E15" s="33">
        <v>0.72782174999999993</v>
      </c>
      <c r="F15" s="33">
        <v>0.51209828999999996</v>
      </c>
      <c r="G15" s="33">
        <v>5.5090910000000007E-2</v>
      </c>
      <c r="H15" s="33">
        <v>7.2319999999999995E-2</v>
      </c>
      <c r="I15" s="33">
        <v>0.25721673</v>
      </c>
      <c r="J15" s="33">
        <v>-2.0285290000000011E-2</v>
      </c>
      <c r="K15" s="33">
        <v>0.35780548000000001</v>
      </c>
      <c r="L15" s="33">
        <v>-0.23747466000000003</v>
      </c>
      <c r="M15" s="33">
        <v>-0.46521682999999969</v>
      </c>
      <c r="N15" s="33">
        <v>0.72782174999999993</v>
      </c>
      <c r="O15" s="33">
        <v>-0.43382019999999993</v>
      </c>
      <c r="P15" s="33">
        <v>0.36105764999999984</v>
      </c>
    </row>
    <row r="16" spans="2:16" x14ac:dyDescent="0.25">
      <c r="C16" s="4" t="s">
        <v>169</v>
      </c>
      <c r="D16" s="33">
        <v>63.935584689999999</v>
      </c>
      <c r="E16" s="33">
        <v>261.3745194</v>
      </c>
      <c r="F16" s="33">
        <v>187.11553513999999</v>
      </c>
      <c r="G16" s="33">
        <v>129.43200116</v>
      </c>
      <c r="H16" s="33">
        <v>62.221032999999998</v>
      </c>
      <c r="I16" s="33">
        <v>250.73007544000001</v>
      </c>
      <c r="J16" s="33">
        <v>181.97191147000001</v>
      </c>
      <c r="K16" s="33">
        <v>123.72548812000001</v>
      </c>
      <c r="L16" s="33">
        <v>60.184340559999995</v>
      </c>
      <c r="M16" s="33">
        <v>221.01119883000001</v>
      </c>
      <c r="N16" s="33">
        <v>261.3745194</v>
      </c>
      <c r="O16" s="33">
        <v>105.52463677</v>
      </c>
      <c r="P16" s="33">
        <v>52.430909499999999</v>
      </c>
    </row>
    <row r="17" spans="3:16" x14ac:dyDescent="0.25">
      <c r="C17" s="5" t="s">
        <v>11</v>
      </c>
      <c r="D17" s="34">
        <v>50.036769309999997</v>
      </c>
      <c r="E17" s="34">
        <v>205.35413590999997</v>
      </c>
      <c r="F17" s="34">
        <v>160.82115903999997</v>
      </c>
      <c r="G17" s="34">
        <v>99.362486939999968</v>
      </c>
      <c r="H17" s="34">
        <v>47.654196920000025</v>
      </c>
      <c r="I17" s="34">
        <v>211.62719939999994</v>
      </c>
      <c r="J17" s="34">
        <v>158.60571737999999</v>
      </c>
      <c r="K17" s="34">
        <v>102.10410263000004</v>
      </c>
      <c r="L17" s="34">
        <v>50.342540650000018</v>
      </c>
      <c r="M17" s="34">
        <v>211.5133275899999</v>
      </c>
      <c r="N17" s="34">
        <v>205.35413590999997</v>
      </c>
      <c r="O17" s="34">
        <v>95.428586549999906</v>
      </c>
      <c r="P17" s="34">
        <v>46.290521329999969</v>
      </c>
    </row>
    <row r="18" spans="3:16" x14ac:dyDescent="0.25">
      <c r="C18" s="4" t="s">
        <v>12</v>
      </c>
      <c r="D18" s="33">
        <v>0.47358891999999997</v>
      </c>
      <c r="E18" s="33">
        <v>-4.4142199800000004</v>
      </c>
      <c r="F18" s="33">
        <v>-1.1077688999999999</v>
      </c>
      <c r="G18" s="33">
        <v>-3.5408589500000001</v>
      </c>
      <c r="H18" s="33">
        <v>-2.2589999999999999E-2</v>
      </c>
      <c r="I18" s="33">
        <v>6.2506677399999999</v>
      </c>
      <c r="J18" s="33">
        <v>4.5351340799999997</v>
      </c>
      <c r="K18" s="33">
        <v>3.26975813</v>
      </c>
      <c r="L18" s="33">
        <v>2.6842417399999965</v>
      </c>
      <c r="M18" s="33">
        <v>2.6075154000000187</v>
      </c>
      <c r="N18" s="33">
        <v>-4.4142199800000004</v>
      </c>
      <c r="O18" s="33">
        <v>3.5836886900000118</v>
      </c>
      <c r="P18" s="33">
        <v>1.489682990000003</v>
      </c>
    </row>
    <row r="19" spans="3:16" x14ac:dyDescent="0.25">
      <c r="C19" s="5" t="s">
        <v>13</v>
      </c>
      <c r="D19" s="34">
        <v>49.563180389999999</v>
      </c>
      <c r="E19" s="34">
        <v>209.76835588999998</v>
      </c>
      <c r="F19" s="34">
        <v>161.92892793999997</v>
      </c>
      <c r="G19" s="34">
        <v>102.90334588999997</v>
      </c>
      <c r="H19" s="34">
        <v>47.676786920000026</v>
      </c>
      <c r="I19" s="34">
        <v>205.37653165999993</v>
      </c>
      <c r="J19" s="34">
        <v>155.07058329999998</v>
      </c>
      <c r="K19" s="34">
        <v>98.834344500000043</v>
      </c>
      <c r="L19" s="34">
        <v>47.65829891000002</v>
      </c>
      <c r="M19" s="34">
        <v>208.90581218999989</v>
      </c>
      <c r="N19" s="34">
        <v>209.76835588999998</v>
      </c>
      <c r="O19" s="34">
        <v>91.84489785999989</v>
      </c>
      <c r="P19" s="34">
        <v>44.800838339999963</v>
      </c>
    </row>
    <row r="20" spans="3:16" x14ac:dyDescent="0.25">
      <c r="C20" s="4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3:16" x14ac:dyDescent="0.25">
      <c r="C21" s="9" t="s">
        <v>170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3:16" x14ac:dyDescent="0.25">
      <c r="C22" s="4" t="s">
        <v>171</v>
      </c>
      <c r="D22" s="33">
        <v>13902.979477700001</v>
      </c>
      <c r="E22" s="33">
        <v>13717.305488049999</v>
      </c>
      <c r="F22" s="33">
        <v>13380.394474590001</v>
      </c>
      <c r="G22" s="33">
        <v>13207.443332209999</v>
      </c>
      <c r="H22" s="33">
        <v>12939.991919</v>
      </c>
      <c r="I22" s="33">
        <v>13495.33340107</v>
      </c>
      <c r="J22" s="33">
        <v>13585.41592971</v>
      </c>
      <c r="K22" s="33">
        <v>13684.825302809999</v>
      </c>
      <c r="L22" s="33">
        <v>13374.697732870001</v>
      </c>
      <c r="M22" s="33">
        <v>13455.206558240005</v>
      </c>
      <c r="N22" s="33">
        <v>13717.305488049999</v>
      </c>
      <c r="O22" s="33">
        <v>13663.773948100003</v>
      </c>
      <c r="P22" s="33">
        <v>13383.511244850002</v>
      </c>
    </row>
    <row r="23" spans="3:16" x14ac:dyDescent="0.25">
      <c r="C23" s="4" t="s">
        <v>172</v>
      </c>
      <c r="D23" s="33">
        <v>-20.567653829999998</v>
      </c>
      <c r="E23" s="33">
        <v>-20.863572229999999</v>
      </c>
      <c r="F23" s="33">
        <v>-24.46062792</v>
      </c>
      <c r="G23" s="33">
        <v>-21.986936199999999</v>
      </c>
      <c r="H23" s="33">
        <v>-25.324825000000001</v>
      </c>
      <c r="I23" s="33">
        <v>-25.42141797</v>
      </c>
      <c r="J23" s="33">
        <v>-23.907941539999999</v>
      </c>
      <c r="K23" s="33">
        <v>-22.674377420000003</v>
      </c>
      <c r="L23" s="33">
        <v>-21.848017209999998</v>
      </c>
      <c r="M23" s="33">
        <v>-18.917313909999997</v>
      </c>
      <c r="N23" s="33">
        <v>-20.863572229999999</v>
      </c>
      <c r="O23" s="33">
        <v>-18.895445109999994</v>
      </c>
      <c r="P23" s="33">
        <v>-17.141811899999986</v>
      </c>
    </row>
    <row r="24" spans="3:16" x14ac:dyDescent="0.25">
      <c r="C24" s="4" t="s">
        <v>173</v>
      </c>
      <c r="D24" s="33">
        <v>-0.99202682999999992</v>
      </c>
      <c r="E24" s="33">
        <v>-0.70414369999999993</v>
      </c>
      <c r="F24" s="33">
        <v>32.054809460000001</v>
      </c>
      <c r="G24" s="33">
        <v>31.680091600000001</v>
      </c>
      <c r="H24" s="33">
        <v>-1.072505</v>
      </c>
      <c r="I24" s="33">
        <v>-31.11183406</v>
      </c>
      <c r="J24" s="33">
        <v>2.1757268200000013</v>
      </c>
      <c r="K24" s="33">
        <v>1.282207409999998</v>
      </c>
      <c r="L24" s="33">
        <v>1.7432488100000001</v>
      </c>
      <c r="M24" s="33">
        <v>1.8936468500000005</v>
      </c>
      <c r="N24" s="33">
        <v>-0.70414369999999993</v>
      </c>
      <c r="O24" s="33">
        <v>2.2289641200000001</v>
      </c>
      <c r="P24" s="33">
        <v>4.9451246500000003</v>
      </c>
    </row>
    <row r="25" spans="3:16" x14ac:dyDescent="0.25">
      <c r="C25" s="4" t="s">
        <v>174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</row>
    <row r="26" spans="3:16" x14ac:dyDescent="0.25">
      <c r="C26" s="5" t="s">
        <v>175</v>
      </c>
      <c r="D26" s="34">
        <v>13881.419797040002</v>
      </c>
      <c r="E26" s="34">
        <v>13695.737772119997</v>
      </c>
      <c r="F26" s="34">
        <v>13387.988656130001</v>
      </c>
      <c r="G26" s="34">
        <v>13217.136487609998</v>
      </c>
      <c r="H26" s="34">
        <v>12913.594589</v>
      </c>
      <c r="I26" s="34">
        <v>13436.80014904</v>
      </c>
      <c r="J26" s="34">
        <v>13561.68371499</v>
      </c>
      <c r="K26" s="34">
        <v>13664.433132799999</v>
      </c>
      <c r="L26" s="34">
        <v>13354.592964470001</v>
      </c>
      <c r="M26" s="34">
        <v>13438.182891180004</v>
      </c>
      <c r="N26" s="34">
        <v>13695.737772119997</v>
      </c>
      <c r="O26" s="34">
        <v>13647.107467110003</v>
      </c>
      <c r="P26" s="34">
        <v>13371.314557600002</v>
      </c>
    </row>
    <row r="27" spans="3:16" x14ac:dyDescent="0.25">
      <c r="C27" s="4" t="s">
        <v>92</v>
      </c>
      <c r="D27" s="33">
        <v>15130.53794572</v>
      </c>
      <c r="E27" s="33">
        <v>15001.50127029</v>
      </c>
      <c r="F27" s="33">
        <v>14869.887811389999</v>
      </c>
      <c r="G27" s="33">
        <v>15050.502394749999</v>
      </c>
      <c r="H27" s="33">
        <v>14348.197228999999</v>
      </c>
      <c r="I27" s="33">
        <v>13553.17988566</v>
      </c>
      <c r="J27" s="33">
        <v>13925.372543700001</v>
      </c>
      <c r="K27" s="33">
        <v>14082.58143792</v>
      </c>
      <c r="L27" s="33">
        <v>13309.84085591001</v>
      </c>
      <c r="M27" s="33">
        <v>12769.985230870005</v>
      </c>
      <c r="N27" s="33">
        <v>15001.50127029</v>
      </c>
      <c r="O27" s="33">
        <v>12937.551255950008</v>
      </c>
      <c r="P27" s="33">
        <v>12517.710535630007</v>
      </c>
    </row>
    <row r="28" spans="3:16" x14ac:dyDescent="0.25">
      <c r="C28" s="4" t="s">
        <v>176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</row>
    <row r="29" spans="3:16" x14ac:dyDescent="0.25">
      <c r="C29" s="5" t="s">
        <v>177</v>
      </c>
      <c r="D29" s="34">
        <v>15130.53794572</v>
      </c>
      <c r="E29" s="34">
        <v>15001.50127029</v>
      </c>
      <c r="F29" s="34">
        <v>14869.887811389999</v>
      </c>
      <c r="G29" s="34">
        <v>15050.502394749999</v>
      </c>
      <c r="H29" s="34">
        <v>14348.197228999999</v>
      </c>
      <c r="I29" s="34">
        <v>13553.17988566</v>
      </c>
      <c r="J29" s="34">
        <v>13925.372543700001</v>
      </c>
      <c r="K29" s="34">
        <v>14082.58143792</v>
      </c>
      <c r="L29" s="34">
        <v>13309.84085591001</v>
      </c>
      <c r="M29" s="34">
        <v>12769.985230870005</v>
      </c>
      <c r="N29" s="34">
        <v>15001.50127029</v>
      </c>
      <c r="O29" s="34">
        <v>12937.551255950008</v>
      </c>
      <c r="P29" s="34">
        <v>12517.710535630007</v>
      </c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25" t="s">
        <v>179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3:16" x14ac:dyDescent="0.2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3:16" x14ac:dyDescent="0.25">
      <c r="C34" s="9" t="s">
        <v>165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5">
      <c r="C35" s="4" t="s">
        <v>166</v>
      </c>
      <c r="D35" s="33">
        <v>122.89894923</v>
      </c>
      <c r="E35" s="33">
        <v>447.81764580000004</v>
      </c>
      <c r="F35" s="33">
        <v>333.49976128999998</v>
      </c>
      <c r="G35" s="33">
        <v>217.50012224</v>
      </c>
      <c r="H35" s="33">
        <v>117.30616911999998</v>
      </c>
      <c r="I35" s="33">
        <v>435.14711536999999</v>
      </c>
      <c r="J35" s="33">
        <v>426.55718677000004</v>
      </c>
      <c r="K35" s="33">
        <v>208.84437384999998</v>
      </c>
      <c r="L35" s="33">
        <v>104.15165983000003</v>
      </c>
      <c r="M35" s="33">
        <v>399.35171014999986</v>
      </c>
      <c r="N35" s="33">
        <v>447.81764580000004</v>
      </c>
      <c r="O35" s="33">
        <v>186.86130958999993</v>
      </c>
      <c r="P35" s="33">
        <v>91.34053899999995</v>
      </c>
    </row>
    <row r="36" spans="3:16" x14ac:dyDescent="0.25">
      <c r="C36" s="4" t="s">
        <v>167</v>
      </c>
      <c r="D36" s="33">
        <v>15.55426317</v>
      </c>
      <c r="E36" s="33">
        <v>55.791827359999992</v>
      </c>
      <c r="F36" s="33">
        <v>36.669789989999998</v>
      </c>
      <c r="G36" s="33">
        <v>24.165048179999999</v>
      </c>
      <c r="H36" s="33">
        <v>11.729969000000001</v>
      </c>
      <c r="I36" s="33">
        <v>57.572148319999997</v>
      </c>
      <c r="J36" s="33">
        <v>48.458053910000004</v>
      </c>
      <c r="K36" s="33">
        <v>23.730374519999998</v>
      </c>
      <c r="L36" s="33">
        <v>12.892069290000002</v>
      </c>
      <c r="M36" s="33">
        <v>48.32658181</v>
      </c>
      <c r="N36" s="33">
        <v>55.791827359999992</v>
      </c>
      <c r="O36" s="33">
        <v>22.632316159999995</v>
      </c>
      <c r="P36" s="33">
        <v>10.895561959999998</v>
      </c>
    </row>
    <row r="37" spans="3:16" x14ac:dyDescent="0.25">
      <c r="C37" s="4" t="s">
        <v>168</v>
      </c>
      <c r="D37" s="33">
        <v>0.52197784999999997</v>
      </c>
      <c r="E37" s="33">
        <v>1.4276295300000001</v>
      </c>
      <c r="F37" s="33">
        <v>0.97908706999999995</v>
      </c>
      <c r="G37" s="33">
        <v>0.84702786999999991</v>
      </c>
      <c r="H37" s="33">
        <v>0.37711600000000001</v>
      </c>
      <c r="I37" s="33">
        <v>1.31262211</v>
      </c>
      <c r="J37" s="33">
        <v>-1.4363936500000001</v>
      </c>
      <c r="K37" s="33">
        <v>-0.67814864000000008</v>
      </c>
      <c r="L37" s="33">
        <v>-0.29160990000000014</v>
      </c>
      <c r="M37" s="33">
        <v>7.8053099999998233E-3</v>
      </c>
      <c r="N37" s="33">
        <v>1.4276295300000001</v>
      </c>
      <c r="O37" s="33">
        <v>0.49908528000000002</v>
      </c>
      <c r="P37" s="33">
        <v>0.23424933000000001</v>
      </c>
    </row>
    <row r="38" spans="3:16" x14ac:dyDescent="0.25">
      <c r="C38" s="4" t="s">
        <v>169</v>
      </c>
      <c r="D38" s="33">
        <v>39.107241539999997</v>
      </c>
      <c r="E38" s="33">
        <v>146.95841081999998</v>
      </c>
      <c r="F38" s="33">
        <v>107.71565523000001</v>
      </c>
      <c r="G38" s="33">
        <v>72.338800059999997</v>
      </c>
      <c r="H38" s="33">
        <v>33.843992999999998</v>
      </c>
      <c r="I38" s="33">
        <v>123.11749329</v>
      </c>
      <c r="J38" s="33">
        <v>124.31890016</v>
      </c>
      <c r="K38" s="33">
        <v>62.320197460000003</v>
      </c>
      <c r="L38" s="33">
        <v>30.921381260000008</v>
      </c>
      <c r="M38" s="33">
        <v>116.13531685</v>
      </c>
      <c r="N38" s="33">
        <v>146.95841081999998</v>
      </c>
      <c r="O38" s="33">
        <v>55.103112209999992</v>
      </c>
      <c r="P38" s="33">
        <v>27.95042604</v>
      </c>
    </row>
    <row r="39" spans="3:16" x14ac:dyDescent="0.25">
      <c r="C39" s="5" t="s">
        <v>11</v>
      </c>
      <c r="D39" s="34">
        <v>99.867948710000036</v>
      </c>
      <c r="E39" s="34">
        <v>358.07869187000006</v>
      </c>
      <c r="F39" s="34">
        <v>263.4329831199999</v>
      </c>
      <c r="G39" s="34">
        <v>170.17339822999998</v>
      </c>
      <c r="H39" s="34">
        <v>95.569261119999979</v>
      </c>
      <c r="I39" s="34">
        <v>370.91439250999997</v>
      </c>
      <c r="J39" s="34">
        <v>349.25994687000002</v>
      </c>
      <c r="K39" s="34">
        <v>168.57640226999999</v>
      </c>
      <c r="L39" s="34">
        <v>85.830737960000022</v>
      </c>
      <c r="M39" s="34">
        <v>331.55078041999985</v>
      </c>
      <c r="N39" s="34">
        <v>358.07869187000006</v>
      </c>
      <c r="O39" s="34">
        <v>154.88959881999992</v>
      </c>
      <c r="P39" s="34">
        <v>74.519924249999946</v>
      </c>
    </row>
    <row r="40" spans="3:16" x14ac:dyDescent="0.25">
      <c r="C40" s="4" t="s">
        <v>12</v>
      </c>
      <c r="D40" s="33">
        <v>-22.103153760000001</v>
      </c>
      <c r="E40" s="33">
        <v>-9.3773759999999998E-2</v>
      </c>
      <c r="F40" s="33">
        <v>2.57161303</v>
      </c>
      <c r="G40" s="33">
        <v>3.2981064999999998</v>
      </c>
      <c r="H40" s="33">
        <v>4.4884411800000006</v>
      </c>
      <c r="I40" s="33">
        <v>27.14003559</v>
      </c>
      <c r="J40" s="33">
        <v>17.295638490000002</v>
      </c>
      <c r="K40" s="33">
        <v>-2.5532401499999997</v>
      </c>
      <c r="L40" s="33">
        <v>-2.503172250000012</v>
      </c>
      <c r="M40" s="33">
        <v>11.793947000000012</v>
      </c>
      <c r="N40" s="33">
        <v>-9.3773759999999998E-2</v>
      </c>
      <c r="O40" s="33">
        <v>-8.926067539999913</v>
      </c>
      <c r="P40" s="33">
        <v>-4.4792073299999986</v>
      </c>
    </row>
    <row r="41" spans="3:16" x14ac:dyDescent="0.25">
      <c r="C41" s="5" t="s">
        <v>13</v>
      </c>
      <c r="D41" s="34">
        <v>121.97110247000003</v>
      </c>
      <c r="E41" s="34">
        <v>358.17246563000003</v>
      </c>
      <c r="F41" s="34">
        <v>260.86137008999992</v>
      </c>
      <c r="G41" s="34">
        <v>166.87529172999999</v>
      </c>
      <c r="H41" s="34">
        <v>91.080819939999984</v>
      </c>
      <c r="I41" s="34">
        <v>343.77435691999995</v>
      </c>
      <c r="J41" s="34">
        <v>332.96430838000003</v>
      </c>
      <c r="K41" s="34">
        <v>172.12964241999998</v>
      </c>
      <c r="L41" s="34">
        <v>88.333910210000028</v>
      </c>
      <c r="M41" s="34">
        <v>319.75683341999985</v>
      </c>
      <c r="N41" s="34">
        <v>358.17246563000003</v>
      </c>
      <c r="O41" s="34">
        <v>163.81566635999982</v>
      </c>
      <c r="P41" s="34">
        <v>78.999131579999954</v>
      </c>
    </row>
    <row r="42" spans="3:16" x14ac:dyDescent="0.25">
      <c r="C42" s="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3:16" x14ac:dyDescent="0.25">
      <c r="C43" s="9" t="s">
        <v>170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spans="3:16" x14ac:dyDescent="0.25">
      <c r="C44" s="4" t="s">
        <v>171</v>
      </c>
      <c r="D44" s="33">
        <v>13115.105746589999</v>
      </c>
      <c r="E44" s="33">
        <v>13146.34782492</v>
      </c>
      <c r="F44" s="33">
        <v>12868.74215204</v>
      </c>
      <c r="G44" s="33">
        <v>12994.634434850001</v>
      </c>
      <c r="H44" s="33">
        <v>12990.981197999999</v>
      </c>
      <c r="I44" s="33">
        <v>12264.39075977</v>
      </c>
      <c r="J44" s="33">
        <v>12533.30001671</v>
      </c>
      <c r="K44" s="33">
        <v>12101.132727010001</v>
      </c>
      <c r="L44" s="33">
        <v>11900.809751500001</v>
      </c>
      <c r="M44" s="33">
        <v>11637.963712520001</v>
      </c>
      <c r="N44" s="33">
        <v>13146.34782492</v>
      </c>
      <c r="O44" s="33">
        <v>11387.561776139999</v>
      </c>
      <c r="P44" s="33">
        <v>11360.116187789998</v>
      </c>
    </row>
    <row r="45" spans="3:16" x14ac:dyDescent="0.25">
      <c r="C45" s="4" t="s">
        <v>172</v>
      </c>
      <c r="D45" s="33">
        <v>-97.676557840000001</v>
      </c>
      <c r="E45" s="33">
        <v>-118.28634373999999</v>
      </c>
      <c r="F45" s="33">
        <v>-120.32012098999999</v>
      </c>
      <c r="G45" s="33">
        <v>-119.94879297</v>
      </c>
      <c r="H45" s="33">
        <v>-124.005503</v>
      </c>
      <c r="I45" s="33">
        <v>-119.65809319</v>
      </c>
      <c r="J45" s="33">
        <v>-110.90196048</v>
      </c>
      <c r="K45" s="33">
        <v>-92.788689790000006</v>
      </c>
      <c r="L45" s="33">
        <v>-92.925605250000018</v>
      </c>
      <c r="M45" s="33">
        <v>-94.327681659999996</v>
      </c>
      <c r="N45" s="33">
        <v>-118.28634373999999</v>
      </c>
      <c r="O45" s="33">
        <v>-75.371527540000031</v>
      </c>
      <c r="P45" s="33">
        <v>-82.347168390000022</v>
      </c>
    </row>
    <row r="46" spans="3:16" x14ac:dyDescent="0.25">
      <c r="C46" s="4" t="s">
        <v>173</v>
      </c>
      <c r="D46" s="33">
        <v>-0.35008552000000004</v>
      </c>
      <c r="E46" s="33">
        <v>-0.56280426000000006</v>
      </c>
      <c r="F46" s="33">
        <v>-0.70462156999999992</v>
      </c>
      <c r="G46" s="33">
        <v>-0.50416240000000001</v>
      </c>
      <c r="H46" s="33">
        <v>-0.668485</v>
      </c>
      <c r="I46" s="33">
        <v>0.21269343000000007</v>
      </c>
      <c r="J46" s="33">
        <v>0.21583779999999997</v>
      </c>
      <c r="K46" s="33">
        <v>-0.23994998000000001</v>
      </c>
      <c r="L46" s="33">
        <v>0</v>
      </c>
      <c r="M46" s="33">
        <v>0</v>
      </c>
      <c r="N46" s="33">
        <v>-0.56280426000000006</v>
      </c>
      <c r="O46" s="33">
        <v>0</v>
      </c>
      <c r="P46" s="33">
        <v>0</v>
      </c>
    </row>
    <row r="47" spans="3:16" x14ac:dyDescent="0.25">
      <c r="C47" s="4" t="s">
        <v>174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</row>
    <row r="48" spans="3:16" x14ac:dyDescent="0.25">
      <c r="C48" s="5" t="s">
        <v>175</v>
      </c>
      <c r="D48" s="34">
        <v>13017.079103229999</v>
      </c>
      <c r="E48" s="34">
        <v>13027.49867692</v>
      </c>
      <c r="F48" s="34">
        <v>12747.717409480001</v>
      </c>
      <c r="G48" s="34">
        <v>12874.181479479999</v>
      </c>
      <c r="H48" s="34">
        <v>12866.307209999999</v>
      </c>
      <c r="I48" s="34">
        <v>12143.945360009999</v>
      </c>
      <c r="J48" s="34">
        <v>12421.613894030001</v>
      </c>
      <c r="K48" s="34">
        <v>12008.104087240001</v>
      </c>
      <c r="L48" s="34">
        <v>11807.88414625</v>
      </c>
      <c r="M48" s="34">
        <v>11543.636030860001</v>
      </c>
      <c r="N48" s="34">
        <v>13027.49867692</v>
      </c>
      <c r="O48" s="34">
        <v>11312.190248599998</v>
      </c>
      <c r="P48" s="34">
        <v>11277.769019399997</v>
      </c>
    </row>
    <row r="49" spans="3:16" x14ac:dyDescent="0.25">
      <c r="C49" s="4" t="s">
        <v>92</v>
      </c>
      <c r="D49" s="33">
        <v>7534.3461129500001</v>
      </c>
      <c r="E49" s="33">
        <v>7478.40920405</v>
      </c>
      <c r="F49" s="33">
        <v>7489.1613757899995</v>
      </c>
      <c r="G49" s="33">
        <v>7372.2351583500003</v>
      </c>
      <c r="H49" s="33">
        <v>7156.7342500000004</v>
      </c>
      <c r="I49" s="33">
        <v>6765.6316211499998</v>
      </c>
      <c r="J49" s="33">
        <v>6972.1319091099995</v>
      </c>
      <c r="K49" s="33">
        <v>6967.5047202799997</v>
      </c>
      <c r="L49" s="33">
        <v>6780.8193821999985</v>
      </c>
      <c r="M49" s="33">
        <v>6587.1909264400001</v>
      </c>
      <c r="N49" s="33">
        <v>7478.40920405</v>
      </c>
      <c r="O49" s="33">
        <v>7012.9987721699999</v>
      </c>
      <c r="P49" s="33">
        <v>6900.2967518800015</v>
      </c>
    </row>
    <row r="50" spans="3:16" x14ac:dyDescent="0.25">
      <c r="C50" s="4" t="s">
        <v>176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</row>
    <row r="51" spans="3:16" x14ac:dyDescent="0.25">
      <c r="C51" s="5" t="s">
        <v>177</v>
      </c>
      <c r="D51" s="34">
        <v>7534.3461129500001</v>
      </c>
      <c r="E51" s="34">
        <v>7478.40920405</v>
      </c>
      <c r="F51" s="34">
        <v>7489.1613757899995</v>
      </c>
      <c r="G51" s="34">
        <v>7372.2351583500003</v>
      </c>
      <c r="H51" s="34">
        <v>7156.7342500000004</v>
      </c>
      <c r="I51" s="34">
        <v>6765.6316211499998</v>
      </c>
      <c r="J51" s="34">
        <v>6972.1319091099995</v>
      </c>
      <c r="K51" s="34">
        <v>6967.5047202799997</v>
      </c>
      <c r="L51" s="34">
        <v>6780.8193821999985</v>
      </c>
      <c r="M51" s="34">
        <v>6587.1909264400001</v>
      </c>
      <c r="N51" s="34">
        <v>7478.40920405</v>
      </c>
      <c r="O51" s="34">
        <v>7012.9987721699999</v>
      </c>
      <c r="P51" s="34">
        <v>6900.2967518800015</v>
      </c>
    </row>
    <row r="52" spans="3:16" x14ac:dyDescent="0.2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3:16" x14ac:dyDescent="0.2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3:16" x14ac:dyDescent="0.25">
      <c r="C54" s="25" t="s">
        <v>180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3:16" x14ac:dyDescent="0.25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3:16" x14ac:dyDescent="0.25">
      <c r="C56" s="9" t="s">
        <v>165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5">
      <c r="C57" s="4" t="s">
        <v>166</v>
      </c>
      <c r="D57" s="33">
        <v>0</v>
      </c>
      <c r="E57" s="33">
        <v>0</v>
      </c>
      <c r="F57" s="33">
        <v>0</v>
      </c>
      <c r="G57" s="33">
        <v>0</v>
      </c>
      <c r="H57" s="33">
        <v>1E-3</v>
      </c>
      <c r="I57" s="33">
        <v>0.33400000000000002</v>
      </c>
      <c r="J57" s="33">
        <v>0.29799999999999999</v>
      </c>
      <c r="K57" s="33">
        <v>0.191</v>
      </c>
      <c r="L57" s="33">
        <v>0.187</v>
      </c>
      <c r="M57" s="33">
        <v>0.40799999999999997</v>
      </c>
      <c r="N57" s="33">
        <v>0</v>
      </c>
      <c r="O57" s="33">
        <v>0.28499999999999998</v>
      </c>
      <c r="P57" s="33">
        <v>0.13300000000000001</v>
      </c>
    </row>
    <row r="58" spans="3:16" x14ac:dyDescent="0.25">
      <c r="C58" s="4" t="s">
        <v>167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</row>
    <row r="59" spans="3:16" x14ac:dyDescent="0.25">
      <c r="C59" s="4" t="s">
        <v>168</v>
      </c>
      <c r="D59" s="33">
        <v>14.725</v>
      </c>
      <c r="E59" s="33">
        <v>70.965999999999994</v>
      </c>
      <c r="F59" s="33">
        <v>54.588000000000001</v>
      </c>
      <c r="G59" s="33">
        <v>34.1</v>
      </c>
      <c r="H59" s="33">
        <v>13.167</v>
      </c>
      <c r="I59" s="33">
        <v>56.177999999999997</v>
      </c>
      <c r="J59" s="33">
        <v>42.893999999999998</v>
      </c>
      <c r="K59" s="33">
        <v>25.629000000000001</v>
      </c>
      <c r="L59" s="33">
        <v>9.577</v>
      </c>
      <c r="M59" s="33">
        <v>51.201999999999998</v>
      </c>
      <c r="N59" s="33">
        <v>40.484999999999999</v>
      </c>
      <c r="O59" s="33">
        <v>26.061</v>
      </c>
      <c r="P59" s="33">
        <v>10.702999999999999</v>
      </c>
    </row>
    <row r="60" spans="3:16" x14ac:dyDescent="0.25">
      <c r="C60" s="4" t="s">
        <v>169</v>
      </c>
      <c r="D60" s="33">
        <v>12.33</v>
      </c>
      <c r="E60" s="33">
        <v>57.478999999999999</v>
      </c>
      <c r="F60" s="33">
        <v>42.421999999999997</v>
      </c>
      <c r="G60" s="33">
        <v>25.722000000000001</v>
      </c>
      <c r="H60" s="33">
        <v>11.565</v>
      </c>
      <c r="I60" s="33">
        <v>48.802</v>
      </c>
      <c r="J60" s="33">
        <v>35.002000000000002</v>
      </c>
      <c r="K60" s="33">
        <v>20.861999999999998</v>
      </c>
      <c r="L60" s="33">
        <v>9.7129999999999992</v>
      </c>
      <c r="M60" s="33">
        <v>46.177999999999997</v>
      </c>
      <c r="N60" s="33">
        <v>33.625</v>
      </c>
      <c r="O60" s="33">
        <v>21.024000000000001</v>
      </c>
      <c r="P60" s="33">
        <v>10.210000000000001</v>
      </c>
    </row>
    <row r="61" spans="3:16" x14ac:dyDescent="0.25">
      <c r="C61" s="5" t="s">
        <v>11</v>
      </c>
      <c r="D61" s="34">
        <v>2.3949999999999996</v>
      </c>
      <c r="E61" s="34">
        <v>13.486999999999995</v>
      </c>
      <c r="F61" s="34">
        <v>12.166000000000004</v>
      </c>
      <c r="G61" s="34">
        <v>8.3780000000000001</v>
      </c>
      <c r="H61" s="34">
        <v>1.6029999999999998</v>
      </c>
      <c r="I61" s="34">
        <v>7.7100000000000009</v>
      </c>
      <c r="J61" s="34">
        <v>8.1899999999999977</v>
      </c>
      <c r="K61" s="34">
        <v>4.958000000000002</v>
      </c>
      <c r="L61" s="34">
        <v>5.1000000000000156E-2</v>
      </c>
      <c r="M61" s="34">
        <v>5.4320000000000022</v>
      </c>
      <c r="N61" s="34">
        <v>6.8599999999999994</v>
      </c>
      <c r="O61" s="34">
        <v>5.3220000000000001</v>
      </c>
      <c r="P61" s="34">
        <v>0.626</v>
      </c>
    </row>
    <row r="62" spans="3:16" x14ac:dyDescent="0.25">
      <c r="C62" s="4" t="s">
        <v>12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</row>
    <row r="63" spans="3:16" x14ac:dyDescent="0.25">
      <c r="C63" s="5" t="s">
        <v>13</v>
      </c>
      <c r="D63" s="34">
        <v>2.3949999999999996</v>
      </c>
      <c r="E63" s="34">
        <v>13.486999999999995</v>
      </c>
      <c r="F63" s="34">
        <v>12.166000000000004</v>
      </c>
      <c r="G63" s="34">
        <v>8.3780000000000001</v>
      </c>
      <c r="H63" s="34">
        <v>1.6029999999999998</v>
      </c>
      <c r="I63" s="34">
        <v>7.7100000000000009</v>
      </c>
      <c r="J63" s="34">
        <v>8.1899999999999977</v>
      </c>
      <c r="K63" s="34">
        <v>4.958000000000002</v>
      </c>
      <c r="L63" s="34">
        <v>5.1000000000000156E-2</v>
      </c>
      <c r="M63" s="34">
        <v>5.4320000000000022</v>
      </c>
      <c r="N63" s="34">
        <v>6.8599999999999994</v>
      </c>
      <c r="O63" s="34">
        <v>5.3220000000000001</v>
      </c>
      <c r="P63" s="34">
        <v>0.626</v>
      </c>
    </row>
    <row r="64" spans="3:16" x14ac:dyDescent="0.25">
      <c r="C64" s="4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3:16" x14ac:dyDescent="0.25">
      <c r="C65" s="9" t="s">
        <v>170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6" spans="3:16" x14ac:dyDescent="0.25">
      <c r="C66" s="4" t="s">
        <v>171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</row>
    <row r="67" spans="3:16" x14ac:dyDescent="0.25">
      <c r="C67" s="4" t="s">
        <v>172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</row>
    <row r="68" spans="3:16" x14ac:dyDescent="0.25">
      <c r="C68" s="4" t="s">
        <v>173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</row>
    <row r="69" spans="3:16" x14ac:dyDescent="0.25">
      <c r="C69" s="4" t="s">
        <v>174</v>
      </c>
      <c r="D69" s="33">
        <v>39.277000000000001</v>
      </c>
      <c r="E69" s="33">
        <v>43.097000000000001</v>
      </c>
      <c r="F69" s="33">
        <v>50.116</v>
      </c>
      <c r="G69" s="33">
        <v>42.735999999999997</v>
      </c>
      <c r="H69" s="33">
        <v>32.453000000000003</v>
      </c>
      <c r="I69" s="33">
        <v>32.834000000000003</v>
      </c>
      <c r="J69" s="33">
        <v>35.700000000000003</v>
      </c>
      <c r="K69" s="33">
        <v>36.201000000000001</v>
      </c>
      <c r="L69" s="33">
        <v>25.358000000000001</v>
      </c>
      <c r="M69" s="33">
        <v>27.832999999999998</v>
      </c>
      <c r="N69" s="33">
        <v>34.701000000000001</v>
      </c>
      <c r="O69" s="33">
        <v>34.53</v>
      </c>
      <c r="P69" s="33">
        <v>27.44</v>
      </c>
    </row>
    <row r="70" spans="3:16" x14ac:dyDescent="0.25">
      <c r="C70" s="5" t="s">
        <v>175</v>
      </c>
      <c r="D70" s="34">
        <v>39.277000000000001</v>
      </c>
      <c r="E70" s="34">
        <v>43.097000000000001</v>
      </c>
      <c r="F70" s="34">
        <v>50.116</v>
      </c>
      <c r="G70" s="34">
        <v>42.735999999999997</v>
      </c>
      <c r="H70" s="34">
        <v>32.453000000000003</v>
      </c>
      <c r="I70" s="34">
        <v>32.834000000000003</v>
      </c>
      <c r="J70" s="34">
        <v>35.700000000000003</v>
      </c>
      <c r="K70" s="34">
        <v>36.201000000000001</v>
      </c>
      <c r="L70" s="34">
        <v>25.358000000000001</v>
      </c>
      <c r="M70" s="34">
        <v>27.832999999999998</v>
      </c>
      <c r="N70" s="34">
        <v>34.701000000000001</v>
      </c>
      <c r="O70" s="34">
        <v>34.53</v>
      </c>
      <c r="P70" s="34">
        <v>27.44</v>
      </c>
    </row>
    <row r="71" spans="3:16" x14ac:dyDescent="0.25">
      <c r="C71" s="4" t="s">
        <v>92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</row>
    <row r="72" spans="3:16" x14ac:dyDescent="0.25">
      <c r="C72" s="4" t="s">
        <v>176</v>
      </c>
      <c r="D72" s="33">
        <v>39.277000000000001</v>
      </c>
      <c r="E72" s="33">
        <v>43.097000000000001</v>
      </c>
      <c r="F72" s="33">
        <v>50.116</v>
      </c>
      <c r="G72" s="33">
        <v>42.735999999999997</v>
      </c>
      <c r="H72" s="33">
        <v>32.453000000000003</v>
      </c>
      <c r="I72" s="33">
        <v>32.834000000000003</v>
      </c>
      <c r="J72" s="33">
        <v>35.700000000000003</v>
      </c>
      <c r="K72" s="33">
        <v>36.201000000000001</v>
      </c>
      <c r="L72" s="33">
        <v>25.358000000000001</v>
      </c>
      <c r="M72" s="33">
        <v>27.832999999999998</v>
      </c>
      <c r="N72" s="33">
        <v>34.701000000000001</v>
      </c>
      <c r="O72" s="33">
        <v>34.53</v>
      </c>
      <c r="P72" s="33">
        <v>27.44</v>
      </c>
    </row>
    <row r="73" spans="3:16" x14ac:dyDescent="0.25">
      <c r="C73" s="5" t="s">
        <v>177</v>
      </c>
      <c r="D73" s="34">
        <v>39.277000000000001</v>
      </c>
      <c r="E73" s="34">
        <v>43.097000000000001</v>
      </c>
      <c r="F73" s="34">
        <v>50.116</v>
      </c>
      <c r="G73" s="34">
        <v>42.735999999999997</v>
      </c>
      <c r="H73" s="34">
        <v>32.453000000000003</v>
      </c>
      <c r="I73" s="34">
        <v>32.834000000000003</v>
      </c>
      <c r="J73" s="34">
        <v>35.700000000000003</v>
      </c>
      <c r="K73" s="34">
        <v>36.201000000000001</v>
      </c>
      <c r="L73" s="34">
        <v>25.358000000000001</v>
      </c>
      <c r="M73" s="34">
        <v>27.832999999999998</v>
      </c>
      <c r="N73" s="34">
        <v>34.701000000000001</v>
      </c>
      <c r="O73" s="34">
        <v>34.53</v>
      </c>
      <c r="P73" s="34">
        <v>27.44</v>
      </c>
    </row>
    <row r="74" spans="3:16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3:16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3:16" x14ac:dyDescent="0.25">
      <c r="C76" s="25" t="s">
        <v>181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3:16" x14ac:dyDescent="0.2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3:16" x14ac:dyDescent="0.25">
      <c r="C78" s="9" t="s">
        <v>165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5">
      <c r="C79" s="4" t="s">
        <v>166</v>
      </c>
      <c r="D79" s="33">
        <v>0</v>
      </c>
      <c r="E79" s="33">
        <v>0</v>
      </c>
      <c r="F79" s="33">
        <v>0</v>
      </c>
      <c r="G79" s="33">
        <v>0</v>
      </c>
      <c r="H79" s="33">
        <v>1.5761000000000001E-2</v>
      </c>
      <c r="I79" s="33">
        <v>8.1598000000000004E-2</v>
      </c>
      <c r="J79" s="33">
        <v>4.6498999999999999E-2</v>
      </c>
      <c r="K79" s="33">
        <v>2.8777E-2</v>
      </c>
      <c r="L79" s="33">
        <v>1.3122E-2</v>
      </c>
      <c r="M79" s="33">
        <v>2.5676999999999998E-2</v>
      </c>
      <c r="N79" s="33">
        <v>0</v>
      </c>
      <c r="O79" s="33">
        <v>-1.5761999999999998E-2</v>
      </c>
      <c r="P79" s="33">
        <v>-9.2620000000000011E-3</v>
      </c>
    </row>
    <row r="80" spans="3:16" x14ac:dyDescent="0.25">
      <c r="C80" s="4" t="s">
        <v>167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</row>
    <row r="81" spans="3:16" x14ac:dyDescent="0.25">
      <c r="C81" s="4" t="s">
        <v>168</v>
      </c>
      <c r="D81" s="33">
        <v>24.675064779999996</v>
      </c>
      <c r="E81" s="33">
        <v>94.726957999999996</v>
      </c>
      <c r="F81" s="33">
        <v>73.735033000000001</v>
      </c>
      <c r="G81" s="33">
        <v>54.403407000000001</v>
      </c>
      <c r="H81" s="33">
        <v>27.658729000000001</v>
      </c>
      <c r="I81" s="33">
        <v>87.057518999999999</v>
      </c>
      <c r="J81" s="33">
        <v>67.953881999999993</v>
      </c>
      <c r="K81" s="33">
        <v>49.698079</v>
      </c>
      <c r="L81" s="33">
        <v>23.328261000000001</v>
      </c>
      <c r="M81" s="33">
        <v>84.858017000000004</v>
      </c>
      <c r="N81" s="33">
        <v>65.367639999999994</v>
      </c>
      <c r="O81" s="33">
        <v>48.726307999999996</v>
      </c>
      <c r="P81" s="33">
        <v>24.803319999999999</v>
      </c>
    </row>
    <row r="82" spans="3:16" x14ac:dyDescent="0.25">
      <c r="C82" s="4" t="s">
        <v>169</v>
      </c>
      <c r="D82" s="33">
        <v>22.440953829999998</v>
      </c>
      <c r="E82" s="33">
        <v>88.308484000000007</v>
      </c>
      <c r="F82" s="33">
        <v>66.550252</v>
      </c>
      <c r="G82" s="33">
        <v>49.135634000000003</v>
      </c>
      <c r="H82" s="33">
        <v>24.946923999999999</v>
      </c>
      <c r="I82" s="33">
        <v>90.128067000000001</v>
      </c>
      <c r="J82" s="33">
        <v>66.305278999999999</v>
      </c>
      <c r="K82" s="33">
        <v>48.390332999999998</v>
      </c>
      <c r="L82" s="33">
        <v>24.946923999999999</v>
      </c>
      <c r="M82" s="33">
        <v>84.008572000000001</v>
      </c>
      <c r="N82" s="33">
        <v>61.052760999999997</v>
      </c>
      <c r="O82" s="33">
        <v>44.421577999999997</v>
      </c>
      <c r="P82" s="33">
        <v>22.956485999999998</v>
      </c>
    </row>
    <row r="83" spans="3:16" x14ac:dyDescent="0.25">
      <c r="C83" s="5" t="s">
        <v>11</v>
      </c>
      <c r="D83" s="34">
        <v>2.234110949999998</v>
      </c>
      <c r="E83" s="34">
        <v>6.4184739999999891</v>
      </c>
      <c r="F83" s="34">
        <v>7.184781000000001</v>
      </c>
      <c r="G83" s="34">
        <v>5.2677729999999983</v>
      </c>
      <c r="H83" s="34">
        <v>2.727566000000003</v>
      </c>
      <c r="I83" s="34">
        <v>-2.9889500000000027</v>
      </c>
      <c r="J83" s="34">
        <v>1.6951019999999914</v>
      </c>
      <c r="K83" s="34">
        <v>1.3365229999999997</v>
      </c>
      <c r="L83" s="34">
        <v>-1.6055409999999988</v>
      </c>
      <c r="M83" s="34">
        <v>0.87512200000000462</v>
      </c>
      <c r="N83" s="34">
        <v>4.3148789999999977</v>
      </c>
      <c r="O83" s="34">
        <v>4.2889680000000006</v>
      </c>
      <c r="P83" s="34">
        <v>1.8375720000000038</v>
      </c>
    </row>
    <row r="84" spans="3:16" x14ac:dyDescent="0.25">
      <c r="C84" s="4" t="s">
        <v>12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</row>
    <row r="85" spans="3:16" x14ac:dyDescent="0.25">
      <c r="C85" s="5" t="s">
        <v>13</v>
      </c>
      <c r="D85" s="34">
        <v>2.234110949999998</v>
      </c>
      <c r="E85" s="34">
        <v>6.4184739999999891</v>
      </c>
      <c r="F85" s="34">
        <v>7.184781000000001</v>
      </c>
      <c r="G85" s="34">
        <v>5.2677729999999983</v>
      </c>
      <c r="H85" s="34">
        <v>2.727566000000003</v>
      </c>
      <c r="I85" s="34">
        <v>-2.9889500000000027</v>
      </c>
      <c r="J85" s="34">
        <v>1.6951019999999914</v>
      </c>
      <c r="K85" s="34">
        <v>1.3365229999999997</v>
      </c>
      <c r="L85" s="34">
        <v>-1.6055409999999988</v>
      </c>
      <c r="M85" s="34">
        <v>0.87512200000000462</v>
      </c>
      <c r="N85" s="34">
        <v>4.3148789999999977</v>
      </c>
      <c r="O85" s="34">
        <v>4.2889680000000006</v>
      </c>
      <c r="P85" s="34">
        <v>1.8375720000000038</v>
      </c>
    </row>
    <row r="86" spans="3:16" x14ac:dyDescent="0.25">
      <c r="C86" s="4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3:16" x14ac:dyDescent="0.25">
      <c r="C87" s="9" t="s">
        <v>170</v>
      </c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3:16" x14ac:dyDescent="0.25">
      <c r="C88" s="4" t="s">
        <v>171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</row>
    <row r="89" spans="3:16" x14ac:dyDescent="0.25">
      <c r="C89" s="4" t="s">
        <v>172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</row>
    <row r="90" spans="3:16" x14ac:dyDescent="0.25">
      <c r="C90" s="4" t="s">
        <v>173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</row>
    <row r="91" spans="3:16" x14ac:dyDescent="0.25">
      <c r="C91" s="4" t="s">
        <v>174</v>
      </c>
      <c r="D91" s="33">
        <v>44.487273850000001</v>
      </c>
      <c r="E91" s="33">
        <v>41.271999000000001</v>
      </c>
      <c r="F91" s="33">
        <v>41.845331000000002</v>
      </c>
      <c r="G91" s="33">
        <v>44.605302999999999</v>
      </c>
      <c r="H91" s="33">
        <v>41.879269999999998</v>
      </c>
      <c r="I91" s="33">
        <v>38.197277999999997</v>
      </c>
      <c r="J91" s="33">
        <v>39.091746000000001</v>
      </c>
      <c r="K91" s="33">
        <v>43.535097</v>
      </c>
      <c r="L91" s="33">
        <v>38.752068999999999</v>
      </c>
      <c r="M91" s="33">
        <v>39.975988000000001</v>
      </c>
      <c r="N91" s="33">
        <v>39.721978999999997</v>
      </c>
      <c r="O91" s="33">
        <v>43.183243000000004</v>
      </c>
      <c r="P91" s="33">
        <v>42.805156000000004</v>
      </c>
    </row>
    <row r="92" spans="3:16" x14ac:dyDescent="0.25">
      <c r="C92" s="5" t="s">
        <v>175</v>
      </c>
      <c r="D92" s="34">
        <v>44.487273850000001</v>
      </c>
      <c r="E92" s="34">
        <v>41.271999000000001</v>
      </c>
      <c r="F92" s="34">
        <v>41.845331000000002</v>
      </c>
      <c r="G92" s="34">
        <v>44.605302999999999</v>
      </c>
      <c r="H92" s="34">
        <v>41.879269999999998</v>
      </c>
      <c r="I92" s="34">
        <v>38.197277999999997</v>
      </c>
      <c r="J92" s="34">
        <v>39.091746000000001</v>
      </c>
      <c r="K92" s="34">
        <v>43.535097</v>
      </c>
      <c r="L92" s="34">
        <v>38.752068999999999</v>
      </c>
      <c r="M92" s="34">
        <v>39.975988000000001</v>
      </c>
      <c r="N92" s="34">
        <v>39.721978999999997</v>
      </c>
      <c r="O92" s="34">
        <v>43.183243000000004</v>
      </c>
      <c r="P92" s="34">
        <v>42.805156000000004</v>
      </c>
    </row>
    <row r="93" spans="3:16" x14ac:dyDescent="0.25">
      <c r="C93" s="4" t="s">
        <v>92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</row>
    <row r="94" spans="3:16" x14ac:dyDescent="0.25">
      <c r="C94" s="4" t="s">
        <v>176</v>
      </c>
      <c r="D94" s="33">
        <v>44.487273850000001</v>
      </c>
      <c r="E94" s="33">
        <v>41.271999000000001</v>
      </c>
      <c r="F94" s="33">
        <v>41.845331000000002</v>
      </c>
      <c r="G94" s="33">
        <v>44.605302999999999</v>
      </c>
      <c r="H94" s="33">
        <v>41.879269999999998</v>
      </c>
      <c r="I94" s="33">
        <v>38.197277999999997</v>
      </c>
      <c r="J94" s="33">
        <v>39.091746000000001</v>
      </c>
      <c r="K94" s="33">
        <v>43.535097</v>
      </c>
      <c r="L94" s="33">
        <v>38.752068999999999</v>
      </c>
      <c r="M94" s="33">
        <v>39.975988000000001</v>
      </c>
      <c r="N94" s="33">
        <v>39.721978999999997</v>
      </c>
      <c r="O94" s="33">
        <v>43.183243000000004</v>
      </c>
      <c r="P94" s="33">
        <v>42.805156000000004</v>
      </c>
    </row>
    <row r="95" spans="3:16" x14ac:dyDescent="0.25">
      <c r="C95" s="5" t="s">
        <v>177</v>
      </c>
      <c r="D95" s="34">
        <v>44.487273850000001</v>
      </c>
      <c r="E95" s="34">
        <v>41.271999000000001</v>
      </c>
      <c r="F95" s="34">
        <v>41.845331000000002</v>
      </c>
      <c r="G95" s="34">
        <v>44.605302999999999</v>
      </c>
      <c r="H95" s="34">
        <v>41.879269999999998</v>
      </c>
      <c r="I95" s="34">
        <v>38.197277999999997</v>
      </c>
      <c r="J95" s="34">
        <v>39.091746000000001</v>
      </c>
      <c r="K95" s="34">
        <v>43.535097</v>
      </c>
      <c r="L95" s="34">
        <v>38.752068999999999</v>
      </c>
      <c r="M95" s="34">
        <v>39.975988000000001</v>
      </c>
      <c r="N95" s="34">
        <v>39.721978999999997</v>
      </c>
      <c r="O95" s="34">
        <v>43.183243000000004</v>
      </c>
      <c r="P95" s="34">
        <v>42.805156000000004</v>
      </c>
    </row>
    <row r="96" spans="3:16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3:16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3:16" x14ac:dyDescent="0.25">
      <c r="C98" s="25" t="s">
        <v>182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3:16" x14ac:dyDescent="0.25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</row>
    <row r="100" spans="3:16" x14ac:dyDescent="0.25">
      <c r="C100" s="9" t="s">
        <v>165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5">
      <c r="C101" s="4" t="s">
        <v>166</v>
      </c>
      <c r="D101" s="33">
        <v>0.6712852700001406</v>
      </c>
      <c r="E101" s="33">
        <v>82.100695850000648</v>
      </c>
      <c r="F101" s="33">
        <v>-58.619288329999563</v>
      </c>
      <c r="G101" s="33">
        <v>43.881429639999737</v>
      </c>
      <c r="H101" s="33">
        <v>-5.906281500000091</v>
      </c>
      <c r="I101" s="33">
        <v>79.810536169999637</v>
      </c>
      <c r="J101" s="33">
        <v>-120.00538616000063</v>
      </c>
      <c r="K101" s="33">
        <v>47.250282710000249</v>
      </c>
      <c r="L101" s="33">
        <v>21.005193859999991</v>
      </c>
      <c r="M101" s="33">
        <v>47.619265240000345</v>
      </c>
      <c r="N101" s="33">
        <v>-197.71954367000023</v>
      </c>
      <c r="O101" s="33">
        <v>17.920999999999999</v>
      </c>
      <c r="P101" s="33">
        <v>7.3687991799999724</v>
      </c>
    </row>
    <row r="102" spans="3:16" x14ac:dyDescent="0.25">
      <c r="C102" s="4" t="s">
        <v>167</v>
      </c>
      <c r="D102" s="33">
        <v>1.4573879499999975</v>
      </c>
      <c r="E102" s="33">
        <v>1.2749322000000518</v>
      </c>
      <c r="F102" s="33">
        <v>124.38189620999998</v>
      </c>
      <c r="G102" s="33">
        <v>4.8343925899999647</v>
      </c>
      <c r="H102" s="33">
        <v>18.472536200000015</v>
      </c>
      <c r="I102" s="33">
        <v>2.8317427300000304</v>
      </c>
      <c r="J102" s="33">
        <v>74.840323550000022</v>
      </c>
      <c r="K102" s="33">
        <v>-1.5388736299999835</v>
      </c>
      <c r="L102" s="33">
        <v>-1.1447851000000071</v>
      </c>
      <c r="M102" s="33">
        <v>-2.2913158900000212</v>
      </c>
      <c r="N102" s="33">
        <v>-100.90251176999995</v>
      </c>
      <c r="O102" s="33">
        <v>2.2480365000000164</v>
      </c>
      <c r="P102" s="33">
        <v>9.050859999999375E-2</v>
      </c>
    </row>
    <row r="103" spans="3:16" x14ac:dyDescent="0.25">
      <c r="C103" s="4" t="s">
        <v>168</v>
      </c>
      <c r="D103" s="33">
        <v>38.388378560000007</v>
      </c>
      <c r="E103" s="33">
        <v>224.00424888144136</v>
      </c>
      <c r="F103" s="33">
        <v>180.08383208144127</v>
      </c>
      <c r="G103" s="33">
        <v>148.42312853144131</v>
      </c>
      <c r="H103" s="33">
        <v>33.331981941397999</v>
      </c>
      <c r="I103" s="33">
        <v>207.06427266388033</v>
      </c>
      <c r="J103" s="33">
        <v>187.34649498388032</v>
      </c>
      <c r="K103" s="33">
        <v>45.562116916999997</v>
      </c>
      <c r="L103" s="33">
        <v>37.662135249999999</v>
      </c>
      <c r="M103" s="33">
        <v>19.384286742250026</v>
      </c>
      <c r="N103" s="33">
        <v>30.155917823999999</v>
      </c>
      <c r="O103" s="33">
        <v>15.889783018500006</v>
      </c>
      <c r="P103" s="33">
        <v>19.069927459999999</v>
      </c>
    </row>
    <row r="104" spans="3:16" x14ac:dyDescent="0.25">
      <c r="C104" s="4" t="s">
        <v>169</v>
      </c>
      <c r="D104" s="33">
        <v>3.0514260399999955</v>
      </c>
      <c r="E104" s="33">
        <v>-9.4671007800000098</v>
      </c>
      <c r="F104" s="33">
        <v>6.456628930000079</v>
      </c>
      <c r="G104" s="33">
        <v>2.22092669999995</v>
      </c>
      <c r="H104" s="33">
        <v>0.47951940000001514</v>
      </c>
      <c r="I104" s="33">
        <v>-34.744679190000113</v>
      </c>
      <c r="J104" s="33">
        <v>-29.475106309999944</v>
      </c>
      <c r="K104" s="33">
        <v>-2.3483729200000312</v>
      </c>
      <c r="L104" s="33">
        <v>-0.69410342999999841</v>
      </c>
      <c r="M104" s="33">
        <v>-12.521855560000063</v>
      </c>
      <c r="N104" s="33">
        <v>-168.54786602999991</v>
      </c>
      <c r="O104" s="33">
        <v>-0.19983079999993789</v>
      </c>
      <c r="P104" s="33">
        <v>-0.69499999999999995</v>
      </c>
    </row>
    <row r="105" spans="3:16" x14ac:dyDescent="0.25">
      <c r="C105" s="5" t="s">
        <v>11</v>
      </c>
      <c r="D105" s="34">
        <v>37.465625740000121</v>
      </c>
      <c r="E105" s="34">
        <v>316.84697771144238</v>
      </c>
      <c r="F105" s="34">
        <v>239.3898110314417</v>
      </c>
      <c r="G105" s="34">
        <v>194.9180240614412</v>
      </c>
      <c r="H105" s="34">
        <v>45.4187172413979</v>
      </c>
      <c r="I105" s="34">
        <v>322.95123075387994</v>
      </c>
      <c r="J105" s="34">
        <v>169.65653868387972</v>
      </c>
      <c r="K105" s="34">
        <v>92.621898917000237</v>
      </c>
      <c r="L105" s="34">
        <v>58.216647439999974</v>
      </c>
      <c r="M105" s="34">
        <v>77.234091652250413</v>
      </c>
      <c r="N105" s="34">
        <v>-99.91827158600023</v>
      </c>
      <c r="O105" s="34">
        <v>36.25865031849996</v>
      </c>
      <c r="P105" s="34">
        <v>27.224235239999967</v>
      </c>
    </row>
    <row r="106" spans="3:16" x14ac:dyDescent="0.25">
      <c r="C106" s="4" t="s">
        <v>12</v>
      </c>
      <c r="D106" s="33">
        <v>0</v>
      </c>
      <c r="E106" s="33">
        <v>0</v>
      </c>
      <c r="F106" s="33">
        <v>0</v>
      </c>
      <c r="G106" s="33">
        <v>9.9920072216264089E-16</v>
      </c>
      <c r="H106" s="33">
        <v>0</v>
      </c>
      <c r="I106" s="33" t="s">
        <v>277</v>
      </c>
      <c r="J106" s="33">
        <v>-10.716517979999997</v>
      </c>
      <c r="K106" s="33">
        <v>-0.18106949000000283</v>
      </c>
      <c r="L106" s="33">
        <v>1.5709655798445965E-14</v>
      </c>
      <c r="M106" s="33">
        <v>-5.6469900000326589E-3</v>
      </c>
      <c r="N106" s="33">
        <v>1.3704527300000007</v>
      </c>
      <c r="O106" s="33">
        <v>0</v>
      </c>
      <c r="P106" s="33">
        <v>0</v>
      </c>
    </row>
    <row r="107" spans="3:16" x14ac:dyDescent="0.25">
      <c r="C107" s="5" t="s">
        <v>13</v>
      </c>
      <c r="D107" s="34">
        <v>37.465625740000149</v>
      </c>
      <c r="E107" s="34">
        <v>316.84697771144204</v>
      </c>
      <c r="F107" s="34">
        <v>239.3898110314417</v>
      </c>
      <c r="G107" s="34">
        <v>194.91802406144114</v>
      </c>
      <c r="H107" s="34">
        <v>45.418717241397928</v>
      </c>
      <c r="I107" s="34">
        <v>323.95123075387983</v>
      </c>
      <c r="J107" s="34">
        <v>178.65653868387983</v>
      </c>
      <c r="K107" s="34">
        <v>92.621898917000181</v>
      </c>
      <c r="L107" s="34">
        <v>58.216647440000031</v>
      </c>
      <c r="M107" s="34">
        <v>76.73305567225043</v>
      </c>
      <c r="N107" s="34">
        <v>-101.2887243160003</v>
      </c>
      <c r="O107" s="34">
        <v>36.25865031849996</v>
      </c>
      <c r="P107" s="34">
        <v>27.224235239999967</v>
      </c>
    </row>
    <row r="108" spans="3:16" x14ac:dyDescent="0.25">
      <c r="C108" s="4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3:16" x14ac:dyDescent="0.25">
      <c r="C109" s="9" t="s">
        <v>170</v>
      </c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</row>
    <row r="110" spans="3:16" x14ac:dyDescent="0.25">
      <c r="C110" s="4" t="s">
        <v>171</v>
      </c>
      <c r="D110" s="33">
        <v>1.5515300074184779E-3</v>
      </c>
      <c r="E110" s="33">
        <v>1.7231800120498519E-3</v>
      </c>
      <c r="F110" s="33">
        <v>-0.80169999999998254</v>
      </c>
      <c r="G110" s="33">
        <v>-0.81800000000293949</v>
      </c>
      <c r="H110" s="33">
        <v>8.204897309995431</v>
      </c>
      <c r="I110" s="33">
        <v>-113.87621315000433</v>
      </c>
      <c r="J110" s="33">
        <v>-207.81887199999983</v>
      </c>
      <c r="K110" s="33">
        <v>10.419128000001365</v>
      </c>
      <c r="L110" s="33">
        <v>11.158030899994628</v>
      </c>
      <c r="M110" s="33">
        <v>-38.463670750006713</v>
      </c>
      <c r="N110" s="33">
        <v>1.7231800120498519E-3</v>
      </c>
      <c r="O110" s="33">
        <v>-21.521000000000001</v>
      </c>
      <c r="P110" s="33">
        <v>12.076613910004401</v>
      </c>
    </row>
    <row r="111" spans="3:16" x14ac:dyDescent="0.25">
      <c r="C111" s="4" t="s">
        <v>172</v>
      </c>
      <c r="D111" s="33">
        <v>-4.058402311859993</v>
      </c>
      <c r="E111" s="33">
        <v>-5.1040653109500056</v>
      </c>
      <c r="F111" s="33">
        <v>-6.7348763824200546</v>
      </c>
      <c r="G111" s="33">
        <v>-7.0672609865300444</v>
      </c>
      <c r="H111" s="33">
        <v>-6.7199999998024396E-4</v>
      </c>
      <c r="I111" s="33">
        <v>5.1116000000206441E-4</v>
      </c>
      <c r="J111" s="33">
        <v>8.9999020200000075</v>
      </c>
      <c r="K111" s="33">
        <v>-4.861363491500029</v>
      </c>
      <c r="L111" s="33">
        <v>-3.7753999998813015E-4</v>
      </c>
      <c r="M111" s="33">
        <v>-4.430000018373903E-6</v>
      </c>
      <c r="N111" s="33">
        <v>-5.1040653109500056</v>
      </c>
      <c r="O111" s="33">
        <v>0</v>
      </c>
      <c r="P111" s="33">
        <v>1.0000017937272801E-8</v>
      </c>
    </row>
    <row r="112" spans="3:16" x14ac:dyDescent="0.25">
      <c r="C112" s="4" t="s">
        <v>173</v>
      </c>
      <c r="D112" s="33">
        <v>-57.190248498138828</v>
      </c>
      <c r="E112" s="33">
        <v>-28.98630662905175</v>
      </c>
      <c r="F112" s="33">
        <v>-98.794535927581904</v>
      </c>
      <c r="G112" s="33">
        <v>-76.831209183470207</v>
      </c>
      <c r="H112" s="33">
        <v>-56.470009999999334</v>
      </c>
      <c r="I112" s="33">
        <v>-18.51685936999926</v>
      </c>
      <c r="J112" s="33">
        <v>-64.8975646199994</v>
      </c>
      <c r="K112" s="33">
        <v>-66.272297498502766</v>
      </c>
      <c r="L112" s="33">
        <v>-67.606248809999997</v>
      </c>
      <c r="M112" s="33">
        <v>3.5314999999935814E-4</v>
      </c>
      <c r="N112" s="33">
        <v>-28.98630662905175</v>
      </c>
      <c r="O112" s="33">
        <v>0</v>
      </c>
      <c r="P112" s="33">
        <v>0</v>
      </c>
    </row>
    <row r="113" spans="3:16" x14ac:dyDescent="0.25">
      <c r="C113" s="4" t="s">
        <v>174</v>
      </c>
      <c r="D113" s="33">
        <v>6325.3926317774385</v>
      </c>
      <c r="E113" s="33">
        <v>5970.2542925610451</v>
      </c>
      <c r="F113" s="33">
        <v>6272.3571014522404</v>
      </c>
      <c r="G113" s="33">
        <v>6299.0246357366022</v>
      </c>
      <c r="H113" s="33">
        <v>5922.9453345123829</v>
      </c>
      <c r="I113" s="33">
        <v>6013.7792136942462</v>
      </c>
      <c r="J113" s="33">
        <v>5673.3593586461457</v>
      </c>
      <c r="K113" s="33">
        <v>5598.6468347957025</v>
      </c>
      <c r="L113" s="33">
        <v>5507.9440819831525</v>
      </c>
      <c r="M113" s="33">
        <v>5283.0493942501498</v>
      </c>
      <c r="N113" s="33">
        <v>3775.3125574700744</v>
      </c>
      <c r="O113" s="33">
        <v>5286.085</v>
      </c>
      <c r="P113" s="33">
        <v>5363.45378009466</v>
      </c>
    </row>
    <row r="114" spans="3:16" x14ac:dyDescent="0.25">
      <c r="C114" s="5" t="s">
        <v>175</v>
      </c>
      <c r="D114" s="34">
        <v>6264.1455324974449</v>
      </c>
      <c r="E114" s="34">
        <v>5936.1656438010505</v>
      </c>
      <c r="F114" s="34">
        <v>6166.0259891422393</v>
      </c>
      <c r="G114" s="34">
        <v>6214.3081655665992</v>
      </c>
      <c r="H114" s="34">
        <v>5874.6795498223801</v>
      </c>
      <c r="I114" s="34">
        <v>5882.3866523342404</v>
      </c>
      <c r="J114" s="34">
        <v>5413.6428240461428</v>
      </c>
      <c r="K114" s="34">
        <v>5537.9323018057003</v>
      </c>
      <c r="L114" s="34">
        <v>5451.4954865331474</v>
      </c>
      <c r="M114" s="34">
        <v>5244.5860722201433</v>
      </c>
      <c r="N114" s="34">
        <v>3741.2239087100788</v>
      </c>
      <c r="O114" s="34">
        <v>5264.5640000000003</v>
      </c>
      <c r="P114" s="34">
        <v>5375.5303940146641</v>
      </c>
    </row>
    <row r="115" spans="3:16" x14ac:dyDescent="0.25">
      <c r="C115" s="4" t="s">
        <v>92</v>
      </c>
      <c r="D115" s="33">
        <v>-14.753184779998264</v>
      </c>
      <c r="E115" s="33">
        <v>-18.336127230006241</v>
      </c>
      <c r="F115" s="33">
        <v>-23.856617019999248</v>
      </c>
      <c r="G115" s="33">
        <v>-14.617642949997389</v>
      </c>
      <c r="H115" s="33">
        <v>-1.1339331200106244</v>
      </c>
      <c r="I115" s="33">
        <v>694.27056127000105</v>
      </c>
      <c r="J115" s="33">
        <v>-4.6587540004111361E-2</v>
      </c>
      <c r="K115" s="33">
        <v>2.7588699900006759</v>
      </c>
      <c r="L115" s="33">
        <v>5.6606676999908814</v>
      </c>
      <c r="M115" s="33">
        <v>-7.4962427200007369</v>
      </c>
      <c r="N115" s="33">
        <v>-2791.8954685799981</v>
      </c>
      <c r="O115" s="33">
        <v>-1.577</v>
      </c>
      <c r="P115" s="33">
        <v>-7.3338725200109103</v>
      </c>
    </row>
    <row r="116" spans="3:16" x14ac:dyDescent="0.25">
      <c r="C116" s="4" t="s">
        <v>176</v>
      </c>
      <c r="D116" s="33">
        <v>10512.514017867452</v>
      </c>
      <c r="E116" s="33">
        <v>10197.828682781053</v>
      </c>
      <c r="F116" s="33">
        <v>9966.4788052722415</v>
      </c>
      <c r="G116" s="33">
        <v>9897.4922927566058</v>
      </c>
      <c r="H116" s="33">
        <v>10150.619878662381</v>
      </c>
      <c r="I116" s="33">
        <v>10450.849581414253</v>
      </c>
      <c r="J116" s="33">
        <v>10498.482568776164</v>
      </c>
      <c r="K116" s="33">
        <v>10156.628536675726</v>
      </c>
      <c r="L116" s="33">
        <v>10517.659970363153</v>
      </c>
      <c r="M116" s="33">
        <v>10876.727005460161</v>
      </c>
      <c r="N116" s="33">
        <v>10776.446463460075</v>
      </c>
      <c r="O116" s="33">
        <v>10274.89</v>
      </c>
      <c r="P116" s="33">
        <v>10613.9406920947</v>
      </c>
    </row>
    <row r="117" spans="3:16" x14ac:dyDescent="0.25">
      <c r="C117" s="5" t="s">
        <v>177</v>
      </c>
      <c r="D117" s="34">
        <v>10497.760833087454</v>
      </c>
      <c r="E117" s="34">
        <v>10179.492555551047</v>
      </c>
      <c r="F117" s="34">
        <v>9942.6221882522423</v>
      </c>
      <c r="G117" s="34">
        <v>9882.8746498066084</v>
      </c>
      <c r="H117" s="34">
        <v>10149.485945542368</v>
      </c>
      <c r="I117" s="34">
        <v>11144.120142684256</v>
      </c>
      <c r="J117" s="34">
        <v>10499.435981236162</v>
      </c>
      <c r="K117" s="34">
        <v>10160.387406665726</v>
      </c>
      <c r="L117" s="34">
        <v>10523.320638063144</v>
      </c>
      <c r="M117" s="34">
        <v>10869.230762740161</v>
      </c>
      <c r="N117" s="34">
        <v>7984.5509948800773</v>
      </c>
      <c r="O117" s="34">
        <v>10273.313</v>
      </c>
      <c r="P117" s="34">
        <v>10606.60681957469</v>
      </c>
    </row>
  </sheetData>
  <hyperlinks>
    <hyperlink ref="C2" location="Forside!A1" display="Tilbake til forsiden" xr:uid="{6BD61FCC-4268-47E5-A512-194A1A466423}"/>
  </hyperlinks>
  <pageMargins left="0.7" right="0.7" top="0.75" bottom="0.75" header="0.3" footer="0.3"/>
  <headerFooter>
    <oddHeader>&amp;R&amp;"Aptos"&amp;12&amp;KFF0000 Fortrolig&amp;1#_x000D_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2D41-C401-4EE9-84D0-56A4E4C2A848}">
  <sheetPr codeName="Sheet9"/>
  <dimension ref="A2:P32"/>
  <sheetViews>
    <sheetView showGridLines="0" workbookViewId="0">
      <pane xSplit="3" ySplit="8" topLeftCell="D9" activePane="bottomRight" state="frozen"/>
      <selection activeCell="K50" sqref="K50"/>
      <selection pane="topRight" activeCell="K50" sqref="K50"/>
      <selection pane="bottomLeft" activeCell="K50" sqref="K50"/>
      <selection pane="bottomRight" activeCell="C2" sqref="C2"/>
    </sheetView>
  </sheetViews>
  <sheetFormatPr defaultRowHeight="12.75" x14ac:dyDescent="0.2"/>
  <cols>
    <col min="1" max="1" width="9.140625" style="4"/>
    <col min="2" max="2" width="5.28515625" style="4" customWidth="1"/>
    <col min="3" max="3" width="76.140625" style="4" bestFit="1" customWidth="1"/>
    <col min="4" max="16" width="10.140625" style="4" customWidth="1"/>
    <col min="17" max="16384" width="9.140625" style="4"/>
  </cols>
  <sheetData>
    <row r="2" spans="1:16" ht="15" x14ac:dyDescent="0.25">
      <c r="C2" s="174" t="s">
        <v>349</v>
      </c>
    </row>
    <row r="6" spans="1:16" ht="23.25" x14ac:dyDescent="0.35">
      <c r="A6" s="3"/>
      <c r="B6" s="6" t="s">
        <v>183</v>
      </c>
      <c r="C6" s="3" t="s">
        <v>226</v>
      </c>
    </row>
    <row r="8" spans="1:16" s="57" customFormat="1" x14ac:dyDescent="0.2">
      <c r="C8" s="59" t="s">
        <v>280</v>
      </c>
      <c r="D8" s="43" t="s">
        <v>351</v>
      </c>
      <c r="E8" s="43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3" t="s">
        <v>22</v>
      </c>
      <c r="L8" s="43" t="s">
        <v>23</v>
      </c>
      <c r="M8" s="43" t="s">
        <v>24</v>
      </c>
      <c r="N8" s="43" t="s">
        <v>25</v>
      </c>
      <c r="O8" s="43" t="s">
        <v>26</v>
      </c>
      <c r="P8" s="43" t="s">
        <v>27</v>
      </c>
    </row>
    <row r="10" spans="1:16" x14ac:dyDescent="0.2">
      <c r="C10" s="9" t="s">
        <v>227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">
      <c r="C11" s="4" t="s">
        <v>228</v>
      </c>
      <c r="D11" s="33">
        <v>424.15228722000012</v>
      </c>
      <c r="E11" s="33">
        <v>436.55469683000024</v>
      </c>
      <c r="F11" s="33">
        <v>452.43747413000062</v>
      </c>
      <c r="G11" s="33">
        <v>456.72282494999979</v>
      </c>
      <c r="H11" s="33">
        <v>446.98839154999996</v>
      </c>
      <c r="I11" s="33">
        <v>463.50984091999987</v>
      </c>
      <c r="J11" s="33">
        <v>465.36464157999922</v>
      </c>
      <c r="K11" s="33">
        <v>455.09335628000025</v>
      </c>
      <c r="L11" s="33">
        <v>440.76850948000009</v>
      </c>
      <c r="M11" s="33">
        <v>434.02670021000063</v>
      </c>
      <c r="N11" s="33">
        <v>406.1054946499998</v>
      </c>
      <c r="O11" s="33">
        <v>354.93910546000012</v>
      </c>
      <c r="P11" s="33">
        <v>327.09655115999993</v>
      </c>
    </row>
    <row r="12" spans="1:16" x14ac:dyDescent="0.2">
      <c r="C12" s="4" t="s">
        <v>0</v>
      </c>
      <c r="D12" s="33">
        <v>228.54567775999999</v>
      </c>
      <c r="E12" s="33">
        <v>232.91973858000006</v>
      </c>
      <c r="F12" s="33">
        <v>249.5998956599999</v>
      </c>
      <c r="G12" s="33">
        <v>254.54478818999996</v>
      </c>
      <c r="H12" s="33">
        <v>248.59882701000004</v>
      </c>
      <c r="I12" s="33">
        <v>251.17863437</v>
      </c>
      <c r="J12" s="33">
        <v>254.53887178999989</v>
      </c>
      <c r="K12" s="33">
        <v>251.52766940000006</v>
      </c>
      <c r="L12" s="33">
        <v>242.05943806000002</v>
      </c>
      <c r="M12" s="33">
        <v>225.75328168000001</v>
      </c>
      <c r="N12" s="33">
        <v>213.19422919000004</v>
      </c>
      <c r="O12" s="33">
        <v>181.95007764999997</v>
      </c>
      <c r="P12" s="33">
        <v>165.77694593000001</v>
      </c>
    </row>
    <row r="13" spans="1:16" x14ac:dyDescent="0.2">
      <c r="C13" s="31" t="s">
        <v>1</v>
      </c>
      <c r="D13" s="41">
        <v>195.60660946000013</v>
      </c>
      <c r="E13" s="41">
        <v>203.6349582500003</v>
      </c>
      <c r="F13" s="41">
        <v>202.83757847000061</v>
      </c>
      <c r="G13" s="41">
        <v>202.17803675999986</v>
      </c>
      <c r="H13" s="41">
        <v>198.3895645399999</v>
      </c>
      <c r="I13" s="41">
        <v>212.33120654999988</v>
      </c>
      <c r="J13" s="41">
        <v>210.82576978999936</v>
      </c>
      <c r="K13" s="41">
        <v>203.56568688000016</v>
      </c>
      <c r="L13" s="41">
        <v>198.70907142000004</v>
      </c>
      <c r="M13" s="41">
        <v>208.27341853000061</v>
      </c>
      <c r="N13" s="41">
        <v>192.91126545999973</v>
      </c>
      <c r="O13" s="41">
        <v>172.98902781000015</v>
      </c>
      <c r="P13" s="41">
        <v>161.31960522999989</v>
      </c>
    </row>
    <row r="14" spans="1:16" x14ac:dyDescent="0.2">
      <c r="C14" s="4" t="s">
        <v>229</v>
      </c>
      <c r="D14" s="33">
        <v>15.08133842</v>
      </c>
      <c r="E14" s="33">
        <v>18.031078989999997</v>
      </c>
      <c r="F14" s="33">
        <v>19.8355134</v>
      </c>
      <c r="G14" s="33">
        <v>18.031078989999997</v>
      </c>
      <c r="H14" s="33">
        <v>19.8355134</v>
      </c>
      <c r="I14" s="33">
        <v>14.4421921</v>
      </c>
      <c r="J14" s="33">
        <v>18.031078989999997</v>
      </c>
      <c r="K14" s="33">
        <v>19.8355134</v>
      </c>
      <c r="L14" s="33">
        <v>18.031078989999997</v>
      </c>
      <c r="M14" s="33">
        <v>18.031078989999997</v>
      </c>
      <c r="N14" s="33">
        <v>18.031078989999997</v>
      </c>
      <c r="O14" s="33">
        <v>19.8355134</v>
      </c>
      <c r="P14" s="33">
        <v>18.031078989999997</v>
      </c>
    </row>
    <row r="15" spans="1:16" x14ac:dyDescent="0.2">
      <c r="C15" s="31" t="s">
        <v>230</v>
      </c>
      <c r="D15" s="41">
        <v>210.68794788000014</v>
      </c>
      <c r="E15" s="41">
        <v>221.66603724000029</v>
      </c>
      <c r="F15" s="41">
        <v>222.6730918700006</v>
      </c>
      <c r="G15" s="41">
        <v>220.20911574999985</v>
      </c>
      <c r="H15" s="41">
        <v>218.22507793999989</v>
      </c>
      <c r="I15" s="41">
        <v>226.77339864999988</v>
      </c>
      <c r="J15" s="41">
        <v>228.85684877999935</v>
      </c>
      <c r="K15" s="41">
        <v>223.40120028000015</v>
      </c>
      <c r="L15" s="41">
        <v>216.74015041000004</v>
      </c>
      <c r="M15" s="41">
        <v>226.30449752000061</v>
      </c>
      <c r="N15" s="41">
        <v>210.94234444999972</v>
      </c>
      <c r="O15" s="41">
        <v>192.82454121000015</v>
      </c>
      <c r="P15" s="41">
        <v>179.35068421999989</v>
      </c>
    </row>
    <row r="16" spans="1:16" x14ac:dyDescent="0.2"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3:16" x14ac:dyDescent="0.2"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3:16" x14ac:dyDescent="0.2">
      <c r="C18" s="9" t="s">
        <v>231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3:16" x14ac:dyDescent="0.2">
      <c r="C19" s="29" t="s">
        <v>232</v>
      </c>
      <c r="D19" s="33">
        <v>21.14434327</v>
      </c>
      <c r="E19" s="33">
        <v>22.102951179999998</v>
      </c>
      <c r="F19" s="33">
        <v>21.539920000000002</v>
      </c>
      <c r="G19" s="33">
        <v>22.102951179999998</v>
      </c>
      <c r="H19" s="33">
        <v>21.539920000000002</v>
      </c>
      <c r="I19" s="33">
        <v>23.66521594</v>
      </c>
      <c r="J19" s="33">
        <v>22.102951179999998</v>
      </c>
      <c r="K19" s="33">
        <v>21.539920000000002</v>
      </c>
      <c r="L19" s="33">
        <v>22.102951179999998</v>
      </c>
      <c r="M19" s="33">
        <v>22.102951179999998</v>
      </c>
      <c r="N19" s="33">
        <v>22.102951179999998</v>
      </c>
      <c r="O19" s="33">
        <v>21.539920000000002</v>
      </c>
      <c r="P19" s="33">
        <v>22.102951179999998</v>
      </c>
    </row>
    <row r="20" spans="3:16" x14ac:dyDescent="0.2">
      <c r="C20" s="29" t="s">
        <v>233</v>
      </c>
      <c r="D20" s="33">
        <v>16.451542439999997</v>
      </c>
      <c r="E20" s="33">
        <v>15.87363467</v>
      </c>
      <c r="F20" s="33">
        <v>15.663571189999999</v>
      </c>
      <c r="G20" s="33">
        <v>15.87363467</v>
      </c>
      <c r="H20" s="33">
        <v>15.663571189999999</v>
      </c>
      <c r="I20" s="33">
        <v>12.82142958</v>
      </c>
      <c r="J20" s="33">
        <v>15.87363467</v>
      </c>
      <c r="K20" s="33">
        <v>15.663571189999999</v>
      </c>
      <c r="L20" s="33">
        <v>15.87363467</v>
      </c>
      <c r="M20" s="33">
        <v>15.87363467</v>
      </c>
      <c r="N20" s="33">
        <v>15.87363467</v>
      </c>
      <c r="O20" s="33">
        <v>15.663571189999999</v>
      </c>
      <c r="P20" s="33">
        <v>15.87363467</v>
      </c>
    </row>
    <row r="21" spans="3:16" x14ac:dyDescent="0.2">
      <c r="C21" s="29" t="s">
        <v>234</v>
      </c>
      <c r="D21" s="33">
        <v>4.6571202000000005</v>
      </c>
      <c r="E21" s="33">
        <v>6.8684469999999997</v>
      </c>
      <c r="F21" s="33">
        <v>2.5472497500000002</v>
      </c>
      <c r="G21" s="33">
        <v>6.8684469999999997</v>
      </c>
      <c r="H21" s="33">
        <v>2.5472497500000002</v>
      </c>
      <c r="I21" s="33">
        <v>1.7162982099999999</v>
      </c>
      <c r="J21" s="33">
        <v>6.8684469999999997</v>
      </c>
      <c r="K21" s="33">
        <v>2.5472497500000002</v>
      </c>
      <c r="L21" s="33">
        <v>6.8684469999999997</v>
      </c>
      <c r="M21" s="33">
        <v>6.8684469999999997</v>
      </c>
      <c r="N21" s="33">
        <v>6.8684469999999997</v>
      </c>
      <c r="O21" s="33">
        <v>2.5472497500000002</v>
      </c>
      <c r="P21" s="33">
        <v>6.8684469999999997</v>
      </c>
    </row>
    <row r="22" spans="3:16" x14ac:dyDescent="0.2">
      <c r="C22" s="29" t="s">
        <v>235</v>
      </c>
      <c r="D22" s="33">
        <v>2.0815573400000051</v>
      </c>
      <c r="E22" s="33">
        <v>3.1181096300000064</v>
      </c>
      <c r="F22" s="33">
        <v>1.8125324000000056</v>
      </c>
      <c r="G22" s="33">
        <v>3.1181096300000064</v>
      </c>
      <c r="H22" s="33">
        <v>1.8125324000000056</v>
      </c>
      <c r="I22" s="33">
        <v>2.6082651100000049</v>
      </c>
      <c r="J22" s="33">
        <v>3.1181096300000064</v>
      </c>
      <c r="K22" s="33">
        <v>1.8125324000000056</v>
      </c>
      <c r="L22" s="33">
        <v>3.1181096300000064</v>
      </c>
      <c r="M22" s="33">
        <v>3.1181096300000064</v>
      </c>
      <c r="N22" s="33">
        <v>3.1181096300000064</v>
      </c>
      <c r="O22" s="33">
        <v>1.8125324000000056</v>
      </c>
      <c r="P22" s="33">
        <v>3.1181096300000064</v>
      </c>
    </row>
    <row r="23" spans="3:16" x14ac:dyDescent="0.2">
      <c r="C23" s="30" t="s">
        <v>236</v>
      </c>
      <c r="D23" s="34">
        <v>44.334563250000002</v>
      </c>
      <c r="E23" s="34">
        <v>47.963142480000002</v>
      </c>
      <c r="F23" s="34">
        <v>41.563273340000009</v>
      </c>
      <c r="G23" s="34">
        <v>47.963142480000002</v>
      </c>
      <c r="H23" s="34">
        <v>41.563273340000009</v>
      </c>
      <c r="I23" s="34">
        <v>40.811208839999999</v>
      </c>
      <c r="J23" s="34">
        <v>47.963142480000002</v>
      </c>
      <c r="K23" s="34">
        <v>41.563273340000009</v>
      </c>
      <c r="L23" s="34">
        <v>47.963142480000002</v>
      </c>
      <c r="M23" s="34">
        <v>47.963142480000002</v>
      </c>
      <c r="N23" s="34">
        <v>47.963142480000002</v>
      </c>
      <c r="O23" s="34">
        <v>41.563273340000009</v>
      </c>
      <c r="P23" s="34">
        <v>47.963142480000002</v>
      </c>
    </row>
    <row r="24" spans="3:16" x14ac:dyDescent="0.2">
      <c r="C24" s="29" t="s">
        <v>168</v>
      </c>
      <c r="D24" s="33">
        <v>39.161335049999991</v>
      </c>
      <c r="E24" s="33">
        <v>37.125411880000016</v>
      </c>
      <c r="F24" s="33">
        <v>39.730290419999946</v>
      </c>
      <c r="G24" s="33">
        <v>46.387966799999987</v>
      </c>
      <c r="H24" s="33">
        <v>32.052293090000006</v>
      </c>
      <c r="I24" s="33">
        <v>30.91021692000006</v>
      </c>
      <c r="J24" s="33">
        <v>25.276001039999997</v>
      </c>
      <c r="K24" s="33">
        <v>32.53268460000001</v>
      </c>
      <c r="L24" s="33">
        <v>16.359711369999999</v>
      </c>
      <c r="M24" s="33">
        <v>10.348082589999962</v>
      </c>
      <c r="N24" s="33">
        <v>11.340088850000015</v>
      </c>
      <c r="O24" s="33">
        <v>28.744641140000002</v>
      </c>
      <c r="P24" s="33">
        <v>16.780937389999991</v>
      </c>
    </row>
    <row r="25" spans="3:16" x14ac:dyDescent="0.2">
      <c r="C25" s="30" t="s">
        <v>5</v>
      </c>
      <c r="D25" s="34">
        <v>83.495898299999993</v>
      </c>
      <c r="E25" s="34">
        <v>85.088554360000018</v>
      </c>
      <c r="F25" s="34">
        <v>81.293563759999955</v>
      </c>
      <c r="G25" s="34">
        <v>94.351109279999989</v>
      </c>
      <c r="H25" s="34">
        <v>73.615566430000015</v>
      </c>
      <c r="I25" s="34">
        <v>71.721425760000059</v>
      </c>
      <c r="J25" s="34">
        <v>73.239143519999999</v>
      </c>
      <c r="K25" s="34">
        <v>74.095957940000019</v>
      </c>
      <c r="L25" s="34">
        <v>64.322853850000001</v>
      </c>
      <c r="M25" s="34">
        <v>58.311225069999963</v>
      </c>
      <c r="N25" s="34">
        <v>59.303231330000017</v>
      </c>
      <c r="O25" s="34">
        <v>70.307914480000008</v>
      </c>
      <c r="P25" s="34">
        <v>64.744079869999993</v>
      </c>
    </row>
    <row r="26" spans="3:16" x14ac:dyDescent="0.2"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3:16" x14ac:dyDescent="0.2"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3:16" x14ac:dyDescent="0.2">
      <c r="C28" s="9" t="s">
        <v>237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3:16" x14ac:dyDescent="0.2">
      <c r="C29" s="29" t="s">
        <v>238</v>
      </c>
      <c r="D29" s="33">
        <v>22.22337508</v>
      </c>
      <c r="E29" s="33">
        <v>1.788966710000004</v>
      </c>
      <c r="F29" s="33">
        <v>6.3134550000000047</v>
      </c>
      <c r="G29" s="33">
        <v>35.465691730000003</v>
      </c>
      <c r="H29" s="33">
        <v>19.780888079999997</v>
      </c>
      <c r="I29" s="33">
        <v>0.49431418999999732</v>
      </c>
      <c r="J29" s="33">
        <v>1.9194679999999935</v>
      </c>
      <c r="K29" s="33">
        <v>5.2933684100000029</v>
      </c>
      <c r="L29" s="33">
        <v>27.806468280000001</v>
      </c>
      <c r="M29" s="33">
        <v>1.7000000000000001E-2</v>
      </c>
      <c r="N29" s="33">
        <v>4.6158610499999995</v>
      </c>
      <c r="O29" s="33">
        <v>1.4799130399999976</v>
      </c>
      <c r="P29" s="33">
        <v>16.104754660000001</v>
      </c>
    </row>
    <row r="30" spans="3:16" x14ac:dyDescent="0.2">
      <c r="C30" s="29" t="s">
        <v>239</v>
      </c>
      <c r="D30" s="33">
        <v>16.037447800000002</v>
      </c>
      <c r="E30" s="33">
        <v>22.461824699999994</v>
      </c>
      <c r="F30" s="33">
        <v>23.390103000000003</v>
      </c>
      <c r="G30" s="33">
        <v>19.9183074</v>
      </c>
      <c r="H30" s="33">
        <v>12.608753031397999</v>
      </c>
      <c r="I30" s="33">
        <v>14.043876999999993</v>
      </c>
      <c r="J30" s="33">
        <v>75.724895033000024</v>
      </c>
      <c r="K30" s="33">
        <v>-2.0562832999999954E-2</v>
      </c>
      <c r="L30" s="33">
        <v>6.8816975999999999</v>
      </c>
      <c r="M30" s="33">
        <v>-9.553096291749986</v>
      </c>
      <c r="N30" s="33">
        <v>-2.3971148945000023</v>
      </c>
      <c r="O30" s="33">
        <v>-0.15838004150000778</v>
      </c>
      <c r="P30" s="33">
        <v>6.7375737000000004</v>
      </c>
    </row>
    <row r="31" spans="3:16" x14ac:dyDescent="0.2">
      <c r="C31" s="29" t="s">
        <v>240</v>
      </c>
      <c r="D31" s="33">
        <v>0.41999175000000383</v>
      </c>
      <c r="E31" s="33">
        <v>22.04656823000002</v>
      </c>
      <c r="F31" s="33">
        <v>2.635547709999976</v>
      </c>
      <c r="G31" s="33">
        <v>60.975609310043318</v>
      </c>
      <c r="H31" s="33">
        <v>1.7989252000000016</v>
      </c>
      <c r="I31" s="33">
        <v>9.6835243500000221</v>
      </c>
      <c r="J31" s="33">
        <v>63.243361443880275</v>
      </c>
      <c r="K31" s="33">
        <v>2.1491812400000088</v>
      </c>
      <c r="L31" s="33">
        <v>2.1557572999999977</v>
      </c>
      <c r="M31" s="33">
        <v>-3.322015869999996</v>
      </c>
      <c r="N31" s="33">
        <v>14.626777350000001</v>
      </c>
      <c r="O31" s="33">
        <v>-5.7439019499999961</v>
      </c>
      <c r="P31" s="33">
        <v>-3.5860180899999992</v>
      </c>
    </row>
    <row r="32" spans="3:16" x14ac:dyDescent="0.2">
      <c r="C32" s="30" t="s">
        <v>241</v>
      </c>
      <c r="D32" s="34">
        <v>38.680814630000008</v>
      </c>
      <c r="E32" s="34">
        <v>46.297359640000018</v>
      </c>
      <c r="F32" s="34">
        <v>32.339105709999984</v>
      </c>
      <c r="G32" s="34">
        <v>116.35960844004333</v>
      </c>
      <c r="H32" s="34">
        <v>34.188566311397992</v>
      </c>
      <c r="I32" s="34">
        <v>24.221715540000012</v>
      </c>
      <c r="J32" s="34">
        <v>140.88772447688029</v>
      </c>
      <c r="K32" s="34">
        <v>7.4219868170000121</v>
      </c>
      <c r="L32" s="34">
        <v>36.843923179999997</v>
      </c>
      <c r="M32" s="34">
        <v>-12.858112161749983</v>
      </c>
      <c r="N32" s="34">
        <v>16.845523505499997</v>
      </c>
      <c r="O32" s="34">
        <v>-4.4223689515000064</v>
      </c>
      <c r="P32" s="34">
        <v>19.256310270000004</v>
      </c>
    </row>
  </sheetData>
  <hyperlinks>
    <hyperlink ref="C2" location="Forside!A1" display="Tilbake til forsiden" xr:uid="{CD930DBE-4D4F-46E2-82FD-2991AF5442BA}"/>
  </hyperlinks>
  <pageMargins left="0.7" right="0.7" top="0.75" bottom="0.75" header="0.3" footer="0.3"/>
  <headerFooter>
    <oddHeader>&amp;R&amp;"Aptos"&amp;12&amp;KFF0000 Fortrolig&amp;1#_x000D_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D3C525398AE4BAFEC270097EEE448" ma:contentTypeVersion="16" ma:contentTypeDescription="Opprett et nytt dokument." ma:contentTypeScope="" ma:versionID="337219f097acc59bd60aec7b02080790">
  <xsd:schema xmlns:xsd="http://www.w3.org/2001/XMLSchema" xmlns:xs="http://www.w3.org/2001/XMLSchema" xmlns:p="http://schemas.microsoft.com/office/2006/metadata/properties" xmlns:ns1="http://schemas.microsoft.com/sharepoint/v3" xmlns:ns2="cb121d97-f432-4e91-b161-ca29a54c390a" xmlns:ns3="b5c0e417-dc98-45ba-93b4-a8f99511697a" targetNamespace="http://schemas.microsoft.com/office/2006/metadata/properties" ma:root="true" ma:fieldsID="603dabaae81a2c2288db7d2d79298885" ns1:_="" ns2:_="" ns3:_="">
    <xsd:import namespace="http://schemas.microsoft.com/sharepoint/v3"/>
    <xsd:import namespace="cb121d97-f432-4e91-b161-ca29a54c390a"/>
    <xsd:import namespace="b5c0e417-dc98-45ba-93b4-a8f9951169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21d97-f432-4e91-b161-ca29a54c3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ef4f67c6-55dc-44b9-af20-23fc16b69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0e417-dc98-45ba-93b4-a8f9951169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3a9a47e-ddac-44ec-97d5-f8e346554dd2}" ma:internalName="TaxCatchAll" ma:readOnly="false" ma:showField="CatchAllData" ma:web="b5c0e417-dc98-45ba-93b4-a8f995116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5c0e417-dc98-45ba-93b4-a8f99511697a" xsi:nil="true"/>
    <_ip_UnifiedCompliancePolicyProperties xmlns="http://schemas.microsoft.com/sharepoint/v3" xsi:nil="true"/>
    <lcf76f155ced4ddcb4097134ff3c332f xmlns="cb121d97-f432-4e91-b161-ca29a54c39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2037B8-2171-4520-80FD-FD84FE578368}"/>
</file>

<file path=customXml/itemProps2.xml><?xml version="1.0" encoding="utf-8"?>
<ds:datastoreItem xmlns:ds="http://schemas.openxmlformats.org/officeDocument/2006/customXml" ds:itemID="{CED57593-A1B1-4BD5-A95C-31D51354D6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2F9B6-FEFC-4496-AAF0-0A361FAACC7B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sharepoint/v3"/>
    <ds:schemaRef ds:uri="http://purl.org/dc/dcmitype/"/>
    <ds:schemaRef ds:uri="http://purl.org/dc/terms/"/>
    <ds:schemaRef ds:uri="b5c0e417-dc98-45ba-93b4-a8f99511697a"/>
    <ds:schemaRef ds:uri="http://schemas.microsoft.com/office/2006/documentManagement/types"/>
    <ds:schemaRef ds:uri="http://schemas.openxmlformats.org/package/2006/metadata/core-properties"/>
    <ds:schemaRef ds:uri="cb121d97-f432-4e91-b161-ca29a54c390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Forside</vt:lpstr>
      <vt:lpstr>1.1 APM definisjoner</vt:lpstr>
      <vt:lpstr>1.2 APM</vt:lpstr>
      <vt:lpstr>2 Resultatregnskap</vt:lpstr>
      <vt:lpstr>3 Nøkkeltall</vt:lpstr>
      <vt:lpstr>4 Balanse</vt:lpstr>
      <vt:lpstr>5 Kapitaldekning</vt:lpstr>
      <vt:lpstr>6 Segmenter</vt:lpstr>
      <vt:lpstr>7 Inntekter</vt:lpstr>
      <vt:lpstr>8 Kostnader</vt:lpstr>
      <vt:lpstr>9 Utlån</vt:lpstr>
      <vt:lpstr>10 Brutto utlån og tap</vt:lpstr>
      <vt:lpstr>11 Innskudd</vt:lpstr>
      <vt:lpstr>12 Marginer</vt:lpstr>
      <vt:lpstr>13 Årsverk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Tonje Kvamme Dahl</dc:creator>
  <cp:lastModifiedBy>Eirik Elverum Nesvold</cp:lastModifiedBy>
  <dcterms:created xsi:type="dcterms:W3CDTF">2026-02-18T10:44:15Z</dcterms:created>
  <dcterms:modified xsi:type="dcterms:W3CDTF">2026-05-06T06:10:41Z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6a0d2d-8e76-4695-ad7e-db8f6434594a_Enabled">
    <vt:lpwstr>true</vt:lpwstr>
  </property>
  <property fmtid="{D5CDD505-2E9C-101B-9397-08002B2CF9AE}" pid="3" name="MSIP_Label_7d6a0d2d-8e76-4695-ad7e-db8f6434594a_SetDate">
    <vt:lpwstr>2026-02-18T10:58:17Z</vt:lpwstr>
  </property>
  <property fmtid="{D5CDD505-2E9C-101B-9397-08002B2CF9AE}" pid="4" name="MSIP_Label_7d6a0d2d-8e76-4695-ad7e-db8f6434594a_Method">
    <vt:lpwstr>Privileged</vt:lpwstr>
  </property>
  <property fmtid="{D5CDD505-2E9C-101B-9397-08002B2CF9AE}" pid="5" name="MSIP_Label_7d6a0d2d-8e76-4695-ad7e-db8f6434594a_Name">
    <vt:lpwstr>Fortrolig</vt:lpwstr>
  </property>
  <property fmtid="{D5CDD505-2E9C-101B-9397-08002B2CF9AE}" pid="6" name="MSIP_Label_7d6a0d2d-8e76-4695-ad7e-db8f6434594a_SiteId">
    <vt:lpwstr>637562f2-2183-407d-98a8-8fadd6657277</vt:lpwstr>
  </property>
  <property fmtid="{D5CDD505-2E9C-101B-9397-08002B2CF9AE}" pid="7" name="MSIP_Label_7d6a0d2d-8e76-4695-ad7e-db8f6434594a_ActionId">
    <vt:lpwstr>50cb0762-d592-4316-98fc-66fd2ba07a91</vt:lpwstr>
  </property>
  <property fmtid="{D5CDD505-2E9C-101B-9397-08002B2CF9AE}" pid="8" name="MSIP_Label_7d6a0d2d-8e76-4695-ad7e-db8f6434594a_ContentBits">
    <vt:lpwstr>1</vt:lpwstr>
  </property>
  <property fmtid="{D5CDD505-2E9C-101B-9397-08002B2CF9AE}" pid="9" name="MSIP_Label_7d6a0d2d-8e76-4695-ad7e-db8f6434594a_Tag">
    <vt:lpwstr>10, 0, 1, 1</vt:lpwstr>
  </property>
  <property fmtid="{D5CDD505-2E9C-101B-9397-08002B2CF9AE}" pid="10" name="ContentTypeId">
    <vt:lpwstr>0x010100D6DD3C525398AE4BAFEC270097EEE448</vt:lpwstr>
  </property>
  <property fmtid="{D5CDD505-2E9C-101B-9397-08002B2CF9AE}" pid="11" name="MediaServiceImageTags">
    <vt:lpwstr/>
  </property>
</Properties>
</file>